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Ex1.xml" ContentType="application/vnd.ms-office.chartex+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charts/chartEx4.xml" ContentType="application/vnd.ms-office.chartex+xml"/>
  <Override PartName="/xl/charts/style19.xml" ContentType="application/vnd.ms-office.chartstyle+xml"/>
  <Override PartName="/xl/charts/colors19.xml" ContentType="application/vnd.ms-office.chartcolorstyle+xml"/>
  <Override PartName="/xl/charts/chartEx5.xml" ContentType="application/vnd.ms-office.chartex+xml"/>
  <Override PartName="/xl/charts/style20.xml" ContentType="application/vnd.ms-office.chartstyle+xml"/>
  <Override PartName="/xl/charts/colors20.xml" ContentType="application/vnd.ms-office.chartcolorstyle+xml"/>
  <Override PartName="/xl/charts/chartEx6.xml" ContentType="application/vnd.ms-office.chartex+xml"/>
  <Override PartName="/xl/charts/style21.xml" ContentType="application/vnd.ms-office.chartstyle+xml"/>
  <Override PartName="/xl/charts/colors21.xml" ContentType="application/vnd.ms-office.chartcolorstyle+xml"/>
  <Override PartName="/xl/charts/chartEx7.xml" ContentType="application/vnd.ms-office.chartex+xml"/>
  <Override PartName="/xl/charts/style22.xml" ContentType="application/vnd.ms-office.chartstyle+xml"/>
  <Override PartName="/xl/charts/colors22.xml" ContentType="application/vnd.ms-office.chartcolorstyle+xml"/>
  <Override PartName="/xl/charts/chartEx8.xml" ContentType="application/vnd.ms-office.chartex+xml"/>
  <Override PartName="/xl/charts/style23.xml" ContentType="application/vnd.ms-office.chartstyle+xml"/>
  <Override PartName="/xl/charts/colors23.xml" ContentType="application/vnd.ms-office.chartcolorstyle+xml"/>
  <Override PartName="/xl/charts/chartEx9.xml" ContentType="application/vnd.ms-office.chartex+xml"/>
  <Override PartName="/xl/charts/style24.xml" ContentType="application/vnd.ms-office.chartstyle+xml"/>
  <Override PartName="/xl/charts/colors24.xml" ContentType="application/vnd.ms-office.chartcolorstyle+xml"/>
  <Override PartName="/xl/charts/chartEx10.xml" ContentType="application/vnd.ms-office.chartex+xml"/>
  <Override PartName="/xl/charts/style25.xml" ContentType="application/vnd.ms-office.chartstyle+xml"/>
  <Override PartName="/xl/charts/colors25.xml" ContentType="application/vnd.ms-office.chartcolorstyle+xml"/>
  <Override PartName="/xl/charts/chartEx11.xml" ContentType="application/vnd.ms-office.chartex+xml"/>
  <Override PartName="/xl/charts/style26.xml" ContentType="application/vnd.ms-office.chartstyle+xml"/>
  <Override PartName="/xl/charts/colors26.xml" ContentType="application/vnd.ms-office.chartcolorstyle+xml"/>
  <Override PartName="/xl/charts/chartEx12.xml" ContentType="application/vnd.ms-office.chartex+xml"/>
  <Override PartName="/xl/charts/style27.xml" ContentType="application/vnd.ms-office.chartstyle+xml"/>
  <Override PartName="/xl/charts/colors27.xml" ContentType="application/vnd.ms-office.chartcolorstyle+xml"/>
  <Override PartName="/xl/charts/chart16.xml" ContentType="application/vnd.openxmlformats-officedocument.drawingml.chart+xml"/>
  <Override PartName="/xl/charts/style28.xml" ContentType="application/vnd.ms-office.chartstyle+xml"/>
  <Override PartName="/xl/charts/colors28.xml" ContentType="application/vnd.ms-office.chartcolorstyle+xml"/>
  <Override PartName="/xl/charts/chart17.xml" ContentType="application/vnd.openxmlformats-officedocument.drawingml.chart+xml"/>
  <Override PartName="/xl/charts/style29.xml" ContentType="application/vnd.ms-office.chartstyle+xml"/>
  <Override PartName="/xl/charts/colors29.xml" ContentType="application/vnd.ms-office.chartcolorstyle+xml"/>
  <Override PartName="/xl/charts/chart18.xml" ContentType="application/vnd.openxmlformats-officedocument.drawingml.chart+xml"/>
  <Override PartName="/xl/charts/style30.xml" ContentType="application/vnd.ms-office.chartstyle+xml"/>
  <Override PartName="/xl/charts/colors30.xml" ContentType="application/vnd.ms-office.chartcolorstyle+xml"/>
  <Override PartName="/xl/charts/chart19.xml" ContentType="application/vnd.openxmlformats-officedocument.drawingml.chart+xml"/>
  <Override PartName="/xl/charts/style31.xml" ContentType="application/vnd.ms-office.chartstyle+xml"/>
  <Override PartName="/xl/charts/colors31.xml" ContentType="application/vnd.ms-office.chartcolorstyle+xml"/>
  <Override PartName="/xl/charts/chart20.xml" ContentType="application/vnd.openxmlformats-officedocument.drawingml.chart+xml"/>
  <Override PartName="/xl/charts/style32.xml" ContentType="application/vnd.ms-office.chartstyle+xml"/>
  <Override PartName="/xl/charts/colors32.xml" ContentType="application/vnd.ms-office.chartcolorstyle+xml"/>
  <Override PartName="/xl/charts/chart21.xml" ContentType="application/vnd.openxmlformats-officedocument.drawingml.chart+xml"/>
  <Override PartName="/xl/charts/style33.xml" ContentType="application/vnd.ms-office.chartstyle+xml"/>
  <Override PartName="/xl/charts/colors33.xml" ContentType="application/vnd.ms-office.chartcolorstyle+xml"/>
  <Override PartName="/xl/charts/chart22.xml" ContentType="application/vnd.openxmlformats-officedocument.drawingml.chart+xml"/>
  <Override PartName="/xl/charts/style34.xml" ContentType="application/vnd.ms-office.chartstyle+xml"/>
  <Override PartName="/xl/charts/colors34.xml" ContentType="application/vnd.ms-office.chartcolorstyle+xml"/>
  <Override PartName="/xl/charts/chart23.xml" ContentType="application/vnd.openxmlformats-officedocument.drawingml.chart+xml"/>
  <Override PartName="/xl/charts/style35.xml" ContentType="application/vnd.ms-office.chartstyle+xml"/>
  <Override PartName="/xl/charts/colors35.xml" ContentType="application/vnd.ms-office.chartcolorstyle+xml"/>
  <Override PartName="/xl/charts/chartEx13.xml" ContentType="application/vnd.ms-office.chartex+xml"/>
  <Override PartName="/xl/charts/style36.xml" ContentType="application/vnd.ms-office.chartstyle+xml"/>
  <Override PartName="/xl/charts/colors36.xml" ContentType="application/vnd.ms-office.chartcolorstyle+xml"/>
  <Override PartName="/xl/charts/chartEx14.xml" ContentType="application/vnd.ms-office.chartex+xml"/>
  <Override PartName="/xl/charts/style37.xml" ContentType="application/vnd.ms-office.chartstyle+xml"/>
  <Override PartName="/xl/charts/colors37.xml" ContentType="application/vnd.ms-office.chartcolorstyle+xml"/>
  <Override PartName="/xl/charts/chartEx15.xml" ContentType="application/vnd.ms-office.chartex+xml"/>
  <Override PartName="/xl/charts/style38.xml" ContentType="application/vnd.ms-office.chartstyle+xml"/>
  <Override PartName="/xl/charts/colors38.xml" ContentType="application/vnd.ms-office.chartcolorstyle+xml"/>
  <Override PartName="/xl/charts/chartEx16.xml" ContentType="application/vnd.ms-office.chartex+xml"/>
  <Override PartName="/xl/charts/style39.xml" ContentType="application/vnd.ms-office.chartstyle+xml"/>
  <Override PartName="/xl/charts/colors39.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harts/chart24.xml" ContentType="application/vnd.openxmlformats-officedocument.drawingml.chart+xml"/>
  <Override PartName="/xl/charts/style40.xml" ContentType="application/vnd.ms-office.chartstyle+xml"/>
  <Override PartName="/xl/charts/colors40.xml" ContentType="application/vnd.ms-office.chartcolorstyle+xml"/>
  <Override PartName="/xl/charts/chartEx17.xml" ContentType="application/vnd.ms-office.chartex+xml"/>
  <Override PartName="/xl/charts/style41.xml" ContentType="application/vnd.ms-office.chartstyle+xml"/>
  <Override PartName="/xl/charts/colors41.xml" ContentType="application/vnd.ms-office.chartcolorstyle+xml"/>
  <Override PartName="/xl/charts/chartEx18.xml" ContentType="application/vnd.ms-office.chartex+xml"/>
  <Override PartName="/xl/charts/style42.xml" ContentType="application/vnd.ms-office.chartstyle+xml"/>
  <Override PartName="/xl/charts/colors42.xml" ContentType="application/vnd.ms-office.chartcolorstyle+xml"/>
  <Override PartName="/xl/charts/chart25.xml" ContentType="application/vnd.openxmlformats-officedocument.drawingml.chart+xml"/>
  <Override PartName="/xl/charts/style43.xml" ContentType="application/vnd.ms-office.chartstyle+xml"/>
  <Override PartName="/xl/charts/colors43.xml" ContentType="application/vnd.ms-office.chartcolorstyle+xml"/>
  <Override PartName="/xl/charts/chart26.xml" ContentType="application/vnd.openxmlformats-officedocument.drawingml.chart+xml"/>
  <Override PartName="/xl/charts/style44.xml" ContentType="application/vnd.ms-office.chartstyle+xml"/>
  <Override PartName="/xl/charts/colors44.xml" ContentType="application/vnd.ms-office.chartcolorstyle+xml"/>
  <Override PartName="/xl/charts/chart27.xml" ContentType="application/vnd.openxmlformats-officedocument.drawingml.chart+xml"/>
  <Override PartName="/xl/charts/style45.xml" ContentType="application/vnd.ms-office.chartstyle+xml"/>
  <Override PartName="/xl/charts/colors45.xml" ContentType="application/vnd.ms-office.chartcolorstyle+xml"/>
  <Override PartName="/xl/charts/chartEx19.xml" ContentType="application/vnd.ms-office.chartex+xml"/>
  <Override PartName="/xl/charts/style46.xml" ContentType="application/vnd.ms-office.chartstyle+xml"/>
  <Override PartName="/xl/charts/colors46.xml" ContentType="application/vnd.ms-office.chartcolorstyle+xml"/>
  <Override PartName="/xl/charts/chartEx20.xml" ContentType="application/vnd.ms-office.chartex+xml"/>
  <Override PartName="/xl/charts/style47.xml" ContentType="application/vnd.ms-office.chartstyle+xml"/>
  <Override PartName="/xl/charts/colors47.xml" ContentType="application/vnd.ms-office.chartcolorstyle+xml"/>
  <Override PartName="/xl/charts/chartEx21.xml" ContentType="application/vnd.ms-office.chartex+xml"/>
  <Override PartName="/xl/charts/style48.xml" ContentType="application/vnd.ms-office.chartstyle+xml"/>
  <Override PartName="/xl/charts/colors48.xml" ContentType="application/vnd.ms-office.chartcolorstyle+xml"/>
  <Override PartName="/xl/charts/chartEx22.xml" ContentType="application/vnd.ms-office.chartex+xml"/>
  <Override PartName="/xl/charts/style49.xml" ContentType="application/vnd.ms-office.chartstyle+xml"/>
  <Override PartName="/xl/charts/colors49.xml" ContentType="application/vnd.ms-office.chartcolorstyle+xml"/>
  <Override PartName="/xl/charts/chartEx23.xml" ContentType="application/vnd.ms-office.chartex+xml"/>
  <Override PartName="/xl/charts/style50.xml" ContentType="application/vnd.ms-office.chartstyle+xml"/>
  <Override PartName="/xl/charts/colors50.xml" ContentType="application/vnd.ms-office.chartcolorstyle+xml"/>
  <Override PartName="/xl/charts/chartEx24.xml" ContentType="application/vnd.ms-office.chartex+xml"/>
  <Override PartName="/xl/charts/style51.xml" ContentType="application/vnd.ms-office.chartstyle+xml"/>
  <Override PartName="/xl/charts/colors51.xml" ContentType="application/vnd.ms-office.chartcolorstyle+xml"/>
  <Override PartName="/xl/charts/chartEx25.xml" ContentType="application/vnd.ms-office.chartex+xml"/>
  <Override PartName="/xl/charts/style52.xml" ContentType="application/vnd.ms-office.chartstyle+xml"/>
  <Override PartName="/xl/charts/colors52.xml" ContentType="application/vnd.ms-office.chartcolorstyle+xml"/>
  <Override PartName="/xl/charts/chartEx26.xml" ContentType="application/vnd.ms-office.chartex+xml"/>
  <Override PartName="/xl/charts/style53.xml" ContentType="application/vnd.ms-office.chartstyle+xml"/>
  <Override PartName="/xl/charts/colors53.xml" ContentType="application/vnd.ms-office.chartcolorstyle+xml"/>
  <Override PartName="/xl/charts/chartEx27.xml" ContentType="application/vnd.ms-office.chartex+xml"/>
  <Override PartName="/xl/charts/style54.xml" ContentType="application/vnd.ms-office.chartstyle+xml"/>
  <Override PartName="/xl/charts/colors54.xml" ContentType="application/vnd.ms-office.chartcolorstyle+xml"/>
  <Override PartName="/xl/charts/chartEx28.xml" ContentType="application/vnd.ms-office.chartex+xml"/>
  <Override PartName="/xl/charts/style55.xml" ContentType="application/vnd.ms-office.chartstyle+xml"/>
  <Override PartName="/xl/charts/colors55.xml" ContentType="application/vnd.ms-office.chartcolorstyle+xml"/>
  <Override PartName="/xl/charts/chartEx29.xml" ContentType="application/vnd.ms-office.chartex+xml"/>
  <Override PartName="/xl/charts/style56.xml" ContentType="application/vnd.ms-office.chartstyle+xml"/>
  <Override PartName="/xl/charts/colors56.xml" ContentType="application/vnd.ms-office.chartcolorstyle+xml"/>
  <Override PartName="/xl/charts/chartEx30.xml" ContentType="application/vnd.ms-office.chartex+xml"/>
  <Override PartName="/xl/charts/style57.xml" ContentType="application/vnd.ms-office.chartstyle+xml"/>
  <Override PartName="/xl/charts/colors57.xml" ContentType="application/vnd.ms-office.chartcolorstyle+xml"/>
  <Override PartName="/xl/charts/chartEx31.xml" ContentType="application/vnd.ms-office.chartex+xml"/>
  <Override PartName="/xl/charts/style58.xml" ContentType="application/vnd.ms-office.chartstyle+xml"/>
  <Override PartName="/xl/charts/colors58.xml" ContentType="application/vnd.ms-office.chartcolorstyle+xml"/>
  <Override PartName="/xl/charts/chartEx32.xml" ContentType="application/vnd.ms-office.chartex+xml"/>
  <Override PartName="/xl/charts/style59.xml" ContentType="application/vnd.ms-office.chartstyle+xml"/>
  <Override PartName="/xl/charts/colors59.xml" ContentType="application/vnd.ms-office.chartcolorstyle+xml"/>
  <Override PartName="/xl/charts/chartEx33.xml" ContentType="application/vnd.ms-office.chartex+xml"/>
  <Override PartName="/xl/charts/style60.xml" ContentType="application/vnd.ms-office.chartstyle+xml"/>
  <Override PartName="/xl/charts/colors60.xml" ContentType="application/vnd.ms-office.chartcolorstyle+xml"/>
  <Override PartName="/xl/charts/chartEx34.xml" ContentType="application/vnd.ms-office.chartex+xml"/>
  <Override PartName="/xl/charts/style61.xml" ContentType="application/vnd.ms-office.chartstyle+xml"/>
  <Override PartName="/xl/charts/colors61.xml" ContentType="application/vnd.ms-office.chartcolorstyle+xml"/>
  <Override PartName="/xl/charts/chart28.xml" ContentType="application/vnd.openxmlformats-officedocument.drawingml.chart+xml"/>
  <Override PartName="/xl/charts/style62.xml" ContentType="application/vnd.ms-office.chartstyle+xml"/>
  <Override PartName="/xl/charts/colors62.xml" ContentType="application/vnd.ms-office.chartcolorstyle+xml"/>
  <Override PartName="/xl/charts/chart29.xml" ContentType="application/vnd.openxmlformats-officedocument.drawingml.chart+xml"/>
  <Override PartName="/xl/charts/style63.xml" ContentType="application/vnd.ms-office.chartstyle+xml"/>
  <Override PartName="/xl/charts/colors63.xml" ContentType="application/vnd.ms-office.chartcolorstyle+xml"/>
  <Override PartName="/xl/charts/chart30.xml" ContentType="application/vnd.openxmlformats-officedocument.drawingml.chart+xml"/>
  <Override PartName="/xl/charts/style64.xml" ContentType="application/vnd.ms-office.chartstyle+xml"/>
  <Override PartName="/xl/charts/colors64.xml" ContentType="application/vnd.ms-office.chartcolorstyle+xml"/>
  <Override PartName="/xl/charts/chart31.xml" ContentType="application/vnd.openxmlformats-officedocument.drawingml.chart+xml"/>
  <Override PartName="/xl/charts/style65.xml" ContentType="application/vnd.ms-office.chartstyle+xml"/>
  <Override PartName="/xl/charts/colors65.xml" ContentType="application/vnd.ms-office.chartcolorstyle+xml"/>
  <Override PartName="/xl/charts/chart32.xml" ContentType="application/vnd.openxmlformats-officedocument.drawingml.chart+xml"/>
  <Override PartName="/xl/charts/style66.xml" ContentType="application/vnd.ms-office.chartstyle+xml"/>
  <Override PartName="/xl/charts/colors66.xml" ContentType="application/vnd.ms-office.chartcolorstyle+xml"/>
  <Override PartName="/xl/charts/chart33.xml" ContentType="application/vnd.openxmlformats-officedocument.drawingml.chart+xml"/>
  <Override PartName="/xl/charts/style67.xml" ContentType="application/vnd.ms-office.chartstyle+xml"/>
  <Override PartName="/xl/charts/colors67.xml" ContentType="application/vnd.ms-office.chartcolorstyle+xml"/>
  <Override PartName="/xl/charts/chart34.xml" ContentType="application/vnd.openxmlformats-officedocument.drawingml.chart+xml"/>
  <Override PartName="/xl/charts/style68.xml" ContentType="application/vnd.ms-office.chartstyle+xml"/>
  <Override PartName="/xl/charts/colors68.xml" ContentType="application/vnd.ms-office.chartcolorstyle+xml"/>
  <Override PartName="/xl/charts/chart35.xml" ContentType="application/vnd.openxmlformats-officedocument.drawingml.chart+xml"/>
  <Override PartName="/xl/charts/style69.xml" ContentType="application/vnd.ms-office.chartstyle+xml"/>
  <Override PartName="/xl/charts/colors69.xml" ContentType="application/vnd.ms-office.chartcolorstyle+xml"/>
  <Override PartName="/xl/charts/chart36.xml" ContentType="application/vnd.openxmlformats-officedocument.drawingml.chart+xml"/>
  <Override PartName="/xl/charts/style70.xml" ContentType="application/vnd.ms-office.chartstyle+xml"/>
  <Override PartName="/xl/charts/colors70.xml" ContentType="application/vnd.ms-office.chartcolorstyle+xml"/>
  <Override PartName="/xl/charts/chart37.xml" ContentType="application/vnd.openxmlformats-officedocument.drawingml.chart+xml"/>
  <Override PartName="/xl/charts/style71.xml" ContentType="application/vnd.ms-office.chartstyle+xml"/>
  <Override PartName="/xl/charts/colors71.xml" ContentType="application/vnd.ms-office.chartcolorstyle+xml"/>
  <Override PartName="/xl/charts/chart38.xml" ContentType="application/vnd.openxmlformats-officedocument.drawingml.chart+xml"/>
  <Override PartName="/xl/charts/style72.xml" ContentType="application/vnd.ms-office.chartstyle+xml"/>
  <Override PartName="/xl/charts/colors72.xml" ContentType="application/vnd.ms-office.chartcolorstyle+xml"/>
  <Override PartName="/xl/charts/chart39.xml" ContentType="application/vnd.openxmlformats-officedocument.drawingml.chart+xml"/>
  <Override PartName="/xl/charts/style73.xml" ContentType="application/vnd.ms-office.chartstyle+xml"/>
  <Override PartName="/xl/charts/colors73.xml" ContentType="application/vnd.ms-office.chartcolorstyle+xml"/>
  <Override PartName="/xl/charts/chart40.xml" ContentType="application/vnd.openxmlformats-officedocument.drawingml.chart+xml"/>
  <Override PartName="/xl/charts/style74.xml" ContentType="application/vnd.ms-office.chartstyle+xml"/>
  <Override PartName="/xl/charts/colors74.xml" ContentType="application/vnd.ms-office.chartcolorstyle+xml"/>
  <Override PartName="/xl/charts/chart41.xml" ContentType="application/vnd.openxmlformats-officedocument.drawingml.chart+xml"/>
  <Override PartName="/xl/charts/style75.xml" ContentType="application/vnd.ms-office.chartstyle+xml"/>
  <Override PartName="/xl/charts/colors75.xml" ContentType="application/vnd.ms-office.chartcolorstyle+xml"/>
  <Override PartName="/xl/charts/chartEx35.xml" ContentType="application/vnd.ms-office.chartex+xml"/>
  <Override PartName="/xl/charts/style76.xml" ContentType="application/vnd.ms-office.chartstyle+xml"/>
  <Override PartName="/xl/charts/colors76.xml" ContentType="application/vnd.ms-office.chartcolorstyle+xml"/>
  <Override PartName="/xl/charts/chartEx36.xml" ContentType="application/vnd.ms-office.chartex+xml"/>
  <Override PartName="/xl/charts/style77.xml" ContentType="application/vnd.ms-office.chartstyle+xml"/>
  <Override PartName="/xl/charts/colors77.xml" ContentType="application/vnd.ms-office.chartcolorstyle+xml"/>
  <Override PartName="/xl/charts/chartEx37.xml" ContentType="application/vnd.ms-office.chartex+xml"/>
  <Override PartName="/xl/charts/style78.xml" ContentType="application/vnd.ms-office.chartstyle+xml"/>
  <Override PartName="/xl/charts/colors78.xml" ContentType="application/vnd.ms-office.chartcolorstyle+xml"/>
  <Override PartName="/xl/charts/chartEx38.xml" ContentType="application/vnd.ms-office.chartex+xml"/>
  <Override PartName="/xl/charts/style79.xml" ContentType="application/vnd.ms-office.chartstyle+xml"/>
  <Override PartName="/xl/charts/colors79.xml" ContentType="application/vnd.ms-office.chartcolorstyle+xml"/>
  <Override PartName="/xl/charts/chartEx39.xml" ContentType="application/vnd.ms-office.chartex+xml"/>
  <Override PartName="/xl/charts/style80.xml" ContentType="application/vnd.ms-office.chartstyle+xml"/>
  <Override PartName="/xl/charts/colors80.xml" ContentType="application/vnd.ms-office.chartcolorstyle+xml"/>
  <Override PartName="/xl/charts/chartEx40.xml" ContentType="application/vnd.ms-office.chartex+xml"/>
  <Override PartName="/xl/charts/style81.xml" ContentType="application/vnd.ms-office.chartstyle+xml"/>
  <Override PartName="/xl/charts/colors81.xml" ContentType="application/vnd.ms-office.chartcolorstyle+xml"/>
  <Override PartName="/xl/charts/chartEx41.xml" ContentType="application/vnd.ms-office.chartex+xml"/>
  <Override PartName="/xl/charts/style82.xml" ContentType="application/vnd.ms-office.chartstyle+xml"/>
  <Override PartName="/xl/charts/colors82.xml" ContentType="application/vnd.ms-office.chartcolorstyle+xml"/>
  <Override PartName="/xl/charts/chartEx42.xml" ContentType="application/vnd.ms-office.chartex+xml"/>
  <Override PartName="/xl/charts/style83.xml" ContentType="application/vnd.ms-office.chartstyle+xml"/>
  <Override PartName="/xl/charts/colors83.xml" ContentType="application/vnd.ms-office.chartcolorstyle+xml"/>
  <Override PartName="/xl/charts/chartEx43.xml" ContentType="application/vnd.ms-office.chartex+xml"/>
  <Override PartName="/xl/charts/style84.xml" ContentType="application/vnd.ms-office.chartstyle+xml"/>
  <Override PartName="/xl/charts/colors84.xml" ContentType="application/vnd.ms-office.chartcolorstyle+xml"/>
  <Override PartName="/xl/charts/chartEx44.xml" ContentType="application/vnd.ms-office.chartex+xml"/>
  <Override PartName="/xl/charts/style85.xml" ContentType="application/vnd.ms-office.chartstyle+xml"/>
  <Override PartName="/xl/charts/colors85.xml" ContentType="application/vnd.ms-office.chartcolorstyle+xml"/>
  <Override PartName="/xl/charts/chartEx45.xml" ContentType="application/vnd.ms-office.chartex+xml"/>
  <Override PartName="/xl/charts/style86.xml" ContentType="application/vnd.ms-office.chartstyle+xml"/>
  <Override PartName="/xl/charts/colors86.xml" ContentType="application/vnd.ms-office.chartcolorstyle+xml"/>
  <Override PartName="/xl/charts/chartEx46.xml" ContentType="application/vnd.ms-office.chartex+xml"/>
  <Override PartName="/xl/charts/style87.xml" ContentType="application/vnd.ms-office.chartstyle+xml"/>
  <Override PartName="/xl/charts/colors87.xml" ContentType="application/vnd.ms-office.chartcolorstyle+xml"/>
  <Override PartName="/xl/charts/chartEx47.xml" ContentType="application/vnd.ms-office.chartex+xml"/>
  <Override PartName="/xl/charts/style88.xml" ContentType="application/vnd.ms-office.chartstyle+xml"/>
  <Override PartName="/xl/charts/colors88.xml" ContentType="application/vnd.ms-office.chartcolorstyle+xml"/>
  <Override PartName="/xl/charts/chartEx48.xml" ContentType="application/vnd.ms-office.chartex+xml"/>
  <Override PartName="/xl/charts/style89.xml" ContentType="application/vnd.ms-office.chartstyle+xml"/>
  <Override PartName="/xl/charts/colors89.xml" ContentType="application/vnd.ms-office.chartcolorstyle+xml"/>
  <Override PartName="/xl/charts/chart42.xml" ContentType="application/vnd.openxmlformats-officedocument.drawingml.chart+xml"/>
  <Override PartName="/xl/charts/style90.xml" ContentType="application/vnd.ms-office.chartstyle+xml"/>
  <Override PartName="/xl/charts/colors90.xml" ContentType="application/vnd.ms-office.chartcolorstyle+xml"/>
  <Override PartName="/xl/charts/chart43.xml" ContentType="application/vnd.openxmlformats-officedocument.drawingml.chart+xml"/>
  <Override PartName="/xl/charts/style91.xml" ContentType="application/vnd.ms-office.chartstyle+xml"/>
  <Override PartName="/xl/charts/colors91.xml" ContentType="application/vnd.ms-office.chartcolorstyle+xml"/>
  <Override PartName="/xl/charts/chart44.xml" ContentType="application/vnd.openxmlformats-officedocument.drawingml.chart+xml"/>
  <Override PartName="/xl/charts/style92.xml" ContentType="application/vnd.ms-office.chartstyle+xml"/>
  <Override PartName="/xl/charts/colors92.xml" ContentType="application/vnd.ms-office.chartcolorstyle+xml"/>
  <Override PartName="/xl/charts/chart45.xml" ContentType="application/vnd.openxmlformats-officedocument.drawingml.chart+xml"/>
  <Override PartName="/xl/charts/style93.xml" ContentType="application/vnd.ms-office.chartstyle+xml"/>
  <Override PartName="/xl/charts/colors93.xml" ContentType="application/vnd.ms-office.chartcolorstyle+xml"/>
  <Override PartName="/xl/charts/chart46.xml" ContentType="application/vnd.openxmlformats-officedocument.drawingml.chart+xml"/>
  <Override PartName="/xl/charts/style94.xml" ContentType="application/vnd.ms-office.chartstyle+xml"/>
  <Override PartName="/xl/charts/colors94.xml" ContentType="application/vnd.ms-office.chartcolorstyle+xml"/>
  <Override PartName="/xl/charts/chart47.xml" ContentType="application/vnd.openxmlformats-officedocument.drawingml.chart+xml"/>
  <Override PartName="/xl/charts/style95.xml" ContentType="application/vnd.ms-office.chartstyle+xml"/>
  <Override PartName="/xl/charts/colors95.xml" ContentType="application/vnd.ms-office.chartcolorstyle+xml"/>
  <Override PartName="/xl/charts/chart48.xml" ContentType="application/vnd.openxmlformats-officedocument.drawingml.chart+xml"/>
  <Override PartName="/xl/charts/style96.xml" ContentType="application/vnd.ms-office.chartstyle+xml"/>
  <Override PartName="/xl/charts/colors96.xml" ContentType="application/vnd.ms-office.chartcolorstyle+xml"/>
  <Override PartName="/xl/charts/chart49.xml" ContentType="application/vnd.openxmlformats-officedocument.drawingml.chart+xml"/>
  <Override PartName="/xl/charts/style97.xml" ContentType="application/vnd.ms-office.chartstyle+xml"/>
  <Override PartName="/xl/charts/colors97.xml" ContentType="application/vnd.ms-office.chartcolorstyle+xml"/>
  <Override PartName="/xl/charts/chart50.xml" ContentType="application/vnd.openxmlformats-officedocument.drawingml.chart+xml"/>
  <Override PartName="/xl/charts/style98.xml" ContentType="application/vnd.ms-office.chartstyle+xml"/>
  <Override PartName="/xl/charts/colors98.xml" ContentType="application/vnd.ms-office.chartcolorstyle+xml"/>
  <Override PartName="/xl/charts/chart51.xml" ContentType="application/vnd.openxmlformats-officedocument.drawingml.chart+xml"/>
  <Override PartName="/xl/charts/style99.xml" ContentType="application/vnd.ms-office.chartstyle+xml"/>
  <Override PartName="/xl/charts/colors99.xml" ContentType="application/vnd.ms-office.chartcolorstyle+xml"/>
  <Override PartName="/xl/charts/chart52.xml" ContentType="application/vnd.openxmlformats-officedocument.drawingml.chart+xml"/>
  <Override PartName="/xl/charts/style100.xml" ContentType="application/vnd.ms-office.chartstyle+xml"/>
  <Override PartName="/xl/charts/colors100.xml" ContentType="application/vnd.ms-office.chartcolorstyle+xml"/>
  <Override PartName="/xl/charts/chart53.xml" ContentType="application/vnd.openxmlformats-officedocument.drawingml.chart+xml"/>
  <Override PartName="/xl/charts/style101.xml" ContentType="application/vnd.ms-office.chartstyle+xml"/>
  <Override PartName="/xl/charts/colors101.xml" ContentType="application/vnd.ms-office.chartcolorstyle+xml"/>
  <Override PartName="/xl/charts/chart54.xml" ContentType="application/vnd.openxmlformats-officedocument.drawingml.chart+xml"/>
  <Override PartName="/xl/charts/style102.xml" ContentType="application/vnd.ms-office.chartstyle+xml"/>
  <Override PartName="/xl/charts/colors102.xml" ContentType="application/vnd.ms-office.chartcolorstyle+xml"/>
  <Override PartName="/xl/charts/chart55.xml" ContentType="application/vnd.openxmlformats-officedocument.drawingml.chart+xml"/>
  <Override PartName="/xl/charts/style103.xml" ContentType="application/vnd.ms-office.chartstyle+xml"/>
  <Override PartName="/xl/charts/colors103.xml" ContentType="application/vnd.ms-office.chartcolorstyle+xml"/>
  <Override PartName="/xl/charts/chart56.xml" ContentType="application/vnd.openxmlformats-officedocument.drawingml.chart+xml"/>
  <Override PartName="/xl/charts/style104.xml" ContentType="application/vnd.ms-office.chartstyle+xml"/>
  <Override PartName="/xl/charts/colors104.xml" ContentType="application/vnd.ms-office.chartcolorstyle+xml"/>
  <Override PartName="/xl/charts/chart57.xml" ContentType="application/vnd.openxmlformats-officedocument.drawingml.chart+xml"/>
  <Override PartName="/xl/charts/style105.xml" ContentType="application/vnd.ms-office.chartstyle+xml"/>
  <Override PartName="/xl/charts/colors105.xml" ContentType="application/vnd.ms-office.chartcolorstyle+xml"/>
  <Override PartName="/xl/charts/chart58.xml" ContentType="application/vnd.openxmlformats-officedocument.drawingml.chart+xml"/>
  <Override PartName="/xl/charts/style106.xml" ContentType="application/vnd.ms-office.chartstyle+xml"/>
  <Override PartName="/xl/charts/colors106.xml" ContentType="application/vnd.ms-office.chartcolorstyle+xml"/>
  <Override PartName="/xl/charts/chart59.xml" ContentType="application/vnd.openxmlformats-officedocument.drawingml.chart+xml"/>
  <Override PartName="/xl/charts/style107.xml" ContentType="application/vnd.ms-office.chartstyle+xml"/>
  <Override PartName="/xl/charts/colors107.xml" ContentType="application/vnd.ms-office.chartcolorstyle+xml"/>
  <Override PartName="/xl/charts/chart60.xml" ContentType="application/vnd.openxmlformats-officedocument.drawingml.chart+xml"/>
  <Override PartName="/xl/charts/style108.xml" ContentType="application/vnd.ms-office.chartstyle+xml"/>
  <Override PartName="/xl/charts/colors108.xml" ContentType="application/vnd.ms-office.chartcolorstyle+xml"/>
  <Override PartName="/xl/charts/chart61.xml" ContentType="application/vnd.openxmlformats-officedocument.drawingml.chart+xml"/>
  <Override PartName="/xl/charts/style109.xml" ContentType="application/vnd.ms-office.chartstyle+xml"/>
  <Override PartName="/xl/charts/colors109.xml" ContentType="application/vnd.ms-office.chartcolorstyle+xml"/>
  <Override PartName="/xl/charts/chart62.xml" ContentType="application/vnd.openxmlformats-officedocument.drawingml.chart+xml"/>
  <Override PartName="/xl/charts/style110.xml" ContentType="application/vnd.ms-office.chartstyle+xml"/>
  <Override PartName="/xl/charts/colors110.xml" ContentType="application/vnd.ms-office.chartcolorstyle+xml"/>
  <Override PartName="/xl/charts/chart63.xml" ContentType="application/vnd.openxmlformats-officedocument.drawingml.chart+xml"/>
  <Override PartName="/xl/charts/style111.xml" ContentType="application/vnd.ms-office.chartstyle+xml"/>
  <Override PartName="/xl/charts/colors111.xml" ContentType="application/vnd.ms-office.chartcolorstyle+xml"/>
  <Override PartName="/xl/charts/chart64.xml" ContentType="application/vnd.openxmlformats-officedocument.drawingml.chart+xml"/>
  <Override PartName="/xl/charts/style112.xml" ContentType="application/vnd.ms-office.chartstyle+xml"/>
  <Override PartName="/xl/charts/colors112.xml" ContentType="application/vnd.ms-office.chartcolorstyle+xml"/>
  <Override PartName="/xl/charts/chart65.xml" ContentType="application/vnd.openxmlformats-officedocument.drawingml.chart+xml"/>
  <Override PartName="/xl/charts/style113.xml" ContentType="application/vnd.ms-office.chartstyle+xml"/>
  <Override PartName="/xl/charts/colors113.xml" ContentType="application/vnd.ms-office.chartcolorstyle+xml"/>
  <Override PartName="/xl/charts/chart66.xml" ContentType="application/vnd.openxmlformats-officedocument.drawingml.chart+xml"/>
  <Override PartName="/xl/charts/style114.xml" ContentType="application/vnd.ms-office.chartstyle+xml"/>
  <Override PartName="/xl/charts/colors114.xml" ContentType="application/vnd.ms-office.chartcolorstyle+xml"/>
  <Override PartName="/xl/charts/chart67.xml" ContentType="application/vnd.openxmlformats-officedocument.drawingml.chart+xml"/>
  <Override PartName="/xl/charts/style115.xml" ContentType="application/vnd.ms-office.chartstyle+xml"/>
  <Override PartName="/xl/charts/colors115.xml" ContentType="application/vnd.ms-office.chartcolorstyle+xml"/>
  <Override PartName="/xl/charts/chart68.xml" ContentType="application/vnd.openxmlformats-officedocument.drawingml.chart+xml"/>
  <Override PartName="/xl/charts/style116.xml" ContentType="application/vnd.ms-office.chartstyle+xml"/>
  <Override PartName="/xl/charts/colors116.xml" ContentType="application/vnd.ms-office.chartcolorstyle+xml"/>
  <Override PartName="/xl/charts/chart69.xml" ContentType="application/vnd.openxmlformats-officedocument.drawingml.chart+xml"/>
  <Override PartName="/xl/charts/style117.xml" ContentType="application/vnd.ms-office.chartstyle+xml"/>
  <Override PartName="/xl/charts/colors1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harts/chart70.xml" ContentType="application/vnd.openxmlformats-officedocument.drawingml.chart+xml"/>
  <Override PartName="/xl/charts/style118.xml" ContentType="application/vnd.ms-office.chartstyle+xml"/>
  <Override PartName="/xl/charts/colors118.xml" ContentType="application/vnd.ms-office.chartcolorstyle+xml"/>
  <Override PartName="/xl/charts/chart71.xml" ContentType="application/vnd.openxmlformats-officedocument.drawingml.chart+xml"/>
  <Override PartName="/xl/charts/style119.xml" ContentType="application/vnd.ms-office.chartstyle+xml"/>
  <Override PartName="/xl/charts/colors119.xml" ContentType="application/vnd.ms-office.chartcolorstyle+xml"/>
  <Override PartName="/xl/charts/chart72.xml" ContentType="application/vnd.openxmlformats-officedocument.drawingml.chart+xml"/>
  <Override PartName="/xl/charts/style120.xml" ContentType="application/vnd.ms-office.chartstyle+xml"/>
  <Override PartName="/xl/charts/colors120.xml" ContentType="application/vnd.ms-office.chartcolorstyle+xml"/>
  <Override PartName="/xl/charts/chart73.xml" ContentType="application/vnd.openxmlformats-officedocument.drawingml.chart+xml"/>
  <Override PartName="/xl/charts/style121.xml" ContentType="application/vnd.ms-office.chartstyle+xml"/>
  <Override PartName="/xl/charts/colors121.xml" ContentType="application/vnd.ms-office.chartcolorstyle+xml"/>
  <Override PartName="/xl/charts/chart74.xml" ContentType="application/vnd.openxmlformats-officedocument.drawingml.chart+xml"/>
  <Override PartName="/xl/charts/style122.xml" ContentType="application/vnd.ms-office.chartstyle+xml"/>
  <Override PartName="/xl/charts/colors122.xml" ContentType="application/vnd.ms-office.chartcolorstyle+xml"/>
  <Override PartName="/xl/charts/chart75.xml" ContentType="application/vnd.openxmlformats-officedocument.drawingml.chart+xml"/>
  <Override PartName="/xl/charts/style123.xml" ContentType="application/vnd.ms-office.chartstyle+xml"/>
  <Override PartName="/xl/charts/colors123.xml" ContentType="application/vnd.ms-office.chartcolorstyle+xml"/>
  <Override PartName="/xl/charts/chart76.xml" ContentType="application/vnd.openxmlformats-officedocument.drawingml.chart+xml"/>
  <Override PartName="/xl/charts/style124.xml" ContentType="application/vnd.ms-office.chartstyle+xml"/>
  <Override PartName="/xl/charts/colors124.xml" ContentType="application/vnd.ms-office.chartcolorstyle+xml"/>
  <Override PartName="/xl/charts/chart77.xml" ContentType="application/vnd.openxmlformats-officedocument.drawingml.chart+xml"/>
  <Override PartName="/xl/charts/style125.xml" ContentType="application/vnd.ms-office.chartstyle+xml"/>
  <Override PartName="/xl/charts/colors125.xml" ContentType="application/vnd.ms-office.chartcolorstyle+xml"/>
  <Override PartName="/xl/charts/chart78.xml" ContentType="application/vnd.openxmlformats-officedocument.drawingml.chart+xml"/>
  <Override PartName="/xl/charts/style126.xml" ContentType="application/vnd.ms-office.chartstyle+xml"/>
  <Override PartName="/xl/charts/colors126.xml" ContentType="application/vnd.ms-office.chartcolorstyle+xml"/>
  <Override PartName="/xl/charts/chart79.xml" ContentType="application/vnd.openxmlformats-officedocument.drawingml.chart+xml"/>
  <Override PartName="/xl/charts/style127.xml" ContentType="application/vnd.ms-office.chartstyle+xml"/>
  <Override PartName="/xl/charts/colors1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defaultThemeVersion="166925"/>
  <mc:AlternateContent xmlns:mc="http://schemas.openxmlformats.org/markup-compatibility/2006">
    <mc:Choice Requires="x15">
      <x15ac:absPath xmlns:x15ac="http://schemas.microsoft.com/office/spreadsheetml/2010/11/ac" url="F:\پروژه استراتژیک\1405\مستندات\"/>
    </mc:Choice>
  </mc:AlternateContent>
  <xr:revisionPtr revIDLastSave="0" documentId="13_ncr:1_{7CB6A864-0FED-4AA2-B1BD-D01A16C121C2}" xr6:coauthVersionLast="47" xr6:coauthVersionMax="47" xr10:uidLastSave="{00000000-0000-0000-0000-000000000000}"/>
  <bookViews>
    <workbookView xWindow="-108" yWindow="-108" windowWidth="23256" windowHeight="12576" tabRatio="941" activeTab="8" xr2:uid="{786342CE-D00D-4926-8723-B9F790A0C4B2}"/>
  </bookViews>
  <sheets>
    <sheet name="Intro" sheetId="10" r:id="rId1"/>
    <sheet name="Unit List" sheetId="45" r:id="rId2"/>
    <sheet name="Settings" sheetId="13" r:id="rId3"/>
    <sheet name="Data Quality" sheetId="44" r:id="rId4"/>
    <sheet name="Sensitivity" sheetId="50" r:id="rId5"/>
    <sheet name="Inventory" sheetId="1" r:id="rId6"/>
    <sheet name="Tables &amp; Graphs" sheetId="9" r:id="rId7"/>
    <sheet name="Life Cycle" sheetId="51" r:id="rId8"/>
    <sheet name="Carbon Footprints" sheetId="40" r:id="rId9"/>
    <sheet name="Section 1" sheetId="41" r:id="rId10"/>
    <sheet name="Combustion" sheetId="4" r:id="rId11"/>
    <sheet name="Vent" sheetId="11" r:id="rId12"/>
    <sheet name="Fugitive" sheetId="23" r:id="rId13"/>
    <sheet name="Electricity" sheetId="19" r:id="rId14"/>
    <sheet name="On-Site Tran." sheetId="18" r:id="rId15"/>
    <sheet name="Upstream Tran." sheetId="15" r:id="rId16"/>
    <sheet name="Downstream Tran." sheetId="46" r:id="rId17"/>
    <sheet name="Employee Commuting" sheetId="16" r:id="rId18"/>
    <sheet name="Business Travel" sheetId="20" r:id="rId19"/>
    <sheet name="Purchased Material" sheetId="25" r:id="rId20"/>
    <sheet name="Ancillary Input" sheetId="47" r:id="rId21"/>
    <sheet name="Purchased Services" sheetId="48" r:id="rId22"/>
    <sheet name="Waste" sheetId="24" r:id="rId23"/>
    <sheet name="Wastewater" sheetId="49" r:id="rId24"/>
    <sheet name="Energy Related" sheetId="28" r:id="rId25"/>
    <sheet name="Section 2" sheetId="42" r:id="rId26"/>
    <sheet name="Upstream CF" sheetId="36" r:id="rId27"/>
    <sheet name="Utility CF" sheetId="37" r:id="rId28"/>
    <sheet name="Units CF" sheetId="33" r:id="rId29"/>
    <sheet name="Mix Electricity" sheetId="39" r:id="rId30"/>
    <sheet name="Steam" sheetId="26" r:id="rId31"/>
    <sheet name="Air" sheetId="27" r:id="rId32"/>
    <sheet name="Oxygen" sheetId="30" r:id="rId33"/>
    <sheet name="Nitrogen" sheetId="29" r:id="rId34"/>
    <sheet name="Argon" sheetId="32" r:id="rId35"/>
    <sheet name="Water" sheetId="35" r:id="rId36"/>
    <sheet name="End" sheetId="52" r:id="rId37"/>
  </sheets>
  <definedNames>
    <definedName name="___ass2" localSheetId="7" hidden="1">{#N/A,#N/A,FALSE,"Annual Summary";#N/A,#N/A,FALSE,"Hourly Summary";#N/A,#N/A,FALSE,"Flare Combustion";#N/A,#N/A,FALSE,"Shipping";#N/A,#N/A,FALSE,"Process Turnaround";#N/A,#N/A,FALSE,"Lab Samples";#N/A,#N/A,FALSE,"Product Cycles 5-4";#N/A,#N/A,FALSE,"5-4.1";#N/A,#N/A,FALSE,"5-4.2";#N/A,#N/A,FALSE,"Physical Prop Data"}</definedName>
    <definedName name="___ass2" hidden="1">{#N/A,#N/A,FALSE,"Annual Summary";#N/A,#N/A,FALSE,"Hourly Summary";#N/A,#N/A,FALSE,"Flare Combustion";#N/A,#N/A,FALSE,"Shipping";#N/A,#N/A,FALSE,"Process Turnaround";#N/A,#N/A,FALSE,"Lab Samples";#N/A,#N/A,FALSE,"Product Cycles 5-4";#N/A,#N/A,FALSE,"5-4.1";#N/A,#N/A,FALSE,"5-4.2";#N/A,#N/A,FALSE,"Physical Prop Data"}</definedName>
    <definedName name="___ass3" localSheetId="7" hidden="1">{#N/A,#N/A,FALSE,"Annual Summary";#N/A,#N/A,FALSE,"Hourly Summary";#N/A,#N/A,FALSE,"Flare Combustion";#N/A,#N/A,FALSE,"Shipping";#N/A,#N/A,FALSE,"Process Turnaround";#N/A,#N/A,FALSE,"Lab Samples";#N/A,#N/A,FALSE,"Product Cycles 5-4";#N/A,#N/A,FALSE,"5-4.1";#N/A,#N/A,FALSE,"5-4.2";#N/A,#N/A,FALSE,"Physical Prop Data"}</definedName>
    <definedName name="___ass3" hidden="1">{#N/A,#N/A,FALSE,"Annual Summary";#N/A,#N/A,FALSE,"Hourly Summary";#N/A,#N/A,FALSE,"Flare Combustion";#N/A,#N/A,FALSE,"Shipping";#N/A,#N/A,FALSE,"Process Turnaround";#N/A,#N/A,FALSE,"Lab Samples";#N/A,#N/A,FALSE,"Product Cycles 5-4";#N/A,#N/A,FALSE,"5-4.1";#N/A,#N/A,FALSE,"5-4.2";#N/A,#N/A,FALSE,"Physical Prop Data"}</definedName>
    <definedName name="__ass2" localSheetId="7" hidden="1">{#N/A,#N/A,FALSE,"Annual Summary";#N/A,#N/A,FALSE,"Hourly Summary";#N/A,#N/A,FALSE,"Flare Combustion";#N/A,#N/A,FALSE,"Shipping";#N/A,#N/A,FALSE,"Process Turnaround";#N/A,#N/A,FALSE,"Lab Samples";#N/A,#N/A,FALSE,"Product Cycles 5-4";#N/A,#N/A,FALSE,"5-4.1";#N/A,#N/A,FALSE,"5-4.2";#N/A,#N/A,FALSE,"Physical Prop Data"}</definedName>
    <definedName name="__ass2" hidden="1">{#N/A,#N/A,FALSE,"Annual Summary";#N/A,#N/A,FALSE,"Hourly Summary";#N/A,#N/A,FALSE,"Flare Combustion";#N/A,#N/A,FALSE,"Shipping";#N/A,#N/A,FALSE,"Process Turnaround";#N/A,#N/A,FALSE,"Lab Samples";#N/A,#N/A,FALSE,"Product Cycles 5-4";#N/A,#N/A,FALSE,"5-4.1";#N/A,#N/A,FALSE,"5-4.2";#N/A,#N/A,FALSE,"Physical Prop Data"}</definedName>
    <definedName name="__ass3" localSheetId="7" hidden="1">{#N/A,#N/A,FALSE,"Annual Summary";#N/A,#N/A,FALSE,"Hourly Summary";#N/A,#N/A,FALSE,"Flare Combustion";#N/A,#N/A,FALSE,"Shipping";#N/A,#N/A,FALSE,"Process Turnaround";#N/A,#N/A,FALSE,"Lab Samples";#N/A,#N/A,FALSE,"Product Cycles 5-4";#N/A,#N/A,FALSE,"5-4.1";#N/A,#N/A,FALSE,"5-4.2";#N/A,#N/A,FALSE,"Physical Prop Data"}</definedName>
    <definedName name="__ass3" hidden="1">{#N/A,#N/A,FALSE,"Annual Summary";#N/A,#N/A,FALSE,"Hourly Summary";#N/A,#N/A,FALSE,"Flare Combustion";#N/A,#N/A,FALSE,"Shipping";#N/A,#N/A,FALSE,"Process Turnaround";#N/A,#N/A,FALSE,"Lab Samples";#N/A,#N/A,FALSE,"Product Cycles 5-4";#N/A,#N/A,FALSE,"5-4.1";#N/A,#N/A,FALSE,"5-4.2";#N/A,#N/A,FALSE,"Physical Prop Data"}</definedName>
    <definedName name="_a" localSheetId="7" hidden="1">{#N/A,#N/A,FALSE,"Annual Summary";#N/A,#N/A,FALSE,"Hourly Summary";#N/A,#N/A,FALSE,"Flare Combustion";#N/A,#N/A,FALSE,"Shipping";#N/A,#N/A,FALSE,"Process Turnaround";#N/A,#N/A,FALSE,"Lab Samples";#N/A,#N/A,FALSE,"Product Cycles 5-4";#N/A,#N/A,FALSE,"5-4.1";#N/A,#N/A,FALSE,"5-4.2";#N/A,#N/A,FALSE,"Physical Prop Data"}</definedName>
    <definedName name="_a" hidden="1">{#N/A,#N/A,FALSE,"Annual Summary";#N/A,#N/A,FALSE,"Hourly Summary";#N/A,#N/A,FALSE,"Flare Combustion";#N/A,#N/A,FALSE,"Shipping";#N/A,#N/A,FALSE,"Process Turnaround";#N/A,#N/A,FALSE,"Lab Samples";#N/A,#N/A,FALSE,"Product Cycles 5-4";#N/A,#N/A,FALSE,"5-4.1";#N/A,#N/A,FALSE,"5-4.2";#N/A,#N/A,FALSE,"Physical Prop Data"}</definedName>
    <definedName name="_ass2" localSheetId="7" hidden="1">{#N/A,#N/A,FALSE,"Annual Summary";#N/A,#N/A,FALSE,"Hourly Summary";#N/A,#N/A,FALSE,"Flare Combustion";#N/A,#N/A,FALSE,"Shipping";#N/A,#N/A,FALSE,"Process Turnaround";#N/A,#N/A,FALSE,"Lab Samples";#N/A,#N/A,FALSE,"Product Cycles 5-4";#N/A,#N/A,FALSE,"5-4.1";#N/A,#N/A,FALSE,"5-4.2";#N/A,#N/A,FALSE,"Physical Prop Data"}</definedName>
    <definedName name="_ass2" hidden="1">{#N/A,#N/A,FALSE,"Annual Summary";#N/A,#N/A,FALSE,"Hourly Summary";#N/A,#N/A,FALSE,"Flare Combustion";#N/A,#N/A,FALSE,"Shipping";#N/A,#N/A,FALSE,"Process Turnaround";#N/A,#N/A,FALSE,"Lab Samples";#N/A,#N/A,FALSE,"Product Cycles 5-4";#N/A,#N/A,FALSE,"5-4.1";#N/A,#N/A,FALSE,"5-4.2";#N/A,#N/A,FALSE,"Physical Prop Data"}</definedName>
    <definedName name="_ass3" localSheetId="7" hidden="1">{#N/A,#N/A,FALSE,"Annual Summary";#N/A,#N/A,FALSE,"Hourly Summary";#N/A,#N/A,FALSE,"Flare Combustion";#N/A,#N/A,FALSE,"Shipping";#N/A,#N/A,FALSE,"Process Turnaround";#N/A,#N/A,FALSE,"Lab Samples";#N/A,#N/A,FALSE,"Product Cycles 5-4";#N/A,#N/A,FALSE,"5-4.1";#N/A,#N/A,FALSE,"5-4.2";#N/A,#N/A,FALSE,"Physical Prop Data"}</definedName>
    <definedName name="_ass3" hidden="1">{#N/A,#N/A,FALSE,"Annual Summary";#N/A,#N/A,FALSE,"Hourly Summary";#N/A,#N/A,FALSE,"Flare Combustion";#N/A,#N/A,FALSE,"Shipping";#N/A,#N/A,FALSE,"Process Turnaround";#N/A,#N/A,FALSE,"Lab Samples";#N/A,#N/A,FALSE,"Product Cycles 5-4";#N/A,#N/A,FALSE,"5-4.1";#N/A,#N/A,FALSE,"5-4.2";#N/A,#N/A,FALSE,"Physical Prop Data"}</definedName>
    <definedName name="_EPN28" localSheetId="7"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_EPN28"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_xlchart.v1.0" hidden="1">'Tables &amp; Graphs'!$H$333:$O$333</definedName>
    <definedName name="_xlchart.v1.1" hidden="1">'Tables &amp; Graphs'!$H$337:$O$337</definedName>
    <definedName name="_xlchart.v1.10" hidden="1">'Tables &amp; Graphs'!$H$333:$O$333</definedName>
    <definedName name="_xlchart.v1.11" hidden="1">'Tables &amp; Graphs'!$H$335:$O$335</definedName>
    <definedName name="_xlchart.v1.12" hidden="1">'Tables &amp; Graphs'!$H$333:$O$333</definedName>
    <definedName name="_xlchart.v1.13" hidden="1">'Tables &amp; Graphs'!$H$334:$O$334</definedName>
    <definedName name="_xlchart.v1.14" hidden="1">'Tables &amp; Graphs'!$H$333:$O$333</definedName>
    <definedName name="_xlchart.v1.15" hidden="1">'Tables &amp; Graphs'!$H$343:$O$343</definedName>
    <definedName name="_xlchart.v1.16" hidden="1">'Tables &amp; Graphs'!$H$333:$O$333</definedName>
    <definedName name="_xlchart.v1.17" hidden="1">'Tables &amp; Graphs'!$H$344:$O$344</definedName>
    <definedName name="_xlchart.v1.18" hidden="1">'Tables &amp; Graphs'!$H$339:$O$339</definedName>
    <definedName name="_xlchart.v1.19" hidden="1">'Tables &amp; Graphs'!$H$333:$O$333</definedName>
    <definedName name="_xlchart.v1.2" hidden="1">'Tables &amp; Graphs'!$H$333:$O$333</definedName>
    <definedName name="_xlchart.v1.20" hidden="1">'Tables &amp; Graphs'!$H$349:$O$349</definedName>
    <definedName name="_xlchart.v1.21" hidden="1">'Tables &amp; Graphs'!$H$333:$O$333</definedName>
    <definedName name="_xlchart.v1.22" hidden="1">'Tables &amp; Graphs'!$H$345:$O$345</definedName>
    <definedName name="_xlchart.v1.23" hidden="1">'Tables &amp; Graphs'!$H$338:$O$338</definedName>
    <definedName name="_xlchart.v1.24" hidden="1">'Tables &amp; Graphs'!$H$333:$O$333</definedName>
    <definedName name="_xlchart.v1.25" hidden="1">'Tables &amp; Graphs'!$H$347:$O$347</definedName>
    <definedName name="_xlchart.v1.26" hidden="1">'Tables &amp; Graphs'!$H$333:$O$333</definedName>
    <definedName name="_xlchart.v1.27" hidden="1">'Tables &amp; Graphs'!$H$348:$O$348</definedName>
    <definedName name="_xlchart.v1.28" hidden="1">'Tables &amp; Graphs'!$H$333:$O$333</definedName>
    <definedName name="_xlchart.v1.29" hidden="1">'Tables &amp; Graphs'!$H$346:$O$346</definedName>
    <definedName name="_xlchart.v1.3" hidden="1">'Tables &amp; Graphs'!$H$340:$O$340</definedName>
    <definedName name="_xlchart.v1.30" hidden="1">'Carbon Footprints'!$E$50:$E$61</definedName>
    <definedName name="_xlchart.v1.31" hidden="1">'Carbon Footprints'!$M$50:$M$61</definedName>
    <definedName name="_xlchart.v1.32" hidden="1">'Carbon Footprints'!$E$50:$E$61</definedName>
    <definedName name="_xlchart.v1.33" hidden="1">'Carbon Footprints'!$M$50:$M$61</definedName>
    <definedName name="_xlchart.v1.34" hidden="1">'Carbon Footprints'!$E$157:$E$170</definedName>
    <definedName name="_xlchart.v1.35" hidden="1">'Carbon Footprints'!$M$157:$M$170</definedName>
    <definedName name="_xlchart.v1.36" hidden="1">'Carbon Footprints'!$E$275:$E$290</definedName>
    <definedName name="_xlchart.v1.37" hidden="1">'Carbon Footprints'!$M$275:$M$290</definedName>
    <definedName name="_xlchart.v1.38" hidden="1">'Carbon Footprints'!$E$534:$E$555</definedName>
    <definedName name="_xlchart.v1.39" hidden="1">'Carbon Footprints'!$M$534:$M$555</definedName>
    <definedName name="_xlchart.v1.4" hidden="1">'Tables &amp; Graphs'!$H$333:$O$333</definedName>
    <definedName name="_xlchart.v1.40" hidden="1">'Carbon Footprints'!$E$481:$E$497</definedName>
    <definedName name="_xlchart.v1.41" hidden="1">'Carbon Footprints'!$M$481:$M$497</definedName>
    <definedName name="_xlchart.v1.42" hidden="1">'Carbon Footprints'!$E$588:$E$607</definedName>
    <definedName name="_xlchart.v1.43" hidden="1">'Carbon Footprints'!$M$588:$M$607</definedName>
    <definedName name="_xlchart.v1.44" hidden="1">'Carbon Footprints'!$E$642:$E$664</definedName>
    <definedName name="_xlchart.v1.45" hidden="1">'Carbon Footprints'!$M$642:$M$664</definedName>
    <definedName name="_xlchart.v1.46" hidden="1">'Carbon Footprints'!$E$756:$E$778</definedName>
    <definedName name="_xlchart.v1.47" hidden="1">'Carbon Footprints'!$M$756:$M$778</definedName>
    <definedName name="_xlchart.v1.48" hidden="1">'Carbon Footprints'!$E$328:$E$341</definedName>
    <definedName name="_xlchart.v1.49" hidden="1">'Carbon Footprints'!$M$328:$M$341</definedName>
    <definedName name="_xlchart.v1.5" hidden="1">'Tables &amp; Graphs'!$H$341:$O$341</definedName>
    <definedName name="_xlchart.v1.50" hidden="1">'Carbon Footprints'!$E$21:$E$35</definedName>
    <definedName name="_xlchart.v1.51" hidden="1">'Carbon Footprints'!$F$21:$F$35</definedName>
    <definedName name="_xlchart.v1.52" hidden="1">'Carbon Footprints'!$E$103:$E$115</definedName>
    <definedName name="_xlchart.v1.53" hidden="1">'Carbon Footprints'!$M$103:$M$115</definedName>
    <definedName name="_xlchart.v1.54" hidden="1">'Carbon Footprints'!$E$809:$E$829</definedName>
    <definedName name="_xlchart.v1.55" hidden="1">'Carbon Footprints'!$M$809:$M$829</definedName>
    <definedName name="_xlchart.v1.56" hidden="1">'Carbon Footprints'!$E$863:$E$884</definedName>
    <definedName name="_xlchart.v1.57" hidden="1">'Carbon Footprints'!$M$863:$M$884</definedName>
    <definedName name="_xlchart.v1.58" hidden="1">'Carbon Footprints'!$E$917:$E$933</definedName>
    <definedName name="_xlchart.v1.59" hidden="1">'Carbon Footprints'!$M$917:$M$933</definedName>
    <definedName name="_xlchart.v1.6" hidden="1">'Tables &amp; Graphs'!$H$333:$O$333</definedName>
    <definedName name="_xlchart.v1.60" hidden="1">'Carbon Footprints'!$D$21:$D$35</definedName>
    <definedName name="_xlchart.v1.61" hidden="1">'Carbon Footprints'!$F$21:$F$35</definedName>
    <definedName name="_xlchart.v1.62" hidden="1">'Carbon Footprints'!$E$381:$E$395</definedName>
    <definedName name="_xlchart.v1.63" hidden="1">'Carbon Footprints'!$M$381:$M$395</definedName>
    <definedName name="_xlchart.v1.64" hidden="1">'Carbon Footprints'!$E$971:$E$988</definedName>
    <definedName name="_xlchart.v1.65" hidden="1">'Carbon Footprints'!$M$971:$M$988</definedName>
    <definedName name="_xlchart.v1.66" hidden="1">'Carbon Footprints'!$E$328:$E$341</definedName>
    <definedName name="_xlchart.v1.67" hidden="1">'Carbon Footprints'!$M$328:$M$341</definedName>
    <definedName name="_xlchart.v1.68" hidden="1">'Carbon Footprints'!$E$809:$E$829</definedName>
    <definedName name="_xlchart.v1.69" hidden="1">'Carbon Footprints'!$M$809:$M$829</definedName>
    <definedName name="_xlchart.v1.7" hidden="1">'Tables &amp; Graphs'!$H$336:$O$336</definedName>
    <definedName name="_xlchart.v1.70" hidden="1">'Carbon Footprints'!$E$917:$E$933</definedName>
    <definedName name="_xlchart.v1.71" hidden="1">'Carbon Footprints'!$M$917:$M$933</definedName>
    <definedName name="_xlchart.v1.72" hidden="1">'Carbon Footprints'!$E$481:$E$497</definedName>
    <definedName name="_xlchart.v1.73" hidden="1">'Carbon Footprints'!$M$481:$M$497</definedName>
    <definedName name="_xlchart.v1.74" hidden="1">'Carbon Footprints'!$E$971:$E$988</definedName>
    <definedName name="_xlchart.v1.75" hidden="1">'Carbon Footprints'!$M$971:$M$988</definedName>
    <definedName name="_xlchart.v1.76" hidden="1">'Carbon Footprints'!$E$103:$E$115</definedName>
    <definedName name="_xlchart.v1.77" hidden="1">'Carbon Footprints'!$M$103:$M$115</definedName>
    <definedName name="_xlchart.v1.78" hidden="1">'Carbon Footprints'!$E$157:$E$170</definedName>
    <definedName name="_xlchart.v1.79" hidden="1">'Carbon Footprints'!$M$157:$M$170</definedName>
    <definedName name="_xlchart.v1.8" hidden="1">'Tables &amp; Graphs'!$H$333:$O$333</definedName>
    <definedName name="_xlchart.v1.80" hidden="1">'Carbon Footprints'!$E$642:$E$664</definedName>
    <definedName name="_xlchart.v1.81" hidden="1">'Carbon Footprints'!$M$642:$M$664</definedName>
    <definedName name="_xlchart.v1.82" hidden="1">'Carbon Footprints'!$E$863:$E$884</definedName>
    <definedName name="_xlchart.v1.83" hidden="1">'Carbon Footprints'!$M$863:$M$884</definedName>
    <definedName name="_xlchart.v1.84" hidden="1">'Carbon Footprints'!$E$381:$E$395</definedName>
    <definedName name="_xlchart.v1.85" hidden="1">'Carbon Footprints'!$M$381:$M$395</definedName>
    <definedName name="_xlchart.v1.86" hidden="1">'Carbon Footprints'!$E$756:$E$778</definedName>
    <definedName name="_xlchart.v1.87" hidden="1">'Carbon Footprints'!$M$756:$M$778</definedName>
    <definedName name="_xlchart.v1.88" hidden="1">'Carbon Footprints'!$E$588:$E$607</definedName>
    <definedName name="_xlchart.v1.89" hidden="1">'Carbon Footprints'!$M$588:$M$607</definedName>
    <definedName name="_xlchart.v1.9" hidden="1">'Tables &amp; Graphs'!$H$342:$O$342</definedName>
    <definedName name="_xlchart.v1.90" hidden="1">'Carbon Footprints'!$E$534:$E$555</definedName>
    <definedName name="_xlchart.v1.91" hidden="1">'Carbon Footprints'!$M$534:$M$555</definedName>
    <definedName name="_xlchart.v1.92" hidden="1">'Carbon Footprints'!$E$275:$E$290</definedName>
    <definedName name="_xlchart.v1.93" hidden="1">'Carbon Footprints'!$M$275:$M$290</definedName>
    <definedName name="a" localSheetId="7" hidden="1">{#N/A,#N/A,FALSE,"Annual Summary";#N/A,#N/A,FALSE,"Hourly Summary";#N/A,#N/A,FALSE,"Flare Combustion";#N/A,#N/A,FALSE,"Shipping";#N/A,#N/A,FALSE,"Process Turnaround";#N/A,#N/A,FALSE,"Lab Samples";#N/A,#N/A,FALSE,"Product Cycles 5-4";#N/A,#N/A,FALSE,"5-4.1";#N/A,#N/A,FALSE,"5-4.2";#N/A,#N/A,FALSE,"Physical Prop Data"}</definedName>
    <definedName name="a" hidden="1">{#N/A,#N/A,FALSE,"Annual Summary";#N/A,#N/A,FALSE,"Hourly Summary";#N/A,#N/A,FALSE,"Flare Combustion";#N/A,#N/A,FALSE,"Shipping";#N/A,#N/A,FALSE,"Process Turnaround";#N/A,#N/A,FALSE,"Lab Samples";#N/A,#N/A,FALSE,"Product Cycles 5-4";#N/A,#N/A,FALSE,"5-4.1";#N/A,#N/A,FALSE,"5-4.2";#N/A,#N/A,FALSE,"Physical Prop Data"}</definedName>
    <definedName name="A16BLA3Ar" localSheetId="7"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A16BLA3Ar"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abc" localSheetId="7" hidden="1">{#N/A,#N/A,FALSE,"Annual Summary";#N/A,#N/A,FALSE,"Hourly Summary";#N/A,#N/A,FALSE,"Flare Combustion";#N/A,#N/A,FALSE,"Shipping";#N/A,#N/A,FALSE,"Process Turnaround";#N/A,#N/A,FALSE,"Lab Samples";#N/A,#N/A,FALSE,"Product Cycles 5-4";#N/A,#N/A,FALSE,"5-4.1";#N/A,#N/A,FALSE,"5-4.2";#N/A,#N/A,FALSE,"Physical Prop Data"}</definedName>
    <definedName name="abc" hidden="1">{#N/A,#N/A,FALSE,"Annual Summary";#N/A,#N/A,FALSE,"Hourly Summary";#N/A,#N/A,FALSE,"Flare Combustion";#N/A,#N/A,FALSE,"Shipping";#N/A,#N/A,FALSE,"Process Turnaround";#N/A,#N/A,FALSE,"Lab Samples";#N/A,#N/A,FALSE,"Product Cycles 5-4";#N/A,#N/A,FALSE,"5-4.1";#N/A,#N/A,FALSE,"5-4.2";#N/A,#N/A,FALSE,"Physical Prop Data"}</definedName>
    <definedName name="AnnualSummary" localSheetId="7" hidden="1">{#N/A,#N/A,FALSE,"Annual Summary";#N/A,#N/A,FALSE,"Hourly Summary";#N/A,#N/A,FALSE,"Flare Combustion";#N/A,#N/A,FALSE,"Shipping";#N/A,#N/A,FALSE,"Process Turnaround";#N/A,#N/A,FALSE,"Lab Samples";#N/A,#N/A,FALSE,"Product Cycles 5-4";#N/A,#N/A,FALSE,"5-4.1";#N/A,#N/A,FALSE,"5-4.2";#N/A,#N/A,FALSE,"Physical Prop Data"}</definedName>
    <definedName name="AnnualSummary" hidden="1">{#N/A,#N/A,FALSE,"Annual Summary";#N/A,#N/A,FALSE,"Hourly Summary";#N/A,#N/A,FALSE,"Flare Combustion";#N/A,#N/A,FALSE,"Shipping";#N/A,#N/A,FALSE,"Process Turnaround";#N/A,#N/A,FALSE,"Lab Samples";#N/A,#N/A,FALSE,"Product Cycles 5-4";#N/A,#N/A,FALSE,"5-4.1";#N/A,#N/A,FALSE,"5-4.2";#N/A,#N/A,FALSE,"Physical Prop Data"}</definedName>
    <definedName name="api" localSheetId="7" hidden="1">{#N/A,#N/A,FALSE,"Annual Summary";#N/A,#N/A,FALSE,"Hourly Summary";#N/A,#N/A,FALSE,"Flare Combustion";#N/A,#N/A,FALSE,"Shipping";#N/A,#N/A,FALSE,"Process Turnaround";#N/A,#N/A,FALSE,"Lab Samples";#N/A,#N/A,FALSE,"Product Cycles 5-4";#N/A,#N/A,FALSE,"5-4.1";#N/A,#N/A,FALSE,"5-4.2";#N/A,#N/A,FALSE,"Physical Prop Data"}</definedName>
    <definedName name="api" hidden="1">{#N/A,#N/A,FALSE,"Annual Summary";#N/A,#N/A,FALSE,"Hourly Summary";#N/A,#N/A,FALSE,"Flare Combustion";#N/A,#N/A,FALSE,"Shipping";#N/A,#N/A,FALSE,"Process Turnaround";#N/A,#N/A,FALSE,"Lab Samples";#N/A,#N/A,FALSE,"Product Cycles 5-4";#N/A,#N/A,FALSE,"5-4.1";#N/A,#N/A,FALSE,"5-4.2";#N/A,#N/A,FALSE,"Physical Prop Data"}</definedName>
    <definedName name="asdasdas" localSheetId="7" hidden="1">{#N/A,#N/A,FALSE,"Annual Summary";#N/A,#N/A,FALSE,"Hourly Summary";#N/A,#N/A,FALSE,"Flare Combustion";#N/A,#N/A,FALSE,"Shipping";#N/A,#N/A,FALSE,"Process Turnaround";#N/A,#N/A,FALSE,"Lab Samples";#N/A,#N/A,FALSE,"Product Cycles 5-4";#N/A,#N/A,FALSE,"5-4.1";#N/A,#N/A,FALSE,"5-4.2";#N/A,#N/A,FALSE,"Physical Prop Data"}</definedName>
    <definedName name="asdasdas" hidden="1">{#N/A,#N/A,FALSE,"Annual Summary";#N/A,#N/A,FALSE,"Hourly Summary";#N/A,#N/A,FALSE,"Flare Combustion";#N/A,#N/A,FALSE,"Shipping";#N/A,#N/A,FALSE,"Process Turnaround";#N/A,#N/A,FALSE,"Lab Samples";#N/A,#N/A,FALSE,"Product Cycles 5-4";#N/A,#N/A,FALSE,"5-4.1";#N/A,#N/A,FALSE,"5-4.2";#N/A,#N/A,FALSE,"Physical Prop Data"}</definedName>
    <definedName name="asdf" localSheetId="7" hidden="1">{#N/A,#N/A,FALSE,"Annual Summary";#N/A,#N/A,FALSE,"Hourly Summary";#N/A,#N/A,FALSE,"Flare Combustion";#N/A,#N/A,FALSE,"Shipping";#N/A,#N/A,FALSE,"Process Turnaround";#N/A,#N/A,FALSE,"Lab Samples";#N/A,#N/A,FALSE,"Product Cycles 5-4";#N/A,#N/A,FALSE,"5-4.1";#N/A,#N/A,FALSE,"5-4.2";#N/A,#N/A,FALSE,"Physical Prop Data"}</definedName>
    <definedName name="asdf" hidden="1">{#N/A,#N/A,FALSE,"Annual Summary";#N/A,#N/A,FALSE,"Hourly Summary";#N/A,#N/A,FALSE,"Flare Combustion";#N/A,#N/A,FALSE,"Shipping";#N/A,#N/A,FALSE,"Process Turnaround";#N/A,#N/A,FALSE,"Lab Samples";#N/A,#N/A,FALSE,"Product Cycles 5-4";#N/A,#N/A,FALSE,"5-4.1";#N/A,#N/A,FALSE,"5-4.2";#N/A,#N/A,FALSE,"Physical Prop Data"}</definedName>
    <definedName name="ass" localSheetId="7" hidden="1">{#N/A,#N/A,FALSE,"Annual Summary";#N/A,#N/A,FALSE,"Hourly Summary";#N/A,#N/A,FALSE,"Flare Combustion";#N/A,#N/A,FALSE,"Shipping";#N/A,#N/A,FALSE,"Process Turnaround";#N/A,#N/A,FALSE,"Lab Samples";#N/A,#N/A,FALSE,"Product Cycles 5-4";#N/A,#N/A,FALSE,"5-4.1";#N/A,#N/A,FALSE,"5-4.2";#N/A,#N/A,FALSE,"Physical Prop Data"}</definedName>
    <definedName name="ass" hidden="1">{#N/A,#N/A,FALSE,"Annual Summary";#N/A,#N/A,FALSE,"Hourly Summary";#N/A,#N/A,FALSE,"Flare Combustion";#N/A,#N/A,FALSE,"Shipping";#N/A,#N/A,FALSE,"Process Turnaround";#N/A,#N/A,FALSE,"Lab Samples";#N/A,#N/A,FALSE,"Product Cycles 5-4";#N/A,#N/A,FALSE,"5-4.1";#N/A,#N/A,FALSE,"5-4.2";#N/A,#N/A,FALSE,"Physical Prop Data"}</definedName>
    <definedName name="B" localSheetId="7" hidden="1">{#N/A,#N/A,FALSE,"Annual Summary";#N/A,#N/A,FALSE,"Hourly Summary";#N/A,#N/A,FALSE,"Flare Combustion";#N/A,#N/A,FALSE,"Shipping";#N/A,#N/A,FALSE,"Process Turnaround";#N/A,#N/A,FALSE,"Lab Samples";#N/A,#N/A,FALSE,"Product Cycles 5-4";#N/A,#N/A,FALSE,"5-4.1";#N/A,#N/A,FALSE,"5-4.2";#N/A,#N/A,FALSE,"Physical Prop Data"}</definedName>
    <definedName name="B" hidden="1">{#N/A,#N/A,FALSE,"Annual Summary";#N/A,#N/A,FALSE,"Hourly Summary";#N/A,#N/A,FALSE,"Flare Combustion";#N/A,#N/A,FALSE,"Shipping";#N/A,#N/A,FALSE,"Process Turnaround";#N/A,#N/A,FALSE,"Lab Samples";#N/A,#N/A,FALSE,"Product Cycles 5-4";#N/A,#N/A,FALSE,"5-4.1";#N/A,#N/A,FALSE,"5-4.2";#N/A,#N/A,FALSE,"Physical Prop Data"}</definedName>
    <definedName name="d" localSheetId="7" hidden="1">{#N/A,#N/A,FALSE,"Annual Summary";#N/A,#N/A,FALSE,"Hourly Summary";#N/A,#N/A,FALSE,"Flare Combustion";#N/A,#N/A,FALSE,"Shipping";#N/A,#N/A,FALSE,"Process Turnaround";#N/A,#N/A,FALSE,"Lab Samples";#N/A,#N/A,FALSE,"Product Cycles 5-4";#N/A,#N/A,FALSE,"5-4.1";#N/A,#N/A,FALSE,"5-4.2";#N/A,#N/A,FALSE,"Physical Prop Data"}</definedName>
    <definedName name="d" hidden="1">{#N/A,#N/A,FALSE,"Annual Summary";#N/A,#N/A,FALSE,"Hourly Summary";#N/A,#N/A,FALSE,"Flare Combustion";#N/A,#N/A,FALSE,"Shipping";#N/A,#N/A,FALSE,"Process Turnaround";#N/A,#N/A,FALSE,"Lab Samples";#N/A,#N/A,FALSE,"Product Cycles 5-4";#N/A,#N/A,FALSE,"5-4.1";#N/A,#N/A,FALSE,"5-4.2";#N/A,#N/A,FALSE,"Physical Prop Data"}</definedName>
    <definedName name="df" localSheetId="7" hidden="1">{#N/A,#N/A,FALSE,"Annual Summary";#N/A,#N/A,FALSE,"Hourly Summary";#N/A,#N/A,FALSE,"Flare Combustion";#N/A,#N/A,FALSE,"Shipping";#N/A,#N/A,FALSE,"Process Turnaround";#N/A,#N/A,FALSE,"Lab Samples";#N/A,#N/A,FALSE,"Product Cycles 5-4";#N/A,#N/A,FALSE,"5-4.1";#N/A,#N/A,FALSE,"5-4.2";#N/A,#N/A,FALSE,"Physical Prop Data"}</definedName>
    <definedName name="df" hidden="1">{#N/A,#N/A,FALSE,"Annual Summary";#N/A,#N/A,FALSE,"Hourly Summary";#N/A,#N/A,FALSE,"Flare Combustion";#N/A,#N/A,FALSE,"Shipping";#N/A,#N/A,FALSE,"Process Turnaround";#N/A,#N/A,FALSE,"Lab Samples";#N/A,#N/A,FALSE,"Product Cycles 5-4";#N/A,#N/A,FALSE,"5-4.1";#N/A,#N/A,FALSE,"5-4.2";#N/A,#N/A,FALSE,"Physical Prop Data"}</definedName>
    <definedName name="e" localSheetId="7" hidden="1">{#N/A,#N/A,FALSE,"Annual Summary";#N/A,#N/A,FALSE,"Hourly Summary";#N/A,#N/A,FALSE,"Flare Combustion";#N/A,#N/A,FALSE,"Shipping";#N/A,#N/A,FALSE,"Process Turnaround";#N/A,#N/A,FALSE,"Lab Samples";#N/A,#N/A,FALSE,"Product Cycles 5-4";#N/A,#N/A,FALSE,"5-4.1";#N/A,#N/A,FALSE,"5-4.2";#N/A,#N/A,FALSE,"Physical Prop Data"}</definedName>
    <definedName name="e" hidden="1">{#N/A,#N/A,FALSE,"Annual Summary";#N/A,#N/A,FALSE,"Hourly Summary";#N/A,#N/A,FALSE,"Flare Combustion";#N/A,#N/A,FALSE,"Shipping";#N/A,#N/A,FALSE,"Process Turnaround";#N/A,#N/A,FALSE,"Lab Samples";#N/A,#N/A,FALSE,"Product Cycles 5-4";#N/A,#N/A,FALSE,"5-4.1";#N/A,#N/A,FALSE,"5-4.2";#N/A,#N/A,FALSE,"Physical Prop Data"}</definedName>
    <definedName name="ioioi" localSheetId="7" hidden="1">{#N/A,#N/A,FALSE,"Annual Summary";#N/A,#N/A,FALSE,"Hourly Summary";#N/A,#N/A,FALSE,"Flare Combustion";#N/A,#N/A,FALSE,"Shipping";#N/A,#N/A,FALSE,"Process Turnaround";#N/A,#N/A,FALSE,"Lab Samples";#N/A,#N/A,FALSE,"Product Cycles 5-4";#N/A,#N/A,FALSE,"5-4.1";#N/A,#N/A,FALSE,"5-4.2";#N/A,#N/A,FALSE,"Physical Prop Data"}</definedName>
    <definedName name="ioioi" hidden="1">{#N/A,#N/A,FALSE,"Annual Summary";#N/A,#N/A,FALSE,"Hourly Summary";#N/A,#N/A,FALSE,"Flare Combustion";#N/A,#N/A,FALSE,"Shipping";#N/A,#N/A,FALSE,"Process Turnaround";#N/A,#N/A,FALSE,"Lab Samples";#N/A,#N/A,FALSE,"Product Cycles 5-4";#N/A,#N/A,FALSE,"5-4.1";#N/A,#N/A,FALSE,"5-4.2";#N/A,#N/A,FALSE,"Physical Prop Data"}</definedName>
    <definedName name="jk" localSheetId="7" hidden="1">{#N/A,#N/A,FALSE,"Annual Summary";#N/A,#N/A,FALSE,"Hourly Summary";#N/A,#N/A,FALSE,"Flare Combustion";#N/A,#N/A,FALSE,"Shipping";#N/A,#N/A,FALSE,"Process Turnaround";#N/A,#N/A,FALSE,"Lab Samples";#N/A,#N/A,FALSE,"Product Cycles 5-4";#N/A,#N/A,FALSE,"5-4.1";#N/A,#N/A,FALSE,"5-4.2";#N/A,#N/A,FALSE,"Physical Prop Data"}</definedName>
    <definedName name="jk" hidden="1">{#N/A,#N/A,FALSE,"Annual Summary";#N/A,#N/A,FALSE,"Hourly Summary";#N/A,#N/A,FALSE,"Flare Combustion";#N/A,#N/A,FALSE,"Shipping";#N/A,#N/A,FALSE,"Process Turnaround";#N/A,#N/A,FALSE,"Lab Samples";#N/A,#N/A,FALSE,"Product Cycles 5-4";#N/A,#N/A,FALSE,"5-4.1";#N/A,#N/A,FALSE,"5-4.2";#N/A,#N/A,FALSE,"Physical Prop Data"}</definedName>
    <definedName name="kok" localSheetId="7" hidden="1">{#N/A,#N/A,FALSE,"Annual Summary";#N/A,#N/A,FALSE,"Hourly Summary";#N/A,#N/A,FALSE,"Flare Combustion";#N/A,#N/A,FALSE,"Shipping";#N/A,#N/A,FALSE,"Process Turnaround";#N/A,#N/A,FALSE,"Lab Samples";#N/A,#N/A,FALSE,"Product Cycles 5-4";#N/A,#N/A,FALSE,"5-4.1";#N/A,#N/A,FALSE,"5-4.2";#N/A,#N/A,FALSE,"Physical Prop Data"}</definedName>
    <definedName name="kok" hidden="1">{#N/A,#N/A,FALSE,"Annual Summary";#N/A,#N/A,FALSE,"Hourly Summary";#N/A,#N/A,FALSE,"Flare Combustion";#N/A,#N/A,FALSE,"Shipping";#N/A,#N/A,FALSE,"Process Turnaround";#N/A,#N/A,FALSE,"Lab Samples";#N/A,#N/A,FALSE,"Product Cycles 5-4";#N/A,#N/A,FALSE,"5-4.1";#N/A,#N/A,FALSE,"5-4.2";#N/A,#N/A,FALSE,"Physical Prop Data"}</definedName>
    <definedName name="kysif" localSheetId="7"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kysif"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leah" localSheetId="7" hidden="1">{#N/A,#N/A,FALSE,"Annual Summary";#N/A,#N/A,FALSE,"Hourly Summary";#N/A,#N/A,FALSE,"Flare Combustion";#N/A,#N/A,FALSE,"Shipping";#N/A,#N/A,FALSE,"Process Turnaround";#N/A,#N/A,FALSE,"Lab Samples";#N/A,#N/A,FALSE,"Product Cycles 5-4";#N/A,#N/A,FALSE,"5-4.1";#N/A,#N/A,FALSE,"5-4.2";#N/A,#N/A,FALSE,"Physical Prop Data"}</definedName>
    <definedName name="leah" hidden="1">{#N/A,#N/A,FALSE,"Annual Summary";#N/A,#N/A,FALSE,"Hourly Summary";#N/A,#N/A,FALSE,"Flare Combustion";#N/A,#N/A,FALSE,"Shipping";#N/A,#N/A,FALSE,"Process Turnaround";#N/A,#N/A,FALSE,"Lab Samples";#N/A,#N/A,FALSE,"Product Cycles 5-4";#N/A,#N/A,FALSE,"5-4.1";#N/A,#N/A,FALSE,"5-4.2";#N/A,#N/A,FALSE,"Physical Prop Data"}</definedName>
    <definedName name="ptemax" localSheetId="7" hidden="1">{#N/A,#N/A,FALSE,"Summary";#N/A,#N/A,FALSE,"Fixed (94)";#N/A,#N/A,FALSE,"fixed (P)";#N/A,#N/A,FALSE,"ExtFloat(94)";#N/A,#N/A,FALSE,"ExtFloat(P)";#N/A,#N/A,FALSE,"IntFloat(94)";#N/A,#N/A,FALSE,"IntFloat(P)";#N/A,#N/A,FALSE,"LD(94)";#N/A,#N/A,FALSE,"LD(P)";#N/A,#N/A,FALSE,"Fugitives";#N/A,#N/A,FALSE,"Speciate (94)";#N/A,#N/A,FALSE,"Speciate (P)"}</definedName>
    <definedName name="ptemax" hidden="1">{#N/A,#N/A,FALSE,"Summary";#N/A,#N/A,FALSE,"Fixed (94)";#N/A,#N/A,FALSE,"fixed (P)";#N/A,#N/A,FALSE,"ExtFloat(94)";#N/A,#N/A,FALSE,"ExtFloat(P)";#N/A,#N/A,FALSE,"IntFloat(94)";#N/A,#N/A,FALSE,"IntFloat(P)";#N/A,#N/A,FALSE,"LD(94)";#N/A,#N/A,FALSE,"LD(P)";#N/A,#N/A,FALSE,"Fugitives";#N/A,#N/A,FALSE,"Speciate (94)";#N/A,#N/A,FALSE,"Speciate (P)"}</definedName>
    <definedName name="test" localSheetId="7" hidden="1">{#N/A,#N/A,TRUE,"EPN 500";#N/A,#N/A,TRUE,"EPN 505 (Trains I-III Stippers)";#N/A,#N/A,TRUE,"EPN 505 (Trains I-III Dryers)";#N/A,#N/A,TRUE,"EPN 505 (Tr I-III Water Wash)";#N/A,#N/A,TRUE,"EPN 505 (Train IV)";#N/A,#N/A,TRUE,"EPN 505 Summary";#N/A,#N/A,TRUE,"EPN 514";#N/A,#N/A,TRUE,"EPN 517";#N/A,#N/A,TRUE,"EPN 518";#N/A,#N/A,TRUE,"EPN 520";#N/A,#N/A,TRUE,"EPN 523";#N/A,#N/A,TRUE,"EPN 524 Summary";#N/A,#N/A,TRUE,"EPN 525 &amp; 526";#N/A,#N/A,TRUE,"EPN 534";#N/A,#N/A,TRUE,"EPN 536 Summary";#N/A,#N/A,TRUE,"EPN 538";#N/A,#N/A,TRUE,"EPN 605";#N/A,#N/A,TRUE,"EPN 606";#N/A,#N/A,TRUE,"EPN's 607, 608, 609, 610, 611";#N/A,#N/A,TRUE,"EPN 612";#N/A,#N/A,TRUE,"EPN 900"}</definedName>
    <definedName name="test" hidden="1">{#N/A,#N/A,TRUE,"EPN 500";#N/A,#N/A,TRUE,"EPN 505 (Trains I-III Stippers)";#N/A,#N/A,TRUE,"EPN 505 (Trains I-III Dryers)";#N/A,#N/A,TRUE,"EPN 505 (Tr I-III Water Wash)";#N/A,#N/A,TRUE,"EPN 505 (Train IV)";#N/A,#N/A,TRUE,"EPN 505 Summary";#N/A,#N/A,TRUE,"EPN 514";#N/A,#N/A,TRUE,"EPN 517";#N/A,#N/A,TRUE,"EPN 518";#N/A,#N/A,TRUE,"EPN 520";#N/A,#N/A,TRUE,"EPN 523";#N/A,#N/A,TRUE,"EPN 524 Summary";#N/A,#N/A,TRUE,"EPN 525 &amp; 526";#N/A,#N/A,TRUE,"EPN 534";#N/A,#N/A,TRUE,"EPN 536 Summary";#N/A,#N/A,TRUE,"EPN 538";#N/A,#N/A,TRUE,"EPN 605";#N/A,#N/A,TRUE,"EPN 606";#N/A,#N/A,TRUE,"EPN's 607, 608, 609, 610, 611";#N/A,#N/A,TRUE,"EPN 612";#N/A,#N/A,TRUE,"EPN 900"}</definedName>
    <definedName name="wrn.1996._.Emission._.Inventory." localSheetId="7"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wrn.1996._.Emission._.Inventory." hidden="1">{#N/A,#N/A,FALSE,"Summary";#N/A,#N/A,FALSE,"Production";#N/A,#N/A,FALSE,"Boiler";#N/A,#N/A,FALSE,"RTO";#N/A,#N/A,FALSE,"Dryers";#N/A,#N/A,FALSE,"Presses";#N/A,#N/A,FALSE,"Kilns";#N/A,#N/A,FALSE,"Cyclones";#N/A,#N/A,FALSE,"Storage Area Fu";#N/A,#N/A,FALSE,"Proc TSP Fug";#N/A,#N/A,FALSE,"Load Fug";#N/A,#N/A,FALSE,"VOC Fug";#N/A,#N/A,FALSE,"Storage Tanks";#N/A,#N/A,FALSE,"Road Fugitives"}</definedName>
    <definedName name="wrn.EPNs." localSheetId="7" hidden="1">{#N/A,#N/A,TRUE,"EPN 500";#N/A,#N/A,TRUE,"EPN 505 (Trains I-III Stippers)";#N/A,#N/A,TRUE,"EPN 505 (Trains I-III Dryers)";#N/A,#N/A,TRUE,"EPN 505 (Tr I-III Water Wash)";#N/A,#N/A,TRUE,"EPN 505 (Train IV)";#N/A,#N/A,TRUE,"EPN 505 Summary";#N/A,#N/A,TRUE,"EPN 514";#N/A,#N/A,TRUE,"EPN 517";#N/A,#N/A,TRUE,"EPN 518";#N/A,#N/A,TRUE,"EPN 520";#N/A,#N/A,TRUE,"EPN 523";#N/A,#N/A,TRUE,"EPN 524 Summary";#N/A,#N/A,TRUE,"EPN 525 &amp; 526";#N/A,#N/A,TRUE,"EPN 534";#N/A,#N/A,TRUE,"EPN 536 Summary";#N/A,#N/A,TRUE,"EPN 538";#N/A,#N/A,TRUE,"EPN 605";#N/A,#N/A,TRUE,"EPN 606";#N/A,#N/A,TRUE,"EPN's 607, 608, 609, 610, 611";#N/A,#N/A,TRUE,"EPN 612";#N/A,#N/A,TRUE,"EPN 900"}</definedName>
    <definedName name="wrn.EPNs." hidden="1">{#N/A,#N/A,TRUE,"EPN 500";#N/A,#N/A,TRUE,"EPN 505 (Trains I-III Stippers)";#N/A,#N/A,TRUE,"EPN 505 (Trains I-III Dryers)";#N/A,#N/A,TRUE,"EPN 505 (Tr I-III Water Wash)";#N/A,#N/A,TRUE,"EPN 505 (Train IV)";#N/A,#N/A,TRUE,"EPN 505 Summary";#N/A,#N/A,TRUE,"EPN 514";#N/A,#N/A,TRUE,"EPN 517";#N/A,#N/A,TRUE,"EPN 518";#N/A,#N/A,TRUE,"EPN 520";#N/A,#N/A,TRUE,"EPN 523";#N/A,#N/A,TRUE,"EPN 524 Summary";#N/A,#N/A,TRUE,"EPN 525 &amp; 526";#N/A,#N/A,TRUE,"EPN 534";#N/A,#N/A,TRUE,"EPN 536 Summary";#N/A,#N/A,TRUE,"EPN 538";#N/A,#N/A,TRUE,"EPN 605";#N/A,#N/A,TRUE,"EPN 606";#N/A,#N/A,TRUE,"EPN's 607, 608, 609, 610, 611";#N/A,#N/A,TRUE,"EPN 612";#N/A,#N/A,TRUE,"EPN 900"}</definedName>
    <definedName name="wrn.Flare._.Permit._.Tables." localSheetId="7" hidden="1">{#N/A,#N/A,FALSE,"Annual Summary";#N/A,#N/A,FALSE,"Hourly Summary";#N/A,#N/A,FALSE,"Flare Combustion";#N/A,#N/A,FALSE,"Shipping";#N/A,#N/A,FALSE,"Process Turnaround";#N/A,#N/A,FALSE,"Lab Samples";#N/A,#N/A,FALSE,"Product Cycles 5-4";#N/A,#N/A,FALSE,"5-4.1";#N/A,#N/A,FALSE,"5-4.2";#N/A,#N/A,FALSE,"Physical Prop Data"}</definedName>
    <definedName name="wrn.Flare._.Permit._.Tables." hidden="1">{#N/A,#N/A,FALSE,"Annual Summary";#N/A,#N/A,FALSE,"Hourly Summary";#N/A,#N/A,FALSE,"Flare Combustion";#N/A,#N/A,FALSE,"Shipping";#N/A,#N/A,FALSE,"Process Turnaround";#N/A,#N/A,FALSE,"Lab Samples";#N/A,#N/A,FALSE,"Product Cycles 5-4";#N/A,#N/A,FALSE,"5-4.1";#N/A,#N/A,FALSE,"5-4.2";#N/A,#N/A,FALSE,"Physical Prop Data"}</definedName>
    <definedName name="x" localSheetId="7" hidden="1">{#N/A,#N/A,FALSE,"Summary";#N/A,#N/A,FALSE,"Fixed (94)";#N/A,#N/A,FALSE,"fixed (P)";#N/A,#N/A,FALSE,"ExtFloat(94)";#N/A,#N/A,FALSE,"ExtFloat(P)";#N/A,#N/A,FALSE,"IntFloat(94)";#N/A,#N/A,FALSE,"IntFloat(P)";#N/A,#N/A,FALSE,"LD(94)";#N/A,#N/A,FALSE,"LD(P)";#N/A,#N/A,FALSE,"Fugitives";#N/A,#N/A,FALSE,"Speciate (94)";#N/A,#N/A,FALSE,"Speciate (P)"}</definedName>
    <definedName name="x" hidden="1">{#N/A,#N/A,FALSE,"Summary";#N/A,#N/A,FALSE,"Fixed (94)";#N/A,#N/A,FALSE,"fixed (P)";#N/A,#N/A,FALSE,"ExtFloat(94)";#N/A,#N/A,FALSE,"ExtFloat(P)";#N/A,#N/A,FALSE,"IntFloat(94)";#N/A,#N/A,FALSE,"IntFloat(P)";#N/A,#N/A,FALSE,"LD(94)";#N/A,#N/A,FALSE,"LD(P)";#N/A,#N/A,FALSE,"Fugitives";#N/A,#N/A,FALSE,"Speciate (94)";#N/A,#N/A,FALSE,"Speciate (P)"}</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3" i="9" l="1"/>
  <c r="G106" i="52"/>
  <c r="F106" i="52"/>
  <c r="E106" i="52"/>
  <c r="C106" i="52"/>
  <c r="G95" i="52"/>
  <c r="F95" i="52"/>
  <c r="E95" i="52"/>
  <c r="C95" i="52"/>
  <c r="G70" i="52"/>
  <c r="F70" i="52"/>
  <c r="E70" i="52"/>
  <c r="C70" i="52"/>
  <c r="D49" i="52"/>
  <c r="G93" i="35"/>
  <c r="H92" i="35"/>
  <c r="I92" i="35" s="1"/>
  <c r="D92" i="35"/>
  <c r="B92" i="35"/>
  <c r="H91" i="35"/>
  <c r="I91" i="35" s="1"/>
  <c r="D91" i="35"/>
  <c r="B91" i="35"/>
  <c r="H90" i="35"/>
  <c r="I90" i="35" s="1"/>
  <c r="D90" i="35"/>
  <c r="B90" i="35"/>
  <c r="H89" i="35"/>
  <c r="I89" i="35" s="1"/>
  <c r="D89" i="35"/>
  <c r="B89" i="35"/>
  <c r="H88" i="35"/>
  <c r="I88" i="35" s="1"/>
  <c r="D88" i="35"/>
  <c r="B88" i="35"/>
  <c r="H87" i="35"/>
  <c r="I87" i="35" s="1"/>
  <c r="D87" i="35"/>
  <c r="B87" i="35"/>
  <c r="H86" i="35"/>
  <c r="I86" i="35" s="1"/>
  <c r="D86" i="35"/>
  <c r="B86" i="35"/>
  <c r="H85" i="35"/>
  <c r="I85" i="35" s="1"/>
  <c r="D85" i="35"/>
  <c r="B85" i="35"/>
  <c r="H84" i="35"/>
  <c r="I84" i="35" s="1"/>
  <c r="D84" i="35"/>
  <c r="B84" i="35"/>
  <c r="H83" i="35"/>
  <c r="I83" i="35" s="1"/>
  <c r="D83" i="35"/>
  <c r="B83" i="35"/>
  <c r="H82" i="35"/>
  <c r="I82" i="35" s="1"/>
  <c r="D82" i="35"/>
  <c r="B82" i="35"/>
  <c r="H81" i="35"/>
  <c r="I81" i="35" s="1"/>
  <c r="D81" i="35"/>
  <c r="B81" i="35"/>
  <c r="H80" i="35"/>
  <c r="I80" i="35" s="1"/>
  <c r="D80" i="35"/>
  <c r="B80" i="35"/>
  <c r="H79" i="35"/>
  <c r="I79" i="35" s="1"/>
  <c r="D79" i="35"/>
  <c r="B79" i="35"/>
  <c r="H78" i="35"/>
  <c r="I78" i="35" s="1"/>
  <c r="D78" i="35"/>
  <c r="B78" i="35"/>
  <c r="H77" i="35"/>
  <c r="I77" i="35" s="1"/>
  <c r="D77" i="35"/>
  <c r="B77" i="35"/>
  <c r="H76" i="35"/>
  <c r="I76" i="35" s="1"/>
  <c r="D76" i="35"/>
  <c r="B76" i="35"/>
  <c r="H75" i="35"/>
  <c r="I75" i="35" s="1"/>
  <c r="D75" i="35"/>
  <c r="B75" i="35"/>
  <c r="H74" i="35"/>
  <c r="I74" i="35" s="1"/>
  <c r="D74" i="35"/>
  <c r="B74" i="35"/>
  <c r="H73" i="35"/>
  <c r="I73" i="35" s="1"/>
  <c r="AA36" i="37" s="1"/>
  <c r="D73" i="35"/>
  <c r="B73" i="35"/>
  <c r="H72" i="35"/>
  <c r="I72" i="35" s="1"/>
  <c r="D72" i="35"/>
  <c r="B72" i="35"/>
  <c r="H71" i="35"/>
  <c r="I71" i="35" s="1"/>
  <c r="D71" i="35"/>
  <c r="B71" i="35"/>
  <c r="H70" i="35"/>
  <c r="I70" i="35" s="1"/>
  <c r="D70" i="35"/>
  <c r="B70" i="35"/>
  <c r="H69" i="35"/>
  <c r="I69" i="35" s="1"/>
  <c r="AA37" i="37" s="1"/>
  <c r="D69" i="35"/>
  <c r="B69" i="35"/>
  <c r="H68" i="35"/>
  <c r="I68" i="35" s="1"/>
  <c r="D68" i="35"/>
  <c r="B68" i="35"/>
  <c r="H67" i="35"/>
  <c r="I67" i="35" s="1"/>
  <c r="D67" i="35"/>
  <c r="B67" i="35"/>
  <c r="H66" i="35"/>
  <c r="I66" i="35" s="1"/>
  <c r="D66" i="35"/>
  <c r="B66" i="35"/>
  <c r="H65" i="35"/>
  <c r="I65" i="35" s="1"/>
  <c r="AA15" i="37" s="1"/>
  <c r="D65" i="35"/>
  <c r="B65" i="35"/>
  <c r="H64" i="35"/>
  <c r="I64" i="35" s="1"/>
  <c r="D64" i="35"/>
  <c r="B64" i="35"/>
  <c r="H63" i="35"/>
  <c r="I63" i="35" s="1"/>
  <c r="D63" i="35"/>
  <c r="B63" i="35"/>
  <c r="H62" i="35"/>
  <c r="I62" i="35" s="1"/>
  <c r="D62" i="35"/>
  <c r="B62" i="35"/>
  <c r="H61" i="35"/>
  <c r="I61" i="35" s="1"/>
  <c r="AA31" i="37" s="1"/>
  <c r="D61" i="35"/>
  <c r="B61" i="35"/>
  <c r="H60" i="35"/>
  <c r="I60" i="35" s="1"/>
  <c r="D60" i="35"/>
  <c r="B60" i="35"/>
  <c r="H59" i="35"/>
  <c r="I59" i="35" s="1"/>
  <c r="D59" i="35"/>
  <c r="B59" i="35"/>
  <c r="H58" i="35"/>
  <c r="I58" i="35" s="1"/>
  <c r="D58" i="35"/>
  <c r="B58" i="35"/>
  <c r="H57" i="35"/>
  <c r="I57" i="35" s="1"/>
  <c r="D57" i="35"/>
  <c r="B57" i="35"/>
  <c r="H56" i="35"/>
  <c r="I56" i="35" s="1"/>
  <c r="D56" i="35"/>
  <c r="B56" i="35"/>
  <c r="H55" i="35"/>
  <c r="I55" i="35" s="1"/>
  <c r="D55" i="35"/>
  <c r="B55" i="35"/>
  <c r="H54" i="35"/>
  <c r="I54" i="35" s="1"/>
  <c r="D54" i="35"/>
  <c r="B54" i="35"/>
  <c r="H53" i="35"/>
  <c r="I53" i="35" s="1"/>
  <c r="AH70" i="33" s="1"/>
  <c r="D53" i="35"/>
  <c r="B53" i="35"/>
  <c r="H52" i="35"/>
  <c r="I52" i="35" s="1"/>
  <c r="D52" i="35"/>
  <c r="B52" i="35"/>
  <c r="H51" i="35"/>
  <c r="I51" i="35" s="1"/>
  <c r="D51" i="35"/>
  <c r="B51" i="35"/>
  <c r="H50" i="35"/>
  <c r="I50" i="35" s="1"/>
  <c r="D50" i="35"/>
  <c r="B50" i="35"/>
  <c r="H49" i="35"/>
  <c r="I49" i="35" s="1"/>
  <c r="D49" i="35"/>
  <c r="B49" i="35"/>
  <c r="H48" i="35"/>
  <c r="I48" i="35" s="1"/>
  <c r="D48" i="35"/>
  <c r="B48" i="35"/>
  <c r="H47" i="35"/>
  <c r="I47" i="35" s="1"/>
  <c r="D47" i="35"/>
  <c r="B47" i="35"/>
  <c r="H46" i="35"/>
  <c r="I46" i="35" s="1"/>
  <c r="D46" i="35"/>
  <c r="B46" i="35"/>
  <c r="H45" i="35"/>
  <c r="I45" i="35" s="1"/>
  <c r="D45" i="35"/>
  <c r="B45" i="35"/>
  <c r="H44" i="35"/>
  <c r="I44" i="35" s="1"/>
  <c r="D44" i="35"/>
  <c r="B44" i="35"/>
  <c r="H43" i="35"/>
  <c r="I43" i="35" s="1"/>
  <c r="D43" i="35"/>
  <c r="B43" i="35"/>
  <c r="H42" i="35"/>
  <c r="I42" i="35" s="1"/>
  <c r="D42" i="35"/>
  <c r="B42" i="35"/>
  <c r="H41" i="35"/>
  <c r="I41" i="35" s="1"/>
  <c r="D41" i="35"/>
  <c r="B41" i="35"/>
  <c r="H40" i="35"/>
  <c r="I40" i="35" s="1"/>
  <c r="D40" i="35"/>
  <c r="B40" i="35"/>
  <c r="H39" i="35"/>
  <c r="I39" i="35" s="1"/>
  <c r="D39" i="35"/>
  <c r="B39" i="35"/>
  <c r="H38" i="35"/>
  <c r="I38" i="35" s="1"/>
  <c r="D38" i="35"/>
  <c r="B38" i="35"/>
  <c r="H37" i="35"/>
  <c r="I37" i="35" s="1"/>
  <c r="AH56" i="33" s="1"/>
  <c r="D37" i="35"/>
  <c r="B37" i="35"/>
  <c r="H36" i="35"/>
  <c r="I36" i="35" s="1"/>
  <c r="D36" i="35"/>
  <c r="B36" i="35"/>
  <c r="H35" i="35"/>
  <c r="I35" i="35" s="1"/>
  <c r="D35" i="35"/>
  <c r="B35" i="35"/>
  <c r="H34" i="35"/>
  <c r="I34" i="35" s="1"/>
  <c r="D34" i="35"/>
  <c r="B34" i="35"/>
  <c r="H33" i="35"/>
  <c r="I33" i="35" s="1"/>
  <c r="D33" i="35"/>
  <c r="B33" i="35"/>
  <c r="H32" i="35"/>
  <c r="I32" i="35" s="1"/>
  <c r="D32" i="35"/>
  <c r="B32" i="35"/>
  <c r="H31" i="35"/>
  <c r="I31" i="35" s="1"/>
  <c r="D31" i="35"/>
  <c r="B31" i="35"/>
  <c r="H30" i="35"/>
  <c r="I30" i="35" s="1"/>
  <c r="D30" i="35"/>
  <c r="B30" i="35"/>
  <c r="H29" i="35"/>
  <c r="I29" i="35" s="1"/>
  <c r="D29" i="35"/>
  <c r="B29" i="35"/>
  <c r="H28" i="35"/>
  <c r="I28" i="35" s="1"/>
  <c r="D28" i="35"/>
  <c r="B28" i="35"/>
  <c r="H27" i="35"/>
  <c r="I27" i="35" s="1"/>
  <c r="D27" i="35"/>
  <c r="B27" i="35"/>
  <c r="H26" i="35"/>
  <c r="I26" i="35" s="1"/>
  <c r="D26" i="35"/>
  <c r="B26" i="35"/>
  <c r="H25" i="35"/>
  <c r="I25" i="35" s="1"/>
  <c r="AH31" i="33" s="1"/>
  <c r="H60" i="40" s="1"/>
  <c r="D25" i="35"/>
  <c r="B25" i="35"/>
  <c r="H24" i="35"/>
  <c r="I24" i="35" s="1"/>
  <c r="D24" i="35"/>
  <c r="B24" i="35"/>
  <c r="H23" i="35"/>
  <c r="I23" i="35" s="1"/>
  <c r="D23" i="35"/>
  <c r="B23" i="35"/>
  <c r="H22" i="35"/>
  <c r="I22" i="35" s="1"/>
  <c r="D22" i="35"/>
  <c r="B22" i="35"/>
  <c r="H21" i="35"/>
  <c r="I21" i="35" s="1"/>
  <c r="AH29" i="33" s="1"/>
  <c r="D21" i="35"/>
  <c r="B21" i="35"/>
  <c r="H20" i="35"/>
  <c r="I20" i="35" s="1"/>
  <c r="D20" i="35"/>
  <c r="B20" i="35"/>
  <c r="H19" i="35"/>
  <c r="I19" i="35" s="1"/>
  <c r="D19" i="35"/>
  <c r="B19" i="35"/>
  <c r="H18" i="35"/>
  <c r="I18" i="35" s="1"/>
  <c r="D18" i="35"/>
  <c r="B18" i="35"/>
  <c r="H17" i="35"/>
  <c r="I17" i="35" s="1"/>
  <c r="AH25" i="33" s="1"/>
  <c r="D17" i="35"/>
  <c r="B17" i="35"/>
  <c r="H16" i="35"/>
  <c r="I16" i="35" s="1"/>
  <c r="D16" i="35"/>
  <c r="B16" i="35"/>
  <c r="H15" i="35"/>
  <c r="I15" i="35" s="1"/>
  <c r="D15" i="35"/>
  <c r="B15" i="35"/>
  <c r="H14" i="35"/>
  <c r="I14" i="35" s="1"/>
  <c r="D14" i="35"/>
  <c r="B14" i="35"/>
  <c r="H13" i="35"/>
  <c r="I13" i="35" s="1"/>
  <c r="D13" i="35"/>
  <c r="B13" i="35"/>
  <c r="H12" i="35"/>
  <c r="I12" i="35" s="1"/>
  <c r="D12" i="35"/>
  <c r="B12" i="35"/>
  <c r="H11" i="35"/>
  <c r="I11" i="35" s="1"/>
  <c r="D11" i="35"/>
  <c r="B11" i="35"/>
  <c r="H10" i="35"/>
  <c r="I10" i="35" s="1"/>
  <c r="D10" i="35"/>
  <c r="B10" i="35"/>
  <c r="G17" i="32"/>
  <c r="H16" i="32"/>
  <c r="I16" i="32" s="1"/>
  <c r="D16" i="32"/>
  <c r="B16" i="32"/>
  <c r="H15" i="32"/>
  <c r="I15" i="32" s="1"/>
  <c r="D15" i="32"/>
  <c r="B15" i="32"/>
  <c r="H14" i="32"/>
  <c r="I14" i="32" s="1"/>
  <c r="D14" i="32"/>
  <c r="B14" i="32"/>
  <c r="H13" i="32"/>
  <c r="I13" i="32" s="1"/>
  <c r="D13" i="32"/>
  <c r="B13" i="32"/>
  <c r="H12" i="32"/>
  <c r="I12" i="32" s="1"/>
  <c r="D12" i="32"/>
  <c r="B12" i="32"/>
  <c r="H11" i="32"/>
  <c r="I11" i="32" s="1"/>
  <c r="AG29" i="33" s="1"/>
  <c r="D11" i="32"/>
  <c r="B11" i="32"/>
  <c r="H10" i="32"/>
  <c r="I10" i="32" s="1"/>
  <c r="D10" i="32"/>
  <c r="B10" i="32"/>
  <c r="G46" i="29"/>
  <c r="H45" i="29"/>
  <c r="I45" i="29" s="1"/>
  <c r="D45" i="29"/>
  <c r="B45" i="29"/>
  <c r="H44" i="29"/>
  <c r="I44" i="29" s="1"/>
  <c r="D44" i="29"/>
  <c r="B44" i="29"/>
  <c r="H43" i="29"/>
  <c r="I43" i="29" s="1"/>
  <c r="D43" i="29"/>
  <c r="B43" i="29"/>
  <c r="H42" i="29"/>
  <c r="I42" i="29" s="1"/>
  <c r="D42" i="29"/>
  <c r="B42" i="29"/>
  <c r="H41" i="29"/>
  <c r="I41" i="29" s="1"/>
  <c r="D41" i="29"/>
  <c r="B41" i="29"/>
  <c r="H40" i="29"/>
  <c r="I40" i="29" s="1"/>
  <c r="D40" i="29"/>
  <c r="B40" i="29"/>
  <c r="H39" i="29"/>
  <c r="I39" i="29" s="1"/>
  <c r="D39" i="29"/>
  <c r="B39" i="29"/>
  <c r="H38" i="29"/>
  <c r="I38" i="29" s="1"/>
  <c r="D38" i="29"/>
  <c r="B38" i="29"/>
  <c r="H37" i="29"/>
  <c r="I37" i="29" s="1"/>
  <c r="D37" i="29"/>
  <c r="B37" i="29"/>
  <c r="H36" i="29"/>
  <c r="I36" i="29" s="1"/>
  <c r="D36" i="29"/>
  <c r="B36" i="29"/>
  <c r="H35" i="29"/>
  <c r="I35" i="29" s="1"/>
  <c r="D35" i="29"/>
  <c r="B35" i="29"/>
  <c r="H34" i="29"/>
  <c r="I34" i="29" s="1"/>
  <c r="D34" i="29"/>
  <c r="B34" i="29"/>
  <c r="H33" i="29"/>
  <c r="I33" i="29" s="1"/>
  <c r="D33" i="29"/>
  <c r="B33" i="29"/>
  <c r="H32" i="29"/>
  <c r="I32" i="29" s="1"/>
  <c r="D32" i="29"/>
  <c r="B32" i="29"/>
  <c r="H31" i="29"/>
  <c r="I31" i="29" s="1"/>
  <c r="D31" i="29"/>
  <c r="B31" i="29"/>
  <c r="H30" i="29"/>
  <c r="I30" i="29" s="1"/>
  <c r="D30" i="29"/>
  <c r="B30" i="29"/>
  <c r="H29" i="29"/>
  <c r="I29" i="29" s="1"/>
  <c r="D29" i="29"/>
  <c r="B29" i="29"/>
  <c r="H28" i="29"/>
  <c r="I28" i="29" s="1"/>
  <c r="D28" i="29"/>
  <c r="B28" i="29"/>
  <c r="H27" i="29"/>
  <c r="I27" i="29" s="1"/>
  <c r="D27" i="29"/>
  <c r="B27" i="29"/>
  <c r="H26" i="29"/>
  <c r="I26" i="29" s="1"/>
  <c r="AF43" i="33" s="1"/>
  <c r="D26" i="29"/>
  <c r="B26" i="29"/>
  <c r="H25" i="29"/>
  <c r="I25" i="29" s="1"/>
  <c r="D25" i="29"/>
  <c r="B25" i="29"/>
  <c r="H24" i="29"/>
  <c r="I24" i="29" s="1"/>
  <c r="D24" i="29"/>
  <c r="B24" i="29"/>
  <c r="H23" i="29"/>
  <c r="I23" i="29" s="1"/>
  <c r="D23" i="29"/>
  <c r="B23" i="29"/>
  <c r="H22" i="29"/>
  <c r="I22" i="29" s="1"/>
  <c r="D22" i="29"/>
  <c r="B22" i="29"/>
  <c r="H21" i="29"/>
  <c r="I21" i="29" s="1"/>
  <c r="D21" i="29"/>
  <c r="B21" i="29"/>
  <c r="H20" i="29"/>
  <c r="I20" i="29" s="1"/>
  <c r="D20" i="29"/>
  <c r="B20" i="29"/>
  <c r="H19" i="29"/>
  <c r="I19" i="29" s="1"/>
  <c r="D19" i="29"/>
  <c r="B19" i="29"/>
  <c r="H18" i="29"/>
  <c r="I18" i="29" s="1"/>
  <c r="AF30" i="33" s="1"/>
  <c r="D18" i="29"/>
  <c r="B18" i="29"/>
  <c r="H17" i="29"/>
  <c r="I17" i="29" s="1"/>
  <c r="D17" i="29"/>
  <c r="B17" i="29"/>
  <c r="H16" i="29"/>
  <c r="I16" i="29" s="1"/>
  <c r="D16" i="29"/>
  <c r="B16" i="29"/>
  <c r="H15" i="29"/>
  <c r="I15" i="29" s="1"/>
  <c r="D15" i="29"/>
  <c r="B15" i="29"/>
  <c r="H14" i="29"/>
  <c r="I14" i="29" s="1"/>
  <c r="AF25" i="33" s="1"/>
  <c r="D14" i="29"/>
  <c r="B14" i="29"/>
  <c r="H13" i="29"/>
  <c r="I13" i="29" s="1"/>
  <c r="D13" i="29"/>
  <c r="B13" i="29"/>
  <c r="H12" i="29"/>
  <c r="I12" i="29" s="1"/>
  <c r="D12" i="29"/>
  <c r="B12" i="29"/>
  <c r="H11" i="29"/>
  <c r="I11" i="29" s="1"/>
  <c r="D11" i="29"/>
  <c r="B11" i="29"/>
  <c r="H10" i="29"/>
  <c r="I10" i="29" s="1"/>
  <c r="D10" i="29"/>
  <c r="B10" i="29"/>
  <c r="G50" i="30"/>
  <c r="H49" i="30"/>
  <c r="I49" i="30" s="1"/>
  <c r="D49" i="30"/>
  <c r="B49" i="30"/>
  <c r="H48" i="30"/>
  <c r="I48" i="30" s="1"/>
  <c r="D48" i="30"/>
  <c r="B48" i="30"/>
  <c r="H47" i="30"/>
  <c r="I47" i="30" s="1"/>
  <c r="D47" i="30"/>
  <c r="B47" i="30"/>
  <c r="H46" i="30"/>
  <c r="I46" i="30" s="1"/>
  <c r="D46" i="30"/>
  <c r="B46" i="30"/>
  <c r="H45" i="30"/>
  <c r="I45" i="30" s="1"/>
  <c r="D45" i="30"/>
  <c r="B45" i="30"/>
  <c r="H44" i="30"/>
  <c r="I44" i="30" s="1"/>
  <c r="D44" i="30"/>
  <c r="B44" i="30"/>
  <c r="H43" i="30"/>
  <c r="I43" i="30" s="1"/>
  <c r="D43" i="30"/>
  <c r="B43" i="30"/>
  <c r="H42" i="30"/>
  <c r="I42" i="30" s="1"/>
  <c r="D42" i="30"/>
  <c r="B42" i="30"/>
  <c r="H41" i="30"/>
  <c r="I41" i="30" s="1"/>
  <c r="D41" i="30"/>
  <c r="B41" i="30"/>
  <c r="H40" i="30"/>
  <c r="I40" i="30" s="1"/>
  <c r="D40" i="30"/>
  <c r="B40" i="30"/>
  <c r="H39" i="30"/>
  <c r="I39" i="30" s="1"/>
  <c r="D39" i="30"/>
  <c r="B39" i="30"/>
  <c r="H38" i="30"/>
  <c r="I38" i="30" s="1"/>
  <c r="D38" i="30"/>
  <c r="B38" i="30"/>
  <c r="H37" i="30"/>
  <c r="I37" i="30" s="1"/>
  <c r="D37" i="30"/>
  <c r="B37" i="30"/>
  <c r="H36" i="30"/>
  <c r="I36" i="30" s="1"/>
  <c r="D36" i="30"/>
  <c r="B36" i="30"/>
  <c r="H35" i="30"/>
  <c r="I35" i="30" s="1"/>
  <c r="D35" i="30"/>
  <c r="B35" i="30"/>
  <c r="H34" i="30"/>
  <c r="I34" i="30" s="1"/>
  <c r="D34" i="30"/>
  <c r="B34" i="30"/>
  <c r="H33" i="30"/>
  <c r="I33" i="30" s="1"/>
  <c r="AE70" i="33" s="1"/>
  <c r="D33" i="30"/>
  <c r="B33" i="30"/>
  <c r="H32" i="30"/>
  <c r="I32" i="30" s="1"/>
  <c r="D32" i="30"/>
  <c r="B32" i="30"/>
  <c r="H31" i="30"/>
  <c r="I31" i="30" s="1"/>
  <c r="D31" i="30"/>
  <c r="B31" i="30"/>
  <c r="H30" i="30"/>
  <c r="I30" i="30" s="1"/>
  <c r="D30" i="30"/>
  <c r="B30" i="30"/>
  <c r="H29" i="30"/>
  <c r="I29" i="30" s="1"/>
  <c r="AE65" i="33" s="1"/>
  <c r="D29" i="30"/>
  <c r="B29" i="30"/>
  <c r="H28" i="30"/>
  <c r="I28" i="30" s="1"/>
  <c r="D28" i="30"/>
  <c r="B28" i="30"/>
  <c r="H27" i="30"/>
  <c r="I27" i="30" s="1"/>
  <c r="D27" i="30"/>
  <c r="B27" i="30"/>
  <c r="H26" i="30"/>
  <c r="I26" i="30" s="1"/>
  <c r="D26" i="30"/>
  <c r="B26" i="30"/>
  <c r="H25" i="30"/>
  <c r="I25" i="30" s="1"/>
  <c r="D25" i="30"/>
  <c r="B25" i="30"/>
  <c r="H24" i="30"/>
  <c r="I24" i="30" s="1"/>
  <c r="D24" i="30"/>
  <c r="B24" i="30"/>
  <c r="H23" i="30"/>
  <c r="I23" i="30" s="1"/>
  <c r="D23" i="30"/>
  <c r="B23" i="30"/>
  <c r="H22" i="30"/>
  <c r="I22" i="30" s="1"/>
  <c r="D22" i="30"/>
  <c r="B22" i="30"/>
  <c r="H21" i="30"/>
  <c r="I21" i="30" s="1"/>
  <c r="D21" i="30"/>
  <c r="B21" i="30"/>
  <c r="H20" i="30"/>
  <c r="I20" i="30" s="1"/>
  <c r="D20" i="30"/>
  <c r="B20" i="30"/>
  <c r="H19" i="30"/>
  <c r="I19" i="30" s="1"/>
  <c r="D19" i="30"/>
  <c r="B19" i="30"/>
  <c r="H18" i="30"/>
  <c r="I18" i="30" s="1"/>
  <c r="D18" i="30"/>
  <c r="B18" i="30"/>
  <c r="H17" i="30"/>
  <c r="I17" i="30" s="1"/>
  <c r="D17" i="30"/>
  <c r="B17" i="30"/>
  <c r="H16" i="30"/>
  <c r="I16" i="30" s="1"/>
  <c r="D16" i="30"/>
  <c r="B16" i="30"/>
  <c r="H15" i="30"/>
  <c r="I15" i="30" s="1"/>
  <c r="D15" i="30"/>
  <c r="B15" i="30"/>
  <c r="H14" i="30"/>
  <c r="I14" i="30" s="1"/>
  <c r="D14" i="30"/>
  <c r="B14" i="30"/>
  <c r="H13" i="30"/>
  <c r="I13" i="30" s="1"/>
  <c r="D13" i="30"/>
  <c r="B13" i="30"/>
  <c r="H12" i="30"/>
  <c r="I12" i="30" s="1"/>
  <c r="D12" i="30"/>
  <c r="B12" i="30"/>
  <c r="H11" i="30"/>
  <c r="I11" i="30" s="1"/>
  <c r="D11" i="30"/>
  <c r="B11" i="30"/>
  <c r="H10" i="30"/>
  <c r="I10" i="30" s="1"/>
  <c r="D10" i="30"/>
  <c r="B10" i="30"/>
  <c r="G72" i="27"/>
  <c r="H71" i="27"/>
  <c r="I71" i="27" s="1"/>
  <c r="D71" i="27"/>
  <c r="B71" i="27"/>
  <c r="H70" i="27"/>
  <c r="I70" i="27" s="1"/>
  <c r="D70" i="27"/>
  <c r="B70" i="27"/>
  <c r="H69" i="27"/>
  <c r="I69" i="27" s="1"/>
  <c r="D69" i="27"/>
  <c r="B69" i="27"/>
  <c r="H68" i="27"/>
  <c r="I68" i="27" s="1"/>
  <c r="D68" i="27"/>
  <c r="B68" i="27"/>
  <c r="H67" i="27"/>
  <c r="I67" i="27" s="1"/>
  <c r="D67" i="27"/>
  <c r="B67" i="27"/>
  <c r="H66" i="27"/>
  <c r="I66" i="27" s="1"/>
  <c r="D66" i="27"/>
  <c r="B66" i="27"/>
  <c r="H65" i="27"/>
  <c r="I65" i="27" s="1"/>
  <c r="D65" i="27"/>
  <c r="B65" i="27"/>
  <c r="H64" i="27"/>
  <c r="I64" i="27" s="1"/>
  <c r="D64" i="27"/>
  <c r="B64" i="27"/>
  <c r="H63" i="27"/>
  <c r="I63" i="27" s="1"/>
  <c r="D63" i="27"/>
  <c r="B63" i="27"/>
  <c r="H62" i="27"/>
  <c r="I62" i="27" s="1"/>
  <c r="Y13" i="37" s="1"/>
  <c r="D62" i="27"/>
  <c r="B62" i="27"/>
  <c r="H61" i="27"/>
  <c r="I61" i="27" s="1"/>
  <c r="D61" i="27"/>
  <c r="B61" i="27"/>
  <c r="H60" i="27"/>
  <c r="I60" i="27" s="1"/>
  <c r="D60" i="27"/>
  <c r="B60" i="27"/>
  <c r="H59" i="27"/>
  <c r="I59" i="27" s="1"/>
  <c r="D59" i="27"/>
  <c r="B59" i="27"/>
  <c r="H58" i="27"/>
  <c r="I58" i="27" s="1"/>
  <c r="D58" i="27"/>
  <c r="B58" i="27"/>
  <c r="H57" i="27"/>
  <c r="I57" i="27" s="1"/>
  <c r="D57" i="27"/>
  <c r="B57" i="27"/>
  <c r="H56" i="27"/>
  <c r="I56" i="27" s="1"/>
  <c r="D56" i="27"/>
  <c r="B56" i="27"/>
  <c r="H55" i="27"/>
  <c r="I55" i="27" s="1"/>
  <c r="D55" i="27"/>
  <c r="B55" i="27"/>
  <c r="H54" i="27"/>
  <c r="I54" i="27" s="1"/>
  <c r="AD72" i="33" s="1"/>
  <c r="D54" i="27"/>
  <c r="B54" i="27"/>
  <c r="H53" i="27"/>
  <c r="I53" i="27" s="1"/>
  <c r="D53" i="27"/>
  <c r="B53" i="27"/>
  <c r="H52" i="27"/>
  <c r="I52" i="27" s="1"/>
  <c r="D52" i="27"/>
  <c r="B52" i="27"/>
  <c r="H51" i="27"/>
  <c r="I51" i="27" s="1"/>
  <c r="D51" i="27"/>
  <c r="B51" i="27"/>
  <c r="H50" i="27"/>
  <c r="I50" i="27" s="1"/>
  <c r="AD70" i="33" s="1"/>
  <c r="D50" i="27"/>
  <c r="B50" i="27"/>
  <c r="H49" i="27"/>
  <c r="I49" i="27" s="1"/>
  <c r="D49" i="27"/>
  <c r="B49" i="27"/>
  <c r="H48" i="27"/>
  <c r="I48" i="27" s="1"/>
  <c r="D48" i="27"/>
  <c r="B48" i="27"/>
  <c r="H47" i="27"/>
  <c r="I47" i="27" s="1"/>
  <c r="D47" i="27"/>
  <c r="B47" i="27"/>
  <c r="H46" i="27"/>
  <c r="I46" i="27" s="1"/>
  <c r="D46" i="27"/>
  <c r="B46" i="27"/>
  <c r="H45" i="27"/>
  <c r="I45" i="27" s="1"/>
  <c r="D45" i="27"/>
  <c r="B45" i="27"/>
  <c r="H44" i="27"/>
  <c r="I44" i="27" s="1"/>
  <c r="D44" i="27"/>
  <c r="B44" i="27"/>
  <c r="H43" i="27"/>
  <c r="I43" i="27" s="1"/>
  <c r="D43" i="27"/>
  <c r="B43" i="27"/>
  <c r="H42" i="27"/>
  <c r="I42" i="27" s="1"/>
  <c r="D42" i="27"/>
  <c r="B42" i="27"/>
  <c r="H41" i="27"/>
  <c r="I41" i="27" s="1"/>
  <c r="D41" i="27"/>
  <c r="B41" i="27"/>
  <c r="H40" i="27"/>
  <c r="I40" i="27" s="1"/>
  <c r="D40" i="27"/>
  <c r="B40" i="27"/>
  <c r="H39" i="27"/>
  <c r="I39" i="27" s="1"/>
  <c r="D39" i="27"/>
  <c r="B39" i="27"/>
  <c r="H38" i="27"/>
  <c r="I38" i="27" s="1"/>
  <c r="D38" i="27"/>
  <c r="B38" i="27"/>
  <c r="H37" i="27"/>
  <c r="I37" i="27" s="1"/>
  <c r="D37" i="27"/>
  <c r="B37" i="27"/>
  <c r="H36" i="27"/>
  <c r="I36" i="27" s="1"/>
  <c r="D36" i="27"/>
  <c r="B36" i="27"/>
  <c r="H35" i="27"/>
  <c r="I35" i="27" s="1"/>
  <c r="D35" i="27"/>
  <c r="B35" i="27"/>
  <c r="H34" i="27"/>
  <c r="I34" i="27" s="1"/>
  <c r="D34" i="27"/>
  <c r="B34" i="27"/>
  <c r="H33" i="27"/>
  <c r="I33" i="27" s="1"/>
  <c r="D33" i="27"/>
  <c r="B33" i="27"/>
  <c r="H32" i="27"/>
  <c r="I32" i="27" s="1"/>
  <c r="D32" i="27"/>
  <c r="B32" i="27"/>
  <c r="H31" i="27"/>
  <c r="I31" i="27" s="1"/>
  <c r="D31" i="27"/>
  <c r="B31" i="27"/>
  <c r="H30" i="27"/>
  <c r="I30" i="27" s="1"/>
  <c r="D30" i="27"/>
  <c r="B30" i="27"/>
  <c r="H29" i="27"/>
  <c r="I29" i="27" s="1"/>
  <c r="D29" i="27"/>
  <c r="B29" i="27"/>
  <c r="H28" i="27"/>
  <c r="I28" i="27" s="1"/>
  <c r="D28" i="27"/>
  <c r="B28" i="27"/>
  <c r="H27" i="27"/>
  <c r="I27" i="27" s="1"/>
  <c r="D27" i="27"/>
  <c r="B27" i="27"/>
  <c r="H26" i="27"/>
  <c r="I26" i="27" s="1"/>
  <c r="D26" i="27"/>
  <c r="B26" i="27"/>
  <c r="H25" i="27"/>
  <c r="I25" i="27" s="1"/>
  <c r="D25" i="27"/>
  <c r="B25" i="27"/>
  <c r="H24" i="27"/>
  <c r="I24" i="27" s="1"/>
  <c r="D24" i="27"/>
  <c r="B24" i="27"/>
  <c r="H23" i="27"/>
  <c r="I23" i="27" s="1"/>
  <c r="D23" i="27"/>
  <c r="B23" i="27"/>
  <c r="H22" i="27"/>
  <c r="I22" i="27" s="1"/>
  <c r="D22" i="27"/>
  <c r="B22" i="27"/>
  <c r="H21" i="27"/>
  <c r="I21" i="27" s="1"/>
  <c r="D21" i="27"/>
  <c r="B21" i="27"/>
  <c r="H20" i="27"/>
  <c r="I20" i="27" s="1"/>
  <c r="D20" i="27"/>
  <c r="B20" i="27"/>
  <c r="H19" i="27"/>
  <c r="I19" i="27" s="1"/>
  <c r="D19" i="27"/>
  <c r="B19" i="27"/>
  <c r="H18" i="27"/>
  <c r="I18" i="27" s="1"/>
  <c r="AD25" i="33" s="1"/>
  <c r="D18" i="27"/>
  <c r="B18" i="27"/>
  <c r="H17" i="27"/>
  <c r="I17" i="27" s="1"/>
  <c r="D17" i="27"/>
  <c r="B17" i="27"/>
  <c r="H16" i="27"/>
  <c r="I16" i="27" s="1"/>
  <c r="D16" i="27"/>
  <c r="B16" i="27"/>
  <c r="H15" i="27"/>
  <c r="I15" i="27" s="1"/>
  <c r="D15" i="27"/>
  <c r="B15" i="27"/>
  <c r="H14" i="27"/>
  <c r="I14" i="27" s="1"/>
  <c r="D14" i="27"/>
  <c r="B14" i="27"/>
  <c r="H13" i="27"/>
  <c r="I13" i="27" s="1"/>
  <c r="D13" i="27"/>
  <c r="B13" i="27"/>
  <c r="H12" i="27"/>
  <c r="I12" i="27" s="1"/>
  <c r="D12" i="27"/>
  <c r="B12" i="27"/>
  <c r="H11" i="27"/>
  <c r="I11" i="27" s="1"/>
  <c r="D11" i="27"/>
  <c r="B11" i="27"/>
  <c r="H10" i="27"/>
  <c r="I10" i="27" s="1"/>
  <c r="D10" i="27"/>
  <c r="B10" i="27"/>
  <c r="H29" i="26"/>
  <c r="I29" i="26" s="1"/>
  <c r="D29" i="26"/>
  <c r="B29" i="26"/>
  <c r="H28" i="26"/>
  <c r="I28" i="26" s="1"/>
  <c r="D28" i="26"/>
  <c r="B28" i="26"/>
  <c r="H27" i="26"/>
  <c r="I27" i="26" s="1"/>
  <c r="D27" i="26"/>
  <c r="B27" i="26"/>
  <c r="H26" i="26"/>
  <c r="I26" i="26" s="1"/>
  <c r="D26" i="26"/>
  <c r="B26" i="26"/>
  <c r="H25" i="26"/>
  <c r="I25" i="26" s="1"/>
  <c r="D25" i="26"/>
  <c r="B25" i="26"/>
  <c r="H24" i="26"/>
  <c r="I24" i="26" s="1"/>
  <c r="D24" i="26"/>
  <c r="B24" i="26"/>
  <c r="I23" i="26"/>
  <c r="H23" i="26"/>
  <c r="D23" i="26"/>
  <c r="B23" i="26"/>
  <c r="I22" i="26"/>
  <c r="H22" i="26"/>
  <c r="D22" i="26"/>
  <c r="B22" i="26"/>
  <c r="I21" i="26"/>
  <c r="H21" i="26"/>
  <c r="D21" i="26"/>
  <c r="B21" i="26"/>
  <c r="I20" i="26"/>
  <c r="H20" i="26"/>
  <c r="D20" i="26"/>
  <c r="B20" i="26"/>
  <c r="I19" i="26"/>
  <c r="AC78" i="33" s="1"/>
  <c r="H19" i="26"/>
  <c r="D19" i="26"/>
  <c r="B19" i="26"/>
  <c r="I18" i="26"/>
  <c r="AC77" i="33" s="1"/>
  <c r="H18" i="26"/>
  <c r="D18" i="26"/>
  <c r="B18" i="26"/>
  <c r="I17" i="26"/>
  <c r="H17" i="26"/>
  <c r="D17" i="26"/>
  <c r="B17" i="26"/>
  <c r="I16" i="26"/>
  <c r="H16" i="26"/>
  <c r="D16" i="26"/>
  <c r="B16" i="26"/>
  <c r="I15" i="26"/>
  <c r="H15" i="26"/>
  <c r="D15" i="26"/>
  <c r="B15" i="26"/>
  <c r="I14" i="26"/>
  <c r="H14" i="26"/>
  <c r="D14" i="26"/>
  <c r="B14" i="26"/>
  <c r="I13" i="26"/>
  <c r="H13" i="26"/>
  <c r="D13" i="26"/>
  <c r="B13" i="26"/>
  <c r="I12" i="26"/>
  <c r="H12" i="26"/>
  <c r="D12" i="26"/>
  <c r="B12" i="26"/>
  <c r="I11" i="26"/>
  <c r="H11" i="26"/>
  <c r="D11" i="26"/>
  <c r="B11" i="26"/>
  <c r="I10" i="26"/>
  <c r="H10" i="26"/>
  <c r="D10" i="26"/>
  <c r="B10" i="26"/>
  <c r="H104" i="39"/>
  <c r="I104" i="39" s="1"/>
  <c r="D104" i="39"/>
  <c r="B104" i="39"/>
  <c r="H103" i="39"/>
  <c r="I103" i="39" s="1"/>
  <c r="D103" i="39"/>
  <c r="B103" i="39"/>
  <c r="H102" i="39"/>
  <c r="I102" i="39" s="1"/>
  <c r="D102" i="39"/>
  <c r="B102" i="39"/>
  <c r="H101" i="39"/>
  <c r="I101" i="39" s="1"/>
  <c r="D101" i="39"/>
  <c r="B101" i="39"/>
  <c r="H100" i="39"/>
  <c r="I100" i="39" s="1"/>
  <c r="D100" i="39"/>
  <c r="B100" i="39"/>
  <c r="H99" i="39"/>
  <c r="I99" i="39" s="1"/>
  <c r="D99" i="39"/>
  <c r="B99" i="39"/>
  <c r="H98" i="39"/>
  <c r="I98" i="39" s="1"/>
  <c r="D98" i="39"/>
  <c r="B98" i="39"/>
  <c r="H97" i="39"/>
  <c r="I97" i="39" s="1"/>
  <c r="D97" i="39"/>
  <c r="B97" i="39"/>
  <c r="H96" i="39"/>
  <c r="I96" i="39" s="1"/>
  <c r="D96" i="39"/>
  <c r="B96" i="39"/>
  <c r="H95" i="39"/>
  <c r="I95" i="39" s="1"/>
  <c r="D95" i="39"/>
  <c r="B95" i="39"/>
  <c r="H94" i="39"/>
  <c r="I94" i="39" s="1"/>
  <c r="D94" i="39"/>
  <c r="B94" i="39"/>
  <c r="H93" i="39"/>
  <c r="I93" i="39" s="1"/>
  <c r="D93" i="39"/>
  <c r="B93" i="39"/>
  <c r="H92" i="39"/>
  <c r="I92" i="39" s="1"/>
  <c r="D92" i="39"/>
  <c r="B92" i="39"/>
  <c r="H91" i="39"/>
  <c r="I91" i="39" s="1"/>
  <c r="D91" i="39"/>
  <c r="B91" i="39"/>
  <c r="H90" i="39"/>
  <c r="I90" i="39" s="1"/>
  <c r="D90" i="39"/>
  <c r="B90" i="39"/>
  <c r="H89" i="39"/>
  <c r="I89" i="39" s="1"/>
  <c r="D89" i="39"/>
  <c r="B89" i="39"/>
  <c r="H88" i="39"/>
  <c r="I88" i="39" s="1"/>
  <c r="D88" i="39"/>
  <c r="B88" i="39"/>
  <c r="H87" i="39"/>
  <c r="I87" i="39" s="1"/>
  <c r="D87" i="39"/>
  <c r="B87" i="39"/>
  <c r="H86" i="39"/>
  <c r="I86" i="39" s="1"/>
  <c r="D86" i="39"/>
  <c r="B86" i="39"/>
  <c r="H85" i="39"/>
  <c r="I85" i="39" s="1"/>
  <c r="D85" i="39"/>
  <c r="B85" i="39"/>
  <c r="H84" i="39"/>
  <c r="I84" i="39" s="1"/>
  <c r="D84" i="39"/>
  <c r="B84" i="39"/>
  <c r="I83" i="39"/>
  <c r="H83" i="39"/>
  <c r="D83" i="39"/>
  <c r="B83" i="39"/>
  <c r="I82" i="39"/>
  <c r="H82" i="39"/>
  <c r="D82" i="39"/>
  <c r="B82" i="39"/>
  <c r="I81" i="39"/>
  <c r="H81" i="39"/>
  <c r="D81" i="39"/>
  <c r="B81" i="39"/>
  <c r="I80" i="39"/>
  <c r="H80" i="39"/>
  <c r="D80" i="39"/>
  <c r="B80" i="39"/>
  <c r="I79" i="39"/>
  <c r="H79" i="39"/>
  <c r="D79" i="39"/>
  <c r="B79" i="39"/>
  <c r="I78" i="39"/>
  <c r="H78" i="39"/>
  <c r="D78" i="39"/>
  <c r="B78" i="39"/>
  <c r="I77" i="39"/>
  <c r="H77" i="39"/>
  <c r="D77" i="39"/>
  <c r="B77" i="39"/>
  <c r="I76" i="39"/>
  <c r="H76" i="39"/>
  <c r="D76" i="39"/>
  <c r="B76" i="39"/>
  <c r="I75" i="39"/>
  <c r="H75" i="39"/>
  <c r="D75" i="39"/>
  <c r="B75" i="39"/>
  <c r="I74" i="39"/>
  <c r="H74" i="39"/>
  <c r="D74" i="39"/>
  <c r="B74" i="39"/>
  <c r="I73" i="39"/>
  <c r="H73" i="39"/>
  <c r="D73" i="39"/>
  <c r="B73" i="39"/>
  <c r="I72" i="39"/>
  <c r="H72" i="39"/>
  <c r="D72" i="39"/>
  <c r="B72" i="39"/>
  <c r="I71" i="39"/>
  <c r="H71" i="39"/>
  <c r="D71" i="39"/>
  <c r="B71" i="39"/>
  <c r="I70" i="39"/>
  <c r="H70" i="39"/>
  <c r="D70" i="39"/>
  <c r="B70" i="39"/>
  <c r="I69" i="39"/>
  <c r="H69" i="39"/>
  <c r="D69" i="39"/>
  <c r="B69" i="39"/>
  <c r="I68" i="39"/>
  <c r="H68" i="39"/>
  <c r="D68" i="39"/>
  <c r="B68" i="39"/>
  <c r="I67" i="39"/>
  <c r="H67" i="39"/>
  <c r="D67" i="39"/>
  <c r="B67" i="39"/>
  <c r="I66" i="39"/>
  <c r="H66" i="39"/>
  <c r="D66" i="39"/>
  <c r="B66" i="39"/>
  <c r="I65" i="39"/>
  <c r="H65" i="39"/>
  <c r="D65" i="39"/>
  <c r="B65" i="39"/>
  <c r="I64" i="39"/>
  <c r="H64" i="39"/>
  <c r="D64" i="39"/>
  <c r="B64" i="39"/>
  <c r="I63" i="39"/>
  <c r="H63" i="39"/>
  <c r="D63" i="39"/>
  <c r="B63" i="39"/>
  <c r="I62" i="39"/>
  <c r="H62" i="39"/>
  <c r="D62" i="39"/>
  <c r="B62" i="39"/>
  <c r="I61" i="39"/>
  <c r="H61" i="39"/>
  <c r="D61" i="39"/>
  <c r="B61" i="39"/>
  <c r="I60" i="39"/>
  <c r="H60" i="39"/>
  <c r="D60" i="39"/>
  <c r="B60" i="39"/>
  <c r="I59" i="39"/>
  <c r="H59" i="39"/>
  <c r="D59" i="39"/>
  <c r="B59" i="39"/>
  <c r="I58" i="39"/>
  <c r="H58" i="39"/>
  <c r="D58" i="39"/>
  <c r="B58" i="39"/>
  <c r="I57" i="39"/>
  <c r="H57" i="39"/>
  <c r="D57" i="39"/>
  <c r="B57" i="39"/>
  <c r="I56" i="39"/>
  <c r="H56" i="39"/>
  <c r="D56" i="39"/>
  <c r="B56" i="39"/>
  <c r="I55" i="39"/>
  <c r="H55" i="39"/>
  <c r="D55" i="39"/>
  <c r="B55" i="39"/>
  <c r="I54" i="39"/>
  <c r="H54" i="39"/>
  <c r="D54" i="39"/>
  <c r="B54" i="39"/>
  <c r="I53" i="39"/>
  <c r="H53" i="39"/>
  <c r="D53" i="39"/>
  <c r="B53" i="39"/>
  <c r="I52" i="39"/>
  <c r="H52" i="39"/>
  <c r="D52" i="39"/>
  <c r="B52" i="39"/>
  <c r="H51" i="39"/>
  <c r="I51" i="39" s="1"/>
  <c r="D51" i="39"/>
  <c r="B51" i="39"/>
  <c r="H50" i="39"/>
  <c r="I50" i="39" s="1"/>
  <c r="D50" i="39"/>
  <c r="B50" i="39"/>
  <c r="H49" i="39"/>
  <c r="I49" i="39" s="1"/>
  <c r="AB61" i="33" s="1"/>
  <c r="D49" i="39"/>
  <c r="B49" i="39"/>
  <c r="H48" i="39"/>
  <c r="I48" i="39" s="1"/>
  <c r="AB62" i="33" s="1"/>
  <c r="D48" i="39"/>
  <c r="B48" i="39"/>
  <c r="H47" i="39"/>
  <c r="I47" i="39" s="1"/>
  <c r="D47" i="39"/>
  <c r="B47" i="39"/>
  <c r="H46" i="39"/>
  <c r="I46" i="39" s="1"/>
  <c r="D46" i="39"/>
  <c r="B46" i="39"/>
  <c r="H45" i="39"/>
  <c r="I45" i="39" s="1"/>
  <c r="AB57" i="33" s="1"/>
  <c r="D45" i="39"/>
  <c r="B45" i="39"/>
  <c r="H44" i="39"/>
  <c r="I44" i="39" s="1"/>
  <c r="D44" i="39"/>
  <c r="B44" i="39"/>
  <c r="H43" i="39"/>
  <c r="I43" i="39" s="1"/>
  <c r="D43" i="39"/>
  <c r="B43" i="39"/>
  <c r="H42" i="39"/>
  <c r="I42" i="39" s="1"/>
  <c r="D42" i="39"/>
  <c r="B42" i="39"/>
  <c r="H41" i="39"/>
  <c r="I41" i="39" s="1"/>
  <c r="D41" i="39"/>
  <c r="B41" i="39"/>
  <c r="H40" i="39"/>
  <c r="I40" i="39" s="1"/>
  <c r="D40" i="39"/>
  <c r="B40" i="39"/>
  <c r="H39" i="39"/>
  <c r="I39" i="39" s="1"/>
  <c r="D39" i="39"/>
  <c r="B39" i="39"/>
  <c r="H38" i="39"/>
  <c r="I38" i="39" s="1"/>
  <c r="D38" i="39"/>
  <c r="B38" i="39"/>
  <c r="H37" i="39"/>
  <c r="I37" i="39" s="1"/>
  <c r="D37" i="39"/>
  <c r="B37" i="39"/>
  <c r="H36" i="39"/>
  <c r="I36" i="39" s="1"/>
  <c r="D36" i="39"/>
  <c r="B36" i="39"/>
  <c r="H35" i="39"/>
  <c r="I35" i="39" s="1"/>
  <c r="AB43" i="33" s="1"/>
  <c r="N43" i="33" s="1"/>
  <c r="H245" i="40" s="1"/>
  <c r="D35" i="39"/>
  <c r="B35" i="39"/>
  <c r="H34" i="39"/>
  <c r="I34" i="39" s="1"/>
  <c r="D34" i="39"/>
  <c r="B34" i="39"/>
  <c r="H33" i="39"/>
  <c r="I33" i="39" s="1"/>
  <c r="D33" i="39"/>
  <c r="B33" i="39"/>
  <c r="H32" i="39"/>
  <c r="I32" i="39" s="1"/>
  <c r="D32" i="39"/>
  <c r="B32" i="39"/>
  <c r="H31" i="39"/>
  <c r="I31" i="39" s="1"/>
  <c r="D31" i="39"/>
  <c r="B31" i="39"/>
  <c r="H30" i="39"/>
  <c r="I30" i="39" s="1"/>
  <c r="D30" i="39"/>
  <c r="B30" i="39"/>
  <c r="H29" i="39"/>
  <c r="I29" i="39" s="1"/>
  <c r="D29" i="39"/>
  <c r="B29" i="39"/>
  <c r="H28" i="39"/>
  <c r="I28" i="39" s="1"/>
  <c r="AB31" i="33" s="1"/>
  <c r="D28" i="39"/>
  <c r="B28" i="39"/>
  <c r="H27" i="39"/>
  <c r="I27" i="39" s="1"/>
  <c r="D27" i="39"/>
  <c r="B27" i="39"/>
  <c r="H26" i="39"/>
  <c r="I26" i="39" s="1"/>
  <c r="D26" i="39"/>
  <c r="B26" i="39"/>
  <c r="H25" i="39"/>
  <c r="I25" i="39" s="1"/>
  <c r="AB29" i="33" s="1"/>
  <c r="D25" i="39"/>
  <c r="B25" i="39"/>
  <c r="H24" i="39"/>
  <c r="I24" i="39" s="1"/>
  <c r="D24" i="39"/>
  <c r="B24" i="39"/>
  <c r="H23" i="39"/>
  <c r="I23" i="39" s="1"/>
  <c r="AB27" i="33" s="1"/>
  <c r="D23" i="39"/>
  <c r="B23" i="39"/>
  <c r="H22" i="39"/>
  <c r="I22" i="39" s="1"/>
  <c r="D22" i="39"/>
  <c r="B22" i="39"/>
  <c r="H21" i="39"/>
  <c r="I21" i="39" s="1"/>
  <c r="D21" i="39"/>
  <c r="B21" i="39"/>
  <c r="H20" i="39"/>
  <c r="I20" i="39" s="1"/>
  <c r="D20" i="39"/>
  <c r="B20" i="39"/>
  <c r="H19" i="39"/>
  <c r="I19" i="39" s="1"/>
  <c r="AB25" i="33" s="1"/>
  <c r="N25" i="33" s="1"/>
  <c r="D19" i="39"/>
  <c r="B19" i="39"/>
  <c r="H18" i="39"/>
  <c r="I18" i="39" s="1"/>
  <c r="D18" i="39"/>
  <c r="B18" i="39"/>
  <c r="H17" i="39"/>
  <c r="I17" i="39" s="1"/>
  <c r="D17" i="39"/>
  <c r="B17" i="39"/>
  <c r="H16" i="39"/>
  <c r="I16" i="39" s="1"/>
  <c r="D16" i="39"/>
  <c r="B16" i="39"/>
  <c r="H15" i="39"/>
  <c r="I15" i="39" s="1"/>
  <c r="D15" i="39"/>
  <c r="B15" i="39"/>
  <c r="H14" i="39"/>
  <c r="I14" i="39" s="1"/>
  <c r="AB22" i="33" s="1"/>
  <c r="D14" i="39"/>
  <c r="B14" i="39"/>
  <c r="H13" i="39"/>
  <c r="I13" i="39" s="1"/>
  <c r="AB21" i="33" s="1"/>
  <c r="D13" i="39"/>
  <c r="B13" i="39"/>
  <c r="H12" i="39"/>
  <c r="I12" i="39" s="1"/>
  <c r="D12" i="39"/>
  <c r="B12" i="39"/>
  <c r="H11" i="39"/>
  <c r="I11" i="39" s="1"/>
  <c r="D11" i="39"/>
  <c r="B11" i="39"/>
  <c r="H10" i="39"/>
  <c r="I10" i="39" s="1"/>
  <c r="D10" i="39"/>
  <c r="B10" i="39"/>
  <c r="F85" i="33"/>
  <c r="F84" i="33"/>
  <c r="F83" i="33"/>
  <c r="F82" i="33"/>
  <c r="F81" i="33"/>
  <c r="AH78" i="33"/>
  <c r="AG78" i="33"/>
  <c r="AF78" i="33"/>
  <c r="AE78" i="33"/>
  <c r="AD78" i="33"/>
  <c r="AB78" i="33"/>
  <c r="N78" i="33" s="1"/>
  <c r="H988" i="40" s="1"/>
  <c r="L988" i="40" s="1"/>
  <c r="Y78" i="33"/>
  <c r="X78" i="33"/>
  <c r="W78" i="33"/>
  <c r="T78" i="33"/>
  <c r="S78" i="33"/>
  <c r="R78" i="33"/>
  <c r="P78" i="33"/>
  <c r="J78" i="33"/>
  <c r="AG77" i="33"/>
  <c r="AE77" i="33"/>
  <c r="AB77" i="33"/>
  <c r="Y77" i="33"/>
  <c r="X77" i="33"/>
  <c r="W77" i="33"/>
  <c r="T77" i="33"/>
  <c r="S77" i="33"/>
  <c r="R77" i="33"/>
  <c r="P77" i="33"/>
  <c r="J77" i="33"/>
  <c r="I77" i="33"/>
  <c r="AG76" i="33"/>
  <c r="AE76" i="33"/>
  <c r="AB76" i="33"/>
  <c r="Y76" i="33"/>
  <c r="X76" i="33"/>
  <c r="W76" i="33"/>
  <c r="T76" i="33"/>
  <c r="S76" i="33"/>
  <c r="R76" i="33"/>
  <c r="P76" i="33"/>
  <c r="J76" i="33"/>
  <c r="I76" i="33"/>
  <c r="AH75" i="33"/>
  <c r="AG75" i="33"/>
  <c r="AF75" i="33"/>
  <c r="AE75" i="33"/>
  <c r="AD75" i="33"/>
  <c r="AC75" i="33"/>
  <c r="AB75" i="33"/>
  <c r="Y75" i="33"/>
  <c r="X75" i="33"/>
  <c r="W75" i="33"/>
  <c r="V75" i="33"/>
  <c r="T75" i="33"/>
  <c r="S75" i="33"/>
  <c r="R75" i="33"/>
  <c r="P75" i="33"/>
  <c r="O75" i="33"/>
  <c r="J75" i="33"/>
  <c r="AH74" i="33"/>
  <c r="AG74" i="33"/>
  <c r="AF74" i="33"/>
  <c r="AE74" i="33"/>
  <c r="AD74" i="33"/>
  <c r="AC74" i="33"/>
  <c r="AB74" i="33"/>
  <c r="Y74" i="33"/>
  <c r="X74" i="33"/>
  <c r="W74" i="33"/>
  <c r="T74" i="33"/>
  <c r="S74" i="33"/>
  <c r="R74" i="33"/>
  <c r="P74" i="33"/>
  <c r="J74" i="33"/>
  <c r="I74" i="33"/>
  <c r="AH73" i="33"/>
  <c r="AG73" i="33"/>
  <c r="AF73" i="33"/>
  <c r="AE73" i="33"/>
  <c r="AD73" i="33"/>
  <c r="AC73" i="33"/>
  <c r="AB73" i="33"/>
  <c r="Y73" i="33"/>
  <c r="X73" i="33"/>
  <c r="W73" i="33"/>
  <c r="T73" i="33"/>
  <c r="S73" i="33"/>
  <c r="R73" i="33"/>
  <c r="P73" i="33"/>
  <c r="J73" i="33"/>
  <c r="I73" i="33"/>
  <c r="AH72" i="33"/>
  <c r="AG72" i="33"/>
  <c r="AF72" i="33"/>
  <c r="AE72" i="33"/>
  <c r="AC72" i="33"/>
  <c r="AB72" i="33"/>
  <c r="Y72" i="33"/>
  <c r="X72" i="33"/>
  <c r="W72" i="33"/>
  <c r="V72" i="33"/>
  <c r="T72" i="33"/>
  <c r="S72" i="33"/>
  <c r="R72" i="33"/>
  <c r="P72" i="33"/>
  <c r="O72" i="33"/>
  <c r="J72" i="33"/>
  <c r="AH71" i="33"/>
  <c r="AG71" i="33"/>
  <c r="AF71" i="33"/>
  <c r="AE71" i="33"/>
  <c r="AD71" i="33"/>
  <c r="AC71" i="33"/>
  <c r="AB71" i="33"/>
  <c r="Y71" i="33"/>
  <c r="X71" i="33"/>
  <c r="W71" i="33"/>
  <c r="V71" i="33"/>
  <c r="T71" i="33"/>
  <c r="S71" i="33"/>
  <c r="R71" i="33"/>
  <c r="P71" i="33"/>
  <c r="O71" i="33"/>
  <c r="N71" i="33"/>
  <c r="J71" i="33"/>
  <c r="AG70" i="33"/>
  <c r="AF70" i="33"/>
  <c r="AC70" i="33"/>
  <c r="AB70" i="33"/>
  <c r="Y70" i="33"/>
  <c r="X70" i="33"/>
  <c r="W70" i="33"/>
  <c r="V70" i="33"/>
  <c r="T70" i="33"/>
  <c r="S70" i="33"/>
  <c r="R70" i="33"/>
  <c r="P70" i="33"/>
  <c r="O70" i="33"/>
  <c r="J70" i="33"/>
  <c r="AG69" i="33"/>
  <c r="AF69" i="33"/>
  <c r="AE69" i="33"/>
  <c r="AD69" i="33"/>
  <c r="AC69" i="33"/>
  <c r="AB69" i="33"/>
  <c r="Y69" i="33"/>
  <c r="X69" i="33"/>
  <c r="W69" i="33"/>
  <c r="V69" i="33"/>
  <c r="T69" i="33"/>
  <c r="S69" i="33"/>
  <c r="R69" i="33"/>
  <c r="P69" i="33"/>
  <c r="O69" i="33"/>
  <c r="J69" i="33"/>
  <c r="I69" i="33"/>
  <c r="AG68" i="33"/>
  <c r="AF68" i="33"/>
  <c r="AE68" i="33"/>
  <c r="AD68" i="33"/>
  <c r="AC68" i="33"/>
  <c r="AB68" i="33"/>
  <c r="Y68" i="33"/>
  <c r="X68" i="33"/>
  <c r="W68" i="33"/>
  <c r="V68" i="33"/>
  <c r="T68" i="33"/>
  <c r="S68" i="33"/>
  <c r="R68" i="33"/>
  <c r="P68" i="33"/>
  <c r="O68" i="33"/>
  <c r="J68" i="33"/>
  <c r="I68" i="33"/>
  <c r="AG67" i="33"/>
  <c r="AF67" i="33"/>
  <c r="AC67" i="33"/>
  <c r="Y67" i="33"/>
  <c r="X67" i="33"/>
  <c r="W67" i="33"/>
  <c r="V67" i="33"/>
  <c r="T67" i="33"/>
  <c r="S67" i="33"/>
  <c r="R67" i="33"/>
  <c r="P67" i="33"/>
  <c r="O67" i="33"/>
  <c r="J67" i="33"/>
  <c r="I67" i="33"/>
  <c r="AG66" i="33"/>
  <c r="AF66" i="33"/>
  <c r="AC66" i="33"/>
  <c r="Y66" i="33"/>
  <c r="X66" i="33"/>
  <c r="W66" i="33"/>
  <c r="V66" i="33"/>
  <c r="T66" i="33"/>
  <c r="S66" i="33"/>
  <c r="R66" i="33"/>
  <c r="P66" i="33"/>
  <c r="O66" i="33"/>
  <c r="J66" i="33"/>
  <c r="I66" i="33"/>
  <c r="AG65" i="33"/>
  <c r="AF65" i="33"/>
  <c r="AC65" i="33"/>
  <c r="Y65" i="33"/>
  <c r="X65" i="33"/>
  <c r="W65" i="33"/>
  <c r="V65" i="33"/>
  <c r="T65" i="33"/>
  <c r="S65" i="33"/>
  <c r="R65" i="33"/>
  <c r="P65" i="33"/>
  <c r="O65" i="33"/>
  <c r="J65" i="33"/>
  <c r="I65" i="33"/>
  <c r="AG64" i="33"/>
  <c r="AF64" i="33"/>
  <c r="AC64" i="33"/>
  <c r="Y64" i="33"/>
  <c r="X64" i="33"/>
  <c r="W64" i="33"/>
  <c r="V64" i="33"/>
  <c r="T64" i="33"/>
  <c r="S64" i="33"/>
  <c r="R64" i="33"/>
  <c r="P64" i="33"/>
  <c r="O64" i="33"/>
  <c r="J64" i="33"/>
  <c r="I64" i="33"/>
  <c r="AH63" i="33"/>
  <c r="AG63" i="33"/>
  <c r="AF63" i="33"/>
  <c r="AE63" i="33"/>
  <c r="AD63" i="33"/>
  <c r="AC63" i="33"/>
  <c r="AB63" i="33"/>
  <c r="Z63" i="33"/>
  <c r="Y63" i="33"/>
  <c r="X63" i="33"/>
  <c r="W63" i="33"/>
  <c r="U63" i="33"/>
  <c r="T63" i="33"/>
  <c r="S63" i="33"/>
  <c r="R63" i="33"/>
  <c r="P63" i="33"/>
  <c r="J63" i="33"/>
  <c r="I63" i="33"/>
  <c r="AH62" i="33"/>
  <c r="AG62" i="33"/>
  <c r="AF62" i="33"/>
  <c r="AE62" i="33"/>
  <c r="AD62" i="33"/>
  <c r="AC62" i="33"/>
  <c r="Z62" i="33"/>
  <c r="Y62" i="33"/>
  <c r="X62" i="33"/>
  <c r="W62" i="33"/>
  <c r="U62" i="33"/>
  <c r="T62" i="33"/>
  <c r="S62" i="33"/>
  <c r="R62" i="33"/>
  <c r="P62" i="33"/>
  <c r="N62" i="33"/>
  <c r="J62" i="33"/>
  <c r="I62" i="33"/>
  <c r="AH61" i="33"/>
  <c r="AG61" i="33"/>
  <c r="AF61" i="33"/>
  <c r="AE61" i="33"/>
  <c r="AD61" i="33"/>
  <c r="AC61" i="33"/>
  <c r="Z61" i="33"/>
  <c r="Y61" i="33"/>
  <c r="X61" i="33"/>
  <c r="W61" i="33"/>
  <c r="U61" i="33"/>
  <c r="T61" i="33"/>
  <c r="S61" i="33"/>
  <c r="R61" i="33"/>
  <c r="P61" i="33"/>
  <c r="J61" i="33"/>
  <c r="AG60" i="33"/>
  <c r="AF60" i="33"/>
  <c r="AE60" i="33"/>
  <c r="AD60" i="33"/>
  <c r="AC60" i="33"/>
  <c r="Z60" i="33"/>
  <c r="Y60" i="33"/>
  <c r="X60" i="33"/>
  <c r="W60" i="33"/>
  <c r="U60" i="33"/>
  <c r="T60" i="33"/>
  <c r="S60" i="33"/>
  <c r="R60" i="33"/>
  <c r="P60" i="33"/>
  <c r="J60" i="33"/>
  <c r="I60" i="33"/>
  <c r="AG59" i="33"/>
  <c r="AF59" i="33"/>
  <c r="AE59" i="33"/>
  <c r="AD59" i="33"/>
  <c r="AC59" i="33"/>
  <c r="Z59" i="33"/>
  <c r="Y59" i="33"/>
  <c r="X59" i="33"/>
  <c r="W59" i="33"/>
  <c r="U59" i="33"/>
  <c r="T59" i="33"/>
  <c r="S59" i="33"/>
  <c r="R59" i="33"/>
  <c r="P59" i="33"/>
  <c r="J59" i="33"/>
  <c r="I59" i="33"/>
  <c r="AH58" i="33"/>
  <c r="AG58" i="33"/>
  <c r="AF58" i="33"/>
  <c r="AE58" i="33"/>
  <c r="AD58" i="33"/>
  <c r="AC58" i="33"/>
  <c r="AB58" i="33"/>
  <c r="N58" i="33" s="1"/>
  <c r="Y58" i="33"/>
  <c r="X58" i="33"/>
  <c r="W58" i="33"/>
  <c r="V58" i="33"/>
  <c r="T58" i="33"/>
  <c r="S58" i="33"/>
  <c r="R58" i="33"/>
  <c r="P58" i="33"/>
  <c r="O58" i="33"/>
  <c r="J58" i="33"/>
  <c r="AG57" i="33"/>
  <c r="AF57" i="33"/>
  <c r="AE57" i="33"/>
  <c r="AD57" i="33"/>
  <c r="AC57" i="33"/>
  <c r="Y57" i="33"/>
  <c r="X57" i="33"/>
  <c r="W57" i="33"/>
  <c r="V57" i="33"/>
  <c r="T57" i="33"/>
  <c r="S57" i="33"/>
  <c r="R57" i="33"/>
  <c r="P57" i="33"/>
  <c r="O57" i="33"/>
  <c r="J57" i="33"/>
  <c r="I57" i="33"/>
  <c r="AG56" i="33"/>
  <c r="AF56" i="33"/>
  <c r="AE56" i="33"/>
  <c r="AD56" i="33"/>
  <c r="AC56" i="33"/>
  <c r="AB56" i="33"/>
  <c r="Y56" i="33"/>
  <c r="X56" i="33"/>
  <c r="W56" i="33"/>
  <c r="V56" i="33"/>
  <c r="T56" i="33"/>
  <c r="S56" i="33"/>
  <c r="R56" i="33"/>
  <c r="P56" i="33"/>
  <c r="O56" i="33"/>
  <c r="J56" i="33"/>
  <c r="I56" i="33"/>
  <c r="AH55" i="33"/>
  <c r="AG55" i="33"/>
  <c r="AE55" i="33"/>
  <c r="AC55" i="33"/>
  <c r="Y55" i="33"/>
  <c r="X55" i="33"/>
  <c r="W55" i="33"/>
  <c r="V55" i="33"/>
  <c r="T55" i="33"/>
  <c r="S55" i="33"/>
  <c r="R55" i="33"/>
  <c r="P55" i="33"/>
  <c r="O55" i="33"/>
  <c r="J55" i="33"/>
  <c r="I55" i="33"/>
  <c r="AH54" i="33"/>
  <c r="AG54" i="33"/>
  <c r="AE54" i="33"/>
  <c r="AC54" i="33"/>
  <c r="Y54" i="33"/>
  <c r="X54" i="33"/>
  <c r="W54" i="33"/>
  <c r="V54" i="33"/>
  <c r="T54" i="33"/>
  <c r="S54" i="33"/>
  <c r="R54" i="33"/>
  <c r="P54" i="33"/>
  <c r="O54" i="33"/>
  <c r="J54" i="33"/>
  <c r="I54" i="33"/>
  <c r="AH53" i="33"/>
  <c r="AG53" i="33"/>
  <c r="AE53" i="33"/>
  <c r="AC53" i="33"/>
  <c r="Y53" i="33"/>
  <c r="X53" i="33"/>
  <c r="W53" i="33"/>
  <c r="V53" i="33"/>
  <c r="T53" i="33"/>
  <c r="S53" i="33"/>
  <c r="R53" i="33"/>
  <c r="P53" i="33"/>
  <c r="O53" i="33"/>
  <c r="J53" i="33"/>
  <c r="I53" i="33"/>
  <c r="AH52" i="33"/>
  <c r="AG52" i="33"/>
  <c r="AE52" i="33"/>
  <c r="AC52" i="33"/>
  <c r="Y52" i="33"/>
  <c r="X52" i="33"/>
  <c r="W52" i="33"/>
  <c r="V52" i="33"/>
  <c r="T52" i="33"/>
  <c r="S52" i="33"/>
  <c r="R52" i="33"/>
  <c r="P52" i="33"/>
  <c r="O52" i="33"/>
  <c r="J52" i="33"/>
  <c r="I52" i="33"/>
  <c r="AH51" i="33"/>
  <c r="AG51" i="33"/>
  <c r="AE51" i="33"/>
  <c r="AC51" i="33"/>
  <c r="Y51" i="33"/>
  <c r="X51" i="33"/>
  <c r="W51" i="33"/>
  <c r="V51" i="33"/>
  <c r="T51" i="33"/>
  <c r="S51" i="33"/>
  <c r="R51" i="33"/>
  <c r="P51" i="33"/>
  <c r="O51" i="33"/>
  <c r="J51" i="33"/>
  <c r="I51" i="33"/>
  <c r="AG50" i="33"/>
  <c r="AF50" i="33"/>
  <c r="AE50" i="33"/>
  <c r="AC50" i="33"/>
  <c r="Y50" i="33"/>
  <c r="X50" i="33"/>
  <c r="W50" i="33"/>
  <c r="T50" i="33"/>
  <c r="S50" i="33"/>
  <c r="R50" i="33"/>
  <c r="P50" i="33"/>
  <c r="J50" i="33"/>
  <c r="I50" i="33"/>
  <c r="AG49" i="33"/>
  <c r="AF49" i="33"/>
  <c r="AE49" i="33"/>
  <c r="AC49" i="33"/>
  <c r="Y49" i="33"/>
  <c r="X49" i="33"/>
  <c r="W49" i="33"/>
  <c r="T49" i="33"/>
  <c r="S49" i="33"/>
  <c r="R49" i="33"/>
  <c r="P49" i="33"/>
  <c r="J49" i="33"/>
  <c r="I49" i="33"/>
  <c r="AG48" i="33"/>
  <c r="AF48" i="33"/>
  <c r="AE48" i="33"/>
  <c r="AC48" i="33"/>
  <c r="Y48" i="33"/>
  <c r="X48" i="33"/>
  <c r="W48" i="33"/>
  <c r="T48" i="33"/>
  <c r="S48" i="33"/>
  <c r="R48" i="33"/>
  <c r="P48" i="33"/>
  <c r="J48" i="33"/>
  <c r="I48" i="33"/>
  <c r="AG47" i="33"/>
  <c r="AF47" i="33"/>
  <c r="AE47" i="33"/>
  <c r="AC47" i="33"/>
  <c r="Y47" i="33"/>
  <c r="X47" i="33"/>
  <c r="W47" i="33"/>
  <c r="T47" i="33"/>
  <c r="S47" i="33"/>
  <c r="R47" i="33"/>
  <c r="P47" i="33"/>
  <c r="J47" i="33"/>
  <c r="I47" i="33"/>
  <c r="AH46" i="33"/>
  <c r="AG46" i="33"/>
  <c r="AF46" i="33"/>
  <c r="AC46" i="33"/>
  <c r="Y46" i="33"/>
  <c r="X46" i="33"/>
  <c r="W46" i="33"/>
  <c r="T46" i="33"/>
  <c r="S46" i="33"/>
  <c r="R46" i="33"/>
  <c r="P46" i="33"/>
  <c r="J46" i="33"/>
  <c r="I46" i="33"/>
  <c r="AH45" i="33"/>
  <c r="AG45" i="33"/>
  <c r="AF45" i="33"/>
  <c r="AC45" i="33"/>
  <c r="Y45" i="33"/>
  <c r="X45" i="33"/>
  <c r="W45" i="33"/>
  <c r="T45" i="33"/>
  <c r="S45" i="33"/>
  <c r="R45" i="33"/>
  <c r="P45" i="33"/>
  <c r="J45" i="33"/>
  <c r="I45" i="33"/>
  <c r="AH44" i="33"/>
  <c r="AG44" i="33"/>
  <c r="AF44" i="33"/>
  <c r="AE44" i="33"/>
  <c r="AD44" i="33"/>
  <c r="AC44" i="33"/>
  <c r="AB44" i="33"/>
  <c r="Y44" i="33"/>
  <c r="X44" i="33"/>
  <c r="W44" i="33"/>
  <c r="T44" i="33"/>
  <c r="S44" i="33"/>
  <c r="R44" i="33"/>
  <c r="P44" i="33"/>
  <c r="N44" i="33"/>
  <c r="J44" i="33"/>
  <c r="AH43" i="33"/>
  <c r="AG43" i="33"/>
  <c r="AE43" i="33"/>
  <c r="AD43" i="33"/>
  <c r="AC43" i="33"/>
  <c r="Y43" i="33"/>
  <c r="X43" i="33"/>
  <c r="W43" i="33"/>
  <c r="T43" i="33"/>
  <c r="S43" i="33"/>
  <c r="R43" i="33"/>
  <c r="P43" i="33"/>
  <c r="J43" i="33"/>
  <c r="AH42" i="33"/>
  <c r="AG42" i="33"/>
  <c r="AF42" i="33"/>
  <c r="AC42" i="33"/>
  <c r="AB42" i="33"/>
  <c r="Y42" i="33"/>
  <c r="X42" i="33"/>
  <c r="W42" i="33"/>
  <c r="T42" i="33"/>
  <c r="S42" i="33"/>
  <c r="R42" i="33"/>
  <c r="P42" i="33"/>
  <c r="J42" i="33"/>
  <c r="I42" i="33"/>
  <c r="AH41" i="33"/>
  <c r="AG41" i="33"/>
  <c r="AF41" i="33"/>
  <c r="AC41" i="33"/>
  <c r="AB41" i="33"/>
  <c r="Y41" i="33"/>
  <c r="X41" i="33"/>
  <c r="W41" i="33"/>
  <c r="T41" i="33"/>
  <c r="S41" i="33"/>
  <c r="R41" i="33"/>
  <c r="P41" i="33"/>
  <c r="J41" i="33"/>
  <c r="I41" i="33"/>
  <c r="AH40" i="33"/>
  <c r="AG40" i="33"/>
  <c r="AE40" i="33"/>
  <c r="AD40" i="33"/>
  <c r="AC40" i="33"/>
  <c r="Y40" i="33"/>
  <c r="X40" i="33"/>
  <c r="W40" i="33"/>
  <c r="T40" i="33"/>
  <c r="S40" i="33"/>
  <c r="R40" i="33"/>
  <c r="P40" i="33"/>
  <c r="J40" i="33"/>
  <c r="I40" i="33"/>
  <c r="AH39" i="33"/>
  <c r="AG39" i="33"/>
  <c r="AE39" i="33"/>
  <c r="AD39" i="33"/>
  <c r="AC39" i="33"/>
  <c r="Y39" i="33"/>
  <c r="X39" i="33"/>
  <c r="W39" i="33"/>
  <c r="T39" i="33"/>
  <c r="S39" i="33"/>
  <c r="R39" i="33"/>
  <c r="P39" i="33"/>
  <c r="J39" i="33"/>
  <c r="I39" i="33"/>
  <c r="AH38" i="33"/>
  <c r="AG38" i="33"/>
  <c r="AE38" i="33"/>
  <c r="AD38" i="33"/>
  <c r="AC38" i="33"/>
  <c r="Y38" i="33"/>
  <c r="X38" i="33"/>
  <c r="W38" i="33"/>
  <c r="T38" i="33"/>
  <c r="S38" i="33"/>
  <c r="R38" i="33"/>
  <c r="P38" i="33"/>
  <c r="J38" i="33"/>
  <c r="I38" i="33"/>
  <c r="AH37" i="33"/>
  <c r="AG37" i="33"/>
  <c r="AE37" i="33"/>
  <c r="AD37" i="33"/>
  <c r="AC37" i="33"/>
  <c r="Y37" i="33"/>
  <c r="X37" i="33"/>
  <c r="W37" i="33"/>
  <c r="T37" i="33"/>
  <c r="S37" i="33"/>
  <c r="R37" i="33"/>
  <c r="P37" i="33"/>
  <c r="J37" i="33"/>
  <c r="I37" i="33"/>
  <c r="AH36" i="33"/>
  <c r="AG36" i="33"/>
  <c r="AE36" i="33"/>
  <c r="AD36" i="33"/>
  <c r="AC36" i="33"/>
  <c r="Y36" i="33"/>
  <c r="X36" i="33"/>
  <c r="W36" i="33"/>
  <c r="T36" i="33"/>
  <c r="S36" i="33"/>
  <c r="R36" i="33"/>
  <c r="P36" i="33"/>
  <c r="J36" i="33"/>
  <c r="I36" i="33"/>
  <c r="AH35" i="33"/>
  <c r="AG35" i="33"/>
  <c r="AE35" i="33"/>
  <c r="AD35" i="33"/>
  <c r="AC35" i="33"/>
  <c r="Y35" i="33"/>
  <c r="X35" i="33"/>
  <c r="W35" i="33"/>
  <c r="T35" i="33"/>
  <c r="S35" i="33"/>
  <c r="R35" i="33"/>
  <c r="P35" i="33"/>
  <c r="J35" i="33"/>
  <c r="I35" i="33"/>
  <c r="AH34" i="33"/>
  <c r="AG34" i="33"/>
  <c r="AF34" i="33"/>
  <c r="AC34" i="33"/>
  <c r="Y34" i="33"/>
  <c r="X34" i="33"/>
  <c r="W34" i="33"/>
  <c r="T34" i="33"/>
  <c r="S34" i="33"/>
  <c r="R34" i="33"/>
  <c r="P34" i="33"/>
  <c r="J34" i="33"/>
  <c r="I34" i="33"/>
  <c r="AH33" i="33"/>
  <c r="AG33" i="33"/>
  <c r="AF33" i="33"/>
  <c r="AC33" i="33"/>
  <c r="Y33" i="33"/>
  <c r="X33" i="33"/>
  <c r="W33" i="33"/>
  <c r="T33" i="33"/>
  <c r="S33" i="33"/>
  <c r="R33" i="33"/>
  <c r="P33" i="33"/>
  <c r="J33" i="33"/>
  <c r="I33" i="33"/>
  <c r="AH32" i="33"/>
  <c r="AG32" i="33"/>
  <c r="AF32" i="33"/>
  <c r="AC32" i="33"/>
  <c r="Y32" i="33"/>
  <c r="X32" i="33"/>
  <c r="W32" i="33"/>
  <c r="T32" i="33"/>
  <c r="S32" i="33"/>
  <c r="R32" i="33"/>
  <c r="P32" i="33"/>
  <c r="J32" i="33"/>
  <c r="I32" i="33"/>
  <c r="AG31" i="33"/>
  <c r="AF31" i="33"/>
  <c r="AE31" i="33"/>
  <c r="AD31" i="33"/>
  <c r="AC31" i="33"/>
  <c r="Y31" i="33"/>
  <c r="X31" i="33"/>
  <c r="W31" i="33"/>
  <c r="T31" i="33"/>
  <c r="S31" i="33"/>
  <c r="R31" i="33"/>
  <c r="P31" i="33"/>
  <c r="J31" i="33"/>
  <c r="AH30" i="33"/>
  <c r="AG30" i="33"/>
  <c r="AE30" i="33"/>
  <c r="AD30" i="33"/>
  <c r="AC30" i="33"/>
  <c r="Y30" i="33"/>
  <c r="X30" i="33"/>
  <c r="W30" i="33"/>
  <c r="T30" i="33"/>
  <c r="S30" i="33"/>
  <c r="R30" i="33"/>
  <c r="P30" i="33"/>
  <c r="J30" i="33"/>
  <c r="AF29" i="33"/>
  <c r="AE29" i="33"/>
  <c r="AD29" i="33"/>
  <c r="AC29" i="33"/>
  <c r="Y29" i="33"/>
  <c r="X29" i="33"/>
  <c r="W29" i="33"/>
  <c r="T29" i="33"/>
  <c r="S29" i="33"/>
  <c r="R29" i="33"/>
  <c r="P29" i="33"/>
  <c r="J29" i="33"/>
  <c r="AH28" i="33"/>
  <c r="AG28" i="33"/>
  <c r="AF28" i="33"/>
  <c r="AC28" i="33"/>
  <c r="Y28" i="33"/>
  <c r="X28" i="33"/>
  <c r="W28" i="33"/>
  <c r="T28" i="33"/>
  <c r="S28" i="33"/>
  <c r="R28" i="33"/>
  <c r="Q28" i="33"/>
  <c r="P28" i="33"/>
  <c r="J28" i="33"/>
  <c r="I28" i="33"/>
  <c r="AH27" i="33"/>
  <c r="AG27" i="33"/>
  <c r="AF27" i="33"/>
  <c r="AC27" i="33"/>
  <c r="Y27" i="33"/>
  <c r="X27" i="33"/>
  <c r="W27" i="33"/>
  <c r="T27" i="33"/>
  <c r="S27" i="33"/>
  <c r="R27" i="33"/>
  <c r="Q27" i="33"/>
  <c r="P27" i="33"/>
  <c r="J27" i="33"/>
  <c r="I27" i="33"/>
  <c r="AH26" i="33"/>
  <c r="AG26" i="33"/>
  <c r="AF26" i="33"/>
  <c r="AC26" i="33"/>
  <c r="Y26" i="33"/>
  <c r="X26" i="33"/>
  <c r="W26" i="33"/>
  <c r="T26" i="33"/>
  <c r="S26" i="33"/>
  <c r="R26" i="33"/>
  <c r="Q26" i="33"/>
  <c r="P26" i="33"/>
  <c r="J26" i="33"/>
  <c r="I26" i="33"/>
  <c r="AG25" i="33"/>
  <c r="AE25" i="33"/>
  <c r="AC25" i="33"/>
  <c r="Y25" i="33"/>
  <c r="X25" i="33"/>
  <c r="W25" i="33"/>
  <c r="V25" i="33"/>
  <c r="T25" i="33"/>
  <c r="S25" i="33"/>
  <c r="R25" i="33"/>
  <c r="P25" i="33"/>
  <c r="O25" i="33"/>
  <c r="J25" i="33"/>
  <c r="AG24" i="33"/>
  <c r="AE24" i="33"/>
  <c r="AC24" i="33"/>
  <c r="Y24" i="33"/>
  <c r="X24" i="33"/>
  <c r="W24" i="33"/>
  <c r="V24" i="33"/>
  <c r="T24" i="33"/>
  <c r="S24" i="33"/>
  <c r="R24" i="33"/>
  <c r="P24" i="33"/>
  <c r="O24" i="33"/>
  <c r="J24" i="33"/>
  <c r="I24" i="33"/>
  <c r="AG23" i="33"/>
  <c r="AE23" i="33"/>
  <c r="AC23" i="33"/>
  <c r="Y23" i="33"/>
  <c r="X23" i="33"/>
  <c r="W23" i="33"/>
  <c r="V23" i="33"/>
  <c r="T23" i="33"/>
  <c r="S23" i="33"/>
  <c r="R23" i="33"/>
  <c r="P23" i="33"/>
  <c r="O23" i="33"/>
  <c r="J23" i="33"/>
  <c r="I23" i="33"/>
  <c r="AH22" i="33"/>
  <c r="AG22" i="33"/>
  <c r="AF22" i="33"/>
  <c r="AE22" i="33"/>
  <c r="AD22" i="33"/>
  <c r="AC22" i="33"/>
  <c r="Y22" i="33"/>
  <c r="X22" i="33"/>
  <c r="W22" i="33"/>
  <c r="T22" i="33"/>
  <c r="S22" i="33"/>
  <c r="R22" i="33"/>
  <c r="P22" i="33"/>
  <c r="J22" i="33"/>
  <c r="AH21" i="33"/>
  <c r="AG21" i="33"/>
  <c r="AF21" i="33"/>
  <c r="AE21" i="33"/>
  <c r="AD21" i="33"/>
  <c r="AC21" i="33"/>
  <c r="Z21" i="33"/>
  <c r="Y21" i="33"/>
  <c r="X21" i="33"/>
  <c r="W21" i="33"/>
  <c r="U21" i="33"/>
  <c r="T21" i="33"/>
  <c r="S21" i="33"/>
  <c r="R21" i="33"/>
  <c r="P21" i="33"/>
  <c r="N21" i="33"/>
  <c r="J21" i="33"/>
  <c r="AH20" i="33"/>
  <c r="AG20" i="33"/>
  <c r="AF20" i="33"/>
  <c r="AE20" i="33"/>
  <c r="AD20" i="33"/>
  <c r="AC20" i="33"/>
  <c r="AB20" i="33"/>
  <c r="Y20" i="33"/>
  <c r="X20" i="33"/>
  <c r="W20" i="33"/>
  <c r="V20" i="33"/>
  <c r="T20" i="33"/>
  <c r="S20" i="33"/>
  <c r="R20" i="33"/>
  <c r="P20" i="33"/>
  <c r="O20" i="33"/>
  <c r="J20" i="33"/>
  <c r="I20" i="33"/>
  <c r="AH19" i="33"/>
  <c r="AG19" i="33"/>
  <c r="AF19" i="33"/>
  <c r="AE19" i="33"/>
  <c r="AD19" i="33"/>
  <c r="AC19" i="33"/>
  <c r="Y19" i="33"/>
  <c r="X19" i="33"/>
  <c r="W19" i="33"/>
  <c r="V19" i="33"/>
  <c r="T19" i="33"/>
  <c r="S19" i="33"/>
  <c r="R19" i="33"/>
  <c r="P19" i="33"/>
  <c r="O19" i="33"/>
  <c r="J19" i="33"/>
  <c r="I19" i="33"/>
  <c r="AH18" i="33"/>
  <c r="AG18" i="33"/>
  <c r="AF18" i="33"/>
  <c r="AE18" i="33"/>
  <c r="AD18" i="33"/>
  <c r="AC18" i="33"/>
  <c r="AB18" i="33"/>
  <c r="Y18" i="33"/>
  <c r="X18" i="33"/>
  <c r="W18" i="33"/>
  <c r="V18" i="33"/>
  <c r="T18" i="33"/>
  <c r="S18" i="33"/>
  <c r="R18" i="33"/>
  <c r="P18" i="33"/>
  <c r="O18" i="33"/>
  <c r="J18" i="33"/>
  <c r="I18" i="33"/>
  <c r="AH17" i="33"/>
  <c r="AG17" i="33"/>
  <c r="AF17" i="33"/>
  <c r="AE17" i="33"/>
  <c r="AD17" i="33"/>
  <c r="AC17" i="33"/>
  <c r="Y17" i="33"/>
  <c r="X17" i="33"/>
  <c r="W17" i="33"/>
  <c r="V17" i="33"/>
  <c r="T17" i="33"/>
  <c r="S17" i="33"/>
  <c r="R17" i="33"/>
  <c r="P17" i="33"/>
  <c r="O17" i="33"/>
  <c r="J17" i="33"/>
  <c r="I17" i="33"/>
  <c r="AH16" i="33"/>
  <c r="AG16" i="33"/>
  <c r="AF16" i="33"/>
  <c r="AE16" i="33"/>
  <c r="AD16" i="33"/>
  <c r="AC16" i="33"/>
  <c r="Y16" i="33"/>
  <c r="X16" i="33"/>
  <c r="W16" i="33"/>
  <c r="T16" i="33"/>
  <c r="S16" i="33"/>
  <c r="R16" i="33"/>
  <c r="P16" i="33"/>
  <c r="J16" i="33"/>
  <c r="I16" i="33"/>
  <c r="AH15" i="33"/>
  <c r="AG15" i="33"/>
  <c r="AF15" i="33"/>
  <c r="AE15" i="33"/>
  <c r="AD15" i="33"/>
  <c r="AC15" i="33"/>
  <c r="Y15" i="33"/>
  <c r="X15" i="33"/>
  <c r="W15" i="33"/>
  <c r="T15" i="33"/>
  <c r="S15" i="33"/>
  <c r="R15" i="33"/>
  <c r="P15" i="33"/>
  <c r="J15" i="33"/>
  <c r="I15" i="33"/>
  <c r="AH14" i="33"/>
  <c r="AG14" i="33"/>
  <c r="AF14" i="33"/>
  <c r="AE14" i="33"/>
  <c r="AC14" i="33"/>
  <c r="Z14" i="33"/>
  <c r="Y14" i="33"/>
  <c r="X14" i="33"/>
  <c r="W14" i="33"/>
  <c r="V14" i="33"/>
  <c r="U14" i="33"/>
  <c r="T14" i="33"/>
  <c r="S14" i="33"/>
  <c r="R14" i="33"/>
  <c r="Q14" i="33"/>
  <c r="P14" i="33"/>
  <c r="O14" i="33"/>
  <c r="J14" i="33"/>
  <c r="I14" i="33"/>
  <c r="AH13" i="33"/>
  <c r="AG13" i="33"/>
  <c r="AF13" i="33"/>
  <c r="AE13" i="33"/>
  <c r="AC13" i="33"/>
  <c r="Z13" i="33"/>
  <c r="Y13" i="33"/>
  <c r="X13" i="33"/>
  <c r="W13" i="33"/>
  <c r="V13" i="33"/>
  <c r="U13" i="33"/>
  <c r="T13" i="33"/>
  <c r="S13" i="33"/>
  <c r="R13" i="33"/>
  <c r="Q13" i="33"/>
  <c r="P13" i="33"/>
  <c r="O13" i="33"/>
  <c r="J13" i="33"/>
  <c r="I13" i="33"/>
  <c r="P10" i="33"/>
  <c r="O10" i="33"/>
  <c r="AC37" i="37"/>
  <c r="AB37" i="37"/>
  <c r="Z37" i="37"/>
  <c r="Y37" i="37"/>
  <c r="X37" i="37"/>
  <c r="W37" i="37"/>
  <c r="V37" i="37"/>
  <c r="T37" i="37"/>
  <c r="S37" i="37"/>
  <c r="R37" i="37"/>
  <c r="Q37" i="37"/>
  <c r="P37" i="37"/>
  <c r="L37" i="37"/>
  <c r="K37" i="37"/>
  <c r="AC36" i="37"/>
  <c r="AB36" i="37"/>
  <c r="Z36" i="37"/>
  <c r="Y36" i="37"/>
  <c r="X36" i="37"/>
  <c r="W36" i="37"/>
  <c r="V36" i="37"/>
  <c r="T36" i="37"/>
  <c r="S36" i="37"/>
  <c r="R36" i="37"/>
  <c r="Q36" i="37"/>
  <c r="P36" i="37"/>
  <c r="L36" i="37"/>
  <c r="K36" i="37"/>
  <c r="AC35" i="37"/>
  <c r="AB35" i="37"/>
  <c r="AA35" i="37"/>
  <c r="Z35" i="37"/>
  <c r="Y35" i="37"/>
  <c r="X35" i="37"/>
  <c r="W35" i="37"/>
  <c r="V35" i="37"/>
  <c r="T35" i="37"/>
  <c r="S35" i="37"/>
  <c r="R35" i="37"/>
  <c r="Q35" i="37"/>
  <c r="P35" i="37"/>
  <c r="L35" i="37"/>
  <c r="K35" i="37"/>
  <c r="I35" i="37"/>
  <c r="AC34" i="37"/>
  <c r="AB34" i="37"/>
  <c r="AA34" i="37"/>
  <c r="Z34" i="37"/>
  <c r="Y34" i="37"/>
  <c r="X34" i="37"/>
  <c r="W34" i="37"/>
  <c r="V34" i="37"/>
  <c r="T34" i="37"/>
  <c r="S34" i="37"/>
  <c r="R34" i="37"/>
  <c r="Q34" i="37"/>
  <c r="P34" i="37"/>
  <c r="L34" i="37"/>
  <c r="K34" i="37"/>
  <c r="I34" i="37"/>
  <c r="AC33" i="37"/>
  <c r="AB33" i="37"/>
  <c r="AA33" i="37"/>
  <c r="Z33" i="37"/>
  <c r="Y33" i="37"/>
  <c r="X33" i="37"/>
  <c r="W33" i="37"/>
  <c r="V33" i="37"/>
  <c r="T33" i="37"/>
  <c r="S33" i="37"/>
  <c r="R33" i="37"/>
  <c r="Q33" i="37"/>
  <c r="P33" i="37"/>
  <c r="L33" i="37"/>
  <c r="K33" i="37"/>
  <c r="AC32" i="37"/>
  <c r="AB32" i="37"/>
  <c r="AA32" i="37"/>
  <c r="Z32" i="37"/>
  <c r="Y32" i="37"/>
  <c r="X32" i="37"/>
  <c r="W32" i="37"/>
  <c r="V32" i="37"/>
  <c r="T32" i="37"/>
  <c r="S32" i="37"/>
  <c r="R32" i="37"/>
  <c r="Q32" i="37"/>
  <c r="P32" i="37"/>
  <c r="L32" i="37"/>
  <c r="K32" i="37"/>
  <c r="AC31" i="37"/>
  <c r="AB31" i="37"/>
  <c r="Z31" i="37"/>
  <c r="Y31" i="37"/>
  <c r="X31" i="37"/>
  <c r="W31" i="37"/>
  <c r="V31" i="37"/>
  <c r="T31" i="37"/>
  <c r="S31" i="37"/>
  <c r="R31" i="37"/>
  <c r="Q31" i="37"/>
  <c r="P31" i="37"/>
  <c r="L31" i="37"/>
  <c r="K31" i="37"/>
  <c r="AC30" i="37"/>
  <c r="AB30" i="37"/>
  <c r="AA30" i="37"/>
  <c r="Z30" i="37"/>
  <c r="Y30" i="37"/>
  <c r="X30" i="37"/>
  <c r="W30" i="37"/>
  <c r="V30" i="37"/>
  <c r="T30" i="37"/>
  <c r="S30" i="37"/>
  <c r="R30" i="37"/>
  <c r="Q30" i="37"/>
  <c r="P30" i="37"/>
  <c r="L30" i="37"/>
  <c r="K30" i="37"/>
  <c r="AC29" i="37"/>
  <c r="AB29" i="37"/>
  <c r="Z29" i="37"/>
  <c r="Y29" i="37"/>
  <c r="X29" i="37"/>
  <c r="W29" i="37"/>
  <c r="V29" i="37"/>
  <c r="T29" i="37"/>
  <c r="S29" i="37"/>
  <c r="Q29" i="37"/>
  <c r="P29" i="37"/>
  <c r="AC28" i="37"/>
  <c r="AB28" i="37"/>
  <c r="Z28" i="37"/>
  <c r="Y28" i="37"/>
  <c r="X28" i="37"/>
  <c r="W28" i="37"/>
  <c r="V28" i="37"/>
  <c r="T28" i="37"/>
  <c r="S28" i="37"/>
  <c r="Q28" i="37"/>
  <c r="P28" i="37"/>
  <c r="L28" i="37"/>
  <c r="K28" i="37"/>
  <c r="AC27" i="37"/>
  <c r="AB27" i="37"/>
  <c r="AA27" i="37"/>
  <c r="Z27" i="37"/>
  <c r="Y27" i="37"/>
  <c r="X27" i="37"/>
  <c r="W27" i="37"/>
  <c r="V27" i="37"/>
  <c r="T27" i="37"/>
  <c r="S27" i="37"/>
  <c r="Q27" i="37"/>
  <c r="P27" i="37"/>
  <c r="AC26" i="37"/>
  <c r="AB26" i="37"/>
  <c r="AA26" i="37"/>
  <c r="Z26" i="37"/>
  <c r="Y26" i="37"/>
  <c r="X26" i="37"/>
  <c r="W26" i="37"/>
  <c r="V26" i="37"/>
  <c r="T26" i="37"/>
  <c r="S26" i="37"/>
  <c r="Q26" i="37"/>
  <c r="P26" i="37"/>
  <c r="L26" i="37"/>
  <c r="K26" i="37"/>
  <c r="AC25" i="37"/>
  <c r="AB25" i="37"/>
  <c r="AA25" i="37"/>
  <c r="Z25" i="37"/>
  <c r="Y25" i="37"/>
  <c r="X25" i="37"/>
  <c r="W25" i="37"/>
  <c r="V25" i="37"/>
  <c r="T25" i="37"/>
  <c r="S25" i="37"/>
  <c r="Q25" i="37"/>
  <c r="P25" i="37"/>
  <c r="L25" i="37"/>
  <c r="K25" i="37"/>
  <c r="AC24" i="37"/>
  <c r="AB24" i="37"/>
  <c r="AA24" i="37"/>
  <c r="Z24" i="37"/>
  <c r="Y24" i="37"/>
  <c r="X24" i="37"/>
  <c r="W24" i="37"/>
  <c r="V24" i="37"/>
  <c r="T24" i="37"/>
  <c r="S24" i="37"/>
  <c r="Q24" i="37"/>
  <c r="P24" i="37"/>
  <c r="L24" i="37"/>
  <c r="K24" i="37"/>
  <c r="I24" i="37"/>
  <c r="AC23" i="37"/>
  <c r="AB23" i="37"/>
  <c r="AA23" i="37"/>
  <c r="Z23" i="37"/>
  <c r="Y23" i="37"/>
  <c r="X23" i="37"/>
  <c r="W23" i="37"/>
  <c r="V23" i="37"/>
  <c r="T23" i="37"/>
  <c r="S23" i="37"/>
  <c r="Q23" i="37"/>
  <c r="P23" i="37"/>
  <c r="L23" i="37"/>
  <c r="K23" i="37"/>
  <c r="I23" i="37"/>
  <c r="AC22" i="37"/>
  <c r="AB22" i="37"/>
  <c r="AA22" i="37"/>
  <c r="Z22" i="37"/>
  <c r="Y22" i="37"/>
  <c r="X22" i="37"/>
  <c r="W22" i="37"/>
  <c r="V22" i="37"/>
  <c r="T22" i="37"/>
  <c r="S22" i="37"/>
  <c r="Q22" i="37"/>
  <c r="P22" i="37"/>
  <c r="L22" i="37"/>
  <c r="K22" i="37"/>
  <c r="I22" i="37"/>
  <c r="AC21" i="37"/>
  <c r="AB21" i="37"/>
  <c r="AA21" i="37"/>
  <c r="Z21" i="37"/>
  <c r="Y21" i="37"/>
  <c r="X21" i="37"/>
  <c r="W21" i="37"/>
  <c r="V21" i="37"/>
  <c r="T21" i="37"/>
  <c r="S21" i="37"/>
  <c r="Q21" i="37"/>
  <c r="P21" i="37"/>
  <c r="L21" i="37"/>
  <c r="K21" i="37"/>
  <c r="I21" i="37"/>
  <c r="AC20" i="37"/>
  <c r="Y20" i="37"/>
  <c r="X20" i="37"/>
  <c r="V20" i="37"/>
  <c r="T20" i="37"/>
  <c r="S20" i="37"/>
  <c r="Q20" i="37"/>
  <c r="P20" i="37"/>
  <c r="L20" i="37"/>
  <c r="I20" i="37"/>
  <c r="AC19" i="37"/>
  <c r="Y19" i="37"/>
  <c r="X19" i="37"/>
  <c r="V19" i="37"/>
  <c r="T19" i="37"/>
  <c r="S19" i="37"/>
  <c r="Q19" i="37"/>
  <c r="P19" i="37"/>
  <c r="L19" i="37"/>
  <c r="I19" i="37"/>
  <c r="AC18" i="37"/>
  <c r="Y18" i="37"/>
  <c r="X18" i="37"/>
  <c r="V18" i="37"/>
  <c r="T18" i="37"/>
  <c r="S18" i="37"/>
  <c r="Q18" i="37"/>
  <c r="P18" i="37"/>
  <c r="L18" i="37"/>
  <c r="I18" i="37"/>
  <c r="AC17" i="37"/>
  <c r="AB17" i="37"/>
  <c r="AA17" i="37"/>
  <c r="Z17" i="37"/>
  <c r="Y17" i="37"/>
  <c r="X17" i="37"/>
  <c r="W17" i="37"/>
  <c r="V17" i="37"/>
  <c r="T17" i="37"/>
  <c r="S17" i="37"/>
  <c r="R17" i="37"/>
  <c r="Q17" i="37"/>
  <c r="P17" i="37"/>
  <c r="L17" i="37"/>
  <c r="K17" i="37"/>
  <c r="AC16" i="37"/>
  <c r="AB16" i="37"/>
  <c r="AA16" i="37"/>
  <c r="Z16" i="37"/>
  <c r="Y16" i="37"/>
  <c r="X16" i="37"/>
  <c r="W16" i="37"/>
  <c r="V16" i="37"/>
  <c r="T16" i="37"/>
  <c r="S16" i="37"/>
  <c r="R16" i="37"/>
  <c r="Q16" i="37"/>
  <c r="P16" i="37"/>
  <c r="O16" i="37"/>
  <c r="L16" i="37"/>
  <c r="K16" i="37"/>
  <c r="AC15" i="37"/>
  <c r="AB15" i="37"/>
  <c r="Z15" i="37"/>
  <c r="Y15" i="37"/>
  <c r="X15" i="37"/>
  <c r="W15" i="37"/>
  <c r="V15" i="37"/>
  <c r="T15" i="37"/>
  <c r="S15" i="37"/>
  <c r="Q15" i="37"/>
  <c r="P15" i="37"/>
  <c r="L15" i="37"/>
  <c r="K15" i="37"/>
  <c r="AC14" i="37"/>
  <c r="AB14" i="37"/>
  <c r="AA14" i="37"/>
  <c r="Z14" i="37"/>
  <c r="Y14" i="37"/>
  <c r="X14" i="37"/>
  <c r="W14" i="37"/>
  <c r="V14" i="37"/>
  <c r="T14" i="37"/>
  <c r="S14" i="37"/>
  <c r="Q14" i="37"/>
  <c r="P14" i="37"/>
  <c r="L14" i="37"/>
  <c r="K14" i="37"/>
  <c r="AC13" i="37"/>
  <c r="AB13" i="37"/>
  <c r="AA13" i="37"/>
  <c r="Z13" i="37"/>
  <c r="X13" i="37"/>
  <c r="W13" i="37"/>
  <c r="V13" i="37"/>
  <c r="T13" i="37"/>
  <c r="S13" i="37"/>
  <c r="R13" i="37"/>
  <c r="Q13" i="37"/>
  <c r="P13" i="37"/>
  <c r="L13" i="37"/>
  <c r="K13" i="37"/>
  <c r="O10" i="37"/>
  <c r="L10" i="37"/>
  <c r="K10" i="37"/>
  <c r="H18" i="36"/>
  <c r="F18" i="36"/>
  <c r="H17" i="36"/>
  <c r="F17" i="36"/>
  <c r="H16" i="36"/>
  <c r="F16" i="36"/>
  <c r="H15" i="36"/>
  <c r="F15" i="36"/>
  <c r="H14" i="36"/>
  <c r="F14" i="36"/>
  <c r="H13" i="36"/>
  <c r="F13" i="36"/>
  <c r="H12" i="36"/>
  <c r="F12" i="36"/>
  <c r="E11" i="36"/>
  <c r="E10" i="36"/>
  <c r="I61" i="28"/>
  <c r="I57" i="28"/>
  <c r="H49" i="28"/>
  <c r="I49" i="28" s="1"/>
  <c r="H48" i="28"/>
  <c r="I48" i="28" s="1"/>
  <c r="H47" i="28"/>
  <c r="I47" i="28" s="1"/>
  <c r="H46" i="28"/>
  <c r="I46" i="28" s="1"/>
  <c r="I45" i="28"/>
  <c r="H45" i="28"/>
  <c r="F45" i="28"/>
  <c r="I44" i="28"/>
  <c r="H44" i="28"/>
  <c r="F44" i="28"/>
  <c r="I43" i="28"/>
  <c r="H43" i="28"/>
  <c r="F43" i="28"/>
  <c r="H42" i="28"/>
  <c r="I42" i="28" s="1"/>
  <c r="F42" i="28"/>
  <c r="I41" i="28"/>
  <c r="H41" i="28"/>
  <c r="F41" i="28"/>
  <c r="I40" i="28"/>
  <c r="H40" i="28"/>
  <c r="F40" i="28"/>
  <c r="I39" i="28"/>
  <c r="H39" i="28"/>
  <c r="F39" i="28"/>
  <c r="H38" i="28"/>
  <c r="I38" i="28" s="1"/>
  <c r="F38" i="28"/>
  <c r="I37" i="28"/>
  <c r="H37" i="28"/>
  <c r="F37" i="28"/>
  <c r="I36" i="28"/>
  <c r="H36" i="28"/>
  <c r="F36" i="28"/>
  <c r="I35" i="28"/>
  <c r="I64" i="28" s="1"/>
  <c r="H35" i="28"/>
  <c r="F35" i="28"/>
  <c r="H34" i="28"/>
  <c r="I34" i="28" s="1"/>
  <c r="I63" i="28" s="1"/>
  <c r="F34" i="28"/>
  <c r="I33" i="28"/>
  <c r="H33" i="28"/>
  <c r="F33" i="28"/>
  <c r="I32" i="28"/>
  <c r="H32" i="28"/>
  <c r="F32" i="28"/>
  <c r="I31" i="28"/>
  <c r="I60" i="28" s="1"/>
  <c r="H31" i="28"/>
  <c r="F31" i="28"/>
  <c r="H30" i="28"/>
  <c r="I30" i="28" s="1"/>
  <c r="I59" i="28" s="1"/>
  <c r="F30" i="28"/>
  <c r="I29" i="28"/>
  <c r="H29" i="28"/>
  <c r="F29" i="28"/>
  <c r="I28" i="28"/>
  <c r="I50" i="28" s="1"/>
  <c r="H28" i="28"/>
  <c r="F28" i="28"/>
  <c r="I27" i="28"/>
  <c r="H27" i="28"/>
  <c r="F27" i="28"/>
  <c r="I26" i="28"/>
  <c r="H26" i="28"/>
  <c r="F26" i="28"/>
  <c r="I25" i="28"/>
  <c r="H25" i="28"/>
  <c r="F25" i="28"/>
  <c r="I24" i="28"/>
  <c r="H24" i="28"/>
  <c r="F24" i="28"/>
  <c r="I23" i="28"/>
  <c r="H23" i="28"/>
  <c r="F23" i="28"/>
  <c r="I22" i="28"/>
  <c r="H22" i="28"/>
  <c r="F22" i="28"/>
  <c r="I21" i="28"/>
  <c r="H21" i="28"/>
  <c r="F21" i="28"/>
  <c r="I20" i="28"/>
  <c r="H20" i="28"/>
  <c r="F20" i="28"/>
  <c r="I19" i="28"/>
  <c r="H19" i="28"/>
  <c r="F19" i="28"/>
  <c r="I18" i="28"/>
  <c r="H18" i="28"/>
  <c r="F18" i="28"/>
  <c r="I17" i="28"/>
  <c r="H17" i="28"/>
  <c r="F17" i="28"/>
  <c r="I16" i="28"/>
  <c r="H16" i="28"/>
  <c r="F16" i="28"/>
  <c r="I15" i="28"/>
  <c r="H15" i="28"/>
  <c r="F15" i="28"/>
  <c r="I14" i="28"/>
  <c r="H14" i="28"/>
  <c r="F14" i="28"/>
  <c r="I13" i="28"/>
  <c r="H13" i="28"/>
  <c r="F13" i="28"/>
  <c r="I12" i="28"/>
  <c r="H12" i="28"/>
  <c r="F12" i="28"/>
  <c r="I11" i="28"/>
  <c r="H11" i="28"/>
  <c r="F11" i="28"/>
  <c r="I10" i="28"/>
  <c r="H10" i="28"/>
  <c r="F10" i="28"/>
  <c r="I126" i="49"/>
  <c r="H126" i="49"/>
  <c r="I125" i="49"/>
  <c r="H125" i="49"/>
  <c r="I124" i="49"/>
  <c r="H124" i="49"/>
  <c r="I123" i="49"/>
  <c r="H123" i="49"/>
  <c r="I122" i="49"/>
  <c r="H122" i="49"/>
  <c r="I121" i="49"/>
  <c r="H121" i="49"/>
  <c r="I120" i="49"/>
  <c r="H120" i="49"/>
  <c r="I119" i="49"/>
  <c r="H119" i="49"/>
  <c r="I118" i="49"/>
  <c r="H118" i="49"/>
  <c r="I111" i="49"/>
  <c r="H111" i="49"/>
  <c r="G111" i="49"/>
  <c r="I110" i="49"/>
  <c r="H110" i="49"/>
  <c r="C110" i="49"/>
  <c r="B110" i="49"/>
  <c r="I109" i="49"/>
  <c r="H109" i="49"/>
  <c r="C109" i="49"/>
  <c r="B109" i="49"/>
  <c r="I108" i="49"/>
  <c r="H108" i="49"/>
  <c r="C108" i="49"/>
  <c r="B108" i="49"/>
  <c r="I107" i="49"/>
  <c r="H107" i="49"/>
  <c r="C107" i="49"/>
  <c r="B107" i="49"/>
  <c r="I106" i="49"/>
  <c r="H106" i="49"/>
  <c r="C106" i="49"/>
  <c r="B106" i="49"/>
  <c r="I105" i="49"/>
  <c r="H105" i="49"/>
  <c r="C105" i="49"/>
  <c r="U14" i="37" s="1"/>
  <c r="B105" i="49"/>
  <c r="I104" i="49"/>
  <c r="H104" i="49"/>
  <c r="C104" i="49"/>
  <c r="B104" i="49"/>
  <c r="I103" i="49"/>
  <c r="H103" i="49"/>
  <c r="C103" i="49"/>
  <c r="B103" i="49"/>
  <c r="I102" i="49"/>
  <c r="H102" i="49"/>
  <c r="C102" i="49"/>
  <c r="B102" i="49"/>
  <c r="I101" i="49"/>
  <c r="H101" i="49"/>
  <c r="C101" i="49"/>
  <c r="B101" i="49"/>
  <c r="I100" i="49"/>
  <c r="H100" i="49"/>
  <c r="C100" i="49"/>
  <c r="B100" i="49"/>
  <c r="I99" i="49"/>
  <c r="H99" i="49"/>
  <c r="C99" i="49"/>
  <c r="B99" i="49"/>
  <c r="I98" i="49"/>
  <c r="H98" i="49"/>
  <c r="C98" i="49"/>
  <c r="B98" i="49"/>
  <c r="I97" i="49"/>
  <c r="H97" i="49"/>
  <c r="C97" i="49"/>
  <c r="B97" i="49"/>
  <c r="I96" i="49"/>
  <c r="H96" i="49"/>
  <c r="C96" i="49"/>
  <c r="B96" i="49"/>
  <c r="I95" i="49"/>
  <c r="H95" i="49"/>
  <c r="C95" i="49"/>
  <c r="B95" i="49"/>
  <c r="I94" i="49"/>
  <c r="H94" i="49"/>
  <c r="C94" i="49"/>
  <c r="B94" i="49"/>
  <c r="I93" i="49"/>
  <c r="H93" i="49"/>
  <c r="C93" i="49"/>
  <c r="B93" i="49"/>
  <c r="I92" i="49"/>
  <c r="H92" i="49"/>
  <c r="C92" i="49"/>
  <c r="B92" i="49"/>
  <c r="I91" i="49"/>
  <c r="H91" i="49"/>
  <c r="C91" i="49"/>
  <c r="B91" i="49"/>
  <c r="I90" i="49"/>
  <c r="H90" i="49"/>
  <c r="C90" i="49"/>
  <c r="B90" i="49"/>
  <c r="I89" i="49"/>
  <c r="H89" i="49"/>
  <c r="C89" i="49"/>
  <c r="B89" i="49"/>
  <c r="I88" i="49"/>
  <c r="H88" i="49"/>
  <c r="C88" i="49"/>
  <c r="B88" i="49"/>
  <c r="I87" i="49"/>
  <c r="H87" i="49"/>
  <c r="C87" i="49"/>
  <c r="B87" i="49"/>
  <c r="I86" i="49"/>
  <c r="H86" i="49"/>
  <c r="C86" i="49"/>
  <c r="B86" i="49"/>
  <c r="I85" i="49"/>
  <c r="H85" i="49"/>
  <c r="C85" i="49"/>
  <c r="B85" i="49"/>
  <c r="I84" i="49"/>
  <c r="H84" i="49"/>
  <c r="C84" i="49"/>
  <c r="B84" i="49"/>
  <c r="I83" i="49"/>
  <c r="H83" i="49"/>
  <c r="C83" i="49"/>
  <c r="B83" i="49"/>
  <c r="I82" i="49"/>
  <c r="H82" i="49"/>
  <c r="C82" i="49"/>
  <c r="B82" i="49"/>
  <c r="I81" i="49"/>
  <c r="H81" i="49"/>
  <c r="C81" i="49"/>
  <c r="B81" i="49"/>
  <c r="I80" i="49"/>
  <c r="H80" i="49"/>
  <c r="C80" i="49"/>
  <c r="B80" i="49"/>
  <c r="I79" i="49"/>
  <c r="H79" i="49"/>
  <c r="C79" i="49"/>
  <c r="B79" i="49"/>
  <c r="I78" i="49"/>
  <c r="H78" i="49"/>
  <c r="C78" i="49"/>
  <c r="B78" i="49"/>
  <c r="I77" i="49"/>
  <c r="H77" i="49"/>
  <c r="C77" i="49"/>
  <c r="B77" i="49"/>
  <c r="I76" i="49"/>
  <c r="H76" i="49"/>
  <c r="C76" i="49"/>
  <c r="B76" i="49"/>
  <c r="I75" i="49"/>
  <c r="H75" i="49"/>
  <c r="C75" i="49"/>
  <c r="B75" i="49"/>
  <c r="I74" i="49"/>
  <c r="H74" i="49"/>
  <c r="C74" i="49"/>
  <c r="B74" i="49"/>
  <c r="I73" i="49"/>
  <c r="H73" i="49"/>
  <c r="C73" i="49"/>
  <c r="B73" i="49"/>
  <c r="I72" i="49"/>
  <c r="H72" i="49"/>
  <c r="C72" i="49"/>
  <c r="B72" i="49"/>
  <c r="I71" i="49"/>
  <c r="H71" i="49"/>
  <c r="C71" i="49"/>
  <c r="B71" i="49"/>
  <c r="I70" i="49"/>
  <c r="H70" i="49"/>
  <c r="C70" i="49"/>
  <c r="B70" i="49"/>
  <c r="I69" i="49"/>
  <c r="H69" i="49"/>
  <c r="C69" i="49"/>
  <c r="B69" i="49"/>
  <c r="I68" i="49"/>
  <c r="H68" i="49"/>
  <c r="C68" i="49"/>
  <c r="B68" i="49"/>
  <c r="I67" i="49"/>
  <c r="H67" i="49"/>
  <c r="C67" i="49"/>
  <c r="B67" i="49"/>
  <c r="I66" i="49"/>
  <c r="H66" i="49"/>
  <c r="C66" i="49"/>
  <c r="B66" i="49"/>
  <c r="I65" i="49"/>
  <c r="H65" i="49"/>
  <c r="C65" i="49"/>
  <c r="B65" i="49"/>
  <c r="I64" i="49"/>
  <c r="H64" i="49"/>
  <c r="C64" i="49"/>
  <c r="B64" i="49"/>
  <c r="I63" i="49"/>
  <c r="H63" i="49"/>
  <c r="C63" i="49"/>
  <c r="B63" i="49"/>
  <c r="I62" i="49"/>
  <c r="H62" i="49"/>
  <c r="C62" i="49"/>
  <c r="B62" i="49"/>
  <c r="I61" i="49"/>
  <c r="H61" i="49"/>
  <c r="C61" i="49"/>
  <c r="B61" i="49"/>
  <c r="I60" i="49"/>
  <c r="H60" i="49"/>
  <c r="C60" i="49"/>
  <c r="B60" i="49"/>
  <c r="I59" i="49"/>
  <c r="H59" i="49"/>
  <c r="C59" i="49"/>
  <c r="B59" i="49"/>
  <c r="I58" i="49"/>
  <c r="H58" i="49"/>
  <c r="C58" i="49"/>
  <c r="B58" i="49"/>
  <c r="I57" i="49"/>
  <c r="H57" i="49"/>
  <c r="C57" i="49"/>
  <c r="B57" i="49"/>
  <c r="I56" i="49"/>
  <c r="H56" i="49"/>
  <c r="C56" i="49"/>
  <c r="B56" i="49"/>
  <c r="I55" i="49"/>
  <c r="H55" i="49"/>
  <c r="C55" i="49"/>
  <c r="B55" i="49"/>
  <c r="I54" i="49"/>
  <c r="H54" i="49"/>
  <c r="C54" i="49"/>
  <c r="B54" i="49"/>
  <c r="I53" i="49"/>
  <c r="H53" i="49"/>
  <c r="C53" i="49"/>
  <c r="B53" i="49"/>
  <c r="I52" i="49"/>
  <c r="H52" i="49"/>
  <c r="C52" i="49"/>
  <c r="B52" i="49"/>
  <c r="I51" i="49"/>
  <c r="H51" i="49"/>
  <c r="C51" i="49"/>
  <c r="B51" i="49"/>
  <c r="I50" i="49"/>
  <c r="H50" i="49"/>
  <c r="C50" i="49"/>
  <c r="B50" i="49"/>
  <c r="I49" i="49"/>
  <c r="H49" i="49"/>
  <c r="C49" i="49"/>
  <c r="B49" i="49"/>
  <c r="I48" i="49"/>
  <c r="H48" i="49"/>
  <c r="C48" i="49"/>
  <c r="B48" i="49"/>
  <c r="I47" i="49"/>
  <c r="H47" i="49"/>
  <c r="C47" i="49"/>
  <c r="B47" i="49"/>
  <c r="I46" i="49"/>
  <c r="H46" i="49"/>
  <c r="C46" i="49"/>
  <c r="B46" i="49"/>
  <c r="I45" i="49"/>
  <c r="H45" i="49"/>
  <c r="C45" i="49"/>
  <c r="B45" i="49"/>
  <c r="I44" i="49"/>
  <c r="H44" i="49"/>
  <c r="C44" i="49"/>
  <c r="B44" i="49"/>
  <c r="I43" i="49"/>
  <c r="H43" i="49"/>
  <c r="C43" i="49"/>
  <c r="B43" i="49"/>
  <c r="I42" i="49"/>
  <c r="H42" i="49"/>
  <c r="C42" i="49"/>
  <c r="B42" i="49"/>
  <c r="I41" i="49"/>
  <c r="H41" i="49"/>
  <c r="C41" i="49"/>
  <c r="B41" i="49"/>
  <c r="I40" i="49"/>
  <c r="H40" i="49"/>
  <c r="C40" i="49"/>
  <c r="B40" i="49"/>
  <c r="I39" i="49"/>
  <c r="H39" i="49"/>
  <c r="C39" i="49"/>
  <c r="B39" i="49"/>
  <c r="I38" i="49"/>
  <c r="H38" i="49"/>
  <c r="C38" i="49"/>
  <c r="B38" i="49"/>
  <c r="I37" i="49"/>
  <c r="H37" i="49"/>
  <c r="C37" i="49"/>
  <c r="B37" i="49"/>
  <c r="I36" i="49"/>
  <c r="H36" i="49"/>
  <c r="C36" i="49"/>
  <c r="B36" i="49"/>
  <c r="I35" i="49"/>
  <c r="H35" i="49"/>
  <c r="C35" i="49"/>
  <c r="B35" i="49"/>
  <c r="I34" i="49"/>
  <c r="H34" i="49"/>
  <c r="C34" i="49"/>
  <c r="B34" i="49"/>
  <c r="I33" i="49"/>
  <c r="H33" i="49"/>
  <c r="C33" i="49"/>
  <c r="B33" i="49"/>
  <c r="I32" i="49"/>
  <c r="H32" i="49"/>
  <c r="C32" i="49"/>
  <c r="B32" i="49"/>
  <c r="I31" i="49"/>
  <c r="H31" i="49"/>
  <c r="C31" i="49"/>
  <c r="B31" i="49"/>
  <c r="I30" i="49"/>
  <c r="H30" i="49"/>
  <c r="C30" i="49"/>
  <c r="B30" i="49"/>
  <c r="I23" i="49"/>
  <c r="H23" i="49"/>
  <c r="G23" i="49"/>
  <c r="B23" i="49"/>
  <c r="I19" i="49"/>
  <c r="G19" i="49"/>
  <c r="E19" i="49"/>
  <c r="C19" i="49"/>
  <c r="I18" i="49"/>
  <c r="E18" i="49"/>
  <c r="I17" i="49"/>
  <c r="E17" i="49"/>
  <c r="I16" i="49"/>
  <c r="E16" i="49"/>
  <c r="I15" i="49"/>
  <c r="E15" i="49"/>
  <c r="I14" i="49"/>
  <c r="E14" i="49"/>
  <c r="I13" i="49"/>
  <c r="E13" i="49"/>
  <c r="I12" i="49"/>
  <c r="E12" i="49"/>
  <c r="I11" i="49"/>
  <c r="E11" i="49"/>
  <c r="I10" i="49"/>
  <c r="E10" i="49"/>
  <c r="R111" i="24"/>
  <c r="Q111" i="24"/>
  <c r="R110" i="24"/>
  <c r="Q110" i="24"/>
  <c r="R109" i="24"/>
  <c r="Q109" i="24"/>
  <c r="R108" i="24"/>
  <c r="Q108" i="24"/>
  <c r="M97" i="24"/>
  <c r="L97" i="24"/>
  <c r="K97" i="24"/>
  <c r="J97" i="24"/>
  <c r="H97" i="24"/>
  <c r="P96" i="24"/>
  <c r="O96" i="24"/>
  <c r="N96" i="24"/>
  <c r="Q96" i="24" s="1"/>
  <c r="C96" i="24"/>
  <c r="B96" i="24"/>
  <c r="P95" i="24"/>
  <c r="O95" i="24"/>
  <c r="N95" i="24"/>
  <c r="Q95" i="24" s="1"/>
  <c r="C95" i="24"/>
  <c r="B95" i="24"/>
  <c r="Q94" i="24"/>
  <c r="P94" i="24"/>
  <c r="O94" i="24"/>
  <c r="R94" i="24" s="1"/>
  <c r="N94" i="24"/>
  <c r="C94" i="24"/>
  <c r="B94" i="24"/>
  <c r="P93" i="24"/>
  <c r="R93" i="24" s="1"/>
  <c r="O93" i="24"/>
  <c r="N93" i="24"/>
  <c r="Q93" i="24" s="1"/>
  <c r="C93" i="24"/>
  <c r="B93" i="24"/>
  <c r="P92" i="24"/>
  <c r="O92" i="24"/>
  <c r="N92" i="24"/>
  <c r="Q92" i="24" s="1"/>
  <c r="C92" i="24"/>
  <c r="B92" i="24"/>
  <c r="P91" i="24"/>
  <c r="O91" i="24"/>
  <c r="N91" i="24"/>
  <c r="Q91" i="24" s="1"/>
  <c r="C91" i="24"/>
  <c r="B91" i="24"/>
  <c r="P90" i="24"/>
  <c r="O90" i="24"/>
  <c r="N90" i="24"/>
  <c r="Q90" i="24" s="1"/>
  <c r="C90" i="24"/>
  <c r="B90" i="24"/>
  <c r="P89" i="24"/>
  <c r="O89" i="24"/>
  <c r="N89" i="24"/>
  <c r="Q89" i="24" s="1"/>
  <c r="C89" i="24"/>
  <c r="B89" i="24"/>
  <c r="P88" i="24"/>
  <c r="O88" i="24"/>
  <c r="N88" i="24"/>
  <c r="Q88" i="24" s="1"/>
  <c r="C88" i="24"/>
  <c r="B88" i="24"/>
  <c r="P87" i="24"/>
  <c r="O87" i="24"/>
  <c r="N87" i="24"/>
  <c r="Q87" i="24" s="1"/>
  <c r="C87" i="24"/>
  <c r="B87" i="24"/>
  <c r="Q86" i="24"/>
  <c r="P86" i="24"/>
  <c r="O86" i="24"/>
  <c r="N86" i="24"/>
  <c r="C86" i="24"/>
  <c r="B86" i="24"/>
  <c r="P85" i="24"/>
  <c r="O85" i="24"/>
  <c r="N85" i="24"/>
  <c r="Q85" i="24" s="1"/>
  <c r="C85" i="24"/>
  <c r="B85" i="24"/>
  <c r="P84" i="24"/>
  <c r="O84" i="24"/>
  <c r="N84" i="24"/>
  <c r="Q84" i="24" s="1"/>
  <c r="C84" i="24"/>
  <c r="B84" i="24"/>
  <c r="P83" i="24"/>
  <c r="O83" i="24"/>
  <c r="N83" i="24"/>
  <c r="Q83" i="24" s="1"/>
  <c r="C83" i="24"/>
  <c r="B83" i="24"/>
  <c r="P82" i="24"/>
  <c r="O82" i="24"/>
  <c r="N82" i="24"/>
  <c r="Q82" i="24" s="1"/>
  <c r="C82" i="24"/>
  <c r="B82" i="24"/>
  <c r="P81" i="24"/>
  <c r="O81" i="24"/>
  <c r="N81" i="24"/>
  <c r="Q81" i="24" s="1"/>
  <c r="C81" i="24"/>
  <c r="B81" i="24"/>
  <c r="Q80" i="24"/>
  <c r="P80" i="24"/>
  <c r="O80" i="24"/>
  <c r="N80" i="24"/>
  <c r="K80" i="24"/>
  <c r="C80" i="24"/>
  <c r="B80" i="24"/>
  <c r="P79" i="24"/>
  <c r="O79" i="24"/>
  <c r="N79" i="24"/>
  <c r="Q79" i="24" s="1"/>
  <c r="L79" i="24"/>
  <c r="C79" i="24"/>
  <c r="B79" i="24"/>
  <c r="Q78" i="24"/>
  <c r="P78" i="24"/>
  <c r="O78" i="24"/>
  <c r="N78" i="24"/>
  <c r="K78" i="24"/>
  <c r="C78" i="24"/>
  <c r="B78" i="24"/>
  <c r="P77" i="24"/>
  <c r="O77" i="24"/>
  <c r="N77" i="24"/>
  <c r="Q77" i="24" s="1"/>
  <c r="L77" i="24"/>
  <c r="C77" i="24"/>
  <c r="B77" i="24"/>
  <c r="P76" i="24"/>
  <c r="O76" i="24"/>
  <c r="R76" i="24" s="1"/>
  <c r="N76" i="24"/>
  <c r="Q76" i="24" s="1"/>
  <c r="K76" i="24"/>
  <c r="C76" i="24"/>
  <c r="B76" i="24"/>
  <c r="P75" i="24"/>
  <c r="O75" i="24"/>
  <c r="N75" i="24"/>
  <c r="Q75" i="24" s="1"/>
  <c r="K75" i="24"/>
  <c r="C75" i="24"/>
  <c r="B75" i="24"/>
  <c r="Q74" i="24"/>
  <c r="P74" i="24"/>
  <c r="O74" i="24"/>
  <c r="R74" i="24" s="1"/>
  <c r="N74" i="24"/>
  <c r="K74" i="24"/>
  <c r="C74" i="24"/>
  <c r="B74" i="24"/>
  <c r="P73" i="24"/>
  <c r="O73" i="24"/>
  <c r="N73" i="24"/>
  <c r="Q73" i="24" s="1"/>
  <c r="L73" i="24"/>
  <c r="C73" i="24"/>
  <c r="B73" i="24"/>
  <c r="Q72" i="24"/>
  <c r="P72" i="24"/>
  <c r="O72" i="24"/>
  <c r="N72" i="24"/>
  <c r="K72" i="24"/>
  <c r="C72" i="24"/>
  <c r="B72" i="24"/>
  <c r="P71" i="24"/>
  <c r="O71" i="24"/>
  <c r="N71" i="24"/>
  <c r="Q71" i="24" s="1"/>
  <c r="K71" i="24"/>
  <c r="C71" i="24"/>
  <c r="B71" i="24"/>
  <c r="Q70" i="24"/>
  <c r="P70" i="24"/>
  <c r="O70" i="24"/>
  <c r="N70" i="24"/>
  <c r="K70" i="24"/>
  <c r="C70" i="24"/>
  <c r="B70" i="24"/>
  <c r="P69" i="24"/>
  <c r="O69" i="24"/>
  <c r="N69" i="24"/>
  <c r="Q69" i="24" s="1"/>
  <c r="K69" i="24"/>
  <c r="C69" i="24"/>
  <c r="B69" i="24"/>
  <c r="Q68" i="24"/>
  <c r="P68" i="24"/>
  <c r="O68" i="24"/>
  <c r="R68" i="24" s="1"/>
  <c r="N68" i="24"/>
  <c r="K68" i="24"/>
  <c r="C68" i="24"/>
  <c r="B68" i="24"/>
  <c r="P67" i="24"/>
  <c r="O67" i="24"/>
  <c r="N67" i="24"/>
  <c r="Q67" i="24" s="1"/>
  <c r="K67" i="24"/>
  <c r="C67" i="24"/>
  <c r="B67" i="24"/>
  <c r="Q66" i="24"/>
  <c r="P66" i="24"/>
  <c r="O66" i="24"/>
  <c r="R66" i="24" s="1"/>
  <c r="N66" i="24"/>
  <c r="K66" i="24"/>
  <c r="C66" i="24"/>
  <c r="B66" i="24"/>
  <c r="P65" i="24"/>
  <c r="O65" i="24"/>
  <c r="N65" i="24"/>
  <c r="Q65" i="24" s="1"/>
  <c r="K65" i="24"/>
  <c r="C65" i="24"/>
  <c r="B65" i="24"/>
  <c r="Q64" i="24"/>
  <c r="P64" i="24"/>
  <c r="O64" i="24"/>
  <c r="N64" i="24"/>
  <c r="K64" i="24"/>
  <c r="C64" i="24"/>
  <c r="B64" i="24"/>
  <c r="P63" i="24"/>
  <c r="O63" i="24"/>
  <c r="N63" i="24"/>
  <c r="Q63" i="24" s="1"/>
  <c r="K63" i="24"/>
  <c r="C63" i="24"/>
  <c r="B63" i="24"/>
  <c r="Q62" i="24"/>
  <c r="P62" i="24"/>
  <c r="O62" i="24"/>
  <c r="N62" i="24"/>
  <c r="K62" i="24"/>
  <c r="C62" i="24"/>
  <c r="B62" i="24"/>
  <c r="P61" i="24"/>
  <c r="O61" i="24"/>
  <c r="N61" i="24"/>
  <c r="Q61" i="24" s="1"/>
  <c r="K61" i="24"/>
  <c r="C61" i="24"/>
  <c r="B61" i="24"/>
  <c r="P60" i="24"/>
  <c r="O60" i="24"/>
  <c r="R60" i="24" s="1"/>
  <c r="N60" i="24"/>
  <c r="Q60" i="24" s="1"/>
  <c r="K60" i="24"/>
  <c r="C60" i="24"/>
  <c r="B60" i="24"/>
  <c r="P59" i="24"/>
  <c r="O59" i="24"/>
  <c r="N59" i="24"/>
  <c r="Q59" i="24" s="1"/>
  <c r="K59" i="24"/>
  <c r="C59" i="24"/>
  <c r="B59" i="24"/>
  <c r="P58" i="24"/>
  <c r="O58" i="24"/>
  <c r="R58" i="24" s="1"/>
  <c r="N58" i="24"/>
  <c r="Q58" i="24" s="1"/>
  <c r="K58" i="24"/>
  <c r="C58" i="24"/>
  <c r="B58" i="24"/>
  <c r="P57" i="24"/>
  <c r="O57" i="24"/>
  <c r="N57" i="24"/>
  <c r="Q57" i="24" s="1"/>
  <c r="K57" i="24"/>
  <c r="C57" i="24"/>
  <c r="B57" i="24"/>
  <c r="Q56" i="24"/>
  <c r="P56" i="24"/>
  <c r="O56" i="24"/>
  <c r="N56" i="24"/>
  <c r="K56" i="24"/>
  <c r="C56" i="24"/>
  <c r="B56" i="24"/>
  <c r="P55" i="24"/>
  <c r="O55" i="24"/>
  <c r="N55" i="24"/>
  <c r="Q55" i="24" s="1"/>
  <c r="K55" i="24"/>
  <c r="C55" i="24"/>
  <c r="B55" i="24"/>
  <c r="Q54" i="24"/>
  <c r="Z58" i="33" s="1"/>
  <c r="P54" i="24"/>
  <c r="O54" i="24"/>
  <c r="N54" i="24"/>
  <c r="K54" i="24"/>
  <c r="C54" i="24"/>
  <c r="B54" i="24"/>
  <c r="P53" i="24"/>
  <c r="O53" i="24"/>
  <c r="N53" i="24"/>
  <c r="Q53" i="24" s="1"/>
  <c r="K53" i="24"/>
  <c r="C53" i="24"/>
  <c r="B53" i="24"/>
  <c r="P52" i="24"/>
  <c r="O52" i="24"/>
  <c r="R52" i="24" s="1"/>
  <c r="N52" i="24"/>
  <c r="Q52" i="24" s="1"/>
  <c r="K52" i="24"/>
  <c r="C52" i="24"/>
  <c r="B52" i="24"/>
  <c r="P51" i="24"/>
  <c r="O51" i="24"/>
  <c r="N51" i="24"/>
  <c r="Q51" i="24" s="1"/>
  <c r="L51" i="24"/>
  <c r="C51" i="24"/>
  <c r="B51" i="24"/>
  <c r="P50" i="24"/>
  <c r="O50" i="24"/>
  <c r="R50" i="24" s="1"/>
  <c r="N50" i="24"/>
  <c r="Q50" i="24" s="1"/>
  <c r="K50" i="24"/>
  <c r="C50" i="24"/>
  <c r="B50" i="24"/>
  <c r="P49" i="24"/>
  <c r="O49" i="24"/>
  <c r="N49" i="24"/>
  <c r="Q49" i="24" s="1"/>
  <c r="K49" i="24"/>
  <c r="C49" i="24"/>
  <c r="B49" i="24"/>
  <c r="Q48" i="24"/>
  <c r="P48" i="24"/>
  <c r="O48" i="24"/>
  <c r="R48" i="24" s="1"/>
  <c r="N48" i="24"/>
  <c r="L48" i="24"/>
  <c r="C48" i="24"/>
  <c r="B48" i="24"/>
  <c r="P47" i="24"/>
  <c r="O47" i="24"/>
  <c r="N47" i="24"/>
  <c r="Q47" i="24" s="1"/>
  <c r="K47" i="24"/>
  <c r="C47" i="24"/>
  <c r="B47" i="24"/>
  <c r="Q46" i="24"/>
  <c r="P46" i="24"/>
  <c r="O46" i="24"/>
  <c r="N46" i="24"/>
  <c r="K46" i="24"/>
  <c r="C46" i="24"/>
  <c r="B46" i="24"/>
  <c r="P45" i="24"/>
  <c r="O45" i="24"/>
  <c r="N45" i="24"/>
  <c r="Q45" i="24" s="1"/>
  <c r="K45" i="24"/>
  <c r="C45" i="24"/>
  <c r="B45" i="24"/>
  <c r="Q44" i="24"/>
  <c r="Z44" i="33" s="1"/>
  <c r="P44" i="24"/>
  <c r="O44" i="24"/>
  <c r="R44" i="24" s="1"/>
  <c r="U44" i="33" s="1"/>
  <c r="N44" i="24"/>
  <c r="K44" i="24"/>
  <c r="C44" i="24"/>
  <c r="B44" i="24"/>
  <c r="P43" i="24"/>
  <c r="O43" i="24"/>
  <c r="N43" i="24"/>
  <c r="Q43" i="24" s="1"/>
  <c r="Z43" i="33" s="1"/>
  <c r="K43" i="24"/>
  <c r="C43" i="24"/>
  <c r="B43" i="24"/>
  <c r="Q42" i="24"/>
  <c r="P42" i="24"/>
  <c r="O42" i="24"/>
  <c r="N42" i="24"/>
  <c r="K42" i="24"/>
  <c r="C42" i="24"/>
  <c r="B42" i="24"/>
  <c r="P41" i="24"/>
  <c r="O41" i="24"/>
  <c r="N41" i="24"/>
  <c r="Q41" i="24" s="1"/>
  <c r="K41" i="24"/>
  <c r="C41" i="24"/>
  <c r="B41" i="24"/>
  <c r="Q40" i="24"/>
  <c r="P40" i="24"/>
  <c r="O40" i="24"/>
  <c r="R40" i="24" s="1"/>
  <c r="N40" i="24"/>
  <c r="K40" i="24"/>
  <c r="C40" i="24"/>
  <c r="B40" i="24"/>
  <c r="P39" i="24"/>
  <c r="O39" i="24"/>
  <c r="N39" i="24"/>
  <c r="Q39" i="24" s="1"/>
  <c r="K39" i="24"/>
  <c r="C39" i="24"/>
  <c r="B39" i="24"/>
  <c r="P38" i="24"/>
  <c r="O38" i="24"/>
  <c r="N38" i="24"/>
  <c r="Q38" i="24" s="1"/>
  <c r="K38" i="24"/>
  <c r="C38" i="24"/>
  <c r="B38" i="24"/>
  <c r="P37" i="24"/>
  <c r="O37" i="24"/>
  <c r="N37" i="24"/>
  <c r="Q37" i="24" s="1"/>
  <c r="L37" i="24"/>
  <c r="C37" i="24"/>
  <c r="B37" i="24"/>
  <c r="P36" i="24"/>
  <c r="O36" i="24"/>
  <c r="N36" i="24"/>
  <c r="Q36" i="24" s="1"/>
  <c r="K36" i="24"/>
  <c r="C36" i="24"/>
  <c r="B36" i="24"/>
  <c r="P35" i="24"/>
  <c r="O35" i="24"/>
  <c r="N35" i="24"/>
  <c r="Q35" i="24" s="1"/>
  <c r="K35" i="24"/>
  <c r="C35" i="24"/>
  <c r="B35" i="24"/>
  <c r="P34" i="24"/>
  <c r="O34" i="24"/>
  <c r="N34" i="24"/>
  <c r="Q34" i="24" s="1"/>
  <c r="K34" i="24"/>
  <c r="C34" i="24"/>
  <c r="B34" i="24"/>
  <c r="P33" i="24"/>
  <c r="O33" i="24"/>
  <c r="N33" i="24"/>
  <c r="Q33" i="24" s="1"/>
  <c r="J33" i="24"/>
  <c r="C33" i="24"/>
  <c r="B33" i="24"/>
  <c r="P32" i="24"/>
  <c r="O32" i="24"/>
  <c r="N32" i="24"/>
  <c r="Q32" i="24" s="1"/>
  <c r="J32" i="24"/>
  <c r="C32" i="24"/>
  <c r="B32" i="24"/>
  <c r="P31" i="24"/>
  <c r="O31" i="24"/>
  <c r="N31" i="24"/>
  <c r="Q31" i="24" s="1"/>
  <c r="K31" i="24"/>
  <c r="C31" i="24"/>
  <c r="B31" i="24"/>
  <c r="P30" i="24"/>
  <c r="O30" i="24"/>
  <c r="N30" i="24"/>
  <c r="Q30" i="24" s="1"/>
  <c r="K30" i="24"/>
  <c r="C30" i="24"/>
  <c r="B30" i="24"/>
  <c r="P29" i="24"/>
  <c r="O29" i="24"/>
  <c r="N29" i="24"/>
  <c r="Q29" i="24" s="1"/>
  <c r="K29" i="24"/>
  <c r="C29" i="24"/>
  <c r="B29" i="24"/>
  <c r="P28" i="24"/>
  <c r="O28" i="24"/>
  <c r="N28" i="24"/>
  <c r="Q28" i="24" s="1"/>
  <c r="K28" i="24"/>
  <c r="C28" i="24"/>
  <c r="B28" i="24"/>
  <c r="P27" i="24"/>
  <c r="O27" i="24"/>
  <c r="N27" i="24"/>
  <c r="Q27" i="24" s="1"/>
  <c r="K27" i="24"/>
  <c r="C27" i="24"/>
  <c r="B27" i="24"/>
  <c r="P26" i="24"/>
  <c r="O26" i="24"/>
  <c r="N26" i="24"/>
  <c r="Q26" i="24" s="1"/>
  <c r="J26" i="24"/>
  <c r="C26" i="24"/>
  <c r="B26" i="24"/>
  <c r="P25" i="24"/>
  <c r="O25" i="24"/>
  <c r="N25" i="24"/>
  <c r="Q25" i="24" s="1"/>
  <c r="Z31" i="33" s="1"/>
  <c r="J25" i="24"/>
  <c r="C25" i="24"/>
  <c r="B25" i="24"/>
  <c r="P24" i="24"/>
  <c r="O24" i="24"/>
  <c r="N24" i="24"/>
  <c r="Q24" i="24" s="1"/>
  <c r="Z30" i="33" s="1"/>
  <c r="M24" i="24"/>
  <c r="C24" i="24"/>
  <c r="B24" i="24"/>
  <c r="P23" i="24"/>
  <c r="O23" i="24"/>
  <c r="N23" i="24"/>
  <c r="Q23" i="24" s="1"/>
  <c r="Z29" i="33" s="1"/>
  <c r="J23" i="24"/>
  <c r="C23" i="24"/>
  <c r="B23" i="24"/>
  <c r="P22" i="24"/>
  <c r="O22" i="24"/>
  <c r="N22" i="24"/>
  <c r="Q22" i="24" s="1"/>
  <c r="J22" i="24"/>
  <c r="C22" i="24"/>
  <c r="B22" i="24"/>
  <c r="P21" i="24"/>
  <c r="O21" i="24"/>
  <c r="N21" i="24"/>
  <c r="Q21" i="24" s="1"/>
  <c r="J21" i="24"/>
  <c r="C21" i="24"/>
  <c r="B21" i="24"/>
  <c r="P20" i="24"/>
  <c r="O20" i="24"/>
  <c r="N20" i="24"/>
  <c r="Q20" i="24" s="1"/>
  <c r="J20" i="24"/>
  <c r="C20" i="24"/>
  <c r="B20" i="24"/>
  <c r="P19" i="24"/>
  <c r="O19" i="24"/>
  <c r="N19" i="24"/>
  <c r="Q19" i="24" s="1"/>
  <c r="M19" i="24"/>
  <c r="C19" i="24"/>
  <c r="B19" i="24"/>
  <c r="P18" i="24"/>
  <c r="O18" i="24"/>
  <c r="N18" i="24"/>
  <c r="Q18" i="24" s="1"/>
  <c r="J18" i="24"/>
  <c r="C18" i="24"/>
  <c r="B18" i="24"/>
  <c r="P17" i="24"/>
  <c r="O17" i="24"/>
  <c r="N17" i="24"/>
  <c r="Q17" i="24" s="1"/>
  <c r="Z25" i="33" s="1"/>
  <c r="J17" i="24"/>
  <c r="C17" i="24"/>
  <c r="B17" i="24"/>
  <c r="P16" i="24"/>
  <c r="O16" i="24"/>
  <c r="N16" i="24"/>
  <c r="Q16" i="24" s="1"/>
  <c r="J16" i="24"/>
  <c r="C16" i="24"/>
  <c r="B16" i="24"/>
  <c r="P15" i="24"/>
  <c r="O15" i="24"/>
  <c r="N15" i="24"/>
  <c r="Q15" i="24" s="1"/>
  <c r="J15" i="24"/>
  <c r="C15" i="24"/>
  <c r="B15" i="24"/>
  <c r="P14" i="24"/>
  <c r="O14" i="24"/>
  <c r="N14" i="24"/>
  <c r="Q14" i="24" s="1"/>
  <c r="J14" i="24"/>
  <c r="C14" i="24"/>
  <c r="B14" i="24"/>
  <c r="P13" i="24"/>
  <c r="O13" i="24"/>
  <c r="N13" i="24"/>
  <c r="Q13" i="24" s="1"/>
  <c r="J13" i="24"/>
  <c r="C13" i="24"/>
  <c r="B13" i="24"/>
  <c r="P12" i="24"/>
  <c r="O12" i="24"/>
  <c r="N12" i="24"/>
  <c r="Q12" i="24" s="1"/>
  <c r="Z22" i="33" s="1"/>
  <c r="J12" i="24"/>
  <c r="C12" i="24"/>
  <c r="B12" i="24"/>
  <c r="P11" i="24"/>
  <c r="O11" i="24"/>
  <c r="N11" i="24"/>
  <c r="Q11" i="24" s="1"/>
  <c r="J11" i="24"/>
  <c r="C11" i="24"/>
  <c r="B11" i="24"/>
  <c r="P10" i="24"/>
  <c r="O10" i="24"/>
  <c r="N10" i="24"/>
  <c r="Q10" i="24" s="1"/>
  <c r="J10" i="24"/>
  <c r="C10" i="24"/>
  <c r="B10" i="24"/>
  <c r="J186" i="48"/>
  <c r="J185" i="48"/>
  <c r="J184" i="48"/>
  <c r="J183" i="48"/>
  <c r="J182" i="48"/>
  <c r="J181" i="48"/>
  <c r="J180" i="48"/>
  <c r="J179" i="48"/>
  <c r="J178" i="48"/>
  <c r="J171" i="48"/>
  <c r="J170" i="48"/>
  <c r="J169" i="48"/>
  <c r="J168" i="48"/>
  <c r="J167" i="48"/>
  <c r="J166" i="48"/>
  <c r="J165" i="48"/>
  <c r="J164" i="48"/>
  <c r="J163" i="48"/>
  <c r="J162" i="48"/>
  <c r="J161" i="48"/>
  <c r="J160" i="48"/>
  <c r="J159" i="48"/>
  <c r="J158" i="48"/>
  <c r="J157" i="48"/>
  <c r="J150" i="48"/>
  <c r="J149" i="48"/>
  <c r="J148" i="48"/>
  <c r="J147" i="48"/>
  <c r="J146" i="48"/>
  <c r="J145" i="48"/>
  <c r="J144" i="48"/>
  <c r="J143" i="48"/>
  <c r="J142" i="48"/>
  <c r="J141" i="48"/>
  <c r="J140" i="48"/>
  <c r="J139" i="48"/>
  <c r="J138" i="48"/>
  <c r="J137" i="48"/>
  <c r="J136" i="48"/>
  <c r="J129" i="48"/>
  <c r="J128" i="48"/>
  <c r="J127" i="48"/>
  <c r="J126" i="48"/>
  <c r="J125" i="48"/>
  <c r="J124" i="48"/>
  <c r="J123" i="48"/>
  <c r="J122" i="48"/>
  <c r="J121" i="48"/>
  <c r="J120" i="48"/>
  <c r="J119" i="48"/>
  <c r="J118" i="48"/>
  <c r="J117" i="48"/>
  <c r="J116" i="48"/>
  <c r="J115" i="48"/>
  <c r="J108" i="48"/>
  <c r="J107" i="48"/>
  <c r="J106" i="48"/>
  <c r="J105" i="48"/>
  <c r="J104" i="48"/>
  <c r="J103" i="48"/>
  <c r="J102" i="48"/>
  <c r="J101" i="48"/>
  <c r="J100" i="48"/>
  <c r="J99" i="48"/>
  <c r="J98" i="48"/>
  <c r="J97" i="48"/>
  <c r="J96" i="48"/>
  <c r="J95" i="48"/>
  <c r="J94" i="48"/>
  <c r="J87" i="48"/>
  <c r="J86" i="48"/>
  <c r="J85" i="48"/>
  <c r="J84" i="48"/>
  <c r="J83" i="48"/>
  <c r="J82" i="48"/>
  <c r="J81" i="48"/>
  <c r="J80" i="48"/>
  <c r="J79" i="48"/>
  <c r="J78" i="48"/>
  <c r="J77" i="48"/>
  <c r="J76" i="48"/>
  <c r="J75" i="48"/>
  <c r="J74" i="48"/>
  <c r="J73" i="48"/>
  <c r="J66" i="48"/>
  <c r="J65" i="48"/>
  <c r="J64" i="48"/>
  <c r="J63" i="48"/>
  <c r="J62" i="48"/>
  <c r="J61" i="48"/>
  <c r="J60" i="48"/>
  <c r="J59" i="48"/>
  <c r="J58" i="48"/>
  <c r="J57" i="48"/>
  <c r="J56" i="48"/>
  <c r="J55" i="48"/>
  <c r="J54" i="48"/>
  <c r="J53" i="48"/>
  <c r="J52" i="48"/>
  <c r="J45" i="48"/>
  <c r="J44" i="48"/>
  <c r="J43" i="48"/>
  <c r="J42" i="48"/>
  <c r="J41" i="48"/>
  <c r="J40" i="48"/>
  <c r="J39" i="48"/>
  <c r="J38" i="48"/>
  <c r="J37" i="48"/>
  <c r="J36" i="48"/>
  <c r="J35" i="48"/>
  <c r="J34" i="48"/>
  <c r="J33" i="48"/>
  <c r="J32" i="48"/>
  <c r="J31" i="48"/>
  <c r="J24" i="48"/>
  <c r="J23" i="48"/>
  <c r="J22" i="48"/>
  <c r="J21" i="48"/>
  <c r="J20" i="48"/>
  <c r="J19" i="48"/>
  <c r="J18" i="48"/>
  <c r="J17" i="48"/>
  <c r="J16" i="48"/>
  <c r="J15" i="48"/>
  <c r="J14" i="48"/>
  <c r="J13" i="48"/>
  <c r="J12" i="48"/>
  <c r="J11" i="48"/>
  <c r="J10" i="48"/>
  <c r="L317" i="47"/>
  <c r="L316" i="47"/>
  <c r="L315" i="47"/>
  <c r="L314" i="47"/>
  <c r="L313" i="47"/>
  <c r="L312" i="47"/>
  <c r="L311" i="47"/>
  <c r="L310" i="47"/>
  <c r="L309" i="47"/>
  <c r="K302" i="47"/>
  <c r="K301" i="47"/>
  <c r="K300" i="47"/>
  <c r="K299" i="47"/>
  <c r="K298" i="47"/>
  <c r="K297" i="47"/>
  <c r="K296" i="47"/>
  <c r="K295" i="47"/>
  <c r="K294" i="47"/>
  <c r="K293" i="47"/>
  <c r="K292" i="47"/>
  <c r="K291" i="47"/>
  <c r="K290" i="47"/>
  <c r="K289" i="47"/>
  <c r="K288" i="47"/>
  <c r="K287" i="47"/>
  <c r="K286" i="47"/>
  <c r="K285" i="47"/>
  <c r="K284" i="47"/>
  <c r="K283" i="47"/>
  <c r="K282" i="47"/>
  <c r="K281" i="47"/>
  <c r="K280" i="47"/>
  <c r="K279" i="47"/>
  <c r="K278" i="47"/>
  <c r="K277" i="47"/>
  <c r="K276" i="47"/>
  <c r="K269" i="47"/>
  <c r="K268" i="47"/>
  <c r="K267" i="47"/>
  <c r="K266" i="47"/>
  <c r="K265" i="47"/>
  <c r="K264" i="47"/>
  <c r="K263" i="47"/>
  <c r="K262" i="47"/>
  <c r="K261" i="47"/>
  <c r="K260" i="47"/>
  <c r="K259" i="47"/>
  <c r="K258" i="47"/>
  <c r="K257" i="47"/>
  <c r="K256" i="47"/>
  <c r="K255" i="47"/>
  <c r="K254" i="47"/>
  <c r="K253" i="47"/>
  <c r="K252" i="47"/>
  <c r="K251" i="47"/>
  <c r="K250" i="47"/>
  <c r="K249" i="47"/>
  <c r="K248" i="47"/>
  <c r="K247" i="47"/>
  <c r="K246" i="47"/>
  <c r="K245" i="47"/>
  <c r="K238" i="47"/>
  <c r="K237" i="47"/>
  <c r="K236" i="47"/>
  <c r="K235" i="47"/>
  <c r="K234" i="47"/>
  <c r="K233" i="47"/>
  <c r="K232" i="47"/>
  <c r="K231" i="47"/>
  <c r="K230" i="47"/>
  <c r="K229" i="47"/>
  <c r="K228" i="47"/>
  <c r="K227" i="47"/>
  <c r="K226" i="47"/>
  <c r="K225" i="47"/>
  <c r="K224" i="47"/>
  <c r="K223" i="47"/>
  <c r="K222" i="47"/>
  <c r="K221" i="47"/>
  <c r="K220" i="47"/>
  <c r="K219" i="47"/>
  <c r="K218" i="47"/>
  <c r="K217" i="47"/>
  <c r="K216" i="47"/>
  <c r="K215" i="47"/>
  <c r="K214" i="47"/>
  <c r="K213" i="47"/>
  <c r="K212" i="47"/>
  <c r="K211" i="47"/>
  <c r="K210" i="47"/>
  <c r="K203" i="47"/>
  <c r="K202" i="47"/>
  <c r="K201" i="47"/>
  <c r="K200" i="47"/>
  <c r="K199" i="47"/>
  <c r="K198" i="47"/>
  <c r="K197" i="47"/>
  <c r="K196" i="47"/>
  <c r="K195" i="47"/>
  <c r="K194" i="47"/>
  <c r="K193" i="47"/>
  <c r="K192" i="47"/>
  <c r="K191" i="47"/>
  <c r="K190" i="47"/>
  <c r="K189" i="47"/>
  <c r="K188" i="47"/>
  <c r="K187" i="47"/>
  <c r="K186" i="47"/>
  <c r="K185" i="47"/>
  <c r="K184" i="47"/>
  <c r="K183" i="47"/>
  <c r="K182" i="47"/>
  <c r="K181" i="47"/>
  <c r="K180" i="47"/>
  <c r="K179" i="47"/>
  <c r="K178" i="47"/>
  <c r="K177" i="47"/>
  <c r="K176" i="47"/>
  <c r="K175" i="47"/>
  <c r="K174" i="47"/>
  <c r="K173" i="47"/>
  <c r="K172" i="47"/>
  <c r="K171" i="47"/>
  <c r="K164" i="47"/>
  <c r="K163" i="47"/>
  <c r="K162" i="47"/>
  <c r="K161" i="47"/>
  <c r="K160" i="47"/>
  <c r="K159" i="47"/>
  <c r="K158" i="47"/>
  <c r="K157" i="47"/>
  <c r="K156" i="47"/>
  <c r="K155" i="47"/>
  <c r="K154" i="47"/>
  <c r="K153" i="47"/>
  <c r="K152" i="47"/>
  <c r="K151" i="47"/>
  <c r="K150" i="47"/>
  <c r="K149" i="47"/>
  <c r="K148" i="47"/>
  <c r="K147" i="47"/>
  <c r="K146" i="47"/>
  <c r="K145" i="47"/>
  <c r="K144" i="47"/>
  <c r="K143" i="47"/>
  <c r="K142" i="47"/>
  <c r="K141" i="47"/>
  <c r="K140" i="47"/>
  <c r="K139" i="47"/>
  <c r="K138" i="47"/>
  <c r="K137" i="47"/>
  <c r="K136" i="47"/>
  <c r="K135" i="47"/>
  <c r="K134" i="47"/>
  <c r="K133" i="47"/>
  <c r="K132" i="47"/>
  <c r="K125" i="47"/>
  <c r="K124" i="47"/>
  <c r="K123" i="47"/>
  <c r="K122" i="47"/>
  <c r="K121" i="47"/>
  <c r="K120" i="47"/>
  <c r="K119" i="47"/>
  <c r="K118" i="47"/>
  <c r="K117" i="47"/>
  <c r="K116" i="47"/>
  <c r="K115" i="47"/>
  <c r="K114" i="47"/>
  <c r="K113" i="47"/>
  <c r="K112" i="47"/>
  <c r="K111" i="47"/>
  <c r="K110" i="47"/>
  <c r="K109" i="47"/>
  <c r="K108" i="47"/>
  <c r="K107" i="47"/>
  <c r="K106" i="47"/>
  <c r="K105" i="47"/>
  <c r="K104" i="47"/>
  <c r="K103" i="47"/>
  <c r="K102" i="47"/>
  <c r="K101" i="47"/>
  <c r="K100" i="47"/>
  <c r="K99" i="47"/>
  <c r="K98" i="47"/>
  <c r="K97" i="47"/>
  <c r="K96" i="47"/>
  <c r="K95" i="47"/>
  <c r="K94" i="47"/>
  <c r="K87" i="47"/>
  <c r="K86" i="47"/>
  <c r="K85" i="47"/>
  <c r="K84" i="47"/>
  <c r="K83" i="47"/>
  <c r="K82" i="47"/>
  <c r="K81" i="47"/>
  <c r="K80" i="47"/>
  <c r="K79" i="47"/>
  <c r="K78" i="47"/>
  <c r="K77" i="47"/>
  <c r="K76" i="47"/>
  <c r="K75" i="47"/>
  <c r="K74" i="47"/>
  <c r="K73" i="47"/>
  <c r="K72" i="47"/>
  <c r="K71" i="47"/>
  <c r="K70" i="47"/>
  <c r="K69" i="47"/>
  <c r="K68" i="47"/>
  <c r="K67" i="47"/>
  <c r="K66" i="47"/>
  <c r="K65" i="47"/>
  <c r="K64" i="47"/>
  <c r="K63" i="47"/>
  <c r="K62" i="47"/>
  <c r="K61" i="47"/>
  <c r="K60" i="47"/>
  <c r="K59" i="47"/>
  <c r="K58" i="47"/>
  <c r="K57" i="47"/>
  <c r="K56" i="47"/>
  <c r="K55" i="47"/>
  <c r="K48" i="47"/>
  <c r="K47" i="47"/>
  <c r="K46" i="47"/>
  <c r="K45" i="47"/>
  <c r="K44" i="47"/>
  <c r="K43" i="47"/>
  <c r="K42" i="47"/>
  <c r="K41" i="47"/>
  <c r="K40" i="47"/>
  <c r="K39" i="47"/>
  <c r="K38" i="47"/>
  <c r="K37" i="47"/>
  <c r="K36" i="47"/>
  <c r="K35" i="47"/>
  <c r="K34" i="47"/>
  <c r="K33" i="47"/>
  <c r="K32" i="47"/>
  <c r="K31" i="47"/>
  <c r="K30" i="47"/>
  <c r="K29" i="47"/>
  <c r="K28" i="47"/>
  <c r="K27" i="47"/>
  <c r="K26" i="47"/>
  <c r="K25" i="47"/>
  <c r="K24" i="47"/>
  <c r="K23" i="47"/>
  <c r="K22" i="47"/>
  <c r="K21" i="47"/>
  <c r="K20" i="47"/>
  <c r="K19" i="47"/>
  <c r="K18" i="47"/>
  <c r="K17" i="47"/>
  <c r="K16" i="47"/>
  <c r="K15" i="47"/>
  <c r="K14" i="47"/>
  <c r="K13" i="47"/>
  <c r="K12" i="47"/>
  <c r="K11" i="47"/>
  <c r="K10" i="47"/>
  <c r="L186" i="25"/>
  <c r="L185" i="25"/>
  <c r="L184" i="25"/>
  <c r="L183" i="25"/>
  <c r="L182" i="25"/>
  <c r="L181" i="25"/>
  <c r="L180" i="25"/>
  <c r="L179" i="25"/>
  <c r="L178" i="25"/>
  <c r="K171" i="25"/>
  <c r="K170" i="25"/>
  <c r="J170" i="25"/>
  <c r="C170" i="25"/>
  <c r="B170" i="25"/>
  <c r="K169" i="25"/>
  <c r="J169" i="25"/>
  <c r="C169" i="25"/>
  <c r="B169" i="25"/>
  <c r="K168" i="25"/>
  <c r="J168" i="25"/>
  <c r="C168" i="25"/>
  <c r="B168" i="25"/>
  <c r="K167" i="25"/>
  <c r="J167" i="25"/>
  <c r="C167" i="25"/>
  <c r="B167" i="25"/>
  <c r="K166" i="25"/>
  <c r="J166" i="25"/>
  <c r="C166" i="25"/>
  <c r="B166" i="25"/>
  <c r="K165" i="25"/>
  <c r="J165" i="25"/>
  <c r="C165" i="25"/>
  <c r="B165" i="25"/>
  <c r="K164" i="25"/>
  <c r="J164" i="25"/>
  <c r="C164" i="25"/>
  <c r="B164" i="25"/>
  <c r="K163" i="25"/>
  <c r="J163" i="25"/>
  <c r="C163" i="25"/>
  <c r="B163" i="25"/>
  <c r="K162" i="25"/>
  <c r="J162" i="25"/>
  <c r="C162" i="25"/>
  <c r="B162" i="25"/>
  <c r="K161" i="25"/>
  <c r="J161" i="25"/>
  <c r="C161" i="25"/>
  <c r="B161" i="25"/>
  <c r="K160" i="25"/>
  <c r="J160" i="25"/>
  <c r="C160" i="25"/>
  <c r="B160" i="25"/>
  <c r="K159" i="25"/>
  <c r="J159" i="25"/>
  <c r="C159" i="25"/>
  <c r="B159" i="25"/>
  <c r="K158" i="25"/>
  <c r="J158" i="25"/>
  <c r="C158" i="25"/>
  <c r="B158" i="25"/>
  <c r="K157" i="25"/>
  <c r="J157" i="25"/>
  <c r="C157" i="25"/>
  <c r="B157" i="25"/>
  <c r="K156" i="25"/>
  <c r="J156" i="25"/>
  <c r="C156" i="25"/>
  <c r="B156" i="25"/>
  <c r="K155" i="25"/>
  <c r="J155" i="25"/>
  <c r="C155" i="25"/>
  <c r="B155" i="25"/>
  <c r="K154" i="25"/>
  <c r="J154" i="25"/>
  <c r="C154" i="25"/>
  <c r="B154" i="25"/>
  <c r="K153" i="25"/>
  <c r="J153" i="25"/>
  <c r="C153" i="25"/>
  <c r="B153" i="25"/>
  <c r="K152" i="25"/>
  <c r="J152" i="25"/>
  <c r="C152" i="25"/>
  <c r="B152" i="25"/>
  <c r="K151" i="25"/>
  <c r="J151" i="25"/>
  <c r="C151" i="25"/>
  <c r="B151" i="25"/>
  <c r="K150" i="25"/>
  <c r="J150" i="25"/>
  <c r="C150" i="25"/>
  <c r="B150" i="25"/>
  <c r="K149" i="25"/>
  <c r="J149" i="25"/>
  <c r="C149" i="25"/>
  <c r="B149" i="25"/>
  <c r="K148" i="25"/>
  <c r="J148" i="25"/>
  <c r="C148" i="25"/>
  <c r="B148" i="25"/>
  <c r="K147" i="25"/>
  <c r="J147" i="25"/>
  <c r="C147" i="25"/>
  <c r="B147" i="25"/>
  <c r="K146" i="25"/>
  <c r="J146" i="25"/>
  <c r="C146" i="25"/>
  <c r="B146" i="25"/>
  <c r="K145" i="25"/>
  <c r="J145" i="25"/>
  <c r="C145" i="25"/>
  <c r="B145" i="25"/>
  <c r="K144" i="25"/>
  <c r="J144" i="25"/>
  <c r="C144" i="25"/>
  <c r="B144" i="25"/>
  <c r="K143" i="25"/>
  <c r="J143" i="25"/>
  <c r="C143" i="25"/>
  <c r="B143" i="25"/>
  <c r="K142" i="25"/>
  <c r="J142" i="25"/>
  <c r="C142" i="25"/>
  <c r="B142" i="25"/>
  <c r="K141" i="25"/>
  <c r="J141" i="25"/>
  <c r="C141" i="25"/>
  <c r="B141" i="25"/>
  <c r="K140" i="25"/>
  <c r="J140" i="25"/>
  <c r="C140" i="25"/>
  <c r="B140" i="25"/>
  <c r="K139" i="25"/>
  <c r="J139" i="25"/>
  <c r="C139" i="25"/>
  <c r="B139" i="25"/>
  <c r="K138" i="25"/>
  <c r="J138" i="25"/>
  <c r="C138" i="25"/>
  <c r="B138" i="25"/>
  <c r="K137" i="25"/>
  <c r="J137" i="25"/>
  <c r="C137" i="25"/>
  <c r="B137" i="25"/>
  <c r="K136" i="25"/>
  <c r="J136" i="25"/>
  <c r="C136" i="25"/>
  <c r="B136" i="25"/>
  <c r="K135" i="25"/>
  <c r="J135" i="25"/>
  <c r="C135" i="25"/>
  <c r="B135" i="25"/>
  <c r="K134" i="25"/>
  <c r="J134" i="25"/>
  <c r="C134" i="25"/>
  <c r="B134" i="25"/>
  <c r="K133" i="25"/>
  <c r="J133" i="25"/>
  <c r="C133" i="25"/>
  <c r="B133" i="25"/>
  <c r="K132" i="25"/>
  <c r="J132" i="25"/>
  <c r="C132" i="25"/>
  <c r="B132" i="25"/>
  <c r="K131" i="25"/>
  <c r="J131" i="25"/>
  <c r="C131" i="25"/>
  <c r="B131" i="25"/>
  <c r="K130" i="25"/>
  <c r="J130" i="25"/>
  <c r="C130" i="25"/>
  <c r="B130" i="25"/>
  <c r="K129" i="25"/>
  <c r="J129" i="25"/>
  <c r="C129" i="25"/>
  <c r="B129" i="25"/>
  <c r="K128" i="25"/>
  <c r="J128" i="25"/>
  <c r="C128" i="25"/>
  <c r="B128" i="25"/>
  <c r="K127" i="25"/>
  <c r="J127" i="25"/>
  <c r="C127" i="25"/>
  <c r="B127" i="25"/>
  <c r="K126" i="25"/>
  <c r="J126" i="25"/>
  <c r="C126" i="25"/>
  <c r="B126" i="25"/>
  <c r="K125" i="25"/>
  <c r="J125" i="25"/>
  <c r="C125" i="25"/>
  <c r="B125" i="25"/>
  <c r="K124" i="25"/>
  <c r="J124" i="25"/>
  <c r="C124" i="25"/>
  <c r="B124" i="25"/>
  <c r="K123" i="25"/>
  <c r="J123" i="25"/>
  <c r="C123" i="25"/>
  <c r="B123" i="25"/>
  <c r="K122" i="25"/>
  <c r="J122" i="25"/>
  <c r="C122" i="25"/>
  <c r="B122" i="25"/>
  <c r="K121" i="25"/>
  <c r="J121" i="25"/>
  <c r="C121" i="25"/>
  <c r="B121" i="25"/>
  <c r="K120" i="25"/>
  <c r="J120" i="25"/>
  <c r="C120" i="25"/>
  <c r="B120" i="25"/>
  <c r="K119" i="25"/>
  <c r="J119" i="25"/>
  <c r="C119" i="25"/>
  <c r="B119" i="25"/>
  <c r="K118" i="25"/>
  <c r="J118" i="25"/>
  <c r="C118" i="25"/>
  <c r="B118" i="25"/>
  <c r="K117" i="25"/>
  <c r="J117" i="25"/>
  <c r="C117" i="25"/>
  <c r="B117" i="25"/>
  <c r="K116" i="25"/>
  <c r="J116" i="25"/>
  <c r="C116" i="25"/>
  <c r="B116" i="25"/>
  <c r="K115" i="25"/>
  <c r="J115" i="25"/>
  <c r="C115" i="25"/>
  <c r="B115" i="25"/>
  <c r="K114" i="25"/>
  <c r="J114" i="25"/>
  <c r="C114" i="25"/>
  <c r="B114" i="25"/>
  <c r="K113" i="25"/>
  <c r="J113" i="25"/>
  <c r="C113" i="25"/>
  <c r="B113" i="25"/>
  <c r="K112" i="25"/>
  <c r="J112" i="25"/>
  <c r="C112" i="25"/>
  <c r="B112" i="25"/>
  <c r="K111" i="25"/>
  <c r="J111" i="25"/>
  <c r="C111" i="25"/>
  <c r="B111" i="25"/>
  <c r="K110" i="25"/>
  <c r="J110" i="25"/>
  <c r="C110" i="25"/>
  <c r="B110" i="25"/>
  <c r="K109" i="25"/>
  <c r="J109" i="25"/>
  <c r="C109" i="25"/>
  <c r="B109" i="25"/>
  <c r="K108" i="25"/>
  <c r="J108" i="25"/>
  <c r="C108" i="25"/>
  <c r="B108" i="25"/>
  <c r="K107" i="25"/>
  <c r="J107" i="25"/>
  <c r="C107" i="25"/>
  <c r="B107" i="25"/>
  <c r="K106" i="25"/>
  <c r="J106" i="25"/>
  <c r="C106" i="25"/>
  <c r="B106" i="25"/>
  <c r="K105" i="25"/>
  <c r="J105" i="25"/>
  <c r="C105" i="25"/>
  <c r="B105" i="25"/>
  <c r="K104" i="25"/>
  <c r="J104" i="25"/>
  <c r="C104" i="25"/>
  <c r="B104" i="25"/>
  <c r="K103" i="25"/>
  <c r="J103" i="25"/>
  <c r="C103" i="25"/>
  <c r="B103" i="25"/>
  <c r="K102" i="25"/>
  <c r="J102" i="25"/>
  <c r="C102" i="25"/>
  <c r="B102" i="25"/>
  <c r="K101" i="25"/>
  <c r="J101" i="25"/>
  <c r="C101" i="25"/>
  <c r="B101" i="25"/>
  <c r="K100" i="25"/>
  <c r="J100" i="25"/>
  <c r="C100" i="25"/>
  <c r="B100" i="25"/>
  <c r="K99" i="25"/>
  <c r="J99" i="25"/>
  <c r="C99" i="25"/>
  <c r="B99" i="25"/>
  <c r="K98" i="25"/>
  <c r="J98" i="25"/>
  <c r="C98" i="25"/>
  <c r="B98" i="25"/>
  <c r="K97" i="25"/>
  <c r="J97" i="25"/>
  <c r="C97" i="25"/>
  <c r="B97" i="25"/>
  <c r="K96" i="25"/>
  <c r="J96" i="25"/>
  <c r="C96" i="25"/>
  <c r="B96" i="25"/>
  <c r="K95" i="25"/>
  <c r="J95" i="25"/>
  <c r="C95" i="25"/>
  <c r="B95" i="25"/>
  <c r="K94" i="25"/>
  <c r="J94" i="25"/>
  <c r="C94" i="25"/>
  <c r="B94" i="25"/>
  <c r="K93" i="25"/>
  <c r="J93" i="25"/>
  <c r="C93" i="25"/>
  <c r="B93" i="25"/>
  <c r="K92" i="25"/>
  <c r="J92" i="25"/>
  <c r="C92" i="25"/>
  <c r="B92" i="25"/>
  <c r="K91" i="25"/>
  <c r="J91" i="25"/>
  <c r="C91" i="25"/>
  <c r="B91" i="25"/>
  <c r="K90" i="25"/>
  <c r="J90" i="25"/>
  <c r="C90" i="25"/>
  <c r="B90" i="25"/>
  <c r="K89" i="25"/>
  <c r="J89" i="25"/>
  <c r="C89" i="25"/>
  <c r="B89" i="25"/>
  <c r="K88" i="25"/>
  <c r="J88" i="25"/>
  <c r="C88" i="25"/>
  <c r="B88" i="25"/>
  <c r="K87" i="25"/>
  <c r="J87" i="25"/>
  <c r="C87" i="25"/>
  <c r="B87" i="25"/>
  <c r="K86" i="25"/>
  <c r="J86" i="25"/>
  <c r="C86" i="25"/>
  <c r="B86" i="25"/>
  <c r="K85" i="25"/>
  <c r="J85" i="25"/>
  <c r="C85" i="25"/>
  <c r="B85" i="25"/>
  <c r="K84" i="25"/>
  <c r="J84" i="25"/>
  <c r="C84" i="25"/>
  <c r="B84" i="25"/>
  <c r="K83" i="25"/>
  <c r="J83" i="25"/>
  <c r="C83" i="25"/>
  <c r="B83" i="25"/>
  <c r="K82" i="25"/>
  <c r="J82" i="25"/>
  <c r="C82" i="25"/>
  <c r="B82" i="25"/>
  <c r="K81" i="25"/>
  <c r="J81" i="25"/>
  <c r="C81" i="25"/>
  <c r="B81" i="25"/>
  <c r="K80" i="25"/>
  <c r="J80" i="25"/>
  <c r="C80" i="25"/>
  <c r="B80" i="25"/>
  <c r="K79" i="25"/>
  <c r="J79" i="25"/>
  <c r="C79" i="25"/>
  <c r="B79" i="25"/>
  <c r="K78" i="25"/>
  <c r="J78" i="25"/>
  <c r="C78" i="25"/>
  <c r="B78" i="25"/>
  <c r="K77" i="25"/>
  <c r="J77" i="25"/>
  <c r="C77" i="25"/>
  <c r="B77" i="25"/>
  <c r="K76" i="25"/>
  <c r="J76" i="25"/>
  <c r="C76" i="25"/>
  <c r="B76" i="25"/>
  <c r="K75" i="25"/>
  <c r="J75" i="25"/>
  <c r="C75" i="25"/>
  <c r="B75" i="25"/>
  <c r="K74" i="25"/>
  <c r="J74" i="25"/>
  <c r="C74" i="25"/>
  <c r="B74" i="25"/>
  <c r="K73" i="25"/>
  <c r="J73" i="25"/>
  <c r="C73" i="25"/>
  <c r="B73" i="25"/>
  <c r="K72" i="25"/>
  <c r="J72" i="25"/>
  <c r="C72" i="25"/>
  <c r="B72" i="25"/>
  <c r="K71" i="25"/>
  <c r="J71" i="25"/>
  <c r="C71" i="25"/>
  <c r="B71" i="25"/>
  <c r="K70" i="25"/>
  <c r="J70" i="25"/>
  <c r="C70" i="25"/>
  <c r="B70" i="25"/>
  <c r="K69" i="25"/>
  <c r="J69" i="25"/>
  <c r="C69" i="25"/>
  <c r="B69" i="25"/>
  <c r="K68" i="25"/>
  <c r="J68" i="25"/>
  <c r="C68" i="25"/>
  <c r="B68" i="25"/>
  <c r="K67" i="25"/>
  <c r="J67" i="25"/>
  <c r="C67" i="25"/>
  <c r="B67" i="25"/>
  <c r="K66" i="25"/>
  <c r="J66" i="25"/>
  <c r="C66" i="25"/>
  <c r="B66" i="25"/>
  <c r="K65" i="25"/>
  <c r="J65" i="25"/>
  <c r="C65" i="25"/>
  <c r="B65" i="25"/>
  <c r="K64" i="25"/>
  <c r="J64" i="25"/>
  <c r="C64" i="25"/>
  <c r="B64" i="25"/>
  <c r="K63" i="25"/>
  <c r="J63" i="25"/>
  <c r="C63" i="25"/>
  <c r="B63" i="25"/>
  <c r="K62" i="25"/>
  <c r="J62" i="25"/>
  <c r="C62" i="25"/>
  <c r="B62" i="25"/>
  <c r="K61" i="25"/>
  <c r="J61" i="25"/>
  <c r="C61" i="25"/>
  <c r="B61" i="25"/>
  <c r="K60" i="25"/>
  <c r="J60" i="25"/>
  <c r="C60" i="25"/>
  <c r="B60" i="25"/>
  <c r="K59" i="25"/>
  <c r="J59" i="25"/>
  <c r="C59" i="25"/>
  <c r="B59" i="25"/>
  <c r="K58" i="25"/>
  <c r="J58" i="25"/>
  <c r="C58" i="25"/>
  <c r="B58" i="25"/>
  <c r="K57" i="25"/>
  <c r="J57" i="25"/>
  <c r="C57" i="25"/>
  <c r="B57" i="25"/>
  <c r="K56" i="25"/>
  <c r="J56" i="25"/>
  <c r="C56" i="25"/>
  <c r="B56" i="25"/>
  <c r="K55" i="25"/>
  <c r="J55" i="25"/>
  <c r="C55" i="25"/>
  <c r="B55" i="25"/>
  <c r="K54" i="25"/>
  <c r="J54" i="25"/>
  <c r="C54" i="25"/>
  <c r="B54" i="25"/>
  <c r="K53" i="25"/>
  <c r="J53" i="25"/>
  <c r="C53" i="25"/>
  <c r="B53" i="25"/>
  <c r="K52" i="25"/>
  <c r="J52" i="25"/>
  <c r="C52" i="25"/>
  <c r="B52" i="25"/>
  <c r="K51" i="25"/>
  <c r="J51" i="25"/>
  <c r="C51" i="25"/>
  <c r="B51" i="25"/>
  <c r="K50" i="25"/>
  <c r="J50" i="25"/>
  <c r="C50" i="25"/>
  <c r="B50" i="25"/>
  <c r="K49" i="25"/>
  <c r="J49" i="25"/>
  <c r="C49" i="25"/>
  <c r="B49" i="25"/>
  <c r="K48" i="25"/>
  <c r="J48" i="25"/>
  <c r="C48" i="25"/>
  <c r="B48" i="25"/>
  <c r="K47" i="25"/>
  <c r="J47" i="25"/>
  <c r="C47" i="25"/>
  <c r="B47" i="25"/>
  <c r="K46" i="25"/>
  <c r="J46" i="25"/>
  <c r="C46" i="25"/>
  <c r="B46" i="25"/>
  <c r="K45" i="25"/>
  <c r="J45" i="25"/>
  <c r="C45" i="25"/>
  <c r="B45" i="25"/>
  <c r="K44" i="25"/>
  <c r="J44" i="25"/>
  <c r="C44" i="25"/>
  <c r="B44" i="25"/>
  <c r="K43" i="25"/>
  <c r="J43" i="25"/>
  <c r="C43" i="25"/>
  <c r="B43" i="25"/>
  <c r="K42" i="25"/>
  <c r="J42" i="25"/>
  <c r="C42" i="25"/>
  <c r="B42" i="25"/>
  <c r="K41" i="25"/>
  <c r="J41" i="25"/>
  <c r="C41" i="25"/>
  <c r="B41" i="25"/>
  <c r="K40" i="25"/>
  <c r="J40" i="25"/>
  <c r="C40" i="25"/>
  <c r="B40" i="25"/>
  <c r="K39" i="25"/>
  <c r="J39" i="25"/>
  <c r="C39" i="25"/>
  <c r="B39" i="25"/>
  <c r="K38" i="25"/>
  <c r="J38" i="25"/>
  <c r="C38" i="25"/>
  <c r="B38" i="25"/>
  <c r="K37" i="25"/>
  <c r="J37" i="25"/>
  <c r="C37" i="25"/>
  <c r="B37" i="25"/>
  <c r="K36" i="25"/>
  <c r="J36" i="25"/>
  <c r="C36" i="25"/>
  <c r="B36" i="25"/>
  <c r="K35" i="25"/>
  <c r="J35" i="25"/>
  <c r="C35" i="25"/>
  <c r="B35" i="25"/>
  <c r="K34" i="25"/>
  <c r="J34" i="25"/>
  <c r="C34" i="25"/>
  <c r="B34" i="25"/>
  <c r="K33" i="25"/>
  <c r="J33" i="25"/>
  <c r="C33" i="25"/>
  <c r="B33" i="25"/>
  <c r="K32" i="25"/>
  <c r="J32" i="25"/>
  <c r="C32" i="25"/>
  <c r="B32" i="25"/>
  <c r="K31" i="25"/>
  <c r="J31" i="25"/>
  <c r="C31" i="25"/>
  <c r="B31" i="25"/>
  <c r="K30" i="25"/>
  <c r="J30" i="25"/>
  <c r="C30" i="25"/>
  <c r="B30" i="25"/>
  <c r="K29" i="25"/>
  <c r="J29" i="25"/>
  <c r="C29" i="25"/>
  <c r="B29" i="25"/>
  <c r="K28" i="25"/>
  <c r="J28" i="25"/>
  <c r="C28" i="25"/>
  <c r="B28" i="25"/>
  <c r="K27" i="25"/>
  <c r="J27" i="25"/>
  <c r="C27" i="25"/>
  <c r="B27" i="25"/>
  <c r="K26" i="25"/>
  <c r="J26" i="25"/>
  <c r="C26" i="25"/>
  <c r="B26" i="25"/>
  <c r="K25" i="25"/>
  <c r="J25" i="25"/>
  <c r="C25" i="25"/>
  <c r="B25" i="25"/>
  <c r="K24" i="25"/>
  <c r="J24" i="25"/>
  <c r="C24" i="25"/>
  <c r="B24" i="25"/>
  <c r="K23" i="25"/>
  <c r="J23" i="25"/>
  <c r="C23" i="25"/>
  <c r="B23" i="25"/>
  <c r="K22" i="25"/>
  <c r="J22" i="25"/>
  <c r="C22" i="25"/>
  <c r="B22" i="25"/>
  <c r="K21" i="25"/>
  <c r="J21" i="25"/>
  <c r="C21" i="25"/>
  <c r="B21" i="25"/>
  <c r="K20" i="25"/>
  <c r="J20" i="25"/>
  <c r="C20" i="25"/>
  <c r="B20" i="25"/>
  <c r="K19" i="25"/>
  <c r="J19" i="25"/>
  <c r="C19" i="25"/>
  <c r="B19" i="25"/>
  <c r="K18" i="25"/>
  <c r="J18" i="25"/>
  <c r="C18" i="25"/>
  <c r="B18" i="25"/>
  <c r="K17" i="25"/>
  <c r="J17" i="25"/>
  <c r="C17" i="25"/>
  <c r="B17" i="25"/>
  <c r="K16" i="25"/>
  <c r="J16" i="25"/>
  <c r="C16" i="25"/>
  <c r="B16" i="25"/>
  <c r="K15" i="25"/>
  <c r="J15" i="25"/>
  <c r="C15" i="25"/>
  <c r="B15" i="25"/>
  <c r="K14" i="25"/>
  <c r="J14" i="25"/>
  <c r="C14" i="25"/>
  <c r="B14" i="25"/>
  <c r="K13" i="25"/>
  <c r="J13" i="25"/>
  <c r="C13" i="25"/>
  <c r="B13" i="25"/>
  <c r="K12" i="25"/>
  <c r="J12" i="25"/>
  <c r="C12" i="25"/>
  <c r="B12" i="25"/>
  <c r="K11" i="25"/>
  <c r="J11" i="25"/>
  <c r="C11" i="25"/>
  <c r="B11" i="25"/>
  <c r="K10" i="25"/>
  <c r="J10" i="25"/>
  <c r="C10" i="25"/>
  <c r="B10" i="25"/>
  <c r="K9" i="25"/>
  <c r="J9" i="25"/>
  <c r="C9" i="25"/>
  <c r="B9" i="25"/>
  <c r="J167" i="20"/>
  <c r="I167" i="20"/>
  <c r="F167" i="20"/>
  <c r="L166" i="20"/>
  <c r="O166" i="20" s="1"/>
  <c r="K166" i="20"/>
  <c r="J166" i="20"/>
  <c r="I166" i="20"/>
  <c r="M166" i="20" s="1"/>
  <c r="P166" i="20" s="1"/>
  <c r="F166" i="20"/>
  <c r="M165" i="20"/>
  <c r="J165" i="20"/>
  <c r="I165" i="20"/>
  <c r="L165" i="20" s="1"/>
  <c r="F165" i="20"/>
  <c r="K164" i="20"/>
  <c r="J164" i="20"/>
  <c r="I164" i="20"/>
  <c r="M164" i="20" s="1"/>
  <c r="P164" i="20" s="1"/>
  <c r="F164" i="20"/>
  <c r="K163" i="20"/>
  <c r="N163" i="20" s="1"/>
  <c r="J163" i="20"/>
  <c r="I163" i="20"/>
  <c r="L163" i="20" s="1"/>
  <c r="F163" i="20"/>
  <c r="L162" i="20"/>
  <c r="O162" i="20" s="1"/>
  <c r="K162" i="20"/>
  <c r="J162" i="20"/>
  <c r="N162" i="20" s="1"/>
  <c r="I162" i="20"/>
  <c r="M162" i="20" s="1"/>
  <c r="P162" i="20" s="1"/>
  <c r="Q162" i="20" s="1"/>
  <c r="F162" i="20"/>
  <c r="M161" i="20"/>
  <c r="J161" i="20"/>
  <c r="I161" i="20"/>
  <c r="L161" i="20" s="1"/>
  <c r="F161" i="20"/>
  <c r="J160" i="20"/>
  <c r="I160" i="20"/>
  <c r="F160" i="20"/>
  <c r="J159" i="20"/>
  <c r="I159" i="20"/>
  <c r="F159" i="20"/>
  <c r="O158" i="20"/>
  <c r="L158" i="20"/>
  <c r="K158" i="20"/>
  <c r="J158" i="20"/>
  <c r="N158" i="20" s="1"/>
  <c r="I158" i="20"/>
  <c r="M158" i="20" s="1"/>
  <c r="P158" i="20" s="1"/>
  <c r="F158" i="20"/>
  <c r="M157" i="20"/>
  <c r="J157" i="20"/>
  <c r="I157" i="20"/>
  <c r="L157" i="20" s="1"/>
  <c r="O157" i="20" s="1"/>
  <c r="F157" i="20"/>
  <c r="P156" i="20"/>
  <c r="K156" i="20"/>
  <c r="J156" i="20"/>
  <c r="I156" i="20"/>
  <c r="M156" i="20" s="1"/>
  <c r="F156" i="20"/>
  <c r="K155" i="20"/>
  <c r="N155" i="20" s="1"/>
  <c r="J155" i="20"/>
  <c r="I155" i="20"/>
  <c r="L155" i="20" s="1"/>
  <c r="F155" i="20"/>
  <c r="M154" i="20"/>
  <c r="P154" i="20" s="1"/>
  <c r="J154" i="20"/>
  <c r="I154" i="20"/>
  <c r="L154" i="20" s="1"/>
  <c r="O154" i="20" s="1"/>
  <c r="F154" i="20"/>
  <c r="J153" i="20"/>
  <c r="I153" i="20"/>
  <c r="L153" i="20" s="1"/>
  <c r="O153" i="20" s="1"/>
  <c r="F153" i="20"/>
  <c r="M152" i="20"/>
  <c r="P152" i="20" s="1"/>
  <c r="K152" i="20"/>
  <c r="J152" i="20"/>
  <c r="I152" i="20"/>
  <c r="L152" i="20" s="1"/>
  <c r="O152" i="20" s="1"/>
  <c r="F152" i="20"/>
  <c r="K151" i="20"/>
  <c r="J151" i="20"/>
  <c r="I151" i="20"/>
  <c r="L151" i="20" s="1"/>
  <c r="O151" i="20" s="1"/>
  <c r="F151" i="20"/>
  <c r="M150" i="20"/>
  <c r="P150" i="20" s="1"/>
  <c r="J150" i="20"/>
  <c r="I150" i="20"/>
  <c r="L150" i="20" s="1"/>
  <c r="O150" i="20" s="1"/>
  <c r="F150" i="20"/>
  <c r="J149" i="20"/>
  <c r="I149" i="20"/>
  <c r="L149" i="20" s="1"/>
  <c r="O149" i="20" s="1"/>
  <c r="F149" i="20"/>
  <c r="M148" i="20"/>
  <c r="K148" i="20"/>
  <c r="J148" i="20"/>
  <c r="I148" i="20"/>
  <c r="L148" i="20" s="1"/>
  <c r="O148" i="20" s="1"/>
  <c r="F148" i="20"/>
  <c r="K147" i="20"/>
  <c r="J147" i="20"/>
  <c r="I147" i="20"/>
  <c r="L147" i="20" s="1"/>
  <c r="O147" i="20" s="1"/>
  <c r="F147" i="20"/>
  <c r="M146" i="20"/>
  <c r="J146" i="20"/>
  <c r="I146" i="20"/>
  <c r="L146" i="20" s="1"/>
  <c r="O146" i="20" s="1"/>
  <c r="F146" i="20"/>
  <c r="J145" i="20"/>
  <c r="I145" i="20"/>
  <c r="L145" i="20" s="1"/>
  <c r="O145" i="20" s="1"/>
  <c r="F145" i="20"/>
  <c r="M144" i="20"/>
  <c r="K144" i="20"/>
  <c r="J144" i="20"/>
  <c r="I144" i="20"/>
  <c r="L144" i="20" s="1"/>
  <c r="O144" i="20" s="1"/>
  <c r="F144" i="20"/>
  <c r="K143" i="20"/>
  <c r="J143" i="20"/>
  <c r="I143" i="20"/>
  <c r="L143" i="20" s="1"/>
  <c r="O143" i="20" s="1"/>
  <c r="F143" i="20"/>
  <c r="M142" i="20"/>
  <c r="J142" i="20"/>
  <c r="I142" i="20"/>
  <c r="L142" i="20" s="1"/>
  <c r="O142" i="20" s="1"/>
  <c r="F142" i="20"/>
  <c r="J141" i="20"/>
  <c r="I141" i="20"/>
  <c r="L141" i="20" s="1"/>
  <c r="O141" i="20" s="1"/>
  <c r="F141" i="20"/>
  <c r="M140" i="20"/>
  <c r="K140" i="20"/>
  <c r="J140" i="20"/>
  <c r="I140" i="20"/>
  <c r="L140" i="20" s="1"/>
  <c r="O140" i="20" s="1"/>
  <c r="F140" i="20"/>
  <c r="K139" i="20"/>
  <c r="J139" i="20"/>
  <c r="I139" i="20"/>
  <c r="L139" i="20" s="1"/>
  <c r="O139" i="20" s="1"/>
  <c r="F139" i="20"/>
  <c r="M138" i="20"/>
  <c r="J138" i="20"/>
  <c r="I138" i="20"/>
  <c r="L138" i="20" s="1"/>
  <c r="O138" i="20" s="1"/>
  <c r="F138" i="20"/>
  <c r="J137" i="20"/>
  <c r="I137" i="20"/>
  <c r="L137" i="20" s="1"/>
  <c r="O137" i="20" s="1"/>
  <c r="F137" i="20"/>
  <c r="M136" i="20"/>
  <c r="K136" i="20"/>
  <c r="J136" i="20"/>
  <c r="I136" i="20"/>
  <c r="L136" i="20" s="1"/>
  <c r="O136" i="20" s="1"/>
  <c r="F136" i="20"/>
  <c r="K135" i="20"/>
  <c r="J135" i="20"/>
  <c r="I135" i="20"/>
  <c r="L135" i="20" s="1"/>
  <c r="O135" i="20" s="1"/>
  <c r="F135" i="20"/>
  <c r="M134" i="20"/>
  <c r="J134" i="20"/>
  <c r="I134" i="20"/>
  <c r="L134" i="20" s="1"/>
  <c r="O134" i="20" s="1"/>
  <c r="F134" i="20"/>
  <c r="J133" i="20"/>
  <c r="I133" i="20"/>
  <c r="L133" i="20" s="1"/>
  <c r="O133" i="20" s="1"/>
  <c r="F133" i="20"/>
  <c r="M132" i="20"/>
  <c r="K132" i="20"/>
  <c r="J132" i="20"/>
  <c r="I132" i="20"/>
  <c r="L132" i="20" s="1"/>
  <c r="O132" i="20" s="1"/>
  <c r="F132" i="20"/>
  <c r="O131" i="20"/>
  <c r="M131" i="20"/>
  <c r="P131" i="20" s="1"/>
  <c r="L131" i="20"/>
  <c r="K131" i="20"/>
  <c r="N131" i="20" s="1"/>
  <c r="J131" i="20"/>
  <c r="I131" i="20"/>
  <c r="F131" i="20"/>
  <c r="O130" i="20"/>
  <c r="M130" i="20"/>
  <c r="P130" i="20" s="1"/>
  <c r="Q130" i="20" s="1"/>
  <c r="L130" i="20"/>
  <c r="K130" i="20"/>
  <c r="N130" i="20" s="1"/>
  <c r="J130" i="20"/>
  <c r="I130" i="20"/>
  <c r="F130" i="20"/>
  <c r="O129" i="20"/>
  <c r="M129" i="20"/>
  <c r="P129" i="20" s="1"/>
  <c r="Q129" i="20" s="1"/>
  <c r="L129" i="20"/>
  <c r="K129" i="20"/>
  <c r="N129" i="20" s="1"/>
  <c r="J129" i="20"/>
  <c r="I129" i="20"/>
  <c r="F129" i="20"/>
  <c r="O128" i="20"/>
  <c r="M128" i="20"/>
  <c r="P128" i="20" s="1"/>
  <c r="L128" i="20"/>
  <c r="K128" i="20"/>
  <c r="N128" i="20" s="1"/>
  <c r="J128" i="20"/>
  <c r="I128" i="20"/>
  <c r="F128" i="20"/>
  <c r="O127" i="20"/>
  <c r="M127" i="20"/>
  <c r="P127" i="20" s="1"/>
  <c r="L127" i="20"/>
  <c r="K127" i="20"/>
  <c r="N127" i="20" s="1"/>
  <c r="J127" i="20"/>
  <c r="I127" i="20"/>
  <c r="F127" i="20"/>
  <c r="O126" i="20"/>
  <c r="M126" i="20"/>
  <c r="P126" i="20" s="1"/>
  <c r="Q126" i="20" s="1"/>
  <c r="L126" i="20"/>
  <c r="K126" i="20"/>
  <c r="N126" i="20" s="1"/>
  <c r="J126" i="20"/>
  <c r="I126" i="20"/>
  <c r="F126" i="20"/>
  <c r="O125" i="20"/>
  <c r="M125" i="20"/>
  <c r="P125" i="20" s="1"/>
  <c r="Q125" i="20" s="1"/>
  <c r="L125" i="20"/>
  <c r="K125" i="20"/>
  <c r="N125" i="20" s="1"/>
  <c r="J125" i="20"/>
  <c r="I125" i="20"/>
  <c r="F125" i="20"/>
  <c r="O124" i="20"/>
  <c r="M124" i="20"/>
  <c r="P124" i="20" s="1"/>
  <c r="L124" i="20"/>
  <c r="K124" i="20"/>
  <c r="N124" i="20" s="1"/>
  <c r="J124" i="20"/>
  <c r="I124" i="20"/>
  <c r="F124" i="20"/>
  <c r="O123" i="20"/>
  <c r="M123" i="20"/>
  <c r="P123" i="20" s="1"/>
  <c r="L123" i="20"/>
  <c r="K123" i="20"/>
  <c r="N123" i="20" s="1"/>
  <c r="J123" i="20"/>
  <c r="I123" i="20"/>
  <c r="F123" i="20"/>
  <c r="O122" i="20"/>
  <c r="M122" i="20"/>
  <c r="P122" i="20" s="1"/>
  <c r="Q122" i="20" s="1"/>
  <c r="L122" i="20"/>
  <c r="K122" i="20"/>
  <c r="N122" i="20" s="1"/>
  <c r="J122" i="20"/>
  <c r="I122" i="20"/>
  <c r="F122" i="20"/>
  <c r="O121" i="20"/>
  <c r="M121" i="20"/>
  <c r="P121" i="20" s="1"/>
  <c r="Q121" i="20" s="1"/>
  <c r="L121" i="20"/>
  <c r="K121" i="20"/>
  <c r="N121" i="20" s="1"/>
  <c r="J121" i="20"/>
  <c r="I121" i="20"/>
  <c r="F121" i="20"/>
  <c r="O120" i="20"/>
  <c r="M120" i="20"/>
  <c r="P120" i="20" s="1"/>
  <c r="L120" i="20"/>
  <c r="K120" i="20"/>
  <c r="N120" i="20" s="1"/>
  <c r="J120" i="20"/>
  <c r="I120" i="20"/>
  <c r="F120" i="20"/>
  <c r="O119" i="20"/>
  <c r="M119" i="20"/>
  <c r="P119" i="20" s="1"/>
  <c r="L119" i="20"/>
  <c r="K119" i="20"/>
  <c r="N119" i="20" s="1"/>
  <c r="Q119" i="20" s="1"/>
  <c r="J119" i="20"/>
  <c r="I119" i="20"/>
  <c r="F119" i="20"/>
  <c r="O118" i="20"/>
  <c r="M118" i="20"/>
  <c r="P118" i="20" s="1"/>
  <c r="L118" i="20"/>
  <c r="K118" i="20"/>
  <c r="N118" i="20" s="1"/>
  <c r="J118" i="20"/>
  <c r="I118" i="20"/>
  <c r="F118" i="20"/>
  <c r="O117" i="20"/>
  <c r="M117" i="20"/>
  <c r="P117" i="20" s="1"/>
  <c r="L117" i="20"/>
  <c r="K117" i="20"/>
  <c r="N117" i="20" s="1"/>
  <c r="Q117" i="20" s="1"/>
  <c r="J117" i="20"/>
  <c r="I117" i="20"/>
  <c r="F117" i="20"/>
  <c r="O116" i="20"/>
  <c r="M116" i="20"/>
  <c r="P116" i="20" s="1"/>
  <c r="L116" i="20"/>
  <c r="K116" i="20"/>
  <c r="N116" i="20" s="1"/>
  <c r="J116" i="20"/>
  <c r="I116" i="20"/>
  <c r="F116" i="20"/>
  <c r="O115" i="20"/>
  <c r="M115" i="20"/>
  <c r="P115" i="20" s="1"/>
  <c r="Q115" i="20" s="1"/>
  <c r="L115" i="20"/>
  <c r="K115" i="20"/>
  <c r="N115" i="20" s="1"/>
  <c r="J115" i="20"/>
  <c r="I115" i="20"/>
  <c r="F115" i="20"/>
  <c r="O114" i="20"/>
  <c r="M114" i="20"/>
  <c r="P114" i="20" s="1"/>
  <c r="Q114" i="20" s="1"/>
  <c r="L114" i="20"/>
  <c r="K114" i="20"/>
  <c r="N114" i="20" s="1"/>
  <c r="J114" i="20"/>
  <c r="I114" i="20"/>
  <c r="F114" i="20"/>
  <c r="O113" i="20"/>
  <c r="M113" i="20"/>
  <c r="P113" i="20" s="1"/>
  <c r="Q113" i="20" s="1"/>
  <c r="L113" i="20"/>
  <c r="K113" i="20"/>
  <c r="N113" i="20" s="1"/>
  <c r="J113" i="20"/>
  <c r="I113" i="20"/>
  <c r="F113" i="20"/>
  <c r="O112" i="20"/>
  <c r="M112" i="20"/>
  <c r="P112" i="20" s="1"/>
  <c r="L112" i="20"/>
  <c r="K112" i="20"/>
  <c r="N112" i="20" s="1"/>
  <c r="J112" i="20"/>
  <c r="I112" i="20"/>
  <c r="F112" i="20"/>
  <c r="O111" i="20"/>
  <c r="M111" i="20"/>
  <c r="P111" i="20" s="1"/>
  <c r="L111" i="20"/>
  <c r="K111" i="20"/>
  <c r="N111" i="20" s="1"/>
  <c r="Q111" i="20" s="1"/>
  <c r="J111" i="20"/>
  <c r="I111" i="20"/>
  <c r="F111" i="20"/>
  <c r="O110" i="20"/>
  <c r="M110" i="20"/>
  <c r="P110" i="20" s="1"/>
  <c r="L110" i="20"/>
  <c r="K110" i="20"/>
  <c r="N110" i="20" s="1"/>
  <c r="J110" i="20"/>
  <c r="I110" i="20"/>
  <c r="F110" i="20"/>
  <c r="O109" i="20"/>
  <c r="M109" i="20"/>
  <c r="P109" i="20" s="1"/>
  <c r="L109" i="20"/>
  <c r="K109" i="20"/>
  <c r="N109" i="20" s="1"/>
  <c r="Q109" i="20" s="1"/>
  <c r="J109" i="20"/>
  <c r="I109" i="20"/>
  <c r="F109" i="20"/>
  <c r="O108" i="20"/>
  <c r="M108" i="20"/>
  <c r="P108" i="20" s="1"/>
  <c r="L108" i="20"/>
  <c r="K108" i="20"/>
  <c r="N108" i="20" s="1"/>
  <c r="J108" i="20"/>
  <c r="I108" i="20"/>
  <c r="F108" i="20"/>
  <c r="O107" i="20"/>
  <c r="M107" i="20"/>
  <c r="P107" i="20" s="1"/>
  <c r="Q107" i="20" s="1"/>
  <c r="L107" i="20"/>
  <c r="K107" i="20"/>
  <c r="N107" i="20" s="1"/>
  <c r="J107" i="20"/>
  <c r="I107" i="20"/>
  <c r="F107" i="20"/>
  <c r="O106" i="20"/>
  <c r="M106" i="20"/>
  <c r="P106" i="20" s="1"/>
  <c r="Q106" i="20" s="1"/>
  <c r="L106" i="20"/>
  <c r="K106" i="20"/>
  <c r="N106" i="20" s="1"/>
  <c r="J106" i="20"/>
  <c r="I106" i="20"/>
  <c r="F106" i="20"/>
  <c r="O105" i="20"/>
  <c r="M105" i="20"/>
  <c r="P105" i="20" s="1"/>
  <c r="Q105" i="20" s="1"/>
  <c r="L105" i="20"/>
  <c r="K105" i="20"/>
  <c r="N105" i="20" s="1"/>
  <c r="J105" i="20"/>
  <c r="I105" i="20"/>
  <c r="F105" i="20"/>
  <c r="O104" i="20"/>
  <c r="M104" i="20"/>
  <c r="P104" i="20" s="1"/>
  <c r="L104" i="20"/>
  <c r="K104" i="20"/>
  <c r="N104" i="20" s="1"/>
  <c r="J104" i="20"/>
  <c r="I104" i="20"/>
  <c r="F104" i="20"/>
  <c r="O103" i="20"/>
  <c r="M103" i="20"/>
  <c r="P103" i="20" s="1"/>
  <c r="L103" i="20"/>
  <c r="K103" i="20"/>
  <c r="N103" i="20" s="1"/>
  <c r="Q103" i="20" s="1"/>
  <c r="J103" i="20"/>
  <c r="I103" i="20"/>
  <c r="F103" i="20"/>
  <c r="O102" i="20"/>
  <c r="M102" i="20"/>
  <c r="P102" i="20" s="1"/>
  <c r="L102" i="20"/>
  <c r="K102" i="20"/>
  <c r="N102" i="20" s="1"/>
  <c r="J102" i="20"/>
  <c r="I102" i="20"/>
  <c r="F102" i="20"/>
  <c r="O101" i="20"/>
  <c r="M101" i="20"/>
  <c r="P101" i="20" s="1"/>
  <c r="L101" i="20"/>
  <c r="K101" i="20"/>
  <c r="N101" i="20" s="1"/>
  <c r="Q101" i="20" s="1"/>
  <c r="J101" i="20"/>
  <c r="I101" i="20"/>
  <c r="F101" i="20"/>
  <c r="O100" i="20"/>
  <c r="M100" i="20"/>
  <c r="P100" i="20" s="1"/>
  <c r="L100" i="20"/>
  <c r="K100" i="20"/>
  <c r="N100" i="20" s="1"/>
  <c r="J100" i="20"/>
  <c r="I100" i="20"/>
  <c r="F100" i="20"/>
  <c r="O99" i="20"/>
  <c r="M99" i="20"/>
  <c r="P99" i="20" s="1"/>
  <c r="Q99" i="20" s="1"/>
  <c r="L99" i="20"/>
  <c r="K99" i="20"/>
  <c r="N99" i="20" s="1"/>
  <c r="J99" i="20"/>
  <c r="I99" i="20"/>
  <c r="F99" i="20"/>
  <c r="O98" i="20"/>
  <c r="M98" i="20"/>
  <c r="P98" i="20" s="1"/>
  <c r="Q98" i="20" s="1"/>
  <c r="L98" i="20"/>
  <c r="K98" i="20"/>
  <c r="N98" i="20" s="1"/>
  <c r="J98" i="20"/>
  <c r="I98" i="20"/>
  <c r="F98" i="20"/>
  <c r="O97" i="20"/>
  <c r="M97" i="20"/>
  <c r="P97" i="20" s="1"/>
  <c r="Q97" i="20" s="1"/>
  <c r="L97" i="20"/>
  <c r="K97" i="20"/>
  <c r="N97" i="20" s="1"/>
  <c r="J97" i="20"/>
  <c r="I97" i="20"/>
  <c r="F97" i="20"/>
  <c r="O96" i="20"/>
  <c r="M96" i="20"/>
  <c r="P96" i="20" s="1"/>
  <c r="Q96" i="20" s="1"/>
  <c r="L96" i="20"/>
  <c r="K96" i="20"/>
  <c r="N96" i="20" s="1"/>
  <c r="J96" i="20"/>
  <c r="I96" i="20"/>
  <c r="F96" i="20"/>
  <c r="O95" i="20"/>
  <c r="M95" i="20"/>
  <c r="P95" i="20" s="1"/>
  <c r="Q95" i="20" s="1"/>
  <c r="L95" i="20"/>
  <c r="K95" i="20"/>
  <c r="N95" i="20" s="1"/>
  <c r="J95" i="20"/>
  <c r="I95" i="20"/>
  <c r="F95" i="20"/>
  <c r="O94" i="20"/>
  <c r="M94" i="20"/>
  <c r="P94" i="20" s="1"/>
  <c r="Q94" i="20" s="1"/>
  <c r="L94" i="20"/>
  <c r="K94" i="20"/>
  <c r="N94" i="20" s="1"/>
  <c r="J94" i="20"/>
  <c r="I94" i="20"/>
  <c r="F94" i="20"/>
  <c r="O93" i="20"/>
  <c r="M93" i="20"/>
  <c r="P93" i="20" s="1"/>
  <c r="Q93" i="20" s="1"/>
  <c r="L93" i="20"/>
  <c r="K93" i="20"/>
  <c r="N93" i="20" s="1"/>
  <c r="J93" i="20"/>
  <c r="I93" i="20"/>
  <c r="F93" i="20"/>
  <c r="O92" i="20"/>
  <c r="M92" i="20"/>
  <c r="P92" i="20" s="1"/>
  <c r="Q92" i="20" s="1"/>
  <c r="L92" i="20"/>
  <c r="K92" i="20"/>
  <c r="N92" i="20" s="1"/>
  <c r="J92" i="20"/>
  <c r="I92" i="20"/>
  <c r="F92" i="20"/>
  <c r="O91" i="20"/>
  <c r="M91" i="20"/>
  <c r="P91" i="20" s="1"/>
  <c r="Q91" i="20" s="1"/>
  <c r="L91" i="20"/>
  <c r="K91" i="20"/>
  <c r="N91" i="20" s="1"/>
  <c r="J91" i="20"/>
  <c r="I91" i="20"/>
  <c r="F91" i="20"/>
  <c r="O90" i="20"/>
  <c r="M90" i="20"/>
  <c r="P90" i="20" s="1"/>
  <c r="Q90" i="20" s="1"/>
  <c r="L90" i="20"/>
  <c r="K90" i="20"/>
  <c r="N90" i="20" s="1"/>
  <c r="J90" i="20"/>
  <c r="I90" i="20"/>
  <c r="F90" i="20"/>
  <c r="O89" i="20"/>
  <c r="M89" i="20"/>
  <c r="P89" i="20" s="1"/>
  <c r="Q89" i="20" s="1"/>
  <c r="L89" i="20"/>
  <c r="K89" i="20"/>
  <c r="N89" i="20" s="1"/>
  <c r="J89" i="20"/>
  <c r="I89" i="20"/>
  <c r="F89" i="20"/>
  <c r="O88" i="20"/>
  <c r="M88" i="20"/>
  <c r="P88" i="20" s="1"/>
  <c r="Q88" i="20" s="1"/>
  <c r="L88" i="20"/>
  <c r="K88" i="20"/>
  <c r="N88" i="20" s="1"/>
  <c r="J88" i="20"/>
  <c r="I88" i="20"/>
  <c r="F88" i="20"/>
  <c r="O87" i="20"/>
  <c r="M87" i="20"/>
  <c r="P87" i="20" s="1"/>
  <c r="Q87" i="20" s="1"/>
  <c r="L87" i="20"/>
  <c r="K87" i="20"/>
  <c r="N87" i="20" s="1"/>
  <c r="J87" i="20"/>
  <c r="I87" i="20"/>
  <c r="F87" i="20"/>
  <c r="O86" i="20"/>
  <c r="M86" i="20"/>
  <c r="P86" i="20" s="1"/>
  <c r="Q86" i="20" s="1"/>
  <c r="L86" i="20"/>
  <c r="K86" i="20"/>
  <c r="N86" i="20" s="1"/>
  <c r="J86" i="20"/>
  <c r="I86" i="20"/>
  <c r="F86" i="20"/>
  <c r="O85" i="20"/>
  <c r="M85" i="20"/>
  <c r="P85" i="20" s="1"/>
  <c r="Q85" i="20" s="1"/>
  <c r="L85" i="20"/>
  <c r="K85" i="20"/>
  <c r="N85" i="20" s="1"/>
  <c r="J85" i="20"/>
  <c r="I85" i="20"/>
  <c r="F85" i="20"/>
  <c r="O84" i="20"/>
  <c r="M84" i="20"/>
  <c r="P84" i="20" s="1"/>
  <c r="Q84" i="20" s="1"/>
  <c r="L84" i="20"/>
  <c r="K84" i="20"/>
  <c r="N84" i="20" s="1"/>
  <c r="J84" i="20"/>
  <c r="I84" i="20"/>
  <c r="F84" i="20"/>
  <c r="O83" i="20"/>
  <c r="M83" i="20"/>
  <c r="P83" i="20" s="1"/>
  <c r="Q83" i="20" s="1"/>
  <c r="L83" i="20"/>
  <c r="K83" i="20"/>
  <c r="N83" i="20" s="1"/>
  <c r="J83" i="20"/>
  <c r="I83" i="20"/>
  <c r="F83" i="20"/>
  <c r="O82" i="20"/>
  <c r="M82" i="20"/>
  <c r="P82" i="20" s="1"/>
  <c r="Q82" i="20" s="1"/>
  <c r="L82" i="20"/>
  <c r="K82" i="20"/>
  <c r="N82" i="20" s="1"/>
  <c r="J82" i="20"/>
  <c r="I82" i="20"/>
  <c r="F82" i="20"/>
  <c r="O81" i="20"/>
  <c r="M81" i="20"/>
  <c r="P81" i="20" s="1"/>
  <c r="Q81" i="20" s="1"/>
  <c r="L81" i="20"/>
  <c r="K81" i="20"/>
  <c r="N81" i="20" s="1"/>
  <c r="J81" i="20"/>
  <c r="I81" i="20"/>
  <c r="F81" i="20"/>
  <c r="O80" i="20"/>
  <c r="M80" i="20"/>
  <c r="P80" i="20" s="1"/>
  <c r="Q80" i="20" s="1"/>
  <c r="L80" i="20"/>
  <c r="K80" i="20"/>
  <c r="N80" i="20" s="1"/>
  <c r="J80" i="20"/>
  <c r="I80" i="20"/>
  <c r="F80" i="20"/>
  <c r="O79" i="20"/>
  <c r="M79" i="20"/>
  <c r="P79" i="20" s="1"/>
  <c r="Q79" i="20" s="1"/>
  <c r="L79" i="20"/>
  <c r="K79" i="20"/>
  <c r="N79" i="20" s="1"/>
  <c r="J79" i="20"/>
  <c r="I79" i="20"/>
  <c r="F79" i="20"/>
  <c r="O78" i="20"/>
  <c r="M78" i="20"/>
  <c r="P78" i="20" s="1"/>
  <c r="Q78" i="20" s="1"/>
  <c r="L78" i="20"/>
  <c r="K78" i="20"/>
  <c r="N78" i="20" s="1"/>
  <c r="J78" i="20"/>
  <c r="I78" i="20"/>
  <c r="F78" i="20"/>
  <c r="O77" i="20"/>
  <c r="M77" i="20"/>
  <c r="P77" i="20" s="1"/>
  <c r="Q77" i="20" s="1"/>
  <c r="L77" i="20"/>
  <c r="K77" i="20"/>
  <c r="N77" i="20" s="1"/>
  <c r="J77" i="20"/>
  <c r="I77" i="20"/>
  <c r="F77" i="20"/>
  <c r="O76" i="20"/>
  <c r="M76" i="20"/>
  <c r="P76" i="20" s="1"/>
  <c r="Q76" i="20" s="1"/>
  <c r="L76" i="20"/>
  <c r="K76" i="20"/>
  <c r="N76" i="20" s="1"/>
  <c r="J76" i="20"/>
  <c r="I76" i="20"/>
  <c r="F76" i="20"/>
  <c r="O75" i="20"/>
  <c r="Q75" i="20" s="1"/>
  <c r="M75" i="20"/>
  <c r="P75" i="20" s="1"/>
  <c r="L75" i="20"/>
  <c r="K75" i="20"/>
  <c r="N75" i="20" s="1"/>
  <c r="J75" i="20"/>
  <c r="I75" i="20"/>
  <c r="F75" i="20"/>
  <c r="O74" i="20"/>
  <c r="Q74" i="20" s="1"/>
  <c r="M74" i="20"/>
  <c r="P74" i="20" s="1"/>
  <c r="L74" i="20"/>
  <c r="K74" i="20"/>
  <c r="N74" i="20" s="1"/>
  <c r="J74" i="20"/>
  <c r="I74" i="20"/>
  <c r="F74" i="20"/>
  <c r="O73" i="20"/>
  <c r="Q73" i="20" s="1"/>
  <c r="M73" i="20"/>
  <c r="P73" i="20" s="1"/>
  <c r="L73" i="20"/>
  <c r="K73" i="20"/>
  <c r="N73" i="20" s="1"/>
  <c r="J73" i="20"/>
  <c r="I73" i="20"/>
  <c r="F73" i="20"/>
  <c r="O72" i="20"/>
  <c r="Q72" i="20" s="1"/>
  <c r="M72" i="20"/>
  <c r="P72" i="20" s="1"/>
  <c r="L72" i="20"/>
  <c r="K72" i="20"/>
  <c r="N72" i="20" s="1"/>
  <c r="J72" i="20"/>
  <c r="I72" i="20"/>
  <c r="F72" i="20"/>
  <c r="O71" i="20"/>
  <c r="Q71" i="20" s="1"/>
  <c r="M71" i="20"/>
  <c r="P71" i="20" s="1"/>
  <c r="L71" i="20"/>
  <c r="K71" i="20"/>
  <c r="N71" i="20" s="1"/>
  <c r="J71" i="20"/>
  <c r="I71" i="20"/>
  <c r="F71" i="20"/>
  <c r="O70" i="20"/>
  <c r="M70" i="20"/>
  <c r="P70" i="20" s="1"/>
  <c r="L70" i="20"/>
  <c r="K70" i="20"/>
  <c r="N70" i="20" s="1"/>
  <c r="J70" i="20"/>
  <c r="I70" i="20"/>
  <c r="F70" i="20"/>
  <c r="M62" i="20"/>
  <c r="P62" i="20" s="1"/>
  <c r="L62" i="20"/>
  <c r="O62" i="20" s="1"/>
  <c r="Q62" i="20" s="1"/>
  <c r="K62" i="20"/>
  <c r="N62" i="20" s="1"/>
  <c r="P61" i="20"/>
  <c r="M61" i="20"/>
  <c r="L61" i="20"/>
  <c r="O61" i="20" s="1"/>
  <c r="K61" i="20"/>
  <c r="N61" i="20" s="1"/>
  <c r="M60" i="20"/>
  <c r="P60" i="20" s="1"/>
  <c r="L60" i="20"/>
  <c r="O60" i="20" s="1"/>
  <c r="K60" i="20"/>
  <c r="N60" i="20" s="1"/>
  <c r="N59" i="20"/>
  <c r="M59" i="20"/>
  <c r="P59" i="20" s="1"/>
  <c r="L59" i="20"/>
  <c r="O59" i="20" s="1"/>
  <c r="K59" i="20"/>
  <c r="O58" i="20"/>
  <c r="Q58" i="20" s="1"/>
  <c r="M58" i="20"/>
  <c r="P58" i="20" s="1"/>
  <c r="L58" i="20"/>
  <c r="K58" i="20"/>
  <c r="N58" i="20" s="1"/>
  <c r="P57" i="20"/>
  <c r="Q57" i="20" s="1"/>
  <c r="M57" i="20"/>
  <c r="L57" i="20"/>
  <c r="O57" i="20" s="1"/>
  <c r="K57" i="20"/>
  <c r="N57" i="20" s="1"/>
  <c r="M56" i="20"/>
  <c r="P56" i="20" s="1"/>
  <c r="Q56" i="20" s="1"/>
  <c r="L56" i="20"/>
  <c r="O56" i="20" s="1"/>
  <c r="K56" i="20"/>
  <c r="N56" i="20" s="1"/>
  <c r="N55" i="20"/>
  <c r="M55" i="20"/>
  <c r="P55" i="20" s="1"/>
  <c r="Q55" i="20" s="1"/>
  <c r="L55" i="20"/>
  <c r="O55" i="20" s="1"/>
  <c r="K55" i="20"/>
  <c r="M54" i="20"/>
  <c r="P54" i="20" s="1"/>
  <c r="L54" i="20"/>
  <c r="O54" i="20" s="1"/>
  <c r="Q54" i="20" s="1"/>
  <c r="K54" i="20"/>
  <c r="N54" i="20" s="1"/>
  <c r="M53" i="20"/>
  <c r="P53" i="20" s="1"/>
  <c r="Q53" i="20" s="1"/>
  <c r="L53" i="20"/>
  <c r="O53" i="20" s="1"/>
  <c r="K53" i="20"/>
  <c r="N53" i="20" s="1"/>
  <c r="M52" i="20"/>
  <c r="P52" i="20" s="1"/>
  <c r="L52" i="20"/>
  <c r="O52" i="20" s="1"/>
  <c r="K52" i="20"/>
  <c r="N52" i="20" s="1"/>
  <c r="N51" i="20"/>
  <c r="M51" i="20"/>
  <c r="P51" i="20" s="1"/>
  <c r="L51" i="20"/>
  <c r="O51" i="20" s="1"/>
  <c r="K51" i="20"/>
  <c r="M50" i="20"/>
  <c r="P50" i="20" s="1"/>
  <c r="L50" i="20"/>
  <c r="O50" i="20" s="1"/>
  <c r="Q50" i="20" s="1"/>
  <c r="K50" i="20"/>
  <c r="N50" i="20" s="1"/>
  <c r="M49" i="20"/>
  <c r="P49" i="20" s="1"/>
  <c r="Q49" i="20" s="1"/>
  <c r="L49" i="20"/>
  <c r="O49" i="20" s="1"/>
  <c r="K49" i="20"/>
  <c r="N49" i="20" s="1"/>
  <c r="M48" i="20"/>
  <c r="P48" i="20" s="1"/>
  <c r="L48" i="20"/>
  <c r="O48" i="20" s="1"/>
  <c r="K48" i="20"/>
  <c r="N48" i="20" s="1"/>
  <c r="N47" i="20"/>
  <c r="M47" i="20"/>
  <c r="P47" i="20" s="1"/>
  <c r="L47" i="20"/>
  <c r="O47" i="20" s="1"/>
  <c r="K47" i="20"/>
  <c r="M46" i="20"/>
  <c r="P46" i="20" s="1"/>
  <c r="L46" i="20"/>
  <c r="O46" i="20" s="1"/>
  <c r="Q46" i="20" s="1"/>
  <c r="K46" i="20"/>
  <c r="N46" i="20" s="1"/>
  <c r="P45" i="20"/>
  <c r="M45" i="20"/>
  <c r="L45" i="20"/>
  <c r="O45" i="20" s="1"/>
  <c r="K45" i="20"/>
  <c r="N45" i="20" s="1"/>
  <c r="M44" i="20"/>
  <c r="P44" i="20" s="1"/>
  <c r="L44" i="20"/>
  <c r="O44" i="20" s="1"/>
  <c r="K44" i="20"/>
  <c r="N44" i="20" s="1"/>
  <c r="M43" i="20"/>
  <c r="P43" i="20" s="1"/>
  <c r="Q43" i="20" s="1"/>
  <c r="L43" i="20"/>
  <c r="O43" i="20" s="1"/>
  <c r="K43" i="20"/>
  <c r="N43" i="20" s="1"/>
  <c r="M42" i="20"/>
  <c r="P42" i="20" s="1"/>
  <c r="L42" i="20"/>
  <c r="O42" i="20" s="1"/>
  <c r="Q42" i="20" s="1"/>
  <c r="K42" i="20"/>
  <c r="N42" i="20" s="1"/>
  <c r="P41" i="20"/>
  <c r="O41" i="20"/>
  <c r="M41" i="20"/>
  <c r="L41" i="20"/>
  <c r="K41" i="20"/>
  <c r="N41" i="20" s="1"/>
  <c r="O40" i="20"/>
  <c r="N40" i="20"/>
  <c r="M40" i="20"/>
  <c r="P40" i="20" s="1"/>
  <c r="Q40" i="20" s="1"/>
  <c r="L40" i="20"/>
  <c r="K40" i="20"/>
  <c r="N39" i="20"/>
  <c r="M39" i="20"/>
  <c r="P39" i="20" s="1"/>
  <c r="L39" i="20"/>
  <c r="O39" i="20" s="1"/>
  <c r="K39" i="20"/>
  <c r="P38" i="20"/>
  <c r="Q38" i="20" s="1"/>
  <c r="M38" i="20"/>
  <c r="L38" i="20"/>
  <c r="O38" i="20" s="1"/>
  <c r="K38" i="20"/>
  <c r="N38" i="20" s="1"/>
  <c r="P37" i="20"/>
  <c r="O37" i="20"/>
  <c r="M37" i="20"/>
  <c r="L37" i="20"/>
  <c r="K37" i="20"/>
  <c r="N37" i="20" s="1"/>
  <c r="O36" i="20"/>
  <c r="N36" i="20"/>
  <c r="M36" i="20"/>
  <c r="P36" i="20" s="1"/>
  <c r="Q36" i="20" s="1"/>
  <c r="L36" i="20"/>
  <c r="K36" i="20"/>
  <c r="N35" i="20"/>
  <c r="M35" i="20"/>
  <c r="P35" i="20" s="1"/>
  <c r="L35" i="20"/>
  <c r="O35" i="20" s="1"/>
  <c r="K35" i="20"/>
  <c r="P34" i="20"/>
  <c r="M34" i="20"/>
  <c r="L34" i="20"/>
  <c r="O34" i="20" s="1"/>
  <c r="K34" i="20"/>
  <c r="N34" i="20" s="1"/>
  <c r="P33" i="20"/>
  <c r="O33" i="20"/>
  <c r="M33" i="20"/>
  <c r="L33" i="20"/>
  <c r="K33" i="20"/>
  <c r="N33" i="20" s="1"/>
  <c r="O32" i="20"/>
  <c r="N32" i="20"/>
  <c r="M32" i="20"/>
  <c r="P32" i="20" s="1"/>
  <c r="Q32" i="20" s="1"/>
  <c r="L32" i="20"/>
  <c r="K32" i="20"/>
  <c r="N31" i="20"/>
  <c r="M31" i="20"/>
  <c r="P31" i="20" s="1"/>
  <c r="L31" i="20"/>
  <c r="O31" i="20" s="1"/>
  <c r="K31" i="20"/>
  <c r="P30" i="20"/>
  <c r="Q30" i="20" s="1"/>
  <c r="M30" i="20"/>
  <c r="L30" i="20"/>
  <c r="O30" i="20" s="1"/>
  <c r="K30" i="20"/>
  <c r="N30" i="20" s="1"/>
  <c r="P29" i="20"/>
  <c r="O29" i="20"/>
  <c r="M29" i="20"/>
  <c r="L29" i="20"/>
  <c r="K29" i="20"/>
  <c r="N29" i="20" s="1"/>
  <c r="O28" i="20"/>
  <c r="N28" i="20"/>
  <c r="M28" i="20"/>
  <c r="P28" i="20" s="1"/>
  <c r="Q28" i="20" s="1"/>
  <c r="L28" i="20"/>
  <c r="K28" i="20"/>
  <c r="N27" i="20"/>
  <c r="M27" i="20"/>
  <c r="P27" i="20" s="1"/>
  <c r="L27" i="20"/>
  <c r="O27" i="20" s="1"/>
  <c r="K27" i="20"/>
  <c r="P26" i="20"/>
  <c r="M26" i="20"/>
  <c r="L26" i="20"/>
  <c r="O26" i="20" s="1"/>
  <c r="K26" i="20"/>
  <c r="N26" i="20" s="1"/>
  <c r="P25" i="20"/>
  <c r="O25" i="20"/>
  <c r="M25" i="20"/>
  <c r="L25" i="20"/>
  <c r="K25" i="20"/>
  <c r="N25" i="20" s="1"/>
  <c r="O24" i="20"/>
  <c r="N24" i="20"/>
  <c r="M24" i="20"/>
  <c r="P24" i="20" s="1"/>
  <c r="Q24" i="20" s="1"/>
  <c r="L24" i="20"/>
  <c r="K24" i="20"/>
  <c r="N23" i="20"/>
  <c r="M23" i="20"/>
  <c r="P23" i="20" s="1"/>
  <c r="L23" i="20"/>
  <c r="O23" i="20" s="1"/>
  <c r="K23" i="20"/>
  <c r="P22" i="20"/>
  <c r="Q22" i="20" s="1"/>
  <c r="M22" i="20"/>
  <c r="L22" i="20"/>
  <c r="O22" i="20" s="1"/>
  <c r="K22" i="20"/>
  <c r="N22" i="20" s="1"/>
  <c r="P21" i="20"/>
  <c r="O21" i="20"/>
  <c r="M21" i="20"/>
  <c r="L21" i="20"/>
  <c r="K21" i="20"/>
  <c r="N21" i="20" s="1"/>
  <c r="O20" i="20"/>
  <c r="N20" i="20"/>
  <c r="M20" i="20"/>
  <c r="P20" i="20" s="1"/>
  <c r="Q20" i="20" s="1"/>
  <c r="L20" i="20"/>
  <c r="K20" i="20"/>
  <c r="N19" i="20"/>
  <c r="M19" i="20"/>
  <c r="P19" i="20" s="1"/>
  <c r="L19" i="20"/>
  <c r="O19" i="20" s="1"/>
  <c r="K19" i="20"/>
  <c r="P18" i="20"/>
  <c r="M18" i="20"/>
  <c r="L18" i="20"/>
  <c r="O18" i="20" s="1"/>
  <c r="K18" i="20"/>
  <c r="N18" i="20" s="1"/>
  <c r="P17" i="20"/>
  <c r="P182" i="20" s="1"/>
  <c r="O17" i="20"/>
  <c r="O182" i="20" s="1"/>
  <c r="M17" i="20"/>
  <c r="L17" i="20"/>
  <c r="K17" i="20"/>
  <c r="N17" i="20" s="1"/>
  <c r="N182" i="20" s="1"/>
  <c r="O16" i="20"/>
  <c r="N16" i="20"/>
  <c r="N181" i="20" s="1"/>
  <c r="M16" i="20"/>
  <c r="P16" i="20" s="1"/>
  <c r="L16" i="20"/>
  <c r="K16" i="20"/>
  <c r="N15" i="20"/>
  <c r="N180" i="20" s="1"/>
  <c r="M15" i="20"/>
  <c r="P15" i="20" s="1"/>
  <c r="L15" i="20"/>
  <c r="O15" i="20" s="1"/>
  <c r="O180" i="20" s="1"/>
  <c r="K15" i="20"/>
  <c r="P14" i="20"/>
  <c r="P179" i="20" s="1"/>
  <c r="M14" i="20"/>
  <c r="L14" i="20"/>
  <c r="O14" i="20" s="1"/>
  <c r="O179" i="20" s="1"/>
  <c r="K14" i="20"/>
  <c r="N14" i="20" s="1"/>
  <c r="N179" i="20" s="1"/>
  <c r="P13" i="20"/>
  <c r="P178" i="20" s="1"/>
  <c r="O13" i="20"/>
  <c r="O178" i="20" s="1"/>
  <c r="M13" i="20"/>
  <c r="L13" i="20"/>
  <c r="K13" i="20"/>
  <c r="N13" i="20" s="1"/>
  <c r="N178" i="20" s="1"/>
  <c r="O12" i="20"/>
  <c r="N12" i="20"/>
  <c r="N177" i="20" s="1"/>
  <c r="M12" i="20"/>
  <c r="P12" i="20" s="1"/>
  <c r="L12" i="20"/>
  <c r="K12" i="20"/>
  <c r="N11" i="20"/>
  <c r="N176" i="20" s="1"/>
  <c r="M11" i="20"/>
  <c r="P11" i="20" s="1"/>
  <c r="L11" i="20"/>
  <c r="O11" i="20" s="1"/>
  <c r="O176" i="20" s="1"/>
  <c r="K11" i="20"/>
  <c r="P10" i="20"/>
  <c r="M10" i="20"/>
  <c r="L10" i="20"/>
  <c r="O10" i="20" s="1"/>
  <c r="K10" i="20"/>
  <c r="N10" i="20" s="1"/>
  <c r="N30" i="16"/>
  <c r="M30" i="16"/>
  <c r="L30" i="16"/>
  <c r="K30" i="16"/>
  <c r="J30" i="16"/>
  <c r="I30" i="16"/>
  <c r="H30" i="16"/>
  <c r="N29" i="16"/>
  <c r="M29" i="16"/>
  <c r="L29" i="16"/>
  <c r="K29" i="16"/>
  <c r="I29" i="16"/>
  <c r="H29" i="16"/>
  <c r="N28" i="16"/>
  <c r="M28" i="16"/>
  <c r="L28" i="16"/>
  <c r="K28" i="16"/>
  <c r="I28" i="16"/>
  <c r="H28" i="16"/>
  <c r="N27" i="16"/>
  <c r="M27" i="16"/>
  <c r="L27" i="16"/>
  <c r="K27" i="16"/>
  <c r="I27" i="16"/>
  <c r="H27" i="16"/>
  <c r="N26" i="16"/>
  <c r="M26" i="16"/>
  <c r="L26" i="16"/>
  <c r="K26" i="16"/>
  <c r="I26" i="16"/>
  <c r="H26" i="16"/>
  <c r="N25" i="16"/>
  <c r="M25" i="16"/>
  <c r="L25" i="16"/>
  <c r="K25" i="16"/>
  <c r="I25" i="16"/>
  <c r="H25" i="16"/>
  <c r="N24" i="16"/>
  <c r="M24" i="16"/>
  <c r="L24" i="16"/>
  <c r="K24" i="16"/>
  <c r="I24" i="16"/>
  <c r="H24" i="16"/>
  <c r="N23" i="16"/>
  <c r="M23" i="16"/>
  <c r="L23" i="16"/>
  <c r="K23" i="16"/>
  <c r="I23" i="16"/>
  <c r="H23" i="16"/>
  <c r="N22" i="16"/>
  <c r="M22" i="16"/>
  <c r="L22" i="16"/>
  <c r="K22" i="16"/>
  <c r="I22" i="16"/>
  <c r="H22" i="16"/>
  <c r="N15" i="16"/>
  <c r="M15" i="16"/>
  <c r="L15" i="16"/>
  <c r="K15" i="16"/>
  <c r="J15" i="16"/>
  <c r="N14" i="16"/>
  <c r="M14" i="16"/>
  <c r="L14" i="16"/>
  <c r="K14" i="16"/>
  <c r="J14" i="16"/>
  <c r="I14" i="16"/>
  <c r="H14" i="16"/>
  <c r="G14" i="16"/>
  <c r="M13" i="16"/>
  <c r="L13" i="16"/>
  <c r="K13" i="16"/>
  <c r="J13" i="16"/>
  <c r="I13" i="16"/>
  <c r="H13" i="16"/>
  <c r="G13" i="16"/>
  <c r="F13" i="16"/>
  <c r="M12" i="16"/>
  <c r="L12" i="16"/>
  <c r="K12" i="16"/>
  <c r="J12" i="16"/>
  <c r="I12" i="16"/>
  <c r="H12" i="16"/>
  <c r="G12" i="16"/>
  <c r="F12" i="16"/>
  <c r="M11" i="16"/>
  <c r="L11" i="16"/>
  <c r="K11" i="16"/>
  <c r="J11" i="16"/>
  <c r="I11" i="16"/>
  <c r="H11" i="16"/>
  <c r="G11" i="16"/>
  <c r="F11" i="16"/>
  <c r="N10" i="16"/>
  <c r="M10" i="16"/>
  <c r="L10" i="16"/>
  <c r="K10" i="16"/>
  <c r="J10" i="16"/>
  <c r="I10" i="16"/>
  <c r="H10" i="16"/>
  <c r="G10" i="16"/>
  <c r="F10" i="16"/>
  <c r="N65" i="46"/>
  <c r="M65" i="46"/>
  <c r="L65" i="46"/>
  <c r="K65" i="46"/>
  <c r="N64" i="46"/>
  <c r="M64" i="46"/>
  <c r="L64" i="46"/>
  <c r="K64" i="46"/>
  <c r="N63" i="46"/>
  <c r="M63" i="46"/>
  <c r="L63" i="46"/>
  <c r="K63" i="46"/>
  <c r="N62" i="46"/>
  <c r="M62" i="46"/>
  <c r="L62" i="46"/>
  <c r="K62" i="46"/>
  <c r="N61" i="46"/>
  <c r="M61" i="46"/>
  <c r="L61" i="46"/>
  <c r="K61" i="46"/>
  <c r="N60" i="46"/>
  <c r="M60" i="46"/>
  <c r="L60" i="46"/>
  <c r="K60" i="46"/>
  <c r="N59" i="46"/>
  <c r="M59" i="46"/>
  <c r="L59" i="46"/>
  <c r="K59" i="46"/>
  <c r="N58" i="46"/>
  <c r="M58" i="46"/>
  <c r="L58" i="46"/>
  <c r="K58" i="46"/>
  <c r="N57" i="46"/>
  <c r="M57" i="46"/>
  <c r="L57" i="46"/>
  <c r="K57" i="46"/>
  <c r="N50" i="46"/>
  <c r="M50" i="46"/>
  <c r="L50" i="46"/>
  <c r="K50" i="46"/>
  <c r="L49" i="46"/>
  <c r="J49" i="46"/>
  <c r="M49" i="46" s="1"/>
  <c r="N49" i="46" s="1"/>
  <c r="I49" i="46"/>
  <c r="H49" i="46"/>
  <c r="K49" i="46" s="1"/>
  <c r="C49" i="46"/>
  <c r="L48" i="46"/>
  <c r="N48" i="46" s="1"/>
  <c r="J48" i="46"/>
  <c r="M48" i="46" s="1"/>
  <c r="I48" i="46"/>
  <c r="H48" i="46"/>
  <c r="K48" i="46" s="1"/>
  <c r="C48" i="46"/>
  <c r="L47" i="46"/>
  <c r="J47" i="46"/>
  <c r="M47" i="46" s="1"/>
  <c r="N47" i="46" s="1"/>
  <c r="I47" i="46"/>
  <c r="H47" i="46"/>
  <c r="K47" i="46" s="1"/>
  <c r="C47" i="46"/>
  <c r="L46" i="46"/>
  <c r="N46" i="46" s="1"/>
  <c r="J46" i="46"/>
  <c r="M46" i="46" s="1"/>
  <c r="I46" i="46"/>
  <c r="H46" i="46"/>
  <c r="K46" i="46" s="1"/>
  <c r="C46" i="46"/>
  <c r="L45" i="46"/>
  <c r="J45" i="46"/>
  <c r="M45" i="46" s="1"/>
  <c r="N45" i="46" s="1"/>
  <c r="I45" i="46"/>
  <c r="H45" i="46"/>
  <c r="K45" i="46" s="1"/>
  <c r="C45" i="46"/>
  <c r="L44" i="46"/>
  <c r="N44" i="46" s="1"/>
  <c r="J44" i="46"/>
  <c r="M44" i="46" s="1"/>
  <c r="I44" i="46"/>
  <c r="H44" i="46"/>
  <c r="K44" i="46" s="1"/>
  <c r="C44" i="46"/>
  <c r="L43" i="46"/>
  <c r="J43" i="46"/>
  <c r="M43" i="46" s="1"/>
  <c r="N43" i="46" s="1"/>
  <c r="I43" i="46"/>
  <c r="H43" i="46"/>
  <c r="K43" i="46" s="1"/>
  <c r="C43" i="46"/>
  <c r="L42" i="46"/>
  <c r="J42" i="46"/>
  <c r="M42" i="46" s="1"/>
  <c r="I42" i="46"/>
  <c r="H42" i="46"/>
  <c r="K42" i="46" s="1"/>
  <c r="C42" i="46"/>
  <c r="L41" i="46"/>
  <c r="J41" i="46"/>
  <c r="M41" i="46" s="1"/>
  <c r="N41" i="46" s="1"/>
  <c r="I41" i="46"/>
  <c r="H41" i="46"/>
  <c r="K41" i="46" s="1"/>
  <c r="C41" i="46"/>
  <c r="L40" i="46"/>
  <c r="J40" i="46"/>
  <c r="M40" i="46" s="1"/>
  <c r="I40" i="46"/>
  <c r="H40" i="46"/>
  <c r="K40" i="46" s="1"/>
  <c r="N40" i="46" s="1"/>
  <c r="C40" i="46"/>
  <c r="L39" i="46"/>
  <c r="J39" i="46"/>
  <c r="M39" i="46" s="1"/>
  <c r="N39" i="46" s="1"/>
  <c r="I39" i="46"/>
  <c r="H39" i="46"/>
  <c r="K39" i="46" s="1"/>
  <c r="C39" i="46"/>
  <c r="L38" i="46"/>
  <c r="J38" i="46"/>
  <c r="M38" i="46" s="1"/>
  <c r="I38" i="46"/>
  <c r="H38" i="46"/>
  <c r="K38" i="46" s="1"/>
  <c r="N38" i="46" s="1"/>
  <c r="C38" i="46"/>
  <c r="L37" i="46"/>
  <c r="J37" i="46"/>
  <c r="M37" i="46" s="1"/>
  <c r="N37" i="46" s="1"/>
  <c r="I37" i="46"/>
  <c r="H37" i="46"/>
  <c r="K37" i="46" s="1"/>
  <c r="C37" i="46"/>
  <c r="L36" i="46"/>
  <c r="J36" i="46"/>
  <c r="M36" i="46" s="1"/>
  <c r="I36" i="46"/>
  <c r="H36" i="46"/>
  <c r="K36" i="46" s="1"/>
  <c r="N36" i="46" s="1"/>
  <c r="C36" i="46"/>
  <c r="L35" i="46"/>
  <c r="J35" i="46"/>
  <c r="M35" i="46" s="1"/>
  <c r="N35" i="46" s="1"/>
  <c r="I35" i="46"/>
  <c r="H35" i="46"/>
  <c r="K35" i="46" s="1"/>
  <c r="C35" i="46"/>
  <c r="L34" i="46"/>
  <c r="J34" i="46"/>
  <c r="M34" i="46" s="1"/>
  <c r="I34" i="46"/>
  <c r="H34" i="46"/>
  <c r="K34" i="46" s="1"/>
  <c r="N34" i="46" s="1"/>
  <c r="C34" i="46"/>
  <c r="L33" i="46"/>
  <c r="J33" i="46"/>
  <c r="M33" i="46" s="1"/>
  <c r="N33" i="46" s="1"/>
  <c r="I33" i="46"/>
  <c r="H33" i="46"/>
  <c r="K33" i="46" s="1"/>
  <c r="C33" i="46"/>
  <c r="L32" i="46"/>
  <c r="J32" i="46"/>
  <c r="M32" i="46" s="1"/>
  <c r="I32" i="46"/>
  <c r="H32" i="46"/>
  <c r="K32" i="46" s="1"/>
  <c r="N32" i="46" s="1"/>
  <c r="C32" i="46"/>
  <c r="L31" i="46"/>
  <c r="J31" i="46"/>
  <c r="M31" i="46" s="1"/>
  <c r="N31" i="46" s="1"/>
  <c r="I31" i="46"/>
  <c r="H31" i="46"/>
  <c r="K31" i="46" s="1"/>
  <c r="C31" i="46"/>
  <c r="L30" i="46"/>
  <c r="J30" i="46"/>
  <c r="M30" i="46" s="1"/>
  <c r="I30" i="46"/>
  <c r="H30" i="46"/>
  <c r="K30" i="46" s="1"/>
  <c r="N30" i="46" s="1"/>
  <c r="C30" i="46"/>
  <c r="L29" i="46"/>
  <c r="J29" i="46"/>
  <c r="M29" i="46" s="1"/>
  <c r="N29" i="46" s="1"/>
  <c r="I29" i="46"/>
  <c r="H29" i="46"/>
  <c r="K29" i="46" s="1"/>
  <c r="C29" i="46"/>
  <c r="L28" i="46"/>
  <c r="J28" i="46"/>
  <c r="M28" i="46" s="1"/>
  <c r="I28" i="46"/>
  <c r="H28" i="46"/>
  <c r="K28" i="46" s="1"/>
  <c r="N28" i="46" s="1"/>
  <c r="C28" i="46"/>
  <c r="L27" i="46"/>
  <c r="J27" i="46"/>
  <c r="M27" i="46" s="1"/>
  <c r="N27" i="46" s="1"/>
  <c r="I27" i="46"/>
  <c r="H27" i="46"/>
  <c r="K27" i="46" s="1"/>
  <c r="C27" i="46"/>
  <c r="L26" i="46"/>
  <c r="J26" i="46"/>
  <c r="M26" i="46" s="1"/>
  <c r="I26" i="46"/>
  <c r="H26" i="46"/>
  <c r="K26" i="46" s="1"/>
  <c r="N26" i="46" s="1"/>
  <c r="C26" i="46"/>
  <c r="L25" i="46"/>
  <c r="J25" i="46"/>
  <c r="M25" i="46" s="1"/>
  <c r="N25" i="46" s="1"/>
  <c r="I25" i="46"/>
  <c r="H25" i="46"/>
  <c r="K25" i="46" s="1"/>
  <c r="C25" i="46"/>
  <c r="L24" i="46"/>
  <c r="J24" i="46"/>
  <c r="M24" i="46" s="1"/>
  <c r="I24" i="46"/>
  <c r="H24" i="46"/>
  <c r="K24" i="46" s="1"/>
  <c r="N24" i="46" s="1"/>
  <c r="C24" i="46"/>
  <c r="L23" i="46"/>
  <c r="J23" i="46"/>
  <c r="M23" i="46" s="1"/>
  <c r="N23" i="46" s="1"/>
  <c r="I23" i="46"/>
  <c r="H23" i="46"/>
  <c r="K23" i="46" s="1"/>
  <c r="C23" i="46"/>
  <c r="L22" i="46"/>
  <c r="J22" i="46"/>
  <c r="M22" i="46" s="1"/>
  <c r="I22" i="46"/>
  <c r="H22" i="46"/>
  <c r="K22" i="46" s="1"/>
  <c r="N22" i="46" s="1"/>
  <c r="C22" i="46"/>
  <c r="L21" i="46"/>
  <c r="J21" i="46"/>
  <c r="M21" i="46" s="1"/>
  <c r="N21" i="46" s="1"/>
  <c r="I21" i="46"/>
  <c r="H21" i="46"/>
  <c r="K21" i="46" s="1"/>
  <c r="C21" i="46"/>
  <c r="L20" i="46"/>
  <c r="J20" i="46"/>
  <c r="M20" i="46" s="1"/>
  <c r="I20" i="46"/>
  <c r="H20" i="46"/>
  <c r="K20" i="46" s="1"/>
  <c r="N20" i="46" s="1"/>
  <c r="C20" i="46"/>
  <c r="L19" i="46"/>
  <c r="J19" i="46"/>
  <c r="M19" i="46" s="1"/>
  <c r="N19" i="46" s="1"/>
  <c r="I19" i="46"/>
  <c r="H19" i="46"/>
  <c r="K19" i="46" s="1"/>
  <c r="C19" i="46"/>
  <c r="L18" i="46"/>
  <c r="J18" i="46"/>
  <c r="M18" i="46" s="1"/>
  <c r="I18" i="46"/>
  <c r="H18" i="46"/>
  <c r="K18" i="46" s="1"/>
  <c r="N18" i="46" s="1"/>
  <c r="C18" i="46"/>
  <c r="L17" i="46"/>
  <c r="J17" i="46"/>
  <c r="M17" i="46" s="1"/>
  <c r="N17" i="46" s="1"/>
  <c r="I17" i="46"/>
  <c r="H17" i="46"/>
  <c r="K17" i="46" s="1"/>
  <c r="C17" i="46"/>
  <c r="L16" i="46"/>
  <c r="J16" i="46"/>
  <c r="M16" i="46" s="1"/>
  <c r="I16" i="46"/>
  <c r="H16" i="46"/>
  <c r="K16" i="46" s="1"/>
  <c r="N16" i="46" s="1"/>
  <c r="C16" i="46"/>
  <c r="L15" i="46"/>
  <c r="J15" i="46"/>
  <c r="M15" i="46" s="1"/>
  <c r="N15" i="46" s="1"/>
  <c r="I15" i="46"/>
  <c r="H15" i="46"/>
  <c r="K15" i="46" s="1"/>
  <c r="C15" i="46"/>
  <c r="L14" i="46"/>
  <c r="J14" i="46"/>
  <c r="M14" i="46" s="1"/>
  <c r="I14" i="46"/>
  <c r="H14" i="46"/>
  <c r="K14" i="46" s="1"/>
  <c r="N14" i="46" s="1"/>
  <c r="C14" i="46"/>
  <c r="L13" i="46"/>
  <c r="J13" i="46"/>
  <c r="M13" i="46" s="1"/>
  <c r="N13" i="46" s="1"/>
  <c r="I13" i="46"/>
  <c r="H13" i="46"/>
  <c r="K13" i="46" s="1"/>
  <c r="C13" i="46"/>
  <c r="L12" i="46"/>
  <c r="J12" i="46"/>
  <c r="M12" i="46" s="1"/>
  <c r="I12" i="46"/>
  <c r="H12" i="46"/>
  <c r="K12" i="46" s="1"/>
  <c r="N12" i="46" s="1"/>
  <c r="C12" i="46"/>
  <c r="L11" i="46"/>
  <c r="J11" i="46"/>
  <c r="M11" i="46" s="1"/>
  <c r="N11" i="46" s="1"/>
  <c r="I11" i="46"/>
  <c r="H11" i="46"/>
  <c r="K11" i="46" s="1"/>
  <c r="C11" i="46"/>
  <c r="L10" i="46"/>
  <c r="J10" i="46"/>
  <c r="M10" i="46" s="1"/>
  <c r="I10" i="46"/>
  <c r="H10" i="46"/>
  <c r="K10" i="46" s="1"/>
  <c r="N10" i="46" s="1"/>
  <c r="C10" i="46"/>
  <c r="N99" i="15"/>
  <c r="M99" i="15"/>
  <c r="L99" i="15"/>
  <c r="N98" i="15"/>
  <c r="M98" i="15"/>
  <c r="L98" i="15"/>
  <c r="N97" i="15"/>
  <c r="M97" i="15"/>
  <c r="L97" i="15"/>
  <c r="N96" i="15"/>
  <c r="M96" i="15"/>
  <c r="L96" i="15"/>
  <c r="N89" i="15"/>
  <c r="M89" i="15"/>
  <c r="L89" i="15"/>
  <c r="K89" i="15"/>
  <c r="N88" i="15"/>
  <c r="M88" i="15"/>
  <c r="L88" i="15"/>
  <c r="K88" i="15"/>
  <c r="N87" i="15"/>
  <c r="M87" i="15"/>
  <c r="L87" i="15"/>
  <c r="K87" i="15"/>
  <c r="N86" i="15"/>
  <c r="M86" i="15"/>
  <c r="L86" i="15"/>
  <c r="K86" i="15"/>
  <c r="N85" i="15"/>
  <c r="M85" i="15"/>
  <c r="L85" i="15"/>
  <c r="K85" i="15"/>
  <c r="N84" i="15"/>
  <c r="M84" i="15"/>
  <c r="L84" i="15"/>
  <c r="K84" i="15"/>
  <c r="N83" i="15"/>
  <c r="M83" i="15"/>
  <c r="L83" i="15"/>
  <c r="K83" i="15"/>
  <c r="N82" i="15"/>
  <c r="M82" i="15"/>
  <c r="L82" i="15"/>
  <c r="K82" i="15"/>
  <c r="N81" i="15"/>
  <c r="M81" i="15"/>
  <c r="L81" i="15"/>
  <c r="K81" i="15"/>
  <c r="N74" i="15"/>
  <c r="M74" i="15"/>
  <c r="L74" i="15"/>
  <c r="K74" i="15"/>
  <c r="E74" i="15"/>
  <c r="M73" i="15"/>
  <c r="K73" i="15"/>
  <c r="J73" i="15"/>
  <c r="I73" i="15"/>
  <c r="L73" i="15" s="1"/>
  <c r="H73" i="15"/>
  <c r="C73" i="15"/>
  <c r="M72" i="15"/>
  <c r="K72" i="15"/>
  <c r="J72" i="15"/>
  <c r="I72" i="15"/>
  <c r="L72" i="15" s="1"/>
  <c r="H72" i="15"/>
  <c r="C72" i="15"/>
  <c r="M71" i="15"/>
  <c r="K71" i="15"/>
  <c r="J71" i="15"/>
  <c r="I71" i="15"/>
  <c r="L71" i="15" s="1"/>
  <c r="H71" i="15"/>
  <c r="C71" i="15"/>
  <c r="M70" i="15"/>
  <c r="K70" i="15"/>
  <c r="J70" i="15"/>
  <c r="I70" i="15"/>
  <c r="L70" i="15" s="1"/>
  <c r="H70" i="15"/>
  <c r="C70" i="15"/>
  <c r="M69" i="15"/>
  <c r="K69" i="15"/>
  <c r="J69" i="15"/>
  <c r="I69" i="15"/>
  <c r="L69" i="15" s="1"/>
  <c r="H69" i="15"/>
  <c r="C69" i="15"/>
  <c r="M68" i="15"/>
  <c r="K68" i="15"/>
  <c r="J68" i="15"/>
  <c r="I68" i="15"/>
  <c r="L68" i="15" s="1"/>
  <c r="H68" i="15"/>
  <c r="C68" i="15"/>
  <c r="M67" i="15"/>
  <c r="K67" i="15"/>
  <c r="J67" i="15"/>
  <c r="I67" i="15"/>
  <c r="L67" i="15" s="1"/>
  <c r="H67" i="15"/>
  <c r="C67" i="15"/>
  <c r="M66" i="15"/>
  <c r="K66" i="15"/>
  <c r="J66" i="15"/>
  <c r="I66" i="15"/>
  <c r="L66" i="15" s="1"/>
  <c r="H66" i="15"/>
  <c r="C66" i="15"/>
  <c r="M65" i="15"/>
  <c r="K65" i="15"/>
  <c r="J65" i="15"/>
  <c r="I65" i="15"/>
  <c r="L65" i="15" s="1"/>
  <c r="H65" i="15"/>
  <c r="C65" i="15"/>
  <c r="L64" i="15"/>
  <c r="J64" i="15"/>
  <c r="M64" i="15" s="1"/>
  <c r="N64" i="15" s="1"/>
  <c r="I64" i="15"/>
  <c r="H64" i="15"/>
  <c r="K64" i="15" s="1"/>
  <c r="C64" i="15"/>
  <c r="L63" i="15"/>
  <c r="J63" i="15"/>
  <c r="M63" i="15" s="1"/>
  <c r="N63" i="15" s="1"/>
  <c r="I63" i="15"/>
  <c r="H63" i="15"/>
  <c r="K63" i="15" s="1"/>
  <c r="C63" i="15"/>
  <c r="L62" i="15"/>
  <c r="J62" i="15"/>
  <c r="M62" i="15" s="1"/>
  <c r="I62" i="15"/>
  <c r="H62" i="15"/>
  <c r="K62" i="15" s="1"/>
  <c r="C62" i="15"/>
  <c r="L61" i="15"/>
  <c r="J61" i="15"/>
  <c r="M61" i="15" s="1"/>
  <c r="I61" i="15"/>
  <c r="H61" i="15"/>
  <c r="K61" i="15" s="1"/>
  <c r="C61" i="15"/>
  <c r="L60" i="15"/>
  <c r="J60" i="15"/>
  <c r="M60" i="15" s="1"/>
  <c r="N60" i="15" s="1"/>
  <c r="I60" i="15"/>
  <c r="H60" i="15"/>
  <c r="K60" i="15" s="1"/>
  <c r="C60" i="15"/>
  <c r="N59" i="15"/>
  <c r="M59" i="15"/>
  <c r="L59" i="15"/>
  <c r="K59" i="15"/>
  <c r="J59" i="15"/>
  <c r="I59" i="15"/>
  <c r="H59" i="15"/>
  <c r="C59" i="15"/>
  <c r="N58" i="15"/>
  <c r="M58" i="15"/>
  <c r="L58" i="15"/>
  <c r="K58" i="15"/>
  <c r="J58" i="15"/>
  <c r="I58" i="15"/>
  <c r="H58" i="15"/>
  <c r="C58" i="15"/>
  <c r="N57" i="15"/>
  <c r="M57" i="15"/>
  <c r="L57" i="15"/>
  <c r="K57" i="15"/>
  <c r="J57" i="15"/>
  <c r="I57" i="15"/>
  <c r="H57" i="15"/>
  <c r="C57" i="15"/>
  <c r="N56" i="15"/>
  <c r="M56" i="15"/>
  <c r="L56" i="15"/>
  <c r="K56" i="15"/>
  <c r="J56" i="15"/>
  <c r="I56" i="15"/>
  <c r="H56" i="15"/>
  <c r="C56" i="15"/>
  <c r="N55" i="15"/>
  <c r="M55" i="15"/>
  <c r="L55" i="15"/>
  <c r="K55" i="15"/>
  <c r="J55" i="15"/>
  <c r="I55" i="15"/>
  <c r="H55" i="15"/>
  <c r="C55" i="15"/>
  <c r="N54" i="15"/>
  <c r="M54" i="15"/>
  <c r="L54" i="15"/>
  <c r="K54" i="15"/>
  <c r="J54" i="15"/>
  <c r="I54" i="15"/>
  <c r="H54" i="15"/>
  <c r="C54" i="15"/>
  <c r="N53" i="15"/>
  <c r="M53" i="15"/>
  <c r="L53" i="15"/>
  <c r="K53" i="15"/>
  <c r="J53" i="15"/>
  <c r="I53" i="15"/>
  <c r="H53" i="15"/>
  <c r="C53" i="15"/>
  <c r="N52" i="15"/>
  <c r="M52" i="15"/>
  <c r="L52" i="15"/>
  <c r="K52" i="15"/>
  <c r="J52" i="15"/>
  <c r="I52" i="15"/>
  <c r="H52" i="15"/>
  <c r="C52" i="15"/>
  <c r="N51" i="15"/>
  <c r="M51" i="15"/>
  <c r="L51" i="15"/>
  <c r="K51" i="15"/>
  <c r="J51" i="15"/>
  <c r="I51" i="15"/>
  <c r="H51" i="15"/>
  <c r="C51" i="15"/>
  <c r="N50" i="15"/>
  <c r="M50" i="15"/>
  <c r="L50" i="15"/>
  <c r="K50" i="15"/>
  <c r="J50" i="15"/>
  <c r="I50" i="15"/>
  <c r="H50" i="15"/>
  <c r="C50" i="15"/>
  <c r="N49" i="15"/>
  <c r="M49" i="15"/>
  <c r="L49" i="15"/>
  <c r="K49" i="15"/>
  <c r="J49" i="15"/>
  <c r="I49" i="15"/>
  <c r="H49" i="15"/>
  <c r="C49" i="15"/>
  <c r="N48" i="15"/>
  <c r="M48" i="15"/>
  <c r="L48" i="15"/>
  <c r="K48" i="15"/>
  <c r="J48" i="15"/>
  <c r="I48" i="15"/>
  <c r="H48" i="15"/>
  <c r="C48" i="15"/>
  <c r="N47" i="15"/>
  <c r="M47" i="15"/>
  <c r="L47" i="15"/>
  <c r="K47" i="15"/>
  <c r="J47" i="15"/>
  <c r="I47" i="15"/>
  <c r="H47" i="15"/>
  <c r="C47" i="15"/>
  <c r="N46" i="15"/>
  <c r="M46" i="15"/>
  <c r="L46" i="15"/>
  <c r="K46" i="15"/>
  <c r="J46" i="15"/>
  <c r="I46" i="15"/>
  <c r="H46" i="15"/>
  <c r="C46" i="15"/>
  <c r="N45" i="15"/>
  <c r="M45" i="15"/>
  <c r="L45" i="15"/>
  <c r="K45" i="15"/>
  <c r="J45" i="15"/>
  <c r="I45" i="15"/>
  <c r="H45" i="15"/>
  <c r="C45" i="15"/>
  <c r="N44" i="15"/>
  <c r="M44" i="15"/>
  <c r="L44" i="15"/>
  <c r="K44" i="15"/>
  <c r="J44" i="15"/>
  <c r="I44" i="15"/>
  <c r="H44" i="15"/>
  <c r="C44" i="15"/>
  <c r="N43" i="15"/>
  <c r="M43" i="15"/>
  <c r="L43" i="15"/>
  <c r="K43" i="15"/>
  <c r="J43" i="15"/>
  <c r="I43" i="15"/>
  <c r="H43" i="15"/>
  <c r="C43" i="15"/>
  <c r="N42" i="15"/>
  <c r="M42" i="15"/>
  <c r="L42" i="15"/>
  <c r="K42" i="15"/>
  <c r="J42" i="15"/>
  <c r="I42" i="15"/>
  <c r="H42" i="15"/>
  <c r="C42" i="15"/>
  <c r="N41" i="15"/>
  <c r="M41" i="15"/>
  <c r="L41" i="15"/>
  <c r="K41" i="15"/>
  <c r="J41" i="15"/>
  <c r="I41" i="15"/>
  <c r="H41" i="15"/>
  <c r="C41" i="15"/>
  <c r="N40" i="15"/>
  <c r="M40" i="15"/>
  <c r="L40" i="15"/>
  <c r="K40" i="15"/>
  <c r="J40" i="15"/>
  <c r="I40" i="15"/>
  <c r="H40" i="15"/>
  <c r="C40" i="15"/>
  <c r="N39" i="15"/>
  <c r="M39" i="15"/>
  <c r="L39" i="15"/>
  <c r="K39" i="15"/>
  <c r="J39" i="15"/>
  <c r="I39" i="15"/>
  <c r="H39" i="15"/>
  <c r="C39" i="15"/>
  <c r="N38" i="15"/>
  <c r="M38" i="15"/>
  <c r="L38" i="15"/>
  <c r="K38" i="15"/>
  <c r="J38" i="15"/>
  <c r="I38" i="15"/>
  <c r="H38" i="15"/>
  <c r="C38" i="15"/>
  <c r="N37" i="15"/>
  <c r="M37" i="15"/>
  <c r="L37" i="15"/>
  <c r="K37" i="15"/>
  <c r="J37" i="15"/>
  <c r="I37" i="15"/>
  <c r="H37" i="15"/>
  <c r="C37" i="15"/>
  <c r="N36" i="15"/>
  <c r="M36" i="15"/>
  <c r="L36" i="15"/>
  <c r="K36" i="15"/>
  <c r="J36" i="15"/>
  <c r="I36" i="15"/>
  <c r="H36" i="15"/>
  <c r="C36" i="15"/>
  <c r="N35" i="15"/>
  <c r="M35" i="15"/>
  <c r="L35" i="15"/>
  <c r="K35" i="15"/>
  <c r="J35" i="15"/>
  <c r="I35" i="15"/>
  <c r="H35" i="15"/>
  <c r="C35" i="15"/>
  <c r="N34" i="15"/>
  <c r="M34" i="15"/>
  <c r="L34" i="15"/>
  <c r="K34" i="15"/>
  <c r="J34" i="15"/>
  <c r="I34" i="15"/>
  <c r="H34" i="15"/>
  <c r="C34" i="15"/>
  <c r="N33" i="15"/>
  <c r="M33" i="15"/>
  <c r="L33" i="15"/>
  <c r="K33" i="15"/>
  <c r="J33" i="15"/>
  <c r="I33" i="15"/>
  <c r="H33" i="15"/>
  <c r="C33" i="15"/>
  <c r="N32" i="15"/>
  <c r="M32" i="15"/>
  <c r="L32" i="15"/>
  <c r="K32" i="15"/>
  <c r="J32" i="15"/>
  <c r="I32" i="15"/>
  <c r="H32" i="15"/>
  <c r="C32" i="15"/>
  <c r="N31" i="15"/>
  <c r="M31" i="15"/>
  <c r="L31" i="15"/>
  <c r="K31" i="15"/>
  <c r="J31" i="15"/>
  <c r="I31" i="15"/>
  <c r="H31" i="15"/>
  <c r="C31" i="15"/>
  <c r="N30" i="15"/>
  <c r="M30" i="15"/>
  <c r="L30" i="15"/>
  <c r="K30" i="15"/>
  <c r="J30" i="15"/>
  <c r="I30" i="15"/>
  <c r="H30" i="15"/>
  <c r="C30" i="15"/>
  <c r="N29" i="15"/>
  <c r="M29" i="15"/>
  <c r="L29" i="15"/>
  <c r="K29" i="15"/>
  <c r="J29" i="15"/>
  <c r="I29" i="15"/>
  <c r="H29" i="15"/>
  <c r="C29" i="15"/>
  <c r="N28" i="15"/>
  <c r="M28" i="15"/>
  <c r="L28" i="15"/>
  <c r="K28" i="15"/>
  <c r="J28" i="15"/>
  <c r="I28" i="15"/>
  <c r="H28" i="15"/>
  <c r="C28" i="15"/>
  <c r="N27" i="15"/>
  <c r="M27" i="15"/>
  <c r="L27" i="15"/>
  <c r="K27" i="15"/>
  <c r="J27" i="15"/>
  <c r="I27" i="15"/>
  <c r="H27" i="15"/>
  <c r="C27" i="15"/>
  <c r="N26" i="15"/>
  <c r="M26" i="15"/>
  <c r="L26" i="15"/>
  <c r="K26" i="15"/>
  <c r="J26" i="15"/>
  <c r="I26" i="15"/>
  <c r="H26" i="15"/>
  <c r="C26" i="15"/>
  <c r="N25" i="15"/>
  <c r="M25" i="15"/>
  <c r="L25" i="15"/>
  <c r="K25" i="15"/>
  <c r="J25" i="15"/>
  <c r="I25" i="15"/>
  <c r="H25" i="15"/>
  <c r="C25" i="15"/>
  <c r="N24" i="15"/>
  <c r="M24" i="15"/>
  <c r="L24" i="15"/>
  <c r="K24" i="15"/>
  <c r="J24" i="15"/>
  <c r="I24" i="15"/>
  <c r="H24" i="15"/>
  <c r="C24" i="15"/>
  <c r="N23" i="15"/>
  <c r="M23" i="15"/>
  <c r="L23" i="15"/>
  <c r="K23" i="15"/>
  <c r="J23" i="15"/>
  <c r="I23" i="15"/>
  <c r="H23" i="15"/>
  <c r="C23" i="15"/>
  <c r="N22" i="15"/>
  <c r="M22" i="15"/>
  <c r="L22" i="15"/>
  <c r="K22" i="15"/>
  <c r="J22" i="15"/>
  <c r="I22" i="15"/>
  <c r="H22" i="15"/>
  <c r="C22" i="15"/>
  <c r="N21" i="15"/>
  <c r="M21" i="15"/>
  <c r="L21" i="15"/>
  <c r="K21" i="15"/>
  <c r="J21" i="15"/>
  <c r="I21" i="15"/>
  <c r="H21" i="15"/>
  <c r="C21" i="15"/>
  <c r="N20" i="15"/>
  <c r="M20" i="15"/>
  <c r="L20" i="15"/>
  <c r="K20" i="15"/>
  <c r="J20" i="15"/>
  <c r="I20" i="15"/>
  <c r="H20" i="15"/>
  <c r="C20" i="15"/>
  <c r="N19" i="15"/>
  <c r="M19" i="15"/>
  <c r="L19" i="15"/>
  <c r="K19" i="15"/>
  <c r="J19" i="15"/>
  <c r="I19" i="15"/>
  <c r="H19" i="15"/>
  <c r="C19" i="15"/>
  <c r="N18" i="15"/>
  <c r="M18" i="15"/>
  <c r="L18" i="15"/>
  <c r="K18" i="15"/>
  <c r="J18" i="15"/>
  <c r="I18" i="15"/>
  <c r="H18" i="15"/>
  <c r="C18" i="15"/>
  <c r="N17" i="15"/>
  <c r="M17" i="15"/>
  <c r="L17" i="15"/>
  <c r="K17" i="15"/>
  <c r="J17" i="15"/>
  <c r="I17" i="15"/>
  <c r="H17" i="15"/>
  <c r="C17" i="15"/>
  <c r="N16" i="15"/>
  <c r="M16" i="15"/>
  <c r="L16" i="15"/>
  <c r="K16" i="15"/>
  <c r="J16" i="15"/>
  <c r="I16" i="15"/>
  <c r="H16" i="15"/>
  <c r="C16" i="15"/>
  <c r="N15" i="15"/>
  <c r="M15" i="15"/>
  <c r="L15" i="15"/>
  <c r="K15" i="15"/>
  <c r="J15" i="15"/>
  <c r="I15" i="15"/>
  <c r="H15" i="15"/>
  <c r="C15" i="15"/>
  <c r="N14" i="15"/>
  <c r="M14" i="15"/>
  <c r="L14" i="15"/>
  <c r="K14" i="15"/>
  <c r="J14" i="15"/>
  <c r="I14" i="15"/>
  <c r="H14" i="15"/>
  <c r="C14" i="15"/>
  <c r="N13" i="15"/>
  <c r="M13" i="15"/>
  <c r="L13" i="15"/>
  <c r="K13" i="15"/>
  <c r="J13" i="15"/>
  <c r="I13" i="15"/>
  <c r="H13" i="15"/>
  <c r="C13" i="15"/>
  <c r="N12" i="15"/>
  <c r="M12" i="15"/>
  <c r="L12" i="15"/>
  <c r="K12" i="15"/>
  <c r="J12" i="15"/>
  <c r="I12" i="15"/>
  <c r="H12" i="15"/>
  <c r="C12" i="15"/>
  <c r="N11" i="15"/>
  <c r="M11" i="15"/>
  <c r="L11" i="15"/>
  <c r="K11" i="15"/>
  <c r="J11" i="15"/>
  <c r="I11" i="15"/>
  <c r="H11" i="15"/>
  <c r="C11" i="15"/>
  <c r="N10" i="15"/>
  <c r="M10" i="15"/>
  <c r="L10" i="15"/>
  <c r="K10" i="15"/>
  <c r="J10" i="15"/>
  <c r="I10" i="15"/>
  <c r="H10" i="15"/>
  <c r="C10" i="15"/>
  <c r="O53" i="18"/>
  <c r="N53" i="18"/>
  <c r="M53" i="18"/>
  <c r="L53" i="18"/>
  <c r="O52" i="18"/>
  <c r="N52" i="18"/>
  <c r="M52" i="18"/>
  <c r="L52" i="18"/>
  <c r="O51" i="18"/>
  <c r="N51" i="18"/>
  <c r="M51" i="18"/>
  <c r="L51" i="18"/>
  <c r="O50" i="18"/>
  <c r="N50" i="18"/>
  <c r="M50" i="18"/>
  <c r="L50" i="18"/>
  <c r="O49" i="18"/>
  <c r="N49" i="18"/>
  <c r="M49" i="18"/>
  <c r="L49" i="18"/>
  <c r="O48" i="18"/>
  <c r="N48" i="18"/>
  <c r="M48" i="18"/>
  <c r="L48" i="18"/>
  <c r="O47" i="18"/>
  <c r="N47" i="18"/>
  <c r="M47" i="18"/>
  <c r="L47" i="18"/>
  <c r="O46" i="18"/>
  <c r="N46" i="18"/>
  <c r="M46" i="18"/>
  <c r="L46" i="18"/>
  <c r="O45" i="18"/>
  <c r="N45" i="18"/>
  <c r="M45" i="18"/>
  <c r="L45" i="18"/>
  <c r="O38" i="18"/>
  <c r="N38" i="18"/>
  <c r="M38" i="18"/>
  <c r="L38" i="18"/>
  <c r="M37" i="18"/>
  <c r="K37" i="18"/>
  <c r="N37" i="18" s="1"/>
  <c r="O37" i="18" s="1"/>
  <c r="J37" i="18"/>
  <c r="I37" i="18"/>
  <c r="L37" i="18" s="1"/>
  <c r="C37" i="18"/>
  <c r="B37" i="18"/>
  <c r="N36" i="18"/>
  <c r="L36" i="18"/>
  <c r="K36" i="18"/>
  <c r="J36" i="18"/>
  <c r="M36" i="18" s="1"/>
  <c r="I36" i="18"/>
  <c r="C36" i="18"/>
  <c r="B36" i="18"/>
  <c r="M35" i="18"/>
  <c r="K35" i="18"/>
  <c r="N35" i="18" s="1"/>
  <c r="J35" i="18"/>
  <c r="I35" i="18"/>
  <c r="L35" i="18" s="1"/>
  <c r="C35" i="18"/>
  <c r="B35" i="18"/>
  <c r="N34" i="18"/>
  <c r="L34" i="18"/>
  <c r="K34" i="18"/>
  <c r="J34" i="18"/>
  <c r="M34" i="18" s="1"/>
  <c r="I34" i="18"/>
  <c r="C34" i="18"/>
  <c r="B34" i="18"/>
  <c r="M33" i="18"/>
  <c r="K33" i="18"/>
  <c r="N33" i="18" s="1"/>
  <c r="J33" i="18"/>
  <c r="I33" i="18"/>
  <c r="L33" i="18" s="1"/>
  <c r="C33" i="18"/>
  <c r="B33" i="18"/>
  <c r="N32" i="18"/>
  <c r="O32" i="18" s="1"/>
  <c r="L32" i="18"/>
  <c r="K32" i="18"/>
  <c r="J32" i="18"/>
  <c r="M32" i="18" s="1"/>
  <c r="I32" i="18"/>
  <c r="C32" i="18"/>
  <c r="B32" i="18"/>
  <c r="O31" i="18"/>
  <c r="N31" i="18"/>
  <c r="M31" i="18"/>
  <c r="L31" i="18"/>
  <c r="K31" i="18"/>
  <c r="J31" i="18"/>
  <c r="I31" i="18"/>
  <c r="C31" i="18"/>
  <c r="B31" i="18"/>
  <c r="O30" i="18"/>
  <c r="N30" i="18"/>
  <c r="M30" i="18"/>
  <c r="L30" i="18"/>
  <c r="K30" i="18"/>
  <c r="J30" i="18"/>
  <c r="I30" i="18"/>
  <c r="C30" i="18"/>
  <c r="B30" i="18"/>
  <c r="O29" i="18"/>
  <c r="N29" i="18"/>
  <c r="M29" i="18"/>
  <c r="L29" i="18"/>
  <c r="K29" i="18"/>
  <c r="J29" i="18"/>
  <c r="I29" i="18"/>
  <c r="C29" i="18"/>
  <c r="B29" i="18"/>
  <c r="O28" i="18"/>
  <c r="N28" i="18"/>
  <c r="M28" i="18"/>
  <c r="L28" i="18"/>
  <c r="K28" i="18"/>
  <c r="J28" i="18"/>
  <c r="I28" i="18"/>
  <c r="C28" i="18"/>
  <c r="B28" i="18"/>
  <c r="O27" i="18"/>
  <c r="N27" i="18"/>
  <c r="M27" i="18"/>
  <c r="L27" i="18"/>
  <c r="K27" i="18"/>
  <c r="J27" i="18"/>
  <c r="I27" i="18"/>
  <c r="C27" i="18"/>
  <c r="B27" i="18"/>
  <c r="O26" i="18"/>
  <c r="N26" i="18"/>
  <c r="M26" i="18"/>
  <c r="L26" i="18"/>
  <c r="K26" i="18"/>
  <c r="J26" i="18"/>
  <c r="I26" i="18"/>
  <c r="C26" i="18"/>
  <c r="B26" i="18"/>
  <c r="O25" i="18"/>
  <c r="N25" i="18"/>
  <c r="M25" i="18"/>
  <c r="L25" i="18"/>
  <c r="K25" i="18"/>
  <c r="J25" i="18"/>
  <c r="I25" i="18"/>
  <c r="C25" i="18"/>
  <c r="B25" i="18"/>
  <c r="O24" i="18"/>
  <c r="N24" i="18"/>
  <c r="M24" i="18"/>
  <c r="L24" i="18"/>
  <c r="K24" i="18"/>
  <c r="J24" i="18"/>
  <c r="I24" i="18"/>
  <c r="C24" i="18"/>
  <c r="B24" i="18"/>
  <c r="O23" i="18"/>
  <c r="N23" i="18"/>
  <c r="M23" i="18"/>
  <c r="L23" i="18"/>
  <c r="K23" i="18"/>
  <c r="J23" i="18"/>
  <c r="I23" i="18"/>
  <c r="C23" i="18"/>
  <c r="B23" i="18"/>
  <c r="O22" i="18"/>
  <c r="N22" i="18"/>
  <c r="M22" i="18"/>
  <c r="L22" i="18"/>
  <c r="K22" i="18"/>
  <c r="J22" i="18"/>
  <c r="I22" i="18"/>
  <c r="C22" i="18"/>
  <c r="B22" i="18"/>
  <c r="O21" i="18"/>
  <c r="N21" i="18"/>
  <c r="M21" i="18"/>
  <c r="L21" i="18"/>
  <c r="K21" i="18"/>
  <c r="J21" i="18"/>
  <c r="I21" i="18"/>
  <c r="C21" i="18"/>
  <c r="B21" i="18"/>
  <c r="O20" i="18"/>
  <c r="N20" i="18"/>
  <c r="M20" i="18"/>
  <c r="L20" i="18"/>
  <c r="K20" i="18"/>
  <c r="J20" i="18"/>
  <c r="I20" i="18"/>
  <c r="C20" i="18"/>
  <c r="B20" i="18"/>
  <c r="O19" i="18"/>
  <c r="N19" i="18"/>
  <c r="M19" i="18"/>
  <c r="L19" i="18"/>
  <c r="K19" i="18"/>
  <c r="J19" i="18"/>
  <c r="I19" i="18"/>
  <c r="C19" i="18"/>
  <c r="B19" i="18"/>
  <c r="O18" i="18"/>
  <c r="N18" i="18"/>
  <c r="M18" i="18"/>
  <c r="L18" i="18"/>
  <c r="K18" i="18"/>
  <c r="J18" i="18"/>
  <c r="I18" i="18"/>
  <c r="C18" i="18"/>
  <c r="B18" i="18"/>
  <c r="O17" i="18"/>
  <c r="N17" i="18"/>
  <c r="M17" i="18"/>
  <c r="L17" i="18"/>
  <c r="K17" i="18"/>
  <c r="J17" i="18"/>
  <c r="I17" i="18"/>
  <c r="C17" i="18"/>
  <c r="B17" i="18"/>
  <c r="O16" i="18"/>
  <c r="N16" i="18"/>
  <c r="M16" i="18"/>
  <c r="L16" i="18"/>
  <c r="K16" i="18"/>
  <c r="J16" i="18"/>
  <c r="I16" i="18"/>
  <c r="C16" i="18"/>
  <c r="B16" i="18"/>
  <c r="O15" i="18"/>
  <c r="N15" i="18"/>
  <c r="M15" i="18"/>
  <c r="L15" i="18"/>
  <c r="K15" i="18"/>
  <c r="J15" i="18"/>
  <c r="I15" i="18"/>
  <c r="C15" i="18"/>
  <c r="B15" i="18"/>
  <c r="O14" i="18"/>
  <c r="N14" i="18"/>
  <c r="M14" i="18"/>
  <c r="L14" i="18"/>
  <c r="K14" i="18"/>
  <c r="J14" i="18"/>
  <c r="I14" i="18"/>
  <c r="C14" i="18"/>
  <c r="B14" i="18"/>
  <c r="O13" i="18"/>
  <c r="N13" i="18"/>
  <c r="M13" i="18"/>
  <c r="L13" i="18"/>
  <c r="K13" i="18"/>
  <c r="J13" i="18"/>
  <c r="I13" i="18"/>
  <c r="C13" i="18"/>
  <c r="B13" i="18"/>
  <c r="O12" i="18"/>
  <c r="N12" i="18"/>
  <c r="M12" i="18"/>
  <c r="L12" i="18"/>
  <c r="K12" i="18"/>
  <c r="J12" i="18"/>
  <c r="I12" i="18"/>
  <c r="C12" i="18"/>
  <c r="B12" i="18"/>
  <c r="O11" i="18"/>
  <c r="N11" i="18"/>
  <c r="M11" i="18"/>
  <c r="L11" i="18"/>
  <c r="K11" i="18"/>
  <c r="J11" i="18"/>
  <c r="I11" i="18"/>
  <c r="O10" i="18"/>
  <c r="N10" i="18"/>
  <c r="M10" i="18"/>
  <c r="L10" i="18"/>
  <c r="K10" i="18"/>
  <c r="J10" i="18"/>
  <c r="I10" i="18"/>
  <c r="M138" i="19"/>
  <c r="L138" i="19"/>
  <c r="K138" i="19"/>
  <c r="J138" i="19"/>
  <c r="F126" i="19"/>
  <c r="C125" i="19"/>
  <c r="B125" i="19"/>
  <c r="C124" i="19"/>
  <c r="B124" i="19"/>
  <c r="C123" i="19"/>
  <c r="B123" i="19"/>
  <c r="C122" i="19"/>
  <c r="B122" i="19"/>
  <c r="C121" i="19"/>
  <c r="B121" i="19"/>
  <c r="C120" i="19"/>
  <c r="B120" i="19"/>
  <c r="C119" i="19"/>
  <c r="B119" i="19"/>
  <c r="C118" i="19"/>
  <c r="B118" i="19"/>
  <c r="C117" i="19"/>
  <c r="B117" i="19"/>
  <c r="C116" i="19"/>
  <c r="B116" i="19"/>
  <c r="C115" i="19"/>
  <c r="B115" i="19"/>
  <c r="C114" i="19"/>
  <c r="B114" i="19"/>
  <c r="C113" i="19"/>
  <c r="B113" i="19"/>
  <c r="C112" i="19"/>
  <c r="B112" i="19"/>
  <c r="C111" i="19"/>
  <c r="B111" i="19"/>
  <c r="C110" i="19"/>
  <c r="B110" i="19"/>
  <c r="C109" i="19"/>
  <c r="B109" i="19"/>
  <c r="C108" i="19"/>
  <c r="B108" i="19"/>
  <c r="C107" i="19"/>
  <c r="B107" i="19"/>
  <c r="C106" i="19"/>
  <c r="B106" i="19"/>
  <c r="C105" i="19"/>
  <c r="B105" i="19"/>
  <c r="C104" i="19"/>
  <c r="B104" i="19"/>
  <c r="C103" i="19"/>
  <c r="B103" i="19"/>
  <c r="C102" i="19"/>
  <c r="B102" i="19"/>
  <c r="C101" i="19"/>
  <c r="B101" i="19"/>
  <c r="C100" i="19"/>
  <c r="B100" i="19"/>
  <c r="C99" i="19"/>
  <c r="B99" i="19"/>
  <c r="C98" i="19"/>
  <c r="B98" i="19"/>
  <c r="C97" i="19"/>
  <c r="B97" i="19"/>
  <c r="C96" i="19"/>
  <c r="B96" i="19"/>
  <c r="C95" i="19"/>
  <c r="B95" i="19"/>
  <c r="C94" i="19"/>
  <c r="B94" i="19"/>
  <c r="C93" i="19"/>
  <c r="B93" i="19"/>
  <c r="C92" i="19"/>
  <c r="B92" i="19"/>
  <c r="C91" i="19"/>
  <c r="B91" i="19"/>
  <c r="C90" i="19"/>
  <c r="B90" i="19"/>
  <c r="C89" i="19"/>
  <c r="B89" i="19"/>
  <c r="C88" i="19"/>
  <c r="B88" i="19"/>
  <c r="C87" i="19"/>
  <c r="B87" i="19"/>
  <c r="C86" i="19"/>
  <c r="B86" i="19"/>
  <c r="C85" i="19"/>
  <c r="B85" i="19"/>
  <c r="C84" i="19"/>
  <c r="B84" i="19"/>
  <c r="C83" i="19"/>
  <c r="B83" i="19"/>
  <c r="C82" i="19"/>
  <c r="B82" i="19"/>
  <c r="C81" i="19"/>
  <c r="B81" i="19"/>
  <c r="C80" i="19"/>
  <c r="B80" i="19"/>
  <c r="C79" i="19"/>
  <c r="B79" i="19"/>
  <c r="C78" i="19"/>
  <c r="B78" i="19"/>
  <c r="C77" i="19"/>
  <c r="B77" i="19"/>
  <c r="C76" i="19"/>
  <c r="B76" i="19"/>
  <c r="C75" i="19"/>
  <c r="B75" i="19"/>
  <c r="C74" i="19"/>
  <c r="B74" i="19"/>
  <c r="C73" i="19"/>
  <c r="B73" i="19"/>
  <c r="C72" i="19"/>
  <c r="B72" i="19"/>
  <c r="C71" i="19"/>
  <c r="B71" i="19"/>
  <c r="C70" i="19"/>
  <c r="B70" i="19"/>
  <c r="C69" i="19"/>
  <c r="B69" i="19"/>
  <c r="C68" i="19"/>
  <c r="B68" i="19"/>
  <c r="C67" i="19"/>
  <c r="B67" i="19"/>
  <c r="C66" i="19"/>
  <c r="B66" i="19"/>
  <c r="C65" i="19"/>
  <c r="B65" i="19"/>
  <c r="C64" i="19"/>
  <c r="B64" i="19"/>
  <c r="C63" i="19"/>
  <c r="B63" i="19"/>
  <c r="C62" i="19"/>
  <c r="B62" i="19"/>
  <c r="C61" i="19"/>
  <c r="B61" i="19"/>
  <c r="C60" i="19"/>
  <c r="B60" i="19"/>
  <c r="C59" i="19"/>
  <c r="B59" i="19"/>
  <c r="C58" i="19"/>
  <c r="B58" i="19"/>
  <c r="C57" i="19"/>
  <c r="B57" i="19"/>
  <c r="C56" i="19"/>
  <c r="B56" i="19"/>
  <c r="C55" i="19"/>
  <c r="B55" i="19"/>
  <c r="C54" i="19"/>
  <c r="B54" i="19"/>
  <c r="C53" i="19"/>
  <c r="B53" i="19"/>
  <c r="C52" i="19"/>
  <c r="B52" i="19"/>
  <c r="C51" i="19"/>
  <c r="B51" i="19"/>
  <c r="C50" i="19"/>
  <c r="B50" i="19"/>
  <c r="C49" i="19"/>
  <c r="B49" i="19"/>
  <c r="C48" i="19"/>
  <c r="B48" i="19"/>
  <c r="C47" i="19"/>
  <c r="B47" i="19"/>
  <c r="C46" i="19"/>
  <c r="B46" i="19"/>
  <c r="C45" i="19"/>
  <c r="B45" i="19"/>
  <c r="C44" i="19"/>
  <c r="B44" i="19"/>
  <c r="C43" i="19"/>
  <c r="B43" i="19"/>
  <c r="C42" i="19"/>
  <c r="B42" i="19"/>
  <c r="C41" i="19"/>
  <c r="B41" i="19"/>
  <c r="C40" i="19"/>
  <c r="B40" i="19"/>
  <c r="C39" i="19"/>
  <c r="B39" i="19"/>
  <c r="C38" i="19"/>
  <c r="B38" i="19"/>
  <c r="C37" i="19"/>
  <c r="B37" i="19"/>
  <c r="C36" i="19"/>
  <c r="B36" i="19"/>
  <c r="C35" i="19"/>
  <c r="B35" i="19"/>
  <c r="C34" i="19"/>
  <c r="B34" i="19"/>
  <c r="C33" i="19"/>
  <c r="B33" i="19"/>
  <c r="C32" i="19"/>
  <c r="B32" i="19"/>
  <c r="D20" i="19"/>
  <c r="D19" i="19"/>
  <c r="L18" i="19"/>
  <c r="J18" i="19"/>
  <c r="M18" i="19" s="1"/>
  <c r="I18" i="19"/>
  <c r="H18" i="19"/>
  <c r="K18" i="19" s="1"/>
  <c r="L17" i="19"/>
  <c r="J17" i="19"/>
  <c r="M17" i="19" s="1"/>
  <c r="I17" i="19"/>
  <c r="H17" i="19"/>
  <c r="K17" i="19" s="1"/>
  <c r="J16" i="19"/>
  <c r="M16" i="19" s="1"/>
  <c r="I16" i="19"/>
  <c r="L16" i="19" s="1"/>
  <c r="H16" i="19"/>
  <c r="K16" i="19" s="1"/>
  <c r="J15" i="19"/>
  <c r="M15" i="19" s="1"/>
  <c r="I15" i="19"/>
  <c r="L15" i="19" s="1"/>
  <c r="H15" i="19"/>
  <c r="K15" i="19" s="1"/>
  <c r="L14" i="19"/>
  <c r="J14" i="19"/>
  <c r="M14" i="19" s="1"/>
  <c r="I14" i="19"/>
  <c r="H14" i="19"/>
  <c r="K14" i="19" s="1"/>
  <c r="L13" i="19"/>
  <c r="J13" i="19"/>
  <c r="M13" i="19" s="1"/>
  <c r="I13" i="19"/>
  <c r="H13" i="19"/>
  <c r="K13" i="19" s="1"/>
  <c r="J12" i="19"/>
  <c r="M12" i="19" s="1"/>
  <c r="I12" i="19"/>
  <c r="L12" i="19" s="1"/>
  <c r="H12" i="19"/>
  <c r="K12" i="19" s="1"/>
  <c r="J11" i="19"/>
  <c r="M11" i="19" s="1"/>
  <c r="I11" i="19"/>
  <c r="L11" i="19" s="1"/>
  <c r="L19" i="19" s="1"/>
  <c r="L23" i="19" s="1"/>
  <c r="H11" i="19"/>
  <c r="K11" i="19" s="1"/>
  <c r="K19" i="19" s="1"/>
  <c r="K23" i="19" s="1"/>
  <c r="L123" i="23"/>
  <c r="K123" i="23"/>
  <c r="L122" i="23"/>
  <c r="K122" i="23"/>
  <c r="L121" i="23"/>
  <c r="K121" i="23"/>
  <c r="L120" i="23"/>
  <c r="K120" i="23"/>
  <c r="L119" i="23"/>
  <c r="K119" i="23"/>
  <c r="L118" i="23"/>
  <c r="K118" i="23"/>
  <c r="L117" i="23"/>
  <c r="K117" i="23"/>
  <c r="L116" i="23"/>
  <c r="K116" i="23"/>
  <c r="L115" i="23"/>
  <c r="K115" i="23"/>
  <c r="L108" i="23"/>
  <c r="L106" i="23"/>
  <c r="L105" i="23"/>
  <c r="L104" i="23"/>
  <c r="L103" i="23"/>
  <c r="L102" i="23"/>
  <c r="L101" i="23"/>
  <c r="L100" i="23"/>
  <c r="L99" i="23"/>
  <c r="L98" i="23"/>
  <c r="L91" i="23"/>
  <c r="L90" i="23"/>
  <c r="K90" i="23"/>
  <c r="L89" i="23"/>
  <c r="K89" i="23"/>
  <c r="L88" i="23"/>
  <c r="K88" i="23"/>
  <c r="L87" i="23"/>
  <c r="K87" i="23"/>
  <c r="L86" i="23"/>
  <c r="K86" i="23"/>
  <c r="L85" i="23"/>
  <c r="K85" i="23"/>
  <c r="L84" i="23"/>
  <c r="K84" i="23"/>
  <c r="L83" i="23"/>
  <c r="K83" i="23"/>
  <c r="L82" i="23"/>
  <c r="K82" i="23"/>
  <c r="L81" i="23"/>
  <c r="K81" i="23"/>
  <c r="L80" i="23"/>
  <c r="K80" i="23"/>
  <c r="L79" i="23"/>
  <c r="K79" i="23"/>
  <c r="L78" i="23"/>
  <c r="K78" i="23"/>
  <c r="L77" i="23"/>
  <c r="K77" i="23"/>
  <c r="L76" i="23"/>
  <c r="K76" i="23"/>
  <c r="L75" i="23"/>
  <c r="K75" i="23"/>
  <c r="L68" i="23"/>
  <c r="L67" i="23"/>
  <c r="K67" i="23"/>
  <c r="H67" i="23"/>
  <c r="L66" i="23"/>
  <c r="K66" i="23"/>
  <c r="H66" i="23"/>
  <c r="L65" i="23"/>
  <c r="K65" i="23"/>
  <c r="H65" i="23"/>
  <c r="L64" i="23"/>
  <c r="K64" i="23"/>
  <c r="H64" i="23"/>
  <c r="L63" i="23"/>
  <c r="K63" i="23"/>
  <c r="H63" i="23"/>
  <c r="L62" i="23"/>
  <c r="K62" i="23"/>
  <c r="H62" i="23"/>
  <c r="L61" i="23"/>
  <c r="K61" i="23"/>
  <c r="H61" i="23"/>
  <c r="L60" i="23"/>
  <c r="K60" i="23"/>
  <c r="H60" i="23"/>
  <c r="L59" i="23"/>
  <c r="K59" i="23"/>
  <c r="H59" i="23"/>
  <c r="L58" i="23"/>
  <c r="K58" i="23"/>
  <c r="H58" i="23"/>
  <c r="L51" i="23"/>
  <c r="L50" i="23"/>
  <c r="K50" i="23"/>
  <c r="H50" i="23"/>
  <c r="L49" i="23"/>
  <c r="K49" i="23"/>
  <c r="H49" i="23"/>
  <c r="L42" i="23"/>
  <c r="K42" i="23"/>
  <c r="L41" i="23"/>
  <c r="K41" i="23"/>
  <c r="I41" i="23"/>
  <c r="L40" i="23"/>
  <c r="K40" i="23"/>
  <c r="I40" i="23"/>
  <c r="L39" i="23"/>
  <c r="K39" i="23"/>
  <c r="I39" i="23"/>
  <c r="L38" i="23"/>
  <c r="K38" i="23"/>
  <c r="I38" i="23"/>
  <c r="L37" i="23"/>
  <c r="K37" i="23"/>
  <c r="I37" i="23"/>
  <c r="L36" i="23"/>
  <c r="K36" i="23"/>
  <c r="I36" i="23"/>
  <c r="L35" i="23"/>
  <c r="K35" i="23"/>
  <c r="I35" i="23"/>
  <c r="L34" i="23"/>
  <c r="K34" i="23"/>
  <c r="I34" i="23"/>
  <c r="L33" i="23"/>
  <c r="K33" i="23"/>
  <c r="I33" i="23"/>
  <c r="L32" i="23"/>
  <c r="K32" i="23"/>
  <c r="I32" i="23"/>
  <c r="L31" i="23"/>
  <c r="K31" i="23"/>
  <c r="I31" i="23"/>
  <c r="L30" i="23"/>
  <c r="K30" i="23"/>
  <c r="I30" i="23"/>
  <c r="L29" i="23"/>
  <c r="K29" i="23"/>
  <c r="I29" i="23"/>
  <c r="L28" i="23"/>
  <c r="K28" i="23"/>
  <c r="I28" i="23"/>
  <c r="L27" i="23"/>
  <c r="K27" i="23"/>
  <c r="I27" i="23"/>
  <c r="L26" i="23"/>
  <c r="K26" i="23"/>
  <c r="I26" i="23"/>
  <c r="L25" i="23"/>
  <c r="K25" i="23"/>
  <c r="I25" i="23"/>
  <c r="L24" i="23"/>
  <c r="K24" i="23"/>
  <c r="I24" i="23"/>
  <c r="L23" i="23"/>
  <c r="K23" i="23"/>
  <c r="I23" i="23"/>
  <c r="L22" i="23"/>
  <c r="K22" i="23"/>
  <c r="I22" i="23"/>
  <c r="L21" i="23"/>
  <c r="K21" i="23"/>
  <c r="I21" i="23"/>
  <c r="L20" i="23"/>
  <c r="K20" i="23"/>
  <c r="I20" i="23"/>
  <c r="L19" i="23"/>
  <c r="K19" i="23"/>
  <c r="I19" i="23"/>
  <c r="L18" i="23"/>
  <c r="K18" i="23"/>
  <c r="I18" i="23"/>
  <c r="L17" i="23"/>
  <c r="K17" i="23"/>
  <c r="I17" i="23"/>
  <c r="L16" i="23"/>
  <c r="K16" i="23"/>
  <c r="I16" i="23"/>
  <c r="L15" i="23"/>
  <c r="K15" i="23"/>
  <c r="I15" i="23"/>
  <c r="L14" i="23"/>
  <c r="K14" i="23"/>
  <c r="I14" i="23"/>
  <c r="L13" i="23"/>
  <c r="K13" i="23"/>
  <c r="I13" i="23"/>
  <c r="L12" i="23"/>
  <c r="K12" i="23"/>
  <c r="I12" i="23"/>
  <c r="H10" i="23"/>
  <c r="G10" i="23"/>
  <c r="F10" i="23"/>
  <c r="M32" i="11"/>
  <c r="M31" i="11"/>
  <c r="M30" i="11"/>
  <c r="M29" i="11"/>
  <c r="M28" i="11"/>
  <c r="M27" i="11"/>
  <c r="M26" i="11"/>
  <c r="M25" i="11"/>
  <c r="M24" i="11"/>
  <c r="M17" i="11"/>
  <c r="G16" i="11"/>
  <c r="M16" i="11" s="1"/>
  <c r="C16" i="11"/>
  <c r="B16" i="11"/>
  <c r="G15" i="11"/>
  <c r="M15" i="11" s="1"/>
  <c r="C15" i="11"/>
  <c r="B15" i="11"/>
  <c r="M14" i="11"/>
  <c r="L14" i="11"/>
  <c r="G14" i="11"/>
  <c r="C14" i="11"/>
  <c r="B14" i="11"/>
  <c r="M13" i="11"/>
  <c r="L13" i="11"/>
  <c r="G13" i="11"/>
  <c r="C13" i="11"/>
  <c r="B13" i="11"/>
  <c r="M12" i="11"/>
  <c r="L12" i="11"/>
  <c r="G12" i="11"/>
  <c r="C12" i="11"/>
  <c r="B12" i="11"/>
  <c r="M11" i="11"/>
  <c r="L11" i="11"/>
  <c r="G11" i="11"/>
  <c r="C11" i="11"/>
  <c r="B11" i="11"/>
  <c r="M10" i="11"/>
  <c r="L10" i="11"/>
  <c r="G10" i="11"/>
  <c r="C10" i="11"/>
  <c r="B10" i="11"/>
  <c r="L95" i="4"/>
  <c r="O95" i="4" s="1"/>
  <c r="K95" i="4"/>
  <c r="J95" i="4"/>
  <c r="I95" i="4"/>
  <c r="G95" i="4"/>
  <c r="C95" i="4"/>
  <c r="B95" i="4"/>
  <c r="L94" i="4"/>
  <c r="K94" i="4"/>
  <c r="J94" i="4"/>
  <c r="I94" i="4"/>
  <c r="N94" i="4" s="1"/>
  <c r="G94" i="4"/>
  <c r="C94" i="4"/>
  <c r="B94" i="4"/>
  <c r="L93" i="4"/>
  <c r="K93" i="4"/>
  <c r="J93" i="4"/>
  <c r="I93" i="4"/>
  <c r="G93" i="4"/>
  <c r="C93" i="4"/>
  <c r="B93" i="4"/>
  <c r="L92" i="4"/>
  <c r="K92" i="4"/>
  <c r="J92" i="4"/>
  <c r="I92" i="4"/>
  <c r="O92" i="4" s="1"/>
  <c r="G92" i="4"/>
  <c r="C92" i="4"/>
  <c r="B92" i="4"/>
  <c r="L91" i="4"/>
  <c r="K91" i="4"/>
  <c r="J91" i="4"/>
  <c r="I91" i="4"/>
  <c r="G91" i="4"/>
  <c r="C91" i="4"/>
  <c r="B91" i="4"/>
  <c r="L90" i="4"/>
  <c r="K90" i="4"/>
  <c r="J90" i="4"/>
  <c r="I90" i="4"/>
  <c r="N90" i="4" s="1"/>
  <c r="G90" i="4"/>
  <c r="C90" i="4"/>
  <c r="B90" i="4"/>
  <c r="L89" i="4"/>
  <c r="K89" i="4"/>
  <c r="J89" i="4"/>
  <c r="I89" i="4"/>
  <c r="G89" i="4"/>
  <c r="C89" i="4"/>
  <c r="B89" i="4"/>
  <c r="L88" i="4"/>
  <c r="K88" i="4"/>
  <c r="J88" i="4"/>
  <c r="I88" i="4"/>
  <c r="O88" i="4" s="1"/>
  <c r="G88" i="4"/>
  <c r="C88" i="4"/>
  <c r="B88" i="4"/>
  <c r="L87" i="4"/>
  <c r="K87" i="4"/>
  <c r="J87" i="4"/>
  <c r="I87" i="4"/>
  <c r="G87" i="4"/>
  <c r="C87" i="4"/>
  <c r="B87" i="4"/>
  <c r="L86" i="4"/>
  <c r="K86" i="4"/>
  <c r="J86" i="4"/>
  <c r="I86" i="4"/>
  <c r="N86" i="4" s="1"/>
  <c r="G86" i="4"/>
  <c r="C86" i="4"/>
  <c r="B86" i="4"/>
  <c r="L85" i="4"/>
  <c r="K85" i="4"/>
  <c r="J85" i="4"/>
  <c r="I85" i="4"/>
  <c r="G85" i="4"/>
  <c r="C85" i="4"/>
  <c r="B85" i="4"/>
  <c r="L84" i="4"/>
  <c r="K84" i="4"/>
  <c r="J84" i="4"/>
  <c r="I84" i="4"/>
  <c r="O84" i="4" s="1"/>
  <c r="G84" i="4"/>
  <c r="C84" i="4"/>
  <c r="B84" i="4"/>
  <c r="L83" i="4"/>
  <c r="O83" i="4" s="1"/>
  <c r="K83" i="4"/>
  <c r="J83" i="4"/>
  <c r="I83" i="4"/>
  <c r="G83" i="4"/>
  <c r="C83" i="4"/>
  <c r="B83" i="4"/>
  <c r="L82" i="4"/>
  <c r="K82" i="4"/>
  <c r="J82" i="4"/>
  <c r="I82" i="4"/>
  <c r="N82" i="4" s="1"/>
  <c r="G82" i="4"/>
  <c r="C82" i="4"/>
  <c r="B82" i="4"/>
  <c r="L81" i="4"/>
  <c r="K81" i="4"/>
  <c r="J81" i="4"/>
  <c r="I81" i="4"/>
  <c r="G81" i="4"/>
  <c r="C81" i="4"/>
  <c r="B81" i="4"/>
  <c r="L80" i="4"/>
  <c r="K80" i="4"/>
  <c r="J80" i="4"/>
  <c r="I80" i="4"/>
  <c r="O80" i="4" s="1"/>
  <c r="G80" i="4"/>
  <c r="C80" i="4"/>
  <c r="B80" i="4"/>
  <c r="L79" i="4"/>
  <c r="O79" i="4" s="1"/>
  <c r="K79" i="4"/>
  <c r="J79" i="4"/>
  <c r="I79" i="4"/>
  <c r="G79" i="4"/>
  <c r="C79" i="4"/>
  <c r="B79" i="4"/>
  <c r="L78" i="4"/>
  <c r="K78" i="4"/>
  <c r="J78" i="4"/>
  <c r="I78" i="4"/>
  <c r="N78" i="4" s="1"/>
  <c r="G78" i="4"/>
  <c r="C78" i="4"/>
  <c r="B78" i="4"/>
  <c r="L77" i="4"/>
  <c r="K77" i="4"/>
  <c r="J77" i="4"/>
  <c r="I77" i="4"/>
  <c r="G77" i="4"/>
  <c r="C77" i="4"/>
  <c r="B77" i="4"/>
  <c r="L76" i="4"/>
  <c r="K76" i="4"/>
  <c r="J76" i="4"/>
  <c r="I76" i="4"/>
  <c r="O76" i="4" s="1"/>
  <c r="G76" i="4"/>
  <c r="C76" i="4"/>
  <c r="B76" i="4"/>
  <c r="L75" i="4"/>
  <c r="K75" i="4"/>
  <c r="J75" i="4"/>
  <c r="I75" i="4"/>
  <c r="G75" i="4"/>
  <c r="C75" i="4"/>
  <c r="B75" i="4"/>
  <c r="L74" i="4"/>
  <c r="K74" i="4"/>
  <c r="J74" i="4"/>
  <c r="I74" i="4"/>
  <c r="N74" i="4" s="1"/>
  <c r="G74" i="4"/>
  <c r="C74" i="4"/>
  <c r="B74" i="4"/>
  <c r="L73" i="4"/>
  <c r="K73" i="4"/>
  <c r="J73" i="4"/>
  <c r="I73" i="4"/>
  <c r="G73" i="4"/>
  <c r="C73" i="4"/>
  <c r="B73" i="4"/>
  <c r="L72" i="4"/>
  <c r="K72" i="4"/>
  <c r="J72" i="4"/>
  <c r="I72" i="4"/>
  <c r="O72" i="4" s="1"/>
  <c r="G72" i="4"/>
  <c r="C72" i="4"/>
  <c r="B72" i="4"/>
  <c r="L71" i="4"/>
  <c r="K71" i="4"/>
  <c r="J71" i="4"/>
  <c r="I71" i="4"/>
  <c r="G71" i="4"/>
  <c r="C71" i="4"/>
  <c r="B71" i="4"/>
  <c r="L70" i="4"/>
  <c r="K70" i="4"/>
  <c r="J70" i="4"/>
  <c r="I70" i="4"/>
  <c r="M70" i="4" s="1"/>
  <c r="G70" i="4"/>
  <c r="C70" i="4"/>
  <c r="B70" i="4"/>
  <c r="L69" i="4"/>
  <c r="K69" i="4"/>
  <c r="J69" i="4"/>
  <c r="I69" i="4"/>
  <c r="G69" i="4"/>
  <c r="C69" i="4"/>
  <c r="B69" i="4"/>
  <c r="L68" i="4"/>
  <c r="K68" i="4"/>
  <c r="J68" i="4"/>
  <c r="I68" i="4"/>
  <c r="O68" i="4" s="1"/>
  <c r="G68" i="4"/>
  <c r="C68" i="4"/>
  <c r="B68" i="4"/>
  <c r="L67" i="4"/>
  <c r="K67" i="4"/>
  <c r="J67" i="4"/>
  <c r="I67" i="4"/>
  <c r="G67" i="4"/>
  <c r="C67" i="4"/>
  <c r="B67" i="4"/>
  <c r="L66" i="4"/>
  <c r="K66" i="4"/>
  <c r="J66" i="4"/>
  <c r="I66" i="4"/>
  <c r="M66" i="4" s="1"/>
  <c r="G66" i="4"/>
  <c r="C66" i="4"/>
  <c r="B66" i="4"/>
  <c r="L65" i="4"/>
  <c r="K65" i="4"/>
  <c r="J65" i="4"/>
  <c r="I65" i="4"/>
  <c r="G65" i="4"/>
  <c r="C65" i="4"/>
  <c r="B65" i="4"/>
  <c r="L64" i="4"/>
  <c r="K64" i="4"/>
  <c r="J64" i="4"/>
  <c r="I64" i="4"/>
  <c r="O64" i="4" s="1"/>
  <c r="G64" i="4"/>
  <c r="C64" i="4"/>
  <c r="B64" i="4"/>
  <c r="L63" i="4"/>
  <c r="K63" i="4"/>
  <c r="J63" i="4"/>
  <c r="I63" i="4"/>
  <c r="G63" i="4"/>
  <c r="C63" i="4"/>
  <c r="B63" i="4"/>
  <c r="L62" i="4"/>
  <c r="K62" i="4"/>
  <c r="J62" i="4"/>
  <c r="I62" i="4"/>
  <c r="M62" i="4" s="1"/>
  <c r="G62" i="4"/>
  <c r="C62" i="4"/>
  <c r="B62" i="4"/>
  <c r="L61" i="4"/>
  <c r="K61" i="4"/>
  <c r="J61" i="4"/>
  <c r="I61" i="4"/>
  <c r="G61" i="4"/>
  <c r="C61" i="4"/>
  <c r="B61" i="4"/>
  <c r="L60" i="4"/>
  <c r="K60" i="4"/>
  <c r="J60" i="4"/>
  <c r="I60" i="4"/>
  <c r="O60" i="4" s="1"/>
  <c r="G60" i="4"/>
  <c r="C60" i="4"/>
  <c r="B60" i="4"/>
  <c r="L59" i="4"/>
  <c r="K59" i="4"/>
  <c r="J59" i="4"/>
  <c r="I59" i="4"/>
  <c r="G59" i="4"/>
  <c r="C59" i="4"/>
  <c r="B59" i="4"/>
  <c r="L58" i="4"/>
  <c r="K58" i="4"/>
  <c r="J58" i="4"/>
  <c r="I58" i="4"/>
  <c r="M58" i="4" s="1"/>
  <c r="G58" i="4"/>
  <c r="C58" i="4"/>
  <c r="B58" i="4"/>
  <c r="L57" i="4"/>
  <c r="K57" i="4"/>
  <c r="J57" i="4"/>
  <c r="I57" i="4"/>
  <c r="G57" i="4"/>
  <c r="C57" i="4"/>
  <c r="B57" i="4"/>
  <c r="L56" i="4"/>
  <c r="K56" i="4"/>
  <c r="J56" i="4"/>
  <c r="I56" i="4"/>
  <c r="O56" i="4" s="1"/>
  <c r="G56" i="4"/>
  <c r="C56" i="4"/>
  <c r="B56" i="4"/>
  <c r="L55" i="4"/>
  <c r="K55" i="4"/>
  <c r="J55" i="4"/>
  <c r="I55" i="4"/>
  <c r="G55" i="4"/>
  <c r="C55" i="4"/>
  <c r="B55" i="4"/>
  <c r="L54" i="4"/>
  <c r="K54" i="4"/>
  <c r="J54" i="4"/>
  <c r="I54" i="4"/>
  <c r="M54" i="4" s="1"/>
  <c r="G54" i="4"/>
  <c r="C54" i="4"/>
  <c r="B54" i="4"/>
  <c r="L53" i="4"/>
  <c r="K53" i="4"/>
  <c r="J53" i="4"/>
  <c r="I53" i="4"/>
  <c r="G53" i="4"/>
  <c r="C53" i="4"/>
  <c r="B53" i="4"/>
  <c r="L52" i="4"/>
  <c r="K52" i="4"/>
  <c r="J52" i="4"/>
  <c r="I52" i="4"/>
  <c r="O52" i="4" s="1"/>
  <c r="G52" i="4"/>
  <c r="C52" i="4"/>
  <c r="B52" i="4"/>
  <c r="L51" i="4"/>
  <c r="K51" i="4"/>
  <c r="J51" i="4"/>
  <c r="I51" i="4"/>
  <c r="G51" i="4"/>
  <c r="C51" i="4"/>
  <c r="B51" i="4"/>
  <c r="L50" i="4"/>
  <c r="K50" i="4"/>
  <c r="J50" i="4"/>
  <c r="I50" i="4"/>
  <c r="M50" i="4" s="1"/>
  <c r="G50" i="4"/>
  <c r="C50" i="4"/>
  <c r="B50" i="4"/>
  <c r="L49" i="4"/>
  <c r="K49" i="4"/>
  <c r="J49" i="4"/>
  <c r="I49" i="4"/>
  <c r="G49" i="4"/>
  <c r="C49" i="4"/>
  <c r="B49" i="4"/>
  <c r="L48" i="4"/>
  <c r="K48" i="4"/>
  <c r="J48" i="4"/>
  <c r="I48" i="4"/>
  <c r="O48" i="4" s="1"/>
  <c r="G48" i="4"/>
  <c r="C48" i="4"/>
  <c r="B48" i="4"/>
  <c r="L47" i="4"/>
  <c r="K47" i="4"/>
  <c r="J47" i="4"/>
  <c r="I47" i="4"/>
  <c r="G47" i="4"/>
  <c r="C47" i="4"/>
  <c r="B47" i="4"/>
  <c r="L46" i="4"/>
  <c r="K46" i="4"/>
  <c r="J46" i="4"/>
  <c r="I46" i="4"/>
  <c r="M46" i="4" s="1"/>
  <c r="G46" i="4"/>
  <c r="C46" i="4"/>
  <c r="B46" i="4"/>
  <c r="L45" i="4"/>
  <c r="K45" i="4"/>
  <c r="J45" i="4"/>
  <c r="I45" i="4"/>
  <c r="G45" i="4"/>
  <c r="C45" i="4"/>
  <c r="B45" i="4"/>
  <c r="L44" i="4"/>
  <c r="K44" i="4"/>
  <c r="J44" i="4"/>
  <c r="I44" i="4"/>
  <c r="O44" i="4" s="1"/>
  <c r="G44" i="4"/>
  <c r="C44" i="4"/>
  <c r="B44" i="4"/>
  <c r="L43" i="4"/>
  <c r="K43" i="4"/>
  <c r="J43" i="4"/>
  <c r="I43" i="4"/>
  <c r="G43" i="4"/>
  <c r="C43" i="4"/>
  <c r="B43" i="4"/>
  <c r="L42" i="4"/>
  <c r="K42" i="4"/>
  <c r="J42" i="4"/>
  <c r="I42" i="4"/>
  <c r="M42" i="4" s="1"/>
  <c r="G42" i="4"/>
  <c r="C42" i="4"/>
  <c r="B42" i="4"/>
  <c r="L41" i="4"/>
  <c r="K41" i="4"/>
  <c r="J41" i="4"/>
  <c r="I41" i="4"/>
  <c r="G41" i="4"/>
  <c r="C41" i="4"/>
  <c r="B41" i="4"/>
  <c r="L40" i="4"/>
  <c r="K40" i="4"/>
  <c r="J40" i="4"/>
  <c r="I40" i="4"/>
  <c r="O40" i="4" s="1"/>
  <c r="G40" i="4"/>
  <c r="C40" i="4"/>
  <c r="B40" i="4"/>
  <c r="L39" i="4"/>
  <c r="K39" i="4"/>
  <c r="J39" i="4"/>
  <c r="I39" i="4"/>
  <c r="G39" i="4"/>
  <c r="C39" i="4"/>
  <c r="B39" i="4"/>
  <c r="L38" i="4"/>
  <c r="K38" i="4"/>
  <c r="J38" i="4"/>
  <c r="I38" i="4"/>
  <c r="M38" i="4" s="1"/>
  <c r="G38" i="4"/>
  <c r="C38" i="4"/>
  <c r="B38" i="4"/>
  <c r="L37" i="4"/>
  <c r="K37" i="4"/>
  <c r="J37" i="4"/>
  <c r="I37" i="4"/>
  <c r="G37" i="4"/>
  <c r="C37" i="4"/>
  <c r="B37" i="4"/>
  <c r="L36" i="4"/>
  <c r="K36" i="4"/>
  <c r="J36" i="4"/>
  <c r="I36" i="4"/>
  <c r="O36" i="4" s="1"/>
  <c r="G36" i="4"/>
  <c r="C36" i="4"/>
  <c r="B36" i="4"/>
  <c r="L35" i="4"/>
  <c r="K35" i="4"/>
  <c r="J35" i="4"/>
  <c r="I35" i="4"/>
  <c r="G35" i="4"/>
  <c r="C35" i="4"/>
  <c r="B35" i="4"/>
  <c r="L34" i="4"/>
  <c r="K34" i="4"/>
  <c r="J34" i="4"/>
  <c r="I34" i="4"/>
  <c r="M34" i="4" s="1"/>
  <c r="G34" i="4"/>
  <c r="C34" i="4"/>
  <c r="B34" i="4"/>
  <c r="L33" i="4"/>
  <c r="K33" i="4"/>
  <c r="J33" i="4"/>
  <c r="I33" i="4"/>
  <c r="G33" i="4"/>
  <c r="C33" i="4"/>
  <c r="B33" i="4"/>
  <c r="L32" i="4"/>
  <c r="K32" i="4"/>
  <c r="J32" i="4"/>
  <c r="I32" i="4"/>
  <c r="G32" i="4"/>
  <c r="C32" i="4"/>
  <c r="B32" i="4"/>
  <c r="L31" i="4"/>
  <c r="K31" i="4"/>
  <c r="J31" i="4"/>
  <c r="I31" i="4"/>
  <c r="G31" i="4"/>
  <c r="C31" i="4"/>
  <c r="B31" i="4"/>
  <c r="L30" i="4"/>
  <c r="K30" i="4"/>
  <c r="J30" i="4"/>
  <c r="I30" i="4"/>
  <c r="O30" i="4" s="1"/>
  <c r="G30" i="4"/>
  <c r="C30" i="4"/>
  <c r="B30" i="4"/>
  <c r="L29" i="4"/>
  <c r="K29" i="4"/>
  <c r="J29" i="4"/>
  <c r="I29" i="4"/>
  <c r="G29" i="4"/>
  <c r="C29" i="4"/>
  <c r="B29" i="4"/>
  <c r="L28" i="4"/>
  <c r="K28" i="4"/>
  <c r="J28" i="4"/>
  <c r="I28" i="4"/>
  <c r="G28" i="4"/>
  <c r="C28" i="4"/>
  <c r="B28" i="4"/>
  <c r="L27" i="4"/>
  <c r="K27" i="4"/>
  <c r="J27" i="4"/>
  <c r="I27" i="4"/>
  <c r="G27" i="4"/>
  <c r="L26" i="4"/>
  <c r="K26" i="4"/>
  <c r="J26" i="4"/>
  <c r="I26" i="4"/>
  <c r="G26" i="4"/>
  <c r="L25" i="4"/>
  <c r="K25" i="4"/>
  <c r="J25" i="4"/>
  <c r="I25" i="4"/>
  <c r="G25" i="4"/>
  <c r="L24" i="4"/>
  <c r="K24" i="4"/>
  <c r="J24" i="4"/>
  <c r="I24" i="4"/>
  <c r="O24" i="4" s="1"/>
  <c r="G24" i="4"/>
  <c r="L23" i="4"/>
  <c r="K23" i="4"/>
  <c r="J23" i="4"/>
  <c r="I23" i="4"/>
  <c r="G23" i="4"/>
  <c r="L22" i="4"/>
  <c r="K22" i="4"/>
  <c r="J22" i="4"/>
  <c r="I22" i="4"/>
  <c r="G22" i="4"/>
  <c r="L21" i="4"/>
  <c r="K21" i="4"/>
  <c r="J21" i="4"/>
  <c r="I21" i="4"/>
  <c r="G21" i="4"/>
  <c r="L20" i="4"/>
  <c r="K20" i="4"/>
  <c r="J20" i="4"/>
  <c r="I20" i="4"/>
  <c r="O20" i="4" s="1"/>
  <c r="G20" i="4"/>
  <c r="L19" i="4"/>
  <c r="K19" i="4"/>
  <c r="J19" i="4"/>
  <c r="I19" i="4"/>
  <c r="G19" i="4"/>
  <c r="L18" i="4"/>
  <c r="K18" i="4"/>
  <c r="J18" i="4"/>
  <c r="I18" i="4"/>
  <c r="G18" i="4"/>
  <c r="L17" i="4"/>
  <c r="K17" i="4"/>
  <c r="J17" i="4"/>
  <c r="I17" i="4"/>
  <c r="G17" i="4"/>
  <c r="L16" i="4"/>
  <c r="K16" i="4"/>
  <c r="J16" i="4"/>
  <c r="I16" i="4"/>
  <c r="O16" i="4" s="1"/>
  <c r="G16" i="4"/>
  <c r="L15" i="4"/>
  <c r="K15" i="4"/>
  <c r="J15" i="4"/>
  <c r="I15" i="4"/>
  <c r="G15" i="4"/>
  <c r="L14" i="4"/>
  <c r="K14" i="4"/>
  <c r="J14" i="4"/>
  <c r="I14" i="4"/>
  <c r="G14" i="4"/>
  <c r="L13" i="4"/>
  <c r="K13" i="4"/>
  <c r="J13" i="4"/>
  <c r="I13" i="4"/>
  <c r="G13" i="4"/>
  <c r="L12" i="4"/>
  <c r="K12" i="4"/>
  <c r="J12" i="4"/>
  <c r="I12" i="4"/>
  <c r="M12" i="4" s="1"/>
  <c r="G12" i="4"/>
  <c r="L11" i="4"/>
  <c r="K11" i="4"/>
  <c r="J11" i="4"/>
  <c r="I11" i="4"/>
  <c r="G11" i="4"/>
  <c r="C971" i="40"/>
  <c r="H920" i="40"/>
  <c r="L920" i="40" s="1"/>
  <c r="C917" i="40"/>
  <c r="H880" i="40"/>
  <c r="L880" i="40" s="1"/>
  <c r="H867" i="40"/>
  <c r="L867" i="40" s="1"/>
  <c r="L866" i="40"/>
  <c r="H866" i="40"/>
  <c r="C863" i="40"/>
  <c r="H827" i="40"/>
  <c r="L827" i="40" s="1"/>
  <c r="L826" i="40"/>
  <c r="H826" i="40"/>
  <c r="C809" i="40"/>
  <c r="C756" i="40"/>
  <c r="L746" i="40"/>
  <c r="H746" i="40"/>
  <c r="C727" i="40"/>
  <c r="H719" i="40"/>
  <c r="L719" i="40" s="1"/>
  <c r="H716" i="40"/>
  <c r="L716" i="40" s="1"/>
  <c r="H700" i="40"/>
  <c r="L700" i="40" s="1"/>
  <c r="C697" i="40"/>
  <c r="L661" i="40"/>
  <c r="H661" i="40"/>
  <c r="H646" i="40"/>
  <c r="L646" i="40" s="1"/>
  <c r="C642" i="40"/>
  <c r="H605" i="40"/>
  <c r="L605" i="40" s="1"/>
  <c r="L591" i="40"/>
  <c r="H591" i="40"/>
  <c r="C588" i="40"/>
  <c r="H553" i="40"/>
  <c r="L553" i="40" s="1"/>
  <c r="H537" i="40"/>
  <c r="L537" i="40" s="1"/>
  <c r="C534" i="40"/>
  <c r="C481" i="40"/>
  <c r="C457" i="40"/>
  <c r="H438" i="40"/>
  <c r="H437" i="40"/>
  <c r="L437" i="40" s="1"/>
  <c r="C434" i="40"/>
  <c r="C381" i="40"/>
  <c r="H331" i="40"/>
  <c r="L331" i="40" s="1"/>
  <c r="C328" i="40"/>
  <c r="C275" i="40"/>
  <c r="H266" i="40"/>
  <c r="H290" i="40" s="1"/>
  <c r="L290" i="40" s="1"/>
  <c r="H257" i="40"/>
  <c r="L257" i="40" s="1"/>
  <c r="H256" i="40"/>
  <c r="L256" i="40" s="1"/>
  <c r="C253" i="40"/>
  <c r="L235" i="40"/>
  <c r="H235" i="40"/>
  <c r="C232" i="40"/>
  <c r="H215" i="40"/>
  <c r="H214" i="40"/>
  <c r="C211" i="40"/>
  <c r="H161" i="40"/>
  <c r="L161" i="40" s="1"/>
  <c r="C157" i="40"/>
  <c r="H106" i="40"/>
  <c r="L106" i="40" s="1"/>
  <c r="C103" i="40"/>
  <c r="H58" i="40"/>
  <c r="H925" i="40" s="1"/>
  <c r="L925" i="40" s="1"/>
  <c r="H54" i="40"/>
  <c r="L53" i="40"/>
  <c r="H53" i="40"/>
  <c r="C50" i="40"/>
  <c r="C323" i="9"/>
  <c r="C322" i="9"/>
  <c r="C321" i="9"/>
  <c r="C320" i="9"/>
  <c r="C319" i="9"/>
  <c r="C318" i="9"/>
  <c r="C317" i="9"/>
  <c r="C316" i="9"/>
  <c r="C315" i="9"/>
  <c r="C314" i="9"/>
  <c r="C313" i="9"/>
  <c r="C312" i="9"/>
  <c r="C311" i="9"/>
  <c r="C310" i="9"/>
  <c r="C309" i="9"/>
  <c r="C308" i="9"/>
  <c r="C298" i="9"/>
  <c r="C297" i="9"/>
  <c r="C296" i="9"/>
  <c r="C295" i="9"/>
  <c r="C294" i="9"/>
  <c r="C293" i="9"/>
  <c r="C292" i="9"/>
  <c r="C291" i="9"/>
  <c r="C290" i="9"/>
  <c r="C289" i="9"/>
  <c r="C288" i="9"/>
  <c r="C287" i="9"/>
  <c r="C286" i="9"/>
  <c r="C285" i="9"/>
  <c r="C284" i="9"/>
  <c r="C283" i="9"/>
  <c r="C273" i="9"/>
  <c r="C272" i="9"/>
  <c r="C271" i="9"/>
  <c r="C270" i="9"/>
  <c r="C269" i="9"/>
  <c r="C268" i="9"/>
  <c r="C267" i="9"/>
  <c r="C266" i="9"/>
  <c r="C265" i="9"/>
  <c r="C264" i="9"/>
  <c r="C263" i="9"/>
  <c r="C262" i="9"/>
  <c r="C261" i="9"/>
  <c r="C260" i="9"/>
  <c r="C259" i="9"/>
  <c r="C258" i="9"/>
  <c r="C248" i="9"/>
  <c r="C247" i="9"/>
  <c r="C246" i="9"/>
  <c r="C245" i="9"/>
  <c r="C244" i="9"/>
  <c r="C243" i="9"/>
  <c r="C242" i="9"/>
  <c r="C241" i="9"/>
  <c r="C240" i="9"/>
  <c r="C239" i="9"/>
  <c r="C238" i="9"/>
  <c r="C237" i="9"/>
  <c r="C236" i="9"/>
  <c r="C235" i="9"/>
  <c r="C234" i="9"/>
  <c r="C233" i="9"/>
  <c r="C223" i="9"/>
  <c r="C222" i="9"/>
  <c r="C221" i="9"/>
  <c r="C220" i="9"/>
  <c r="C219" i="9"/>
  <c r="C218" i="9"/>
  <c r="C217" i="9"/>
  <c r="C216" i="9"/>
  <c r="C215" i="9"/>
  <c r="C214" i="9"/>
  <c r="C213" i="9"/>
  <c r="C212" i="9"/>
  <c r="C211" i="9"/>
  <c r="C210" i="9"/>
  <c r="C209" i="9"/>
  <c r="C208" i="9"/>
  <c r="C198" i="9"/>
  <c r="C197" i="9"/>
  <c r="C196" i="9"/>
  <c r="C195" i="9"/>
  <c r="C194" i="9"/>
  <c r="C193" i="9"/>
  <c r="C192" i="9"/>
  <c r="C191" i="9"/>
  <c r="C190" i="9"/>
  <c r="C189" i="9"/>
  <c r="C188" i="9"/>
  <c r="C187" i="9"/>
  <c r="C186" i="9"/>
  <c r="C185" i="9"/>
  <c r="C184" i="9"/>
  <c r="C183" i="9"/>
  <c r="C173" i="9"/>
  <c r="C172" i="9"/>
  <c r="C171" i="9"/>
  <c r="C170" i="9"/>
  <c r="C169" i="9"/>
  <c r="C168" i="9"/>
  <c r="C167" i="9"/>
  <c r="C166" i="9"/>
  <c r="C165" i="9"/>
  <c r="C164" i="9"/>
  <c r="C163" i="9"/>
  <c r="C162" i="9"/>
  <c r="C161" i="9"/>
  <c r="C160" i="9"/>
  <c r="C159" i="9"/>
  <c r="C158" i="9"/>
  <c r="C148" i="9"/>
  <c r="C147" i="9"/>
  <c r="C146" i="9"/>
  <c r="C145" i="9"/>
  <c r="C144" i="9"/>
  <c r="C143" i="9"/>
  <c r="C142" i="9"/>
  <c r="C141" i="9"/>
  <c r="C140" i="9"/>
  <c r="C139" i="9"/>
  <c r="C138" i="9"/>
  <c r="C137" i="9"/>
  <c r="C136" i="9"/>
  <c r="C135" i="9"/>
  <c r="C134" i="9"/>
  <c r="C133" i="9"/>
  <c r="G125" i="9"/>
  <c r="F125" i="9"/>
  <c r="T119" i="9"/>
  <c r="R119" i="9"/>
  <c r="P119" i="9"/>
  <c r="N119" i="9"/>
  <c r="L119" i="9"/>
  <c r="E91" i="9"/>
  <c r="D57" i="9"/>
  <c r="C57" i="9"/>
  <c r="D56" i="9"/>
  <c r="C56" i="9"/>
  <c r="D55" i="9"/>
  <c r="C55" i="9"/>
  <c r="D54" i="9"/>
  <c r="C54" i="9"/>
  <c r="D53" i="9"/>
  <c r="C53" i="9"/>
  <c r="D52" i="9"/>
  <c r="C52" i="9"/>
  <c r="D51" i="9"/>
  <c r="C51" i="9"/>
  <c r="D50" i="9"/>
  <c r="C50" i="9"/>
  <c r="D49" i="9"/>
  <c r="C49" i="9"/>
  <c r="D48" i="9"/>
  <c r="C48" i="9"/>
  <c r="D47" i="9"/>
  <c r="C47" i="9"/>
  <c r="D46" i="9"/>
  <c r="C46" i="9"/>
  <c r="D45" i="9"/>
  <c r="C45" i="9"/>
  <c r="D44" i="9"/>
  <c r="C44" i="9"/>
  <c r="D43" i="9"/>
  <c r="C43" i="9"/>
  <c r="D42" i="9"/>
  <c r="C42" i="9"/>
  <c r="C29" i="9"/>
  <c r="C28" i="9"/>
  <c r="C27" i="9"/>
  <c r="C26" i="9"/>
  <c r="C25" i="9"/>
  <c r="C24" i="9"/>
  <c r="C23" i="9"/>
  <c r="C22" i="9"/>
  <c r="N195" i="1"/>
  <c r="I194" i="1"/>
  <c r="H194" i="1"/>
  <c r="G194" i="1"/>
  <c r="D194" i="1"/>
  <c r="J194" i="1" s="1"/>
  <c r="I193" i="1"/>
  <c r="H193" i="1"/>
  <c r="G193" i="1"/>
  <c r="D193" i="1"/>
  <c r="J193" i="1" s="1"/>
  <c r="I192" i="1"/>
  <c r="H192" i="1"/>
  <c r="G192" i="1"/>
  <c r="D192" i="1"/>
  <c r="J192" i="1" s="1"/>
  <c r="I191" i="1"/>
  <c r="H191" i="1"/>
  <c r="G191" i="1"/>
  <c r="D191" i="1"/>
  <c r="J191" i="1" s="1"/>
  <c r="I190" i="1"/>
  <c r="H190" i="1"/>
  <c r="G190" i="1"/>
  <c r="D190" i="1"/>
  <c r="J190" i="1" s="1"/>
  <c r="I189" i="1"/>
  <c r="H189" i="1"/>
  <c r="G189" i="1"/>
  <c r="D189" i="1"/>
  <c r="J189" i="1" s="1"/>
  <c r="I188" i="1"/>
  <c r="H188" i="1"/>
  <c r="G188" i="1"/>
  <c r="D188" i="1"/>
  <c r="J188" i="1" s="1"/>
  <c r="I187" i="1"/>
  <c r="H187" i="1"/>
  <c r="G187" i="1"/>
  <c r="D187" i="1"/>
  <c r="J187" i="1" s="1"/>
  <c r="I186" i="1"/>
  <c r="H186" i="1"/>
  <c r="G186" i="1"/>
  <c r="D186" i="1"/>
  <c r="J186" i="1" s="1"/>
  <c r="I185" i="1"/>
  <c r="H185" i="1"/>
  <c r="G185" i="1"/>
  <c r="D185" i="1"/>
  <c r="J185" i="1" s="1"/>
  <c r="I184" i="1"/>
  <c r="H184" i="1"/>
  <c r="G184" i="1"/>
  <c r="D184" i="1"/>
  <c r="J184" i="1" s="1"/>
  <c r="I183" i="1"/>
  <c r="H183" i="1"/>
  <c r="G183" i="1"/>
  <c r="D183" i="1"/>
  <c r="J183" i="1" s="1"/>
  <c r="J182" i="1"/>
  <c r="K182" i="1" s="1"/>
  <c r="I182" i="1"/>
  <c r="H182" i="1"/>
  <c r="G182" i="1"/>
  <c r="D182" i="1"/>
  <c r="I181" i="1"/>
  <c r="H181" i="1"/>
  <c r="G181" i="1"/>
  <c r="J181" i="1" s="1"/>
  <c r="O181" i="1" s="1"/>
  <c r="D181" i="1"/>
  <c r="I180" i="1"/>
  <c r="H180" i="1"/>
  <c r="G180" i="1"/>
  <c r="J180" i="1" s="1"/>
  <c r="O180" i="1" s="1"/>
  <c r="D180" i="1"/>
  <c r="I179" i="1"/>
  <c r="H179" i="1"/>
  <c r="G179" i="1"/>
  <c r="J179" i="1" s="1"/>
  <c r="D179" i="1"/>
  <c r="I178" i="1"/>
  <c r="H178" i="1"/>
  <c r="G178" i="1"/>
  <c r="J178" i="1" s="1"/>
  <c r="D178" i="1"/>
  <c r="I177" i="1"/>
  <c r="H177" i="1"/>
  <c r="G177" i="1"/>
  <c r="J177" i="1" s="1"/>
  <c r="O177" i="1" s="1"/>
  <c r="D177" i="1"/>
  <c r="I176" i="1"/>
  <c r="H176" i="1"/>
  <c r="G176" i="1"/>
  <c r="J176" i="1" s="1"/>
  <c r="O176" i="1" s="1"/>
  <c r="D176" i="1"/>
  <c r="I175" i="1"/>
  <c r="H175" i="1"/>
  <c r="G175" i="1"/>
  <c r="J175" i="1" s="1"/>
  <c r="D175" i="1"/>
  <c r="I174" i="1"/>
  <c r="H174" i="1"/>
  <c r="G174" i="1"/>
  <c r="J174" i="1" s="1"/>
  <c r="D174" i="1"/>
  <c r="J173" i="1"/>
  <c r="I173" i="1"/>
  <c r="H173" i="1"/>
  <c r="G173" i="1"/>
  <c r="D173" i="1"/>
  <c r="I172" i="1"/>
  <c r="H172" i="1"/>
  <c r="G172" i="1"/>
  <c r="J172" i="1" s="1"/>
  <c r="D172" i="1"/>
  <c r="I171" i="1"/>
  <c r="H171" i="1"/>
  <c r="G171" i="1"/>
  <c r="J171" i="1" s="1"/>
  <c r="O171" i="1" s="1"/>
  <c r="D171" i="1"/>
  <c r="I170" i="1"/>
  <c r="H170" i="1"/>
  <c r="G170" i="1"/>
  <c r="J170" i="1" s="1"/>
  <c r="O170" i="1" s="1"/>
  <c r="D170" i="1"/>
  <c r="I169" i="1"/>
  <c r="H169" i="1"/>
  <c r="G169" i="1"/>
  <c r="J169" i="1" s="1"/>
  <c r="D169" i="1"/>
  <c r="I168" i="1"/>
  <c r="H168" i="1"/>
  <c r="G168" i="1"/>
  <c r="J168" i="1" s="1"/>
  <c r="D168" i="1"/>
  <c r="I167" i="1"/>
  <c r="H167" i="1"/>
  <c r="G167" i="1"/>
  <c r="J167" i="1" s="1"/>
  <c r="O167" i="1" s="1"/>
  <c r="D167" i="1"/>
  <c r="J166" i="1"/>
  <c r="I166" i="1"/>
  <c r="H166" i="1"/>
  <c r="G166" i="1"/>
  <c r="D166" i="1"/>
  <c r="J165" i="1"/>
  <c r="I165" i="1"/>
  <c r="H165" i="1"/>
  <c r="G165" i="1"/>
  <c r="D165" i="1"/>
  <c r="I164" i="1"/>
  <c r="H164" i="1"/>
  <c r="G164" i="1"/>
  <c r="J164" i="1" s="1"/>
  <c r="K164" i="1" s="1"/>
  <c r="D164" i="1"/>
  <c r="I163" i="1"/>
  <c r="H163" i="1"/>
  <c r="G163" i="1"/>
  <c r="J163" i="1" s="1"/>
  <c r="O163" i="1" s="1"/>
  <c r="D163" i="1"/>
  <c r="I162" i="1"/>
  <c r="H162" i="1"/>
  <c r="G162" i="1"/>
  <c r="J162" i="1" s="1"/>
  <c r="D162" i="1"/>
  <c r="I161" i="1"/>
  <c r="H161" i="1"/>
  <c r="G161" i="1"/>
  <c r="J161" i="1" s="1"/>
  <c r="D161" i="1"/>
  <c r="I160" i="1"/>
  <c r="H160" i="1"/>
  <c r="G160" i="1"/>
  <c r="J160" i="1" s="1"/>
  <c r="K160" i="1" s="1"/>
  <c r="D160" i="1"/>
  <c r="I159" i="1"/>
  <c r="H159" i="1"/>
  <c r="G159" i="1"/>
  <c r="J159" i="1" s="1"/>
  <c r="O159" i="1" s="1"/>
  <c r="D159" i="1"/>
  <c r="J158" i="1"/>
  <c r="I158" i="1"/>
  <c r="H158" i="1"/>
  <c r="G158" i="1"/>
  <c r="D158" i="1"/>
  <c r="J157" i="1"/>
  <c r="I157" i="1"/>
  <c r="H157" i="1"/>
  <c r="G157" i="1"/>
  <c r="D157" i="1"/>
  <c r="I156" i="1"/>
  <c r="H156" i="1"/>
  <c r="G156" i="1"/>
  <c r="J156" i="1" s="1"/>
  <c r="K156" i="1" s="1"/>
  <c r="D156" i="1"/>
  <c r="I155" i="1"/>
  <c r="H155" i="1"/>
  <c r="G155" i="1"/>
  <c r="J155" i="1" s="1"/>
  <c r="O155" i="1" s="1"/>
  <c r="D155" i="1"/>
  <c r="I154" i="1"/>
  <c r="H154" i="1"/>
  <c r="G154" i="1"/>
  <c r="J154" i="1" s="1"/>
  <c r="D154" i="1"/>
  <c r="I153" i="1"/>
  <c r="H153" i="1"/>
  <c r="G153" i="1"/>
  <c r="J153" i="1" s="1"/>
  <c r="D153" i="1"/>
  <c r="I152" i="1"/>
  <c r="H152" i="1"/>
  <c r="G152" i="1"/>
  <c r="J152" i="1" s="1"/>
  <c r="K152" i="1" s="1"/>
  <c r="D152" i="1"/>
  <c r="I151" i="1"/>
  <c r="H151" i="1"/>
  <c r="G151" i="1"/>
  <c r="J151" i="1" s="1"/>
  <c r="O151" i="1" s="1"/>
  <c r="D151" i="1"/>
  <c r="J150" i="1"/>
  <c r="I150" i="1"/>
  <c r="H150" i="1"/>
  <c r="G150" i="1"/>
  <c r="D150" i="1"/>
  <c r="I149" i="1"/>
  <c r="H149" i="1"/>
  <c r="G149" i="1"/>
  <c r="J149" i="1" s="1"/>
  <c r="D149" i="1"/>
  <c r="I148" i="1"/>
  <c r="H148" i="1"/>
  <c r="G148" i="1"/>
  <c r="J148" i="1" s="1"/>
  <c r="K148" i="1" s="1"/>
  <c r="D148" i="1"/>
  <c r="K147" i="1"/>
  <c r="I147" i="1"/>
  <c r="H147" i="1"/>
  <c r="G147" i="1"/>
  <c r="J147" i="1" s="1"/>
  <c r="O147" i="1" s="1"/>
  <c r="D147" i="1"/>
  <c r="I146" i="1"/>
  <c r="H146" i="1"/>
  <c r="G146" i="1"/>
  <c r="J146" i="1" s="1"/>
  <c r="D146" i="1"/>
  <c r="I145" i="1"/>
  <c r="H145" i="1"/>
  <c r="G145" i="1"/>
  <c r="J145" i="1" s="1"/>
  <c r="D145" i="1"/>
  <c r="I144" i="1"/>
  <c r="H144" i="1"/>
  <c r="G144" i="1"/>
  <c r="J144" i="1" s="1"/>
  <c r="L144" i="1" s="1"/>
  <c r="D144" i="1"/>
  <c r="I143" i="1"/>
  <c r="H143" i="1"/>
  <c r="G143" i="1"/>
  <c r="J143" i="1" s="1"/>
  <c r="O143" i="1" s="1"/>
  <c r="D143" i="1"/>
  <c r="I142" i="1"/>
  <c r="H142" i="1"/>
  <c r="G142" i="1"/>
  <c r="J142" i="1" s="1"/>
  <c r="D142" i="1"/>
  <c r="J141" i="1"/>
  <c r="I141" i="1"/>
  <c r="H141" i="1"/>
  <c r="G141" i="1"/>
  <c r="D141" i="1"/>
  <c r="I140" i="1"/>
  <c r="H140" i="1"/>
  <c r="G140" i="1"/>
  <c r="J140" i="1" s="1"/>
  <c r="L140" i="1" s="1"/>
  <c r="D140" i="1"/>
  <c r="L139" i="1"/>
  <c r="I139" i="1"/>
  <c r="H139" i="1"/>
  <c r="G139" i="1"/>
  <c r="J139" i="1" s="1"/>
  <c r="O139" i="1" s="1"/>
  <c r="D139" i="1"/>
  <c r="I138" i="1"/>
  <c r="H138" i="1"/>
  <c r="G138" i="1"/>
  <c r="J138" i="1" s="1"/>
  <c r="D138" i="1"/>
  <c r="I137" i="1"/>
  <c r="H137" i="1"/>
  <c r="G137" i="1"/>
  <c r="J137" i="1" s="1"/>
  <c r="D137" i="1"/>
  <c r="I136" i="1"/>
  <c r="H136" i="1"/>
  <c r="G136" i="1"/>
  <c r="J136" i="1" s="1"/>
  <c r="K136" i="1" s="1"/>
  <c r="D136" i="1"/>
  <c r="I135" i="1"/>
  <c r="H135" i="1"/>
  <c r="G135" i="1"/>
  <c r="J135" i="1" s="1"/>
  <c r="O135" i="1" s="1"/>
  <c r="D135" i="1"/>
  <c r="I134" i="1"/>
  <c r="H134" i="1"/>
  <c r="G134" i="1"/>
  <c r="J134" i="1" s="1"/>
  <c r="D134" i="1"/>
  <c r="I133" i="1"/>
  <c r="H133" i="1"/>
  <c r="G133" i="1"/>
  <c r="J133" i="1" s="1"/>
  <c r="D133" i="1"/>
  <c r="J132" i="1"/>
  <c r="I132" i="1"/>
  <c r="H132" i="1"/>
  <c r="G132" i="1"/>
  <c r="D132" i="1"/>
  <c r="I131" i="1"/>
  <c r="H131" i="1"/>
  <c r="G131" i="1"/>
  <c r="J131" i="1" s="1"/>
  <c r="D131" i="1"/>
  <c r="I130" i="1"/>
  <c r="H130" i="1"/>
  <c r="G130" i="1"/>
  <c r="J130" i="1" s="1"/>
  <c r="D130" i="1"/>
  <c r="J129" i="1"/>
  <c r="I129" i="1"/>
  <c r="H129" i="1"/>
  <c r="G129" i="1"/>
  <c r="D129" i="1"/>
  <c r="I128" i="1"/>
  <c r="H128" i="1"/>
  <c r="G128" i="1"/>
  <c r="J128" i="1" s="1"/>
  <c r="K128" i="1" s="1"/>
  <c r="D128" i="1"/>
  <c r="I127" i="1"/>
  <c r="H127" i="1"/>
  <c r="G127" i="1"/>
  <c r="J127" i="1" s="1"/>
  <c r="O127" i="1" s="1"/>
  <c r="D127" i="1"/>
  <c r="I126" i="1"/>
  <c r="H126" i="1"/>
  <c r="G126" i="1"/>
  <c r="J126" i="1" s="1"/>
  <c r="D126" i="1"/>
  <c r="I125" i="1"/>
  <c r="H125" i="1"/>
  <c r="G125" i="1"/>
  <c r="J125" i="1" s="1"/>
  <c r="D125" i="1"/>
  <c r="I124" i="1"/>
  <c r="H124" i="1"/>
  <c r="G124" i="1"/>
  <c r="J124" i="1" s="1"/>
  <c r="D124" i="1"/>
  <c r="I123" i="1"/>
  <c r="H123" i="1"/>
  <c r="G123" i="1"/>
  <c r="J123" i="1" s="1"/>
  <c r="D123" i="1"/>
  <c r="I122" i="1"/>
  <c r="H122" i="1"/>
  <c r="G122" i="1"/>
  <c r="J122" i="1" s="1"/>
  <c r="D122" i="1"/>
  <c r="J121" i="1"/>
  <c r="I121" i="1"/>
  <c r="H121" i="1"/>
  <c r="G121" i="1"/>
  <c r="D121" i="1"/>
  <c r="I120" i="1"/>
  <c r="H120" i="1"/>
  <c r="G120" i="1"/>
  <c r="J120" i="1" s="1"/>
  <c r="K120" i="1" s="1"/>
  <c r="D120" i="1"/>
  <c r="I119" i="1"/>
  <c r="H119" i="1"/>
  <c r="G119" i="1"/>
  <c r="J119" i="1" s="1"/>
  <c r="O119" i="1" s="1"/>
  <c r="D119" i="1"/>
  <c r="J118" i="1"/>
  <c r="I118" i="1"/>
  <c r="H118" i="1"/>
  <c r="G118" i="1"/>
  <c r="D118" i="1"/>
  <c r="I117" i="1"/>
  <c r="H117" i="1"/>
  <c r="G117" i="1"/>
  <c r="J117" i="1" s="1"/>
  <c r="D117" i="1"/>
  <c r="I116" i="1"/>
  <c r="H116" i="1"/>
  <c r="G116" i="1"/>
  <c r="J116" i="1" s="1"/>
  <c r="D116" i="1"/>
  <c r="I115" i="1"/>
  <c r="H115" i="1"/>
  <c r="G115" i="1"/>
  <c r="J115" i="1" s="1"/>
  <c r="K115" i="1" s="1"/>
  <c r="D115" i="1"/>
  <c r="J114" i="1"/>
  <c r="O114" i="1" s="1"/>
  <c r="I114" i="1"/>
  <c r="H114" i="1"/>
  <c r="G114" i="1"/>
  <c r="D114" i="1"/>
  <c r="J113" i="1"/>
  <c r="I113" i="1"/>
  <c r="H113" i="1"/>
  <c r="G113" i="1"/>
  <c r="D113" i="1"/>
  <c r="I112" i="1"/>
  <c r="H112" i="1"/>
  <c r="G112" i="1"/>
  <c r="J112" i="1" s="1"/>
  <c r="K112" i="1" s="1"/>
  <c r="D112" i="1"/>
  <c r="I111" i="1"/>
  <c r="H111" i="1"/>
  <c r="G111" i="1"/>
  <c r="J111" i="1" s="1"/>
  <c r="O111" i="1" s="1"/>
  <c r="D111" i="1"/>
  <c r="I110" i="1"/>
  <c r="H110" i="1"/>
  <c r="G110" i="1"/>
  <c r="J110" i="1" s="1"/>
  <c r="D110" i="1"/>
  <c r="J109" i="1"/>
  <c r="I109" i="1"/>
  <c r="H109" i="1"/>
  <c r="G109" i="1"/>
  <c r="D109" i="1"/>
  <c r="J108" i="1"/>
  <c r="K108" i="1" s="1"/>
  <c r="I108" i="1"/>
  <c r="H108" i="1"/>
  <c r="G108" i="1"/>
  <c r="D108" i="1"/>
  <c r="I107" i="1"/>
  <c r="H107" i="1"/>
  <c r="G107" i="1"/>
  <c r="J107" i="1" s="1"/>
  <c r="O107" i="1" s="1"/>
  <c r="D107" i="1"/>
  <c r="I106" i="1"/>
  <c r="H106" i="1"/>
  <c r="G106" i="1"/>
  <c r="J106" i="1" s="1"/>
  <c r="O106" i="1" s="1"/>
  <c r="D106" i="1"/>
  <c r="I105" i="1"/>
  <c r="H105" i="1"/>
  <c r="G105" i="1"/>
  <c r="J105" i="1" s="1"/>
  <c r="D105" i="1"/>
  <c r="J104" i="1"/>
  <c r="K104" i="1" s="1"/>
  <c r="I104" i="1"/>
  <c r="H104" i="1"/>
  <c r="G104" i="1"/>
  <c r="D104" i="1"/>
  <c r="I103" i="1"/>
  <c r="H103" i="1"/>
  <c r="G103" i="1"/>
  <c r="J103" i="1" s="1"/>
  <c r="O103" i="1" s="1"/>
  <c r="D103" i="1"/>
  <c r="J102" i="1"/>
  <c r="I102" i="1"/>
  <c r="H102" i="1"/>
  <c r="G102" i="1"/>
  <c r="D102" i="1"/>
  <c r="I101" i="1"/>
  <c r="H101" i="1"/>
  <c r="G101" i="1"/>
  <c r="J101" i="1" s="1"/>
  <c r="D101" i="1"/>
  <c r="I100" i="1"/>
  <c r="H100" i="1"/>
  <c r="G100" i="1"/>
  <c r="J100" i="1" s="1"/>
  <c r="K100" i="1" s="1"/>
  <c r="D100" i="1"/>
  <c r="O99" i="1"/>
  <c r="K99" i="1"/>
  <c r="J99" i="1"/>
  <c r="I99" i="1"/>
  <c r="H99" i="1"/>
  <c r="G99" i="1"/>
  <c r="D99" i="1"/>
  <c r="I98" i="1"/>
  <c r="H98" i="1"/>
  <c r="G98" i="1"/>
  <c r="J98" i="1" s="1"/>
  <c r="D98" i="1"/>
  <c r="I97" i="1"/>
  <c r="H97" i="1"/>
  <c r="G97" i="1"/>
  <c r="J97" i="1" s="1"/>
  <c r="D97" i="1"/>
  <c r="I96" i="1"/>
  <c r="H96" i="1"/>
  <c r="G96" i="1"/>
  <c r="J96" i="1" s="1"/>
  <c r="K96" i="1" s="1"/>
  <c r="D96" i="1"/>
  <c r="I95" i="1"/>
  <c r="H95" i="1"/>
  <c r="G95" i="1"/>
  <c r="J95" i="1" s="1"/>
  <c r="D95" i="1"/>
  <c r="I94" i="1"/>
  <c r="H94" i="1"/>
  <c r="G94" i="1"/>
  <c r="J94" i="1" s="1"/>
  <c r="M94" i="1" s="1"/>
  <c r="D94" i="1"/>
  <c r="I93" i="1"/>
  <c r="H93" i="1"/>
  <c r="G93" i="1"/>
  <c r="J93" i="1" s="1"/>
  <c r="D93" i="1"/>
  <c r="J92" i="1"/>
  <c r="K92" i="1" s="1"/>
  <c r="I92" i="1"/>
  <c r="H92" i="1"/>
  <c r="G92" i="1"/>
  <c r="D92" i="1"/>
  <c r="I91" i="1"/>
  <c r="H91" i="1"/>
  <c r="G91" i="1"/>
  <c r="J91" i="1" s="1"/>
  <c r="D91" i="1"/>
  <c r="L90" i="1"/>
  <c r="I90" i="1"/>
  <c r="H90" i="1"/>
  <c r="G90" i="1"/>
  <c r="J90" i="1" s="1"/>
  <c r="D90" i="1"/>
  <c r="I89" i="1"/>
  <c r="H89" i="1"/>
  <c r="G89" i="1"/>
  <c r="J89" i="1" s="1"/>
  <c r="D89" i="1"/>
  <c r="I88" i="1"/>
  <c r="H88" i="1"/>
  <c r="G88" i="1"/>
  <c r="J88" i="1" s="1"/>
  <c r="O88" i="1" s="1"/>
  <c r="D88" i="1"/>
  <c r="K87" i="1"/>
  <c r="I87" i="1"/>
  <c r="H87" i="1"/>
  <c r="G87" i="1"/>
  <c r="J87" i="1" s="1"/>
  <c r="D87" i="1"/>
  <c r="L86" i="1"/>
  <c r="I86" i="1"/>
  <c r="H86" i="1"/>
  <c r="G86" i="1"/>
  <c r="J86" i="1" s="1"/>
  <c r="D86" i="1"/>
  <c r="I85" i="1"/>
  <c r="H85" i="1"/>
  <c r="G85" i="1"/>
  <c r="J85" i="1" s="1"/>
  <c r="O85" i="1" s="1"/>
  <c r="D85" i="1"/>
  <c r="I84" i="1"/>
  <c r="H84" i="1"/>
  <c r="G84" i="1"/>
  <c r="J84" i="1" s="1"/>
  <c r="K84" i="1" s="1"/>
  <c r="D84" i="1"/>
  <c r="I83" i="1"/>
  <c r="H83" i="1"/>
  <c r="G83" i="1"/>
  <c r="J83" i="1" s="1"/>
  <c r="M83" i="1" s="1"/>
  <c r="D83" i="1"/>
  <c r="K82" i="1"/>
  <c r="I82" i="1"/>
  <c r="H82" i="1"/>
  <c r="G82" i="1"/>
  <c r="J82" i="1" s="1"/>
  <c r="O82" i="1" s="1"/>
  <c r="D82" i="1"/>
  <c r="J81" i="1"/>
  <c r="K81" i="1" s="1"/>
  <c r="I81" i="1"/>
  <c r="H81" i="1"/>
  <c r="G81" i="1"/>
  <c r="D81" i="1"/>
  <c r="I80" i="1"/>
  <c r="H80" i="1"/>
  <c r="G80" i="1"/>
  <c r="J80" i="1" s="1"/>
  <c r="L80" i="1" s="1"/>
  <c r="D80" i="1"/>
  <c r="I79" i="1"/>
  <c r="H79" i="1"/>
  <c r="G79" i="1"/>
  <c r="J79" i="1" s="1"/>
  <c r="M79" i="1" s="1"/>
  <c r="D79" i="1"/>
  <c r="K78" i="1"/>
  <c r="I78" i="1"/>
  <c r="H78" i="1"/>
  <c r="G78" i="1"/>
  <c r="J78" i="1" s="1"/>
  <c r="O78" i="1" s="1"/>
  <c r="D78" i="1"/>
  <c r="I77" i="1"/>
  <c r="H77" i="1"/>
  <c r="G77" i="1"/>
  <c r="J77" i="1" s="1"/>
  <c r="D77" i="1"/>
  <c r="J76" i="1"/>
  <c r="L76" i="1" s="1"/>
  <c r="I76" i="1"/>
  <c r="H76" i="1"/>
  <c r="G76" i="1"/>
  <c r="D76" i="1"/>
  <c r="I75" i="1"/>
  <c r="H75" i="1"/>
  <c r="G75" i="1"/>
  <c r="J75" i="1" s="1"/>
  <c r="M75" i="1" s="1"/>
  <c r="D75" i="1"/>
  <c r="I74" i="1"/>
  <c r="H74" i="1"/>
  <c r="G74" i="1"/>
  <c r="J74" i="1" s="1"/>
  <c r="O74" i="1" s="1"/>
  <c r="D74" i="1"/>
  <c r="J73" i="1"/>
  <c r="K73" i="1" s="1"/>
  <c r="I73" i="1"/>
  <c r="H73" i="1"/>
  <c r="G73" i="1"/>
  <c r="D73" i="1"/>
  <c r="I72" i="1"/>
  <c r="H72" i="1"/>
  <c r="G72" i="1"/>
  <c r="J72" i="1" s="1"/>
  <c r="D72" i="1"/>
  <c r="I71" i="1"/>
  <c r="H71" i="1"/>
  <c r="G71" i="1"/>
  <c r="J71" i="1" s="1"/>
  <c r="D71" i="1"/>
  <c r="K70" i="1"/>
  <c r="I70" i="1"/>
  <c r="H70" i="1"/>
  <c r="G70" i="1"/>
  <c r="J70" i="1" s="1"/>
  <c r="O70" i="1" s="1"/>
  <c r="D70" i="1"/>
  <c r="I69" i="1"/>
  <c r="H69" i="1"/>
  <c r="G69" i="1"/>
  <c r="J69" i="1" s="1"/>
  <c r="K69" i="1" s="1"/>
  <c r="D69" i="1"/>
  <c r="I68" i="1"/>
  <c r="H68" i="1"/>
  <c r="G68" i="1"/>
  <c r="J68" i="1" s="1"/>
  <c r="L68" i="1" s="1"/>
  <c r="D68" i="1"/>
  <c r="I67" i="1"/>
  <c r="H67" i="1"/>
  <c r="G67" i="1"/>
  <c r="J67" i="1" s="1"/>
  <c r="M67" i="1" s="1"/>
  <c r="D67" i="1"/>
  <c r="K66" i="1"/>
  <c r="I66" i="1"/>
  <c r="H66" i="1"/>
  <c r="G66" i="1"/>
  <c r="J66" i="1" s="1"/>
  <c r="O66" i="1" s="1"/>
  <c r="D66" i="1"/>
  <c r="J65" i="1"/>
  <c r="K65" i="1" s="1"/>
  <c r="I65" i="1"/>
  <c r="H65" i="1"/>
  <c r="G65" i="1"/>
  <c r="D65" i="1"/>
  <c r="I64" i="1"/>
  <c r="H64" i="1"/>
  <c r="G64" i="1"/>
  <c r="J64" i="1" s="1"/>
  <c r="L64" i="1" s="1"/>
  <c r="D64" i="1"/>
  <c r="I63" i="1"/>
  <c r="H63" i="1"/>
  <c r="G63" i="1"/>
  <c r="J63" i="1" s="1"/>
  <c r="M63" i="1" s="1"/>
  <c r="D63" i="1"/>
  <c r="K62" i="1"/>
  <c r="I62" i="1"/>
  <c r="H62" i="1"/>
  <c r="G62" i="1"/>
  <c r="J62" i="1" s="1"/>
  <c r="O62" i="1" s="1"/>
  <c r="D62" i="1"/>
  <c r="J61" i="1"/>
  <c r="K61" i="1" s="1"/>
  <c r="I61" i="1"/>
  <c r="H61" i="1"/>
  <c r="G61" i="1"/>
  <c r="D61" i="1"/>
  <c r="I60" i="1"/>
  <c r="H60" i="1"/>
  <c r="G60" i="1"/>
  <c r="J60" i="1" s="1"/>
  <c r="D60" i="1"/>
  <c r="O59" i="1"/>
  <c r="M59" i="1"/>
  <c r="L59" i="1"/>
  <c r="K59" i="1"/>
  <c r="J59" i="1"/>
  <c r="I59" i="1"/>
  <c r="H59" i="1"/>
  <c r="G59" i="1"/>
  <c r="D59" i="1"/>
  <c r="I58" i="1"/>
  <c r="H58" i="1"/>
  <c r="G58" i="1"/>
  <c r="J58" i="1" s="1"/>
  <c r="D58" i="1"/>
  <c r="J57" i="1"/>
  <c r="I57" i="1"/>
  <c r="H57" i="1"/>
  <c r="G57" i="1"/>
  <c r="D57" i="1"/>
  <c r="I56" i="1"/>
  <c r="H56" i="1"/>
  <c r="G56" i="1"/>
  <c r="J56" i="1" s="1"/>
  <c r="L56" i="1" s="1"/>
  <c r="D56" i="1"/>
  <c r="I55" i="1"/>
  <c r="H55" i="1"/>
  <c r="G55" i="1"/>
  <c r="J55" i="1" s="1"/>
  <c r="D55" i="1"/>
  <c r="J54" i="1"/>
  <c r="I54" i="1"/>
  <c r="H54" i="1"/>
  <c r="G54" i="1"/>
  <c r="D54" i="1"/>
  <c r="J53" i="1"/>
  <c r="I53" i="1"/>
  <c r="H53" i="1"/>
  <c r="G53" i="1"/>
  <c r="D53" i="1"/>
  <c r="J52" i="1"/>
  <c r="I52" i="1"/>
  <c r="H52" i="1"/>
  <c r="G52" i="1"/>
  <c r="D52" i="1"/>
  <c r="J51" i="1"/>
  <c r="I51" i="1"/>
  <c r="H51" i="1"/>
  <c r="G51" i="1"/>
  <c r="D51" i="1"/>
  <c r="I50" i="1"/>
  <c r="H50" i="1"/>
  <c r="G50" i="1"/>
  <c r="J50" i="1" s="1"/>
  <c r="O50" i="1" s="1"/>
  <c r="D50" i="1"/>
  <c r="I49" i="1"/>
  <c r="H49" i="1"/>
  <c r="G49" i="1"/>
  <c r="J49" i="1" s="1"/>
  <c r="K49" i="1" s="1"/>
  <c r="D49" i="1"/>
  <c r="I48" i="1"/>
  <c r="H48" i="1"/>
  <c r="G48" i="1"/>
  <c r="J48" i="1" s="1"/>
  <c r="O48" i="1" s="1"/>
  <c r="D48" i="1"/>
  <c r="J47" i="1"/>
  <c r="K47" i="1" s="1"/>
  <c r="I47" i="1"/>
  <c r="H47" i="1"/>
  <c r="G47" i="1"/>
  <c r="D47" i="1"/>
  <c r="J46" i="1"/>
  <c r="O46" i="1" s="1"/>
  <c r="I46" i="1"/>
  <c r="H46" i="1"/>
  <c r="G46" i="1"/>
  <c r="D46" i="1"/>
  <c r="I45" i="1"/>
  <c r="H45" i="1"/>
  <c r="G45" i="1"/>
  <c r="J45" i="1" s="1"/>
  <c r="K45" i="1" s="1"/>
  <c r="D45" i="1"/>
  <c r="I44" i="1"/>
  <c r="H44" i="1"/>
  <c r="G44" i="1"/>
  <c r="J44" i="1" s="1"/>
  <c r="O44" i="1" s="1"/>
  <c r="D44" i="1"/>
  <c r="I43" i="1"/>
  <c r="H43" i="1"/>
  <c r="G43" i="1"/>
  <c r="J43" i="1" s="1"/>
  <c r="O43" i="1" s="1"/>
  <c r="D43" i="1"/>
  <c r="I42" i="1"/>
  <c r="H42" i="1"/>
  <c r="G42" i="1"/>
  <c r="J42" i="1" s="1"/>
  <c r="D42" i="1"/>
  <c r="J41" i="1"/>
  <c r="K41" i="1" s="1"/>
  <c r="I41" i="1"/>
  <c r="H41" i="1"/>
  <c r="G41" i="1"/>
  <c r="D41" i="1"/>
  <c r="I40" i="1"/>
  <c r="H40" i="1"/>
  <c r="G40" i="1"/>
  <c r="J40" i="1" s="1"/>
  <c r="K40" i="1" s="1"/>
  <c r="D40" i="1"/>
  <c r="I39" i="1"/>
  <c r="H39" i="1"/>
  <c r="G39" i="1"/>
  <c r="J39" i="1" s="1"/>
  <c r="O39" i="1" s="1"/>
  <c r="D39" i="1"/>
  <c r="J38" i="1"/>
  <c r="O38" i="1" s="1"/>
  <c r="I38" i="1"/>
  <c r="H38" i="1"/>
  <c r="G38" i="1"/>
  <c r="D38" i="1"/>
  <c r="I37" i="1"/>
  <c r="H37" i="1"/>
  <c r="G37" i="1"/>
  <c r="J37" i="1" s="1"/>
  <c r="K37" i="1" s="1"/>
  <c r="D37" i="1"/>
  <c r="I36" i="1"/>
  <c r="H36" i="1"/>
  <c r="G36" i="1"/>
  <c r="J36" i="1" s="1"/>
  <c r="D36" i="1"/>
  <c r="I35" i="1"/>
  <c r="H35" i="1"/>
  <c r="G35" i="1"/>
  <c r="J35" i="1" s="1"/>
  <c r="O35" i="1" s="1"/>
  <c r="D35" i="1"/>
  <c r="I34" i="1"/>
  <c r="H34" i="1"/>
  <c r="G34" i="1"/>
  <c r="J34" i="1" s="1"/>
  <c r="O34" i="1" s="1"/>
  <c r="D34" i="1"/>
  <c r="O33" i="1"/>
  <c r="N33" i="1"/>
  <c r="I33" i="1"/>
  <c r="H33" i="1"/>
  <c r="G33" i="1"/>
  <c r="J33" i="1" s="1"/>
  <c r="D33" i="1"/>
  <c r="I32" i="1"/>
  <c r="H32" i="1"/>
  <c r="G32" i="1"/>
  <c r="J32" i="1" s="1"/>
  <c r="D32" i="1"/>
  <c r="I31" i="1"/>
  <c r="H31" i="1"/>
  <c r="G31" i="1"/>
  <c r="J31" i="1" s="1"/>
  <c r="O31" i="1" s="1"/>
  <c r="D31" i="1"/>
  <c r="I30" i="1"/>
  <c r="H30" i="1"/>
  <c r="G30" i="1"/>
  <c r="J30" i="1" s="1"/>
  <c r="O30" i="1" s="1"/>
  <c r="D30" i="1"/>
  <c r="I29" i="1"/>
  <c r="H29" i="1"/>
  <c r="G29" i="1"/>
  <c r="J29" i="1" s="1"/>
  <c r="D29" i="1"/>
  <c r="I28" i="1"/>
  <c r="H28" i="1"/>
  <c r="G28" i="1"/>
  <c r="J28" i="1" s="1"/>
  <c r="D28" i="1"/>
  <c r="J27" i="1"/>
  <c r="L27" i="1" s="1"/>
  <c r="I27" i="1"/>
  <c r="H27" i="1"/>
  <c r="G27" i="1"/>
  <c r="D27" i="1"/>
  <c r="J26" i="1"/>
  <c r="O26" i="1" s="1"/>
  <c r="I26" i="1"/>
  <c r="H26" i="1"/>
  <c r="G26" i="1"/>
  <c r="D26" i="1"/>
  <c r="I25" i="1"/>
  <c r="H25" i="1"/>
  <c r="G25" i="1"/>
  <c r="J25" i="1" s="1"/>
  <c r="D25" i="1"/>
  <c r="I24" i="1"/>
  <c r="H24" i="1"/>
  <c r="G24" i="1"/>
  <c r="J24" i="1" s="1"/>
  <c r="K24" i="1" s="1"/>
  <c r="O24" i="1" s="1"/>
  <c r="D24" i="1"/>
  <c r="I23" i="1"/>
  <c r="H23" i="1"/>
  <c r="G23" i="1"/>
  <c r="J23" i="1" s="1"/>
  <c r="K23" i="1" s="1"/>
  <c r="O23" i="1" s="1"/>
  <c r="D23" i="1"/>
  <c r="I22" i="1"/>
  <c r="H22" i="1"/>
  <c r="G22" i="1"/>
  <c r="J22" i="1" s="1"/>
  <c r="K22" i="1" s="1"/>
  <c r="O22" i="1" s="1"/>
  <c r="D22" i="1"/>
  <c r="J21" i="1"/>
  <c r="K21" i="1" s="1"/>
  <c r="O21" i="1" s="1"/>
  <c r="I21" i="1"/>
  <c r="H21" i="1"/>
  <c r="G21" i="1"/>
  <c r="D21" i="1"/>
  <c r="I20" i="1"/>
  <c r="H20" i="1"/>
  <c r="G20" i="1"/>
  <c r="J20" i="1" s="1"/>
  <c r="K20" i="1" s="1"/>
  <c r="O20" i="1" s="1"/>
  <c r="D20" i="1"/>
  <c r="I19" i="1"/>
  <c r="H19" i="1"/>
  <c r="G19" i="1"/>
  <c r="J19" i="1" s="1"/>
  <c r="K19" i="1" s="1"/>
  <c r="O19" i="1" s="1"/>
  <c r="D19" i="1"/>
  <c r="J18" i="1"/>
  <c r="K18" i="1" s="1"/>
  <c r="O18" i="1" s="1"/>
  <c r="I18" i="1"/>
  <c r="H18" i="1"/>
  <c r="G18" i="1"/>
  <c r="D18" i="1"/>
  <c r="I17" i="1"/>
  <c r="H17" i="1"/>
  <c r="G17" i="1"/>
  <c r="J17" i="1" s="1"/>
  <c r="K17" i="1" s="1"/>
  <c r="O17" i="1" s="1"/>
  <c r="D17" i="1"/>
  <c r="I16" i="1"/>
  <c r="H16" i="1"/>
  <c r="G16" i="1"/>
  <c r="J16" i="1" s="1"/>
  <c r="D16" i="1"/>
  <c r="I15" i="1"/>
  <c r="H15" i="1"/>
  <c r="G15" i="1"/>
  <c r="J15" i="1" s="1"/>
  <c r="D15" i="1"/>
  <c r="I14" i="1"/>
  <c r="H14" i="1"/>
  <c r="G14" i="1"/>
  <c r="D14" i="1"/>
  <c r="J13" i="1"/>
  <c r="I13" i="1"/>
  <c r="H13" i="1"/>
  <c r="G13" i="1"/>
  <c r="D13" i="1"/>
  <c r="J12" i="1"/>
  <c r="I12" i="1"/>
  <c r="H12" i="1"/>
  <c r="G12" i="1"/>
  <c r="D12" i="1"/>
  <c r="J11" i="1"/>
  <c r="I11" i="1"/>
  <c r="H11" i="1"/>
  <c r="G11" i="1"/>
  <c r="D11" i="1"/>
  <c r="J10" i="1"/>
  <c r="I10" i="1"/>
  <c r="H10" i="1"/>
  <c r="G10" i="1"/>
  <c r="D10" i="1"/>
  <c r="J9" i="1"/>
  <c r="I9" i="1"/>
  <c r="H9" i="1"/>
  <c r="G9" i="1"/>
  <c r="D9" i="1"/>
  <c r="F393" i="13"/>
  <c r="E393" i="13"/>
  <c r="D393" i="13"/>
  <c r="C393" i="13"/>
  <c r="F392" i="13"/>
  <c r="E392" i="13"/>
  <c r="F391" i="13"/>
  <c r="E391" i="13"/>
  <c r="F390" i="13"/>
  <c r="E390" i="13"/>
  <c r="F389" i="13"/>
  <c r="E389" i="13"/>
  <c r="F388" i="13"/>
  <c r="E388" i="13"/>
  <c r="F387" i="13"/>
  <c r="E387" i="13"/>
  <c r="F386" i="13"/>
  <c r="E386" i="13"/>
  <c r="F116" i="13"/>
  <c r="F115" i="13"/>
  <c r="F114" i="13"/>
  <c r="F113" i="13"/>
  <c r="F11" i="36" s="1"/>
  <c r="H11" i="36" s="1"/>
  <c r="N10" i="37" s="1"/>
  <c r="N16" i="37" s="1"/>
  <c r="F112" i="13"/>
  <c r="F10" i="36" s="1"/>
  <c r="H10" i="36" s="1"/>
  <c r="M10" i="37" s="1"/>
  <c r="M16" i="37" s="1"/>
  <c r="F111" i="13"/>
  <c r="F110" i="13"/>
  <c r="L60" i="1" l="1"/>
  <c r="O60" i="1"/>
  <c r="O73" i="1"/>
  <c r="K106" i="1"/>
  <c r="K111" i="1"/>
  <c r="O115" i="1"/>
  <c r="O144" i="1"/>
  <c r="O152" i="1"/>
  <c r="O160" i="1"/>
  <c r="T120" i="9"/>
  <c r="T121" i="9" s="1"/>
  <c r="T122" i="9" s="1"/>
  <c r="K44" i="1"/>
  <c r="K107" i="1"/>
  <c r="K163" i="1"/>
  <c r="K170" i="1"/>
  <c r="K172" i="1"/>
  <c r="O172" i="1"/>
  <c r="K77" i="1"/>
  <c r="M77" i="1"/>
  <c r="O77" i="1"/>
  <c r="L29" i="1"/>
  <c r="O29" i="1"/>
  <c r="K168" i="1"/>
  <c r="O168" i="1"/>
  <c r="K116" i="1"/>
  <c r="O116" i="1"/>
  <c r="L25" i="1"/>
  <c r="O25" i="1"/>
  <c r="O37" i="1"/>
  <c r="M76" i="1"/>
  <c r="M61" i="1"/>
  <c r="L73" i="1"/>
  <c r="L75" i="1"/>
  <c r="O76" i="1"/>
  <c r="M85" i="1"/>
  <c r="O100" i="1"/>
  <c r="O104" i="1"/>
  <c r="E269" i="9" s="1"/>
  <c r="M345" i="9" s="1"/>
  <c r="O49" i="1"/>
  <c r="M62" i="1"/>
  <c r="O64" i="1"/>
  <c r="O79" i="1"/>
  <c r="E50" i="9" s="1"/>
  <c r="D87" i="52" s="1"/>
  <c r="O81" i="1"/>
  <c r="O47" i="1"/>
  <c r="E235" i="9" s="1"/>
  <c r="L336" i="9" s="1"/>
  <c r="K48" i="1"/>
  <c r="M60" i="1"/>
  <c r="O61" i="1"/>
  <c r="O63" i="1"/>
  <c r="E45" i="9" s="1"/>
  <c r="D82" i="52" s="1"/>
  <c r="O65" i="1"/>
  <c r="M73" i="1"/>
  <c r="O75" i="1"/>
  <c r="M78" i="1"/>
  <c r="O80" i="1"/>
  <c r="L94" i="1"/>
  <c r="O108" i="1"/>
  <c r="O112" i="1"/>
  <c r="E270" i="9" s="1"/>
  <c r="M346" i="9" s="1"/>
  <c r="O120" i="1"/>
  <c r="O128" i="1"/>
  <c r="E262" i="9" s="1"/>
  <c r="M338" i="9" s="1"/>
  <c r="O136" i="1"/>
  <c r="K155" i="1"/>
  <c r="M71" i="1"/>
  <c r="L71" i="1"/>
  <c r="K71" i="1"/>
  <c r="O71" i="1"/>
  <c r="E240" i="9" s="1"/>
  <c r="L341" i="9" s="1"/>
  <c r="L72" i="1"/>
  <c r="M72" i="1"/>
  <c r="K72" i="1"/>
  <c r="O72" i="1"/>
  <c r="E265" i="9" s="1"/>
  <c r="M341" i="9" s="1"/>
  <c r="O42" i="1"/>
  <c r="K42" i="1"/>
  <c r="L28" i="1"/>
  <c r="O28" i="1"/>
  <c r="E210" i="9" s="1"/>
  <c r="K336" i="9" s="1"/>
  <c r="L32" i="1"/>
  <c r="O32" i="1"/>
  <c r="E310" i="9" s="1"/>
  <c r="O336" i="9" s="1"/>
  <c r="O36" i="1"/>
  <c r="K36" i="1"/>
  <c r="E191" i="9"/>
  <c r="J342" i="9" s="1"/>
  <c r="E186" i="9"/>
  <c r="J337" i="9" s="1"/>
  <c r="E184" i="9"/>
  <c r="K46" i="1"/>
  <c r="M74" i="1"/>
  <c r="K83" i="1"/>
  <c r="O87" i="1"/>
  <c r="M87" i="1"/>
  <c r="L87" i="1"/>
  <c r="L89" i="1"/>
  <c r="K89" i="1"/>
  <c r="K90" i="1"/>
  <c r="O90" i="1"/>
  <c r="E317" i="9" s="1"/>
  <c r="O343" i="9" s="1"/>
  <c r="M90" i="1"/>
  <c r="E272" i="9"/>
  <c r="M348" i="9" s="1"/>
  <c r="O142" i="1"/>
  <c r="E213" i="9" s="1"/>
  <c r="K339" i="9" s="1"/>
  <c r="L142" i="1"/>
  <c r="O146" i="1"/>
  <c r="L146" i="1"/>
  <c r="O174" i="1"/>
  <c r="K174" i="1"/>
  <c r="E271" i="9"/>
  <c r="E267" i="9"/>
  <c r="L74" i="1"/>
  <c r="M84" i="1"/>
  <c r="L84" i="1"/>
  <c r="O110" i="1"/>
  <c r="K110" i="1"/>
  <c r="O122" i="1"/>
  <c r="K122" i="1"/>
  <c r="O138" i="1"/>
  <c r="E322" i="9" s="1"/>
  <c r="O348" i="9" s="1"/>
  <c r="K138" i="1"/>
  <c r="E291" i="9"/>
  <c r="N342" i="9" s="1"/>
  <c r="E286" i="9"/>
  <c r="N337" i="9" s="1"/>
  <c r="E284" i="9"/>
  <c r="L31" i="1"/>
  <c r="K35" i="1"/>
  <c r="K56" i="1"/>
  <c r="L70" i="1"/>
  <c r="O27" i="1"/>
  <c r="K38" i="1"/>
  <c r="K50" i="1"/>
  <c r="M56" i="1"/>
  <c r="K63" i="1"/>
  <c r="K64" i="1"/>
  <c r="L65" i="1"/>
  <c r="L66" i="1"/>
  <c r="L67" i="1"/>
  <c r="M68" i="1"/>
  <c r="M69" i="1"/>
  <c r="M70" i="1"/>
  <c r="K79" i="1"/>
  <c r="K80" i="1"/>
  <c r="L81" i="1"/>
  <c r="L82" i="1"/>
  <c r="L83" i="1"/>
  <c r="O84" i="1"/>
  <c r="M88" i="1"/>
  <c r="L88" i="1"/>
  <c r="M89" i="1"/>
  <c r="O102" i="1"/>
  <c r="K102" i="1"/>
  <c r="O113" i="1"/>
  <c r="K113" i="1"/>
  <c r="E237" i="9"/>
  <c r="L338" i="9" s="1"/>
  <c r="E247" i="9"/>
  <c r="L348" i="9" s="1"/>
  <c r="O150" i="1"/>
  <c r="E198" i="9" s="1"/>
  <c r="J349" i="9" s="1"/>
  <c r="K150" i="1"/>
  <c r="O154" i="1"/>
  <c r="E298" i="9" s="1"/>
  <c r="N349" i="9" s="1"/>
  <c r="K154" i="1"/>
  <c r="O40" i="1"/>
  <c r="E260" i="9" s="1"/>
  <c r="M336" i="9" s="1"/>
  <c r="O118" i="1"/>
  <c r="E221" i="9" s="1"/>
  <c r="K347" i="9" s="1"/>
  <c r="K118" i="1"/>
  <c r="O130" i="1"/>
  <c r="E312" i="9" s="1"/>
  <c r="O338" i="9" s="1"/>
  <c r="K130" i="1"/>
  <c r="O166" i="1"/>
  <c r="K166" i="1"/>
  <c r="E135" i="9"/>
  <c r="H336" i="9" s="1"/>
  <c r="K39" i="1"/>
  <c r="K67" i="1"/>
  <c r="K68" i="1"/>
  <c r="L69" i="1"/>
  <c r="E219" i="9"/>
  <c r="K345" i="9" s="1"/>
  <c r="E43" i="9"/>
  <c r="D80" i="52" s="1"/>
  <c r="E215" i="9"/>
  <c r="K341" i="9" s="1"/>
  <c r="E315" i="9"/>
  <c r="O341" i="9" s="1"/>
  <c r="E171" i="9"/>
  <c r="I347" i="9" s="1"/>
  <c r="E169" i="9"/>
  <c r="E167" i="9"/>
  <c r="I343" i="9" s="1"/>
  <c r="E160" i="9"/>
  <c r="I336" i="9" s="1"/>
  <c r="L26" i="1"/>
  <c r="L30" i="1"/>
  <c r="K34" i="1"/>
  <c r="O41" i="1"/>
  <c r="E285" i="9" s="1"/>
  <c r="N336" i="9" s="1"/>
  <c r="K43" i="1"/>
  <c r="E73" i="9"/>
  <c r="E72" i="9"/>
  <c r="E245" i="9"/>
  <c r="L346" i="9" s="1"/>
  <c r="E238" i="9"/>
  <c r="L339" i="9" s="1"/>
  <c r="E234" i="9"/>
  <c r="L335" i="9" s="1"/>
  <c r="J14" i="1"/>
  <c r="E145" i="9"/>
  <c r="H346" i="9" s="1"/>
  <c r="E138" i="9"/>
  <c r="E141" i="9"/>
  <c r="H342" i="9" s="1"/>
  <c r="E136" i="9"/>
  <c r="H337" i="9" s="1"/>
  <c r="E134" i="9"/>
  <c r="H335" i="9" s="1"/>
  <c r="O45" i="1"/>
  <c r="O56" i="1"/>
  <c r="E264" i="9" s="1"/>
  <c r="G264" i="9" s="1"/>
  <c r="K60" i="1"/>
  <c r="L61" i="1"/>
  <c r="L62" i="1"/>
  <c r="L63" i="1"/>
  <c r="M64" i="1"/>
  <c r="M65" i="1"/>
  <c r="M66" i="1"/>
  <c r="O67" i="1"/>
  <c r="E140" i="9" s="1"/>
  <c r="H341" i="9" s="1"/>
  <c r="O68" i="1"/>
  <c r="E165" i="9" s="1"/>
  <c r="I341" i="9" s="1"/>
  <c r="O69" i="1"/>
  <c r="E190" i="9" s="1"/>
  <c r="J341" i="9" s="1"/>
  <c r="K74" i="1"/>
  <c r="K75" i="1"/>
  <c r="K76" i="1"/>
  <c r="L77" i="1"/>
  <c r="L78" i="1"/>
  <c r="L79" i="1"/>
  <c r="M80" i="1"/>
  <c r="M81" i="1"/>
  <c r="M82" i="1"/>
  <c r="O83" i="1"/>
  <c r="E142" i="9" s="1"/>
  <c r="H343" i="9" s="1"/>
  <c r="L85" i="1"/>
  <c r="K85" i="1"/>
  <c r="K86" i="1"/>
  <c r="O86" i="1"/>
  <c r="E217" i="9" s="1"/>
  <c r="K343" i="9" s="1"/>
  <c r="M86" i="1"/>
  <c r="K88" i="1"/>
  <c r="O89" i="1"/>
  <c r="M98" i="1"/>
  <c r="L98" i="1"/>
  <c r="O158" i="1"/>
  <c r="K158" i="1"/>
  <c r="O162" i="1"/>
  <c r="K162" i="1"/>
  <c r="O109" i="1"/>
  <c r="E195" i="9" s="1"/>
  <c r="J346" i="9" s="1"/>
  <c r="K109" i="1"/>
  <c r="O121" i="1"/>
  <c r="E296" i="9" s="1"/>
  <c r="N347" i="9" s="1"/>
  <c r="K121" i="1"/>
  <c r="O129" i="1"/>
  <c r="E287" i="9" s="1"/>
  <c r="N338" i="9" s="1"/>
  <c r="K129" i="1"/>
  <c r="O137" i="1"/>
  <c r="E297" i="9" s="1"/>
  <c r="N348" i="9" s="1"/>
  <c r="K137" i="1"/>
  <c r="O145" i="1"/>
  <c r="E288" i="9" s="1"/>
  <c r="N339" i="9" s="1"/>
  <c r="L145" i="1"/>
  <c r="O153" i="1"/>
  <c r="K153" i="1"/>
  <c r="O161" i="1"/>
  <c r="K161" i="1"/>
  <c r="K171" i="1"/>
  <c r="O173" i="1"/>
  <c r="K173" i="1"/>
  <c r="O175" i="1"/>
  <c r="K175" i="1"/>
  <c r="E144" i="9"/>
  <c r="H345" i="9" s="1"/>
  <c r="E161" i="9"/>
  <c r="E211" i="9"/>
  <c r="K337" i="9" s="1"/>
  <c r="E244" i="9"/>
  <c r="L345" i="9" s="1"/>
  <c r="E261" i="9"/>
  <c r="E290" i="9"/>
  <c r="N341" i="9" s="1"/>
  <c r="E311" i="9"/>
  <c r="O337" i="9" s="1"/>
  <c r="E319" i="9"/>
  <c r="O345" i="9" s="1"/>
  <c r="K103" i="1"/>
  <c r="O105" i="1"/>
  <c r="E294" i="9" s="1"/>
  <c r="K105" i="1"/>
  <c r="K114" i="1"/>
  <c r="K119" i="1"/>
  <c r="K127" i="1"/>
  <c r="K135" i="1"/>
  <c r="O140" i="1"/>
  <c r="E47" i="9" s="1"/>
  <c r="D84" i="52" s="1"/>
  <c r="L143" i="1"/>
  <c r="O148" i="1"/>
  <c r="K151" i="1"/>
  <c r="O156" i="1"/>
  <c r="K159" i="1"/>
  <c r="O164" i="1"/>
  <c r="K167" i="1"/>
  <c r="O169" i="1"/>
  <c r="K169" i="1"/>
  <c r="E166" i="9"/>
  <c r="I342" i="9" s="1"/>
  <c r="E170" i="9"/>
  <c r="I346" i="9" s="1"/>
  <c r="E216" i="9"/>
  <c r="K342" i="9" s="1"/>
  <c r="E220" i="9"/>
  <c r="K346" i="9" s="1"/>
  <c r="E266" i="9"/>
  <c r="M342" i="9" s="1"/>
  <c r="E295" i="9"/>
  <c r="N346" i="9" s="1"/>
  <c r="E316" i="9"/>
  <c r="O342" i="9" s="1"/>
  <c r="E320" i="9"/>
  <c r="O346" i="9" s="1"/>
  <c r="O101" i="1"/>
  <c r="E194" i="9" s="1"/>
  <c r="J345" i="9" s="1"/>
  <c r="K101" i="1"/>
  <c r="O117" i="1"/>
  <c r="K117" i="1"/>
  <c r="O141" i="1"/>
  <c r="E188" i="9" s="1"/>
  <c r="J339" i="9" s="1"/>
  <c r="L141" i="1"/>
  <c r="O149" i="1"/>
  <c r="K149" i="1"/>
  <c r="O157" i="1"/>
  <c r="K157" i="1"/>
  <c r="O165" i="1"/>
  <c r="K165" i="1"/>
  <c r="K178" i="1"/>
  <c r="O178" i="1"/>
  <c r="E223" i="9" s="1"/>
  <c r="K349" i="9" s="1"/>
  <c r="O179" i="1"/>
  <c r="K179" i="1"/>
  <c r="E146" i="9"/>
  <c r="H347" i="9" s="1"/>
  <c r="E159" i="9"/>
  <c r="I335" i="9" s="1"/>
  <c r="E192" i="9"/>
  <c r="J343" i="9" s="1"/>
  <c r="E209" i="9"/>
  <c r="K335" i="9" s="1"/>
  <c r="E242" i="9"/>
  <c r="L343" i="9" s="1"/>
  <c r="E246" i="9"/>
  <c r="L347" i="9" s="1"/>
  <c r="E259" i="9"/>
  <c r="E263" i="9"/>
  <c r="M339" i="9" s="1"/>
  <c r="E292" i="9"/>
  <c r="N343" i="9" s="1"/>
  <c r="E309" i="9"/>
  <c r="O335" i="9" s="1"/>
  <c r="E313" i="9"/>
  <c r="O339" i="9" s="1"/>
  <c r="E321" i="9"/>
  <c r="O347" i="9" s="1"/>
  <c r="K177" i="1"/>
  <c r="K181" i="1"/>
  <c r="O182" i="1"/>
  <c r="K95" i="1"/>
  <c r="K176" i="1"/>
  <c r="K180" i="1"/>
  <c r="K93" i="1"/>
  <c r="L95" i="1"/>
  <c r="L96" i="1"/>
  <c r="K98" i="1"/>
  <c r="L92" i="1"/>
  <c r="K94" i="1"/>
  <c r="M95" i="1"/>
  <c r="K97" i="1"/>
  <c r="H981" i="40"/>
  <c r="L981" i="40" s="1"/>
  <c r="H737" i="40"/>
  <c r="L737" i="40" s="1"/>
  <c r="H544" i="40"/>
  <c r="L544" i="40" s="1"/>
  <c r="H467" i="40"/>
  <c r="L467" i="40" s="1"/>
  <c r="H391" i="40"/>
  <c r="L391" i="40" s="1"/>
  <c r="H927" i="40"/>
  <c r="L927" i="40" s="1"/>
  <c r="H819" i="40"/>
  <c r="L819" i="40" s="1"/>
  <c r="H873" i="40"/>
  <c r="L873" i="40" s="1"/>
  <c r="H652" i="40"/>
  <c r="L652" i="40" s="1"/>
  <c r="H598" i="40"/>
  <c r="L598" i="40" s="1"/>
  <c r="H444" i="40"/>
  <c r="H242" i="40"/>
  <c r="L242" i="40" s="1"/>
  <c r="H707" i="40"/>
  <c r="H113" i="40"/>
  <c r="L113" i="40" s="1"/>
  <c r="L60" i="40"/>
  <c r="H221" i="40"/>
  <c r="H167" i="40"/>
  <c r="L167" i="40" s="1"/>
  <c r="H338" i="40"/>
  <c r="L338" i="40" s="1"/>
  <c r="H263" i="40"/>
  <c r="L263" i="40" s="1"/>
  <c r="H279" i="40"/>
  <c r="L279" i="40" s="1"/>
  <c r="L245" i="40"/>
  <c r="H289" i="40"/>
  <c r="L289" i="40" s="1"/>
  <c r="H278" i="40"/>
  <c r="L278" i="40" s="1"/>
  <c r="L214" i="40"/>
  <c r="H442" i="40"/>
  <c r="AB16" i="33"/>
  <c r="AB15" i="33"/>
  <c r="AB24" i="33"/>
  <c r="AB23" i="33"/>
  <c r="AF54" i="33"/>
  <c r="AF52" i="33"/>
  <c r="AF55" i="33"/>
  <c r="AF53" i="33"/>
  <c r="AF51" i="33"/>
  <c r="AF77" i="33"/>
  <c r="AF76" i="33"/>
  <c r="AH60" i="33"/>
  <c r="AH59" i="33"/>
  <c r="AH67" i="33"/>
  <c r="AH65" i="33"/>
  <c r="AH66" i="33"/>
  <c r="AH64" i="33"/>
  <c r="AH68" i="33"/>
  <c r="AH69" i="33"/>
  <c r="H56" i="40"/>
  <c r="L58" i="40"/>
  <c r="H111" i="40"/>
  <c r="L111" i="40" s="1"/>
  <c r="AH57" i="33"/>
  <c r="H881" i="40"/>
  <c r="L881" i="40" s="1"/>
  <c r="H747" i="40"/>
  <c r="L747" i="40" s="1"/>
  <c r="H554" i="40"/>
  <c r="L554" i="40" s="1"/>
  <c r="H717" i="40"/>
  <c r="H662" i="40"/>
  <c r="L662" i="40" s="1"/>
  <c r="H606" i="40"/>
  <c r="L606" i="40" s="1"/>
  <c r="H979" i="40"/>
  <c r="L979" i="40" s="1"/>
  <c r="H735" i="40"/>
  <c r="L735" i="40" s="1"/>
  <c r="H542" i="40"/>
  <c r="L542" i="40" s="1"/>
  <c r="H465" i="40"/>
  <c r="L465" i="40" s="1"/>
  <c r="H389" i="40"/>
  <c r="L389" i="40" s="1"/>
  <c r="H871" i="40"/>
  <c r="L871" i="40" s="1"/>
  <c r="H650" i="40"/>
  <c r="L650" i="40" s="1"/>
  <c r="H596" i="40"/>
  <c r="L596" i="40" s="1"/>
  <c r="H336" i="40"/>
  <c r="L336" i="40" s="1"/>
  <c r="H240" i="40"/>
  <c r="L240" i="40" s="1"/>
  <c r="AB59" i="33"/>
  <c r="AB60" i="33"/>
  <c r="I72" i="27"/>
  <c r="AD13" i="33"/>
  <c r="AD14" i="33"/>
  <c r="AD23" i="33"/>
  <c r="AD24" i="33"/>
  <c r="AD28" i="33"/>
  <c r="AD27" i="33"/>
  <c r="AD26" i="33"/>
  <c r="AD42" i="33"/>
  <c r="AD41" i="33"/>
  <c r="AD50" i="33"/>
  <c r="AD47" i="33"/>
  <c r="AD48" i="33"/>
  <c r="AD49" i="33"/>
  <c r="AD55" i="33"/>
  <c r="AD53" i="33"/>
  <c r="AD51" i="33"/>
  <c r="AD54" i="33"/>
  <c r="AD52" i="33"/>
  <c r="AD67" i="33"/>
  <c r="AD65" i="33"/>
  <c r="AD66" i="33"/>
  <c r="AD64" i="33"/>
  <c r="AD77" i="33"/>
  <c r="AD76" i="33"/>
  <c r="AE34" i="33"/>
  <c r="AE33" i="33"/>
  <c r="AE32" i="33"/>
  <c r="AE66" i="33"/>
  <c r="AE64" i="33"/>
  <c r="AE67" i="33"/>
  <c r="AH77" i="33"/>
  <c r="AH76" i="33"/>
  <c r="H975" i="40"/>
  <c r="L975" i="40" s="1"/>
  <c r="H731" i="40"/>
  <c r="L731" i="40" s="1"/>
  <c r="H538" i="40"/>
  <c r="L538" i="40" s="1"/>
  <c r="H461" i="40"/>
  <c r="L461" i="40" s="1"/>
  <c r="H385" i="40"/>
  <c r="L385" i="40" s="1"/>
  <c r="H701" i="40"/>
  <c r="H813" i="40"/>
  <c r="L813" i="40" s="1"/>
  <c r="H236" i="40"/>
  <c r="L236" i="40" s="1"/>
  <c r="L215" i="40"/>
  <c r="H261" i="40"/>
  <c r="L261" i="40" s="1"/>
  <c r="L266" i="40"/>
  <c r="H332" i="40"/>
  <c r="L332" i="40" s="1"/>
  <c r="H705" i="40"/>
  <c r="H817" i="40"/>
  <c r="L817" i="40" s="1"/>
  <c r="H921" i="40"/>
  <c r="L921" i="40" s="1"/>
  <c r="H485" i="40"/>
  <c r="L485" i="40" s="1"/>
  <c r="L438" i="40"/>
  <c r="AD34" i="33"/>
  <c r="AD32" i="33"/>
  <c r="AD33" i="33"/>
  <c r="AD46" i="33"/>
  <c r="AD45" i="33"/>
  <c r="AE27" i="33"/>
  <c r="AE26" i="33"/>
  <c r="AE28" i="33"/>
  <c r="AE42" i="33"/>
  <c r="AE41" i="33"/>
  <c r="AE45" i="33"/>
  <c r="AE46" i="33"/>
  <c r="I46" i="29"/>
  <c r="AF24" i="33"/>
  <c r="AF23" i="33"/>
  <c r="AF40" i="33"/>
  <c r="AF39" i="33"/>
  <c r="AF38" i="33"/>
  <c r="AF37" i="33"/>
  <c r="AF36" i="33"/>
  <c r="AF35" i="33"/>
  <c r="AH23" i="33"/>
  <c r="AH24" i="33"/>
  <c r="AH50" i="33"/>
  <c r="AH47" i="33"/>
  <c r="AH48" i="33"/>
  <c r="AH49" i="33"/>
  <c r="AA29" i="37"/>
  <c r="AA28" i="37"/>
  <c r="L54" i="40"/>
  <c r="H107" i="40"/>
  <c r="L107" i="40" s="1"/>
  <c r="H165" i="40"/>
  <c r="L165" i="40" s="1"/>
  <c r="H219" i="40"/>
  <c r="H592" i="40"/>
  <c r="L592" i="40" s="1"/>
  <c r="H775" i="40"/>
  <c r="L775" i="40" s="1"/>
  <c r="H812" i="40"/>
  <c r="L812" i="40" s="1"/>
  <c r="H645" i="40"/>
  <c r="L645" i="40" s="1"/>
  <c r="H974" i="40"/>
  <c r="L974" i="40" s="1"/>
  <c r="H160" i="40"/>
  <c r="L160" i="40" s="1"/>
  <c r="H384" i="40"/>
  <c r="L384" i="40" s="1"/>
  <c r="H460" i="40"/>
  <c r="L460" i="40" s="1"/>
  <c r="H730" i="40"/>
  <c r="L730" i="40" s="1"/>
  <c r="R56" i="24"/>
  <c r="N70" i="33"/>
  <c r="H664" i="40" s="1"/>
  <c r="L664" i="40" s="1"/>
  <c r="N72" i="33"/>
  <c r="H749" i="40" s="1"/>
  <c r="N73" i="33"/>
  <c r="N75" i="33"/>
  <c r="H884" i="40" s="1"/>
  <c r="L884" i="40" s="1"/>
  <c r="I105" i="39"/>
  <c r="AB14" i="33"/>
  <c r="AB13" i="33"/>
  <c r="N22" i="33"/>
  <c r="AB30" i="33"/>
  <c r="AB40" i="33"/>
  <c r="AB39" i="33"/>
  <c r="AB38" i="33"/>
  <c r="AB37" i="33"/>
  <c r="AB36" i="33"/>
  <c r="AB35" i="33"/>
  <c r="AB66" i="33"/>
  <c r="AB64" i="33"/>
  <c r="AB67" i="33"/>
  <c r="AB65" i="33"/>
  <c r="R42" i="24"/>
  <c r="U41" i="33" s="1"/>
  <c r="I62" i="28"/>
  <c r="N56" i="33"/>
  <c r="AB26" i="33"/>
  <c r="AB28" i="33"/>
  <c r="N29" i="33"/>
  <c r="AB34" i="33"/>
  <c r="AB33" i="33"/>
  <c r="AB32" i="33"/>
  <c r="AB46" i="33"/>
  <c r="AB45" i="33"/>
  <c r="N45" i="33" s="1"/>
  <c r="N61" i="33"/>
  <c r="R64" i="24"/>
  <c r="R72" i="24"/>
  <c r="R80" i="24"/>
  <c r="I58" i="28"/>
  <c r="I65" i="28" s="1"/>
  <c r="N68" i="33"/>
  <c r="AB19" i="33"/>
  <c r="AB17" i="33"/>
  <c r="N31" i="33"/>
  <c r="AB50" i="33"/>
  <c r="AB49" i="33"/>
  <c r="AB48" i="33"/>
  <c r="AB47" i="33"/>
  <c r="AB54" i="33"/>
  <c r="AB52" i="33"/>
  <c r="AB55" i="33"/>
  <c r="AB53" i="33"/>
  <c r="AB51" i="33"/>
  <c r="N51" i="33" s="1"/>
  <c r="R46" i="24"/>
  <c r="R54" i="24"/>
  <c r="U58" i="33" s="1"/>
  <c r="R62" i="24"/>
  <c r="R70" i="24"/>
  <c r="U72" i="33" s="1"/>
  <c r="L72" i="33" s="1"/>
  <c r="F749" i="40" s="1"/>
  <c r="J749" i="40" s="1"/>
  <c r="R78" i="24"/>
  <c r="R85" i="24"/>
  <c r="R86" i="24"/>
  <c r="AC76" i="33"/>
  <c r="N76" i="33" s="1"/>
  <c r="I30" i="26"/>
  <c r="I50" i="30"/>
  <c r="I17" i="32"/>
  <c r="I93" i="35"/>
  <c r="M19" i="19"/>
  <c r="M23" i="19" s="1"/>
  <c r="R11" i="24"/>
  <c r="R13" i="24"/>
  <c r="R15" i="24"/>
  <c r="U24" i="33" s="1"/>
  <c r="R17" i="24"/>
  <c r="R19" i="24"/>
  <c r="R21" i="24"/>
  <c r="R23" i="24"/>
  <c r="U29" i="33" s="1"/>
  <c r="R25" i="24"/>
  <c r="R27" i="24"/>
  <c r="R29" i="24"/>
  <c r="R31" i="24"/>
  <c r="R33" i="24"/>
  <c r="R35" i="24"/>
  <c r="R37" i="24"/>
  <c r="R39" i="24"/>
  <c r="U36" i="33" s="1"/>
  <c r="R43" i="24"/>
  <c r="U43" i="33" s="1"/>
  <c r="R47" i="24"/>
  <c r="R51" i="24"/>
  <c r="R55" i="24"/>
  <c r="U66" i="33" s="1"/>
  <c r="R59" i="24"/>
  <c r="R63" i="24"/>
  <c r="R67" i="24"/>
  <c r="R71" i="24"/>
  <c r="R75" i="24"/>
  <c r="U75" i="33" s="1"/>
  <c r="R79" i="24"/>
  <c r="U78" i="33" s="1"/>
  <c r="R89" i="24"/>
  <c r="R90" i="24"/>
  <c r="Z71" i="33"/>
  <c r="L13" i="33"/>
  <c r="R10" i="24"/>
  <c r="R104" i="24" s="1"/>
  <c r="R12" i="24"/>
  <c r="U22" i="33" s="1"/>
  <c r="R14" i="24"/>
  <c r="R16" i="24"/>
  <c r="R18" i="24"/>
  <c r="R20" i="24"/>
  <c r="R22" i="24"/>
  <c r="R24" i="24"/>
  <c r="U30" i="33" s="1"/>
  <c r="R26" i="24"/>
  <c r="R28" i="24"/>
  <c r="R30" i="24"/>
  <c r="R32" i="24"/>
  <c r="R34" i="24"/>
  <c r="U34" i="33" s="1"/>
  <c r="R36" i="24"/>
  <c r="R38" i="24"/>
  <c r="R41" i="24"/>
  <c r="R45" i="24"/>
  <c r="U45" i="33" s="1"/>
  <c r="R49" i="24"/>
  <c r="R53" i="24"/>
  <c r="R57" i="24"/>
  <c r="R61" i="24"/>
  <c r="U70" i="33" s="1"/>
  <c r="L70" i="33" s="1"/>
  <c r="F664" i="40" s="1"/>
  <c r="J664" i="40" s="1"/>
  <c r="R65" i="24"/>
  <c r="R69" i="24"/>
  <c r="R73" i="24"/>
  <c r="R77" i="24"/>
  <c r="U76" i="33" s="1"/>
  <c r="R81" i="24"/>
  <c r="R82" i="24"/>
  <c r="H125" i="19"/>
  <c r="K125" i="19" s="1"/>
  <c r="H121" i="19"/>
  <c r="K121" i="19" s="1"/>
  <c r="H117" i="19"/>
  <c r="K117" i="19" s="1"/>
  <c r="K140" i="19" s="1"/>
  <c r="L58" i="1" s="1"/>
  <c r="H113" i="19"/>
  <c r="K113" i="19" s="1"/>
  <c r="H109" i="19"/>
  <c r="K109" i="19" s="1"/>
  <c r="H105" i="19"/>
  <c r="K105" i="19" s="1"/>
  <c r="H101" i="19"/>
  <c r="K101" i="19" s="1"/>
  <c r="H97" i="19"/>
  <c r="K97" i="19" s="1"/>
  <c r="H93" i="19"/>
  <c r="K93" i="19" s="1"/>
  <c r="H89" i="19"/>
  <c r="K89" i="19" s="1"/>
  <c r="H124" i="19"/>
  <c r="K124" i="19" s="1"/>
  <c r="H123" i="19"/>
  <c r="K123" i="19" s="1"/>
  <c r="H122" i="19"/>
  <c r="K122" i="19" s="1"/>
  <c r="H116" i="19"/>
  <c r="K116" i="19" s="1"/>
  <c r="H115" i="19"/>
  <c r="K115" i="19" s="1"/>
  <c r="H114" i="19"/>
  <c r="K114" i="19" s="1"/>
  <c r="H100" i="19"/>
  <c r="K100" i="19" s="1"/>
  <c r="H99" i="19"/>
  <c r="K99" i="19" s="1"/>
  <c r="H98" i="19"/>
  <c r="K98" i="19" s="1"/>
  <c r="H86" i="19"/>
  <c r="K86" i="19" s="1"/>
  <c r="H82" i="19"/>
  <c r="K82" i="19" s="1"/>
  <c r="H78" i="19"/>
  <c r="K78" i="19" s="1"/>
  <c r="H74" i="19"/>
  <c r="K74" i="19" s="1"/>
  <c r="H70" i="19"/>
  <c r="K70" i="19" s="1"/>
  <c r="H66" i="19"/>
  <c r="K66" i="19" s="1"/>
  <c r="H62" i="19"/>
  <c r="K62" i="19" s="1"/>
  <c r="H58" i="19"/>
  <c r="K58" i="19" s="1"/>
  <c r="H54" i="19"/>
  <c r="K54" i="19" s="1"/>
  <c r="H50" i="19"/>
  <c r="K50" i="19" s="1"/>
  <c r="H46" i="19"/>
  <c r="K46" i="19" s="1"/>
  <c r="H42" i="19"/>
  <c r="K42" i="19" s="1"/>
  <c r="H38" i="19"/>
  <c r="K38" i="19" s="1"/>
  <c r="H34" i="19"/>
  <c r="K34" i="19" s="1"/>
  <c r="H118" i="19"/>
  <c r="K118" i="19" s="1"/>
  <c r="H111" i="19"/>
  <c r="K111" i="19" s="1"/>
  <c r="H107" i="19"/>
  <c r="K107" i="19" s="1"/>
  <c r="H103" i="19"/>
  <c r="K103" i="19" s="1"/>
  <c r="H96" i="19"/>
  <c r="K96" i="19" s="1"/>
  <c r="H92" i="19"/>
  <c r="K92" i="19" s="1"/>
  <c r="H85" i="19"/>
  <c r="K85" i="19" s="1"/>
  <c r="H84" i="19"/>
  <c r="K84" i="19" s="1"/>
  <c r="H83" i="19"/>
  <c r="K83" i="19" s="1"/>
  <c r="H69" i="19"/>
  <c r="K69" i="19" s="1"/>
  <c r="H68" i="19"/>
  <c r="K68" i="19" s="1"/>
  <c r="H67" i="19"/>
  <c r="K67" i="19" s="1"/>
  <c r="H108" i="19"/>
  <c r="K108" i="19" s="1"/>
  <c r="H88" i="19"/>
  <c r="K88" i="19" s="1"/>
  <c r="H81" i="19"/>
  <c r="K81" i="19" s="1"/>
  <c r="H80" i="19"/>
  <c r="K80" i="19" s="1"/>
  <c r="H79" i="19"/>
  <c r="K79" i="19" s="1"/>
  <c r="H65" i="19"/>
  <c r="K65" i="19" s="1"/>
  <c r="H64" i="19"/>
  <c r="K64" i="19" s="1"/>
  <c r="H63" i="19"/>
  <c r="K63" i="19" s="1"/>
  <c r="H104" i="19"/>
  <c r="K104" i="19" s="1"/>
  <c r="H102" i="19"/>
  <c r="K102" i="19" s="1"/>
  <c r="H76" i="19"/>
  <c r="K76" i="19" s="1"/>
  <c r="H71" i="19"/>
  <c r="K71" i="19" s="1"/>
  <c r="H61" i="19"/>
  <c r="K61" i="19" s="1"/>
  <c r="H59" i="19"/>
  <c r="K59" i="19" s="1"/>
  <c r="H57" i="19"/>
  <c r="K57" i="19" s="1"/>
  <c r="H52" i="19"/>
  <c r="K52" i="19" s="1"/>
  <c r="H41" i="19"/>
  <c r="K41" i="19" s="1"/>
  <c r="H40" i="19"/>
  <c r="K40" i="19" s="1"/>
  <c r="H39" i="19"/>
  <c r="K39" i="19" s="1"/>
  <c r="H120" i="19"/>
  <c r="K120" i="19" s="1"/>
  <c r="H119" i="19"/>
  <c r="K119" i="19" s="1"/>
  <c r="H112" i="19"/>
  <c r="K112" i="19" s="1"/>
  <c r="H110" i="19"/>
  <c r="K110" i="19" s="1"/>
  <c r="H106" i="19"/>
  <c r="K106" i="19" s="1"/>
  <c r="H56" i="19"/>
  <c r="K56" i="19" s="1"/>
  <c r="H37" i="19"/>
  <c r="K37" i="19" s="1"/>
  <c r="H36" i="19"/>
  <c r="K36" i="19" s="1"/>
  <c r="H35" i="19"/>
  <c r="K35" i="19" s="1"/>
  <c r="H87" i="19"/>
  <c r="K87" i="19" s="1"/>
  <c r="H77" i="19"/>
  <c r="K77" i="19" s="1"/>
  <c r="H75" i="19"/>
  <c r="K75" i="19" s="1"/>
  <c r="H73" i="19"/>
  <c r="K73" i="19" s="1"/>
  <c r="H60" i="19"/>
  <c r="K60" i="19" s="1"/>
  <c r="H53" i="19"/>
  <c r="K53" i="19" s="1"/>
  <c r="H51" i="19"/>
  <c r="K51" i="19" s="1"/>
  <c r="H49" i="19"/>
  <c r="K49" i="19" s="1"/>
  <c r="H48" i="19"/>
  <c r="K48" i="19" s="1"/>
  <c r="H47" i="19"/>
  <c r="K47" i="19" s="1"/>
  <c r="H33" i="19"/>
  <c r="K33" i="19" s="1"/>
  <c r="H32" i="19"/>
  <c r="K32" i="19" s="1"/>
  <c r="H95" i="19"/>
  <c r="K95" i="19" s="1"/>
  <c r="H91" i="19"/>
  <c r="K91" i="19" s="1"/>
  <c r="H55" i="19"/>
  <c r="K55" i="19" s="1"/>
  <c r="H90" i="19"/>
  <c r="K90" i="19" s="1"/>
  <c r="H43" i="19"/>
  <c r="K43" i="19" s="1"/>
  <c r="H72" i="19"/>
  <c r="K72" i="19" s="1"/>
  <c r="H94" i="19"/>
  <c r="K94" i="19" s="1"/>
  <c r="H45" i="19"/>
  <c r="K45" i="19" s="1"/>
  <c r="H44" i="19"/>
  <c r="K44" i="19" s="1"/>
  <c r="G122" i="19"/>
  <c r="J122" i="19" s="1"/>
  <c r="G118" i="19"/>
  <c r="J118" i="19" s="1"/>
  <c r="G114" i="19"/>
  <c r="J114" i="19" s="1"/>
  <c r="G110" i="19"/>
  <c r="J110" i="19" s="1"/>
  <c r="G106" i="19"/>
  <c r="J106" i="19" s="1"/>
  <c r="G102" i="19"/>
  <c r="J102" i="19" s="1"/>
  <c r="G98" i="19"/>
  <c r="J98" i="19" s="1"/>
  <c r="G94" i="19"/>
  <c r="J94" i="19" s="1"/>
  <c r="G90" i="19"/>
  <c r="J90" i="19" s="1"/>
  <c r="G117" i="19"/>
  <c r="J117" i="19" s="1"/>
  <c r="J140" i="19" s="1"/>
  <c r="K58" i="1" s="1"/>
  <c r="G112" i="19"/>
  <c r="J112" i="19" s="1"/>
  <c r="G125" i="19"/>
  <c r="J125" i="19" s="1"/>
  <c r="G120" i="19"/>
  <c r="J120" i="19" s="1"/>
  <c r="G119" i="19"/>
  <c r="J119" i="19" s="1"/>
  <c r="G109" i="19"/>
  <c r="J109" i="19" s="1"/>
  <c r="G104" i="19"/>
  <c r="J104" i="19" s="1"/>
  <c r="G103" i="19"/>
  <c r="J103" i="19" s="1"/>
  <c r="G93" i="19"/>
  <c r="J93" i="19" s="1"/>
  <c r="G88" i="19"/>
  <c r="J88" i="19" s="1"/>
  <c r="G87" i="19"/>
  <c r="J87" i="19" s="1"/>
  <c r="G83" i="19"/>
  <c r="J83" i="19" s="1"/>
  <c r="G79" i="19"/>
  <c r="J79" i="19" s="1"/>
  <c r="G75" i="19"/>
  <c r="J75" i="19" s="1"/>
  <c r="G71" i="19"/>
  <c r="J71" i="19" s="1"/>
  <c r="G67" i="19"/>
  <c r="J67" i="19" s="1"/>
  <c r="G63" i="19"/>
  <c r="J63" i="19" s="1"/>
  <c r="G59" i="19"/>
  <c r="J59" i="19" s="1"/>
  <c r="G55" i="19"/>
  <c r="J55" i="19" s="1"/>
  <c r="G51" i="19"/>
  <c r="J51" i="19" s="1"/>
  <c r="G47" i="19"/>
  <c r="J47" i="19" s="1"/>
  <c r="G43" i="19"/>
  <c r="J43" i="19" s="1"/>
  <c r="G39" i="19"/>
  <c r="J39" i="19" s="1"/>
  <c r="G35" i="19"/>
  <c r="J35" i="19" s="1"/>
  <c r="G124" i="19"/>
  <c r="J124" i="19" s="1"/>
  <c r="G101" i="19"/>
  <c r="J101" i="19" s="1"/>
  <c r="G99" i="19"/>
  <c r="J99" i="19" s="1"/>
  <c r="G95" i="19"/>
  <c r="J95" i="19" s="1"/>
  <c r="G91" i="19"/>
  <c r="J91" i="19" s="1"/>
  <c r="G89" i="19"/>
  <c r="J89" i="19" s="1"/>
  <c r="G78" i="19"/>
  <c r="J78" i="19" s="1"/>
  <c r="G73" i="19"/>
  <c r="J73" i="19" s="1"/>
  <c r="G72" i="19"/>
  <c r="J72" i="19" s="1"/>
  <c r="G62" i="19"/>
  <c r="J62" i="19" s="1"/>
  <c r="G57" i="19"/>
  <c r="J57" i="19" s="1"/>
  <c r="G56" i="19"/>
  <c r="J56" i="19" s="1"/>
  <c r="G123" i="19"/>
  <c r="J123" i="19" s="1"/>
  <c r="G116" i="19"/>
  <c r="J116" i="19" s="1"/>
  <c r="G111" i="19"/>
  <c r="J111" i="19" s="1"/>
  <c r="G107" i="19"/>
  <c r="J107" i="19" s="1"/>
  <c r="G105" i="19"/>
  <c r="J105" i="19" s="1"/>
  <c r="G96" i="19"/>
  <c r="J96" i="19" s="1"/>
  <c r="G92" i="19"/>
  <c r="J92" i="19" s="1"/>
  <c r="G85" i="19"/>
  <c r="J85" i="19" s="1"/>
  <c r="G84" i="19"/>
  <c r="J84" i="19" s="1"/>
  <c r="G74" i="19"/>
  <c r="J74" i="19" s="1"/>
  <c r="G69" i="19"/>
  <c r="J69" i="19" s="1"/>
  <c r="G68" i="19"/>
  <c r="J68" i="19" s="1"/>
  <c r="G58" i="19"/>
  <c r="J58" i="19" s="1"/>
  <c r="G53" i="19"/>
  <c r="J53" i="19" s="1"/>
  <c r="G52" i="19"/>
  <c r="J52" i="19" s="1"/>
  <c r="G100" i="19"/>
  <c r="J100" i="19" s="1"/>
  <c r="G82" i="19"/>
  <c r="J82" i="19" s="1"/>
  <c r="G64" i="19"/>
  <c r="J64" i="19" s="1"/>
  <c r="G50" i="19"/>
  <c r="J50" i="19" s="1"/>
  <c r="G45" i="19"/>
  <c r="J45" i="19" s="1"/>
  <c r="G44" i="19"/>
  <c r="J44" i="19" s="1"/>
  <c r="G34" i="19"/>
  <c r="J34" i="19" s="1"/>
  <c r="G113" i="19"/>
  <c r="J113" i="19" s="1"/>
  <c r="G108" i="19"/>
  <c r="J108" i="19" s="1"/>
  <c r="G81" i="19"/>
  <c r="J81" i="19" s="1"/>
  <c r="G76" i="19"/>
  <c r="J76" i="19" s="1"/>
  <c r="G70" i="19"/>
  <c r="J70" i="19" s="1"/>
  <c r="G61" i="19"/>
  <c r="J61" i="19" s="1"/>
  <c r="G54" i="19"/>
  <c r="J54" i="19" s="1"/>
  <c r="G46" i="19"/>
  <c r="J46" i="19" s="1"/>
  <c r="G41" i="19"/>
  <c r="J41" i="19" s="1"/>
  <c r="G40" i="19"/>
  <c r="J40" i="19" s="1"/>
  <c r="G121" i="19"/>
  <c r="J121" i="19" s="1"/>
  <c r="G115" i="19"/>
  <c r="J115" i="19" s="1"/>
  <c r="G80" i="19"/>
  <c r="J80" i="19" s="1"/>
  <c r="G66" i="19"/>
  <c r="J66" i="19" s="1"/>
  <c r="G42" i="19"/>
  <c r="J42" i="19" s="1"/>
  <c r="G37" i="19"/>
  <c r="J37" i="19" s="1"/>
  <c r="G36" i="19"/>
  <c r="J36" i="19" s="1"/>
  <c r="G32" i="19"/>
  <c r="J32" i="19" s="1"/>
  <c r="G33" i="19"/>
  <c r="J33" i="19" s="1"/>
  <c r="Z20" i="33"/>
  <c r="Z19" i="33"/>
  <c r="Z18" i="33"/>
  <c r="Z17" i="33"/>
  <c r="Z24" i="33"/>
  <c r="Z23" i="33"/>
  <c r="Z40" i="33"/>
  <c r="Z38" i="33"/>
  <c r="Z36" i="33"/>
  <c r="Z39" i="33"/>
  <c r="Z37" i="33"/>
  <c r="Z35" i="33"/>
  <c r="Q106" i="24"/>
  <c r="G48" i="19"/>
  <c r="J48" i="19" s="1"/>
  <c r="G49" i="19"/>
  <c r="J49" i="19" s="1"/>
  <c r="I50" i="19"/>
  <c r="L50" i="19" s="1"/>
  <c r="G65" i="19"/>
  <c r="J65" i="19" s="1"/>
  <c r="I83" i="19"/>
  <c r="L83" i="19" s="1"/>
  <c r="M83" i="19" s="1"/>
  <c r="G97" i="19"/>
  <c r="J97" i="19" s="1"/>
  <c r="Z26" i="33"/>
  <c r="Q105" i="24"/>
  <c r="Z27" i="33"/>
  <c r="Z28" i="33"/>
  <c r="I124" i="19"/>
  <c r="L124" i="19" s="1"/>
  <c r="M124" i="19" s="1"/>
  <c r="I120" i="19"/>
  <c r="L120" i="19" s="1"/>
  <c r="I116" i="19"/>
  <c r="L116" i="19" s="1"/>
  <c r="M116" i="19" s="1"/>
  <c r="I112" i="19"/>
  <c r="L112" i="19" s="1"/>
  <c r="I108" i="19"/>
  <c r="L108" i="19" s="1"/>
  <c r="M108" i="19" s="1"/>
  <c r="I104" i="19"/>
  <c r="L104" i="19" s="1"/>
  <c r="I100" i="19"/>
  <c r="L100" i="19" s="1"/>
  <c r="I96" i="19"/>
  <c r="L96" i="19" s="1"/>
  <c r="M96" i="19" s="1"/>
  <c r="I92" i="19"/>
  <c r="L92" i="19" s="1"/>
  <c r="I88" i="19"/>
  <c r="L88" i="19" s="1"/>
  <c r="I119" i="19"/>
  <c r="L119" i="19" s="1"/>
  <c r="M119" i="19" s="1"/>
  <c r="I118" i="19"/>
  <c r="L118" i="19" s="1"/>
  <c r="M118" i="19" s="1"/>
  <c r="I113" i="19"/>
  <c r="L113" i="19" s="1"/>
  <c r="I121" i="19"/>
  <c r="L121" i="19" s="1"/>
  <c r="M121" i="19" s="1"/>
  <c r="I111" i="19"/>
  <c r="L111" i="19" s="1"/>
  <c r="I110" i="19"/>
  <c r="L110" i="19" s="1"/>
  <c r="M110" i="19" s="1"/>
  <c r="I105" i="19"/>
  <c r="L105" i="19" s="1"/>
  <c r="M105" i="19" s="1"/>
  <c r="I95" i="19"/>
  <c r="L95" i="19" s="1"/>
  <c r="I94" i="19"/>
  <c r="L94" i="19" s="1"/>
  <c r="M94" i="19" s="1"/>
  <c r="I89" i="19"/>
  <c r="L89" i="19" s="1"/>
  <c r="M89" i="19" s="1"/>
  <c r="I85" i="19"/>
  <c r="L85" i="19" s="1"/>
  <c r="M85" i="19" s="1"/>
  <c r="I81" i="19"/>
  <c r="L81" i="19" s="1"/>
  <c r="M81" i="19" s="1"/>
  <c r="I77" i="19"/>
  <c r="L77" i="19" s="1"/>
  <c r="I73" i="19"/>
  <c r="L73" i="19" s="1"/>
  <c r="I69" i="19"/>
  <c r="L69" i="19" s="1"/>
  <c r="I65" i="19"/>
  <c r="L65" i="19" s="1"/>
  <c r="I61" i="19"/>
  <c r="L61" i="19" s="1"/>
  <c r="I57" i="19"/>
  <c r="L57" i="19" s="1"/>
  <c r="M57" i="19" s="1"/>
  <c r="I53" i="19"/>
  <c r="L53" i="19" s="1"/>
  <c r="M53" i="19" s="1"/>
  <c r="I49" i="19"/>
  <c r="L49" i="19" s="1"/>
  <c r="M49" i="19" s="1"/>
  <c r="I45" i="19"/>
  <c r="L45" i="19" s="1"/>
  <c r="I41" i="19"/>
  <c r="L41" i="19" s="1"/>
  <c r="M41" i="19" s="1"/>
  <c r="I37" i="19"/>
  <c r="L37" i="19" s="1"/>
  <c r="M37" i="19" s="1"/>
  <c r="I33" i="19"/>
  <c r="L33" i="19" s="1"/>
  <c r="M33" i="19" s="1"/>
  <c r="I123" i="19"/>
  <c r="L123" i="19" s="1"/>
  <c r="M123" i="19" s="1"/>
  <c r="I117" i="19"/>
  <c r="L117" i="19" s="1"/>
  <c r="I109" i="19"/>
  <c r="L109" i="19" s="1"/>
  <c r="M109" i="19" s="1"/>
  <c r="I80" i="19"/>
  <c r="L80" i="19" s="1"/>
  <c r="I79" i="19"/>
  <c r="L79" i="19" s="1"/>
  <c r="M79" i="19" s="1"/>
  <c r="I74" i="19"/>
  <c r="L74" i="19" s="1"/>
  <c r="I64" i="19"/>
  <c r="L64" i="19" s="1"/>
  <c r="M64" i="19" s="1"/>
  <c r="I63" i="19"/>
  <c r="L63" i="19" s="1"/>
  <c r="M63" i="19" s="1"/>
  <c r="I58" i="19"/>
  <c r="L58" i="19" s="1"/>
  <c r="I122" i="19"/>
  <c r="L122" i="19" s="1"/>
  <c r="I115" i="19"/>
  <c r="L115" i="19" s="1"/>
  <c r="M115" i="19" s="1"/>
  <c r="I102" i="19"/>
  <c r="L102" i="19" s="1"/>
  <c r="I98" i="19"/>
  <c r="L98" i="19" s="1"/>
  <c r="I90" i="19"/>
  <c r="L90" i="19" s="1"/>
  <c r="I86" i="19"/>
  <c r="L86" i="19" s="1"/>
  <c r="I76" i="19"/>
  <c r="L76" i="19" s="1"/>
  <c r="M76" i="19" s="1"/>
  <c r="I75" i="19"/>
  <c r="L75" i="19" s="1"/>
  <c r="M75" i="19" s="1"/>
  <c r="I70" i="19"/>
  <c r="L70" i="19" s="1"/>
  <c r="M70" i="19" s="1"/>
  <c r="I60" i="19"/>
  <c r="L60" i="19" s="1"/>
  <c r="I59" i="19"/>
  <c r="L59" i="19" s="1"/>
  <c r="I54" i="19"/>
  <c r="L54" i="19" s="1"/>
  <c r="M54" i="19" s="1"/>
  <c r="I106" i="19"/>
  <c r="L106" i="19" s="1"/>
  <c r="I103" i="19"/>
  <c r="L103" i="19" s="1"/>
  <c r="M103" i="19" s="1"/>
  <c r="I101" i="19"/>
  <c r="L101" i="19" s="1"/>
  <c r="I99" i="19"/>
  <c r="L99" i="19" s="1"/>
  <c r="I62" i="19"/>
  <c r="L62" i="19" s="1"/>
  <c r="I56" i="19"/>
  <c r="L56" i="19" s="1"/>
  <c r="M56" i="19" s="1"/>
  <c r="I46" i="19"/>
  <c r="L46" i="19" s="1"/>
  <c r="M46" i="19" s="1"/>
  <c r="I36" i="19"/>
  <c r="L36" i="19" s="1"/>
  <c r="I35" i="19"/>
  <c r="L35" i="19" s="1"/>
  <c r="I114" i="19"/>
  <c r="L114" i="19" s="1"/>
  <c r="M114" i="19" s="1"/>
  <c r="I107" i="19"/>
  <c r="L107" i="19" s="1"/>
  <c r="I87" i="19"/>
  <c r="L87" i="19" s="1"/>
  <c r="I68" i="19"/>
  <c r="L68" i="19" s="1"/>
  <c r="I67" i="19"/>
  <c r="L67" i="19" s="1"/>
  <c r="M67" i="19" s="1"/>
  <c r="I66" i="19"/>
  <c r="L66" i="19" s="1"/>
  <c r="I51" i="19"/>
  <c r="L51" i="19" s="1"/>
  <c r="I48" i="19"/>
  <c r="L48" i="19" s="1"/>
  <c r="I47" i="19"/>
  <c r="L47" i="19" s="1"/>
  <c r="M47" i="19" s="1"/>
  <c r="I42" i="19"/>
  <c r="L42" i="19" s="1"/>
  <c r="I32" i="19"/>
  <c r="L32" i="19" s="1"/>
  <c r="I125" i="19"/>
  <c r="L125" i="19" s="1"/>
  <c r="M125" i="19" s="1"/>
  <c r="I97" i="19"/>
  <c r="L97" i="19" s="1"/>
  <c r="M97" i="19" s="1"/>
  <c r="I91" i="19"/>
  <c r="L91" i="19" s="1"/>
  <c r="I78" i="19"/>
  <c r="L78" i="19" s="1"/>
  <c r="I72" i="19"/>
  <c r="L72" i="19" s="1"/>
  <c r="I55" i="19"/>
  <c r="L55" i="19" s="1"/>
  <c r="I44" i="19"/>
  <c r="L44" i="19" s="1"/>
  <c r="M44" i="19" s="1"/>
  <c r="I43" i="19"/>
  <c r="L43" i="19" s="1"/>
  <c r="I38" i="19"/>
  <c r="L38" i="19" s="1"/>
  <c r="M38" i="19" s="1"/>
  <c r="G60" i="19"/>
  <c r="J60" i="19" s="1"/>
  <c r="G77" i="19"/>
  <c r="J77" i="19" s="1"/>
  <c r="I82" i="19"/>
  <c r="L82" i="19" s="1"/>
  <c r="M82" i="19" s="1"/>
  <c r="G86" i="19"/>
  <c r="J86" i="19" s="1"/>
  <c r="G38" i="19"/>
  <c r="J38" i="19" s="1"/>
  <c r="I40" i="19"/>
  <c r="L40" i="19" s="1"/>
  <c r="I52" i="19"/>
  <c r="L52" i="19" s="1"/>
  <c r="I71" i="19"/>
  <c r="L71" i="19" s="1"/>
  <c r="Z15" i="33"/>
  <c r="Q97" i="24"/>
  <c r="Z16" i="33"/>
  <c r="Q104" i="24"/>
  <c r="U20" i="33"/>
  <c r="U19" i="33"/>
  <c r="U18" i="33"/>
  <c r="L17" i="33" s="1"/>
  <c r="U17" i="33"/>
  <c r="U26" i="33"/>
  <c r="U27" i="33"/>
  <c r="U28" i="33"/>
  <c r="U38" i="33"/>
  <c r="U35" i="33"/>
  <c r="Z34" i="33"/>
  <c r="Z32" i="33"/>
  <c r="Z33" i="33"/>
  <c r="U49" i="33"/>
  <c r="U47" i="33"/>
  <c r="U50" i="33"/>
  <c r="U48" i="33"/>
  <c r="Z55" i="33"/>
  <c r="Z54" i="33"/>
  <c r="Z53" i="33"/>
  <c r="Z52" i="33"/>
  <c r="Z51" i="33"/>
  <c r="Z73" i="33"/>
  <c r="Z74" i="33"/>
  <c r="U16" i="33"/>
  <c r="U33" i="33"/>
  <c r="U57" i="33"/>
  <c r="U56" i="33"/>
  <c r="Z67" i="33"/>
  <c r="Z66" i="33"/>
  <c r="Z65" i="33"/>
  <c r="Z64" i="33"/>
  <c r="U69" i="33"/>
  <c r="U68" i="33"/>
  <c r="Z75" i="33"/>
  <c r="U77" i="33"/>
  <c r="Z78" i="33"/>
  <c r="Z42" i="33"/>
  <c r="Z41" i="33"/>
  <c r="Z49" i="33"/>
  <c r="Z47" i="33"/>
  <c r="Q107" i="24"/>
  <c r="Z50" i="33"/>
  <c r="Z48" i="33"/>
  <c r="U55" i="33"/>
  <c r="U54" i="33"/>
  <c r="U53" i="33"/>
  <c r="U52" i="33"/>
  <c r="U51" i="33"/>
  <c r="Z70" i="33"/>
  <c r="U71" i="33"/>
  <c r="Z72" i="33"/>
  <c r="U73" i="33"/>
  <c r="U74" i="33"/>
  <c r="Z45" i="33"/>
  <c r="Z46" i="33"/>
  <c r="Z57" i="33"/>
  <c r="Z56" i="33"/>
  <c r="U67" i="33"/>
  <c r="Z69" i="33"/>
  <c r="Z68" i="33"/>
  <c r="Z77" i="33"/>
  <c r="Z76" i="33"/>
  <c r="R83" i="24"/>
  <c r="R84" i="24"/>
  <c r="R91" i="24"/>
  <c r="R92" i="24"/>
  <c r="L71" i="33"/>
  <c r="F719" i="40" s="1"/>
  <c r="J719" i="40" s="1"/>
  <c r="R87" i="24"/>
  <c r="R88" i="24"/>
  <c r="R95" i="24"/>
  <c r="R96" i="24"/>
  <c r="O175" i="20"/>
  <c r="O63" i="20"/>
  <c r="Q21" i="20"/>
  <c r="Q29" i="20"/>
  <c r="Q37" i="20"/>
  <c r="P176" i="20"/>
  <c r="M92" i="1" s="1"/>
  <c r="Q11" i="20"/>
  <c r="P177" i="20"/>
  <c r="M93" i="1" s="1"/>
  <c r="Q12" i="20"/>
  <c r="Q177" i="20" s="1"/>
  <c r="O93" i="1" s="1"/>
  <c r="E193" i="9" s="1"/>
  <c r="J344" i="9" s="1"/>
  <c r="Q19" i="20"/>
  <c r="Q27" i="20"/>
  <c r="Q35" i="20"/>
  <c r="Q18" i="20"/>
  <c r="Q25" i="20"/>
  <c r="Q26" i="20"/>
  <c r="Q33" i="20"/>
  <c r="Q34" i="20"/>
  <c r="Q41" i="20"/>
  <c r="N175" i="20"/>
  <c r="N63" i="20"/>
  <c r="P180" i="20"/>
  <c r="M96" i="1" s="1"/>
  <c r="Q15" i="20"/>
  <c r="P181" i="20"/>
  <c r="M97" i="1" s="1"/>
  <c r="Q16" i="20"/>
  <c r="Q23" i="20"/>
  <c r="Q31" i="20"/>
  <c r="Q39" i="20"/>
  <c r="P175" i="20"/>
  <c r="P63" i="20"/>
  <c r="Q10" i="20"/>
  <c r="O177" i="20"/>
  <c r="L93" i="1" s="1"/>
  <c r="Q14" i="20"/>
  <c r="O181" i="20"/>
  <c r="L97" i="1" s="1"/>
  <c r="Q51" i="20"/>
  <c r="Q52" i="20"/>
  <c r="Q70" i="20"/>
  <c r="Q104" i="20"/>
  <c r="Q112" i="20"/>
  <c r="Q120" i="20"/>
  <c r="Q124" i="20"/>
  <c r="Q128" i="20"/>
  <c r="Q13" i="20"/>
  <c r="Q178" i="20" s="1"/>
  <c r="O94" i="1" s="1"/>
  <c r="E218" i="9" s="1"/>
  <c r="K344" i="9" s="1"/>
  <c r="Q17" i="20"/>
  <c r="Q44" i="20"/>
  <c r="Q47" i="20"/>
  <c r="Q48" i="20"/>
  <c r="Q102" i="20"/>
  <c r="Q110" i="20"/>
  <c r="Q118" i="20"/>
  <c r="Q123" i="20"/>
  <c r="Q127" i="20"/>
  <c r="Q131" i="20"/>
  <c r="Q45" i="20"/>
  <c r="Q59" i="20"/>
  <c r="Q60" i="20"/>
  <c r="Q61" i="20"/>
  <c r="Q100" i="20"/>
  <c r="Q108" i="20"/>
  <c r="Q116" i="20"/>
  <c r="P134" i="20"/>
  <c r="P138" i="20"/>
  <c r="P142" i="20"/>
  <c r="P146" i="20"/>
  <c r="N152" i="20"/>
  <c r="Q152" i="20" s="1"/>
  <c r="Q166" i="20"/>
  <c r="N166" i="20"/>
  <c r="M11" i="4"/>
  <c r="M15" i="4"/>
  <c r="M19" i="4"/>
  <c r="M23" i="4"/>
  <c r="M27" i="4"/>
  <c r="M31" i="4"/>
  <c r="M75" i="4"/>
  <c r="M79" i="4"/>
  <c r="M83" i="4"/>
  <c r="M87" i="4"/>
  <c r="M91" i="4"/>
  <c r="M95" i="4"/>
  <c r="O13" i="4"/>
  <c r="M73" i="4"/>
  <c r="M77" i="4"/>
  <c r="M81" i="4"/>
  <c r="M85" i="4"/>
  <c r="M89" i="4"/>
  <c r="M93" i="4"/>
  <c r="N14" i="4"/>
  <c r="N18" i="4"/>
  <c r="N22" i="4"/>
  <c r="N26" i="4"/>
  <c r="N28" i="4"/>
  <c r="N32" i="4"/>
  <c r="F50" i="40"/>
  <c r="F727" i="40" s="1"/>
  <c r="J727" i="40" s="1"/>
  <c r="O11" i="4"/>
  <c r="O27" i="4"/>
  <c r="O38" i="4"/>
  <c r="O70" i="4"/>
  <c r="O31" i="4"/>
  <c r="O50" i="4"/>
  <c r="O12" i="4"/>
  <c r="O19" i="4"/>
  <c r="O54" i="4"/>
  <c r="O23" i="4"/>
  <c r="O34" i="4"/>
  <c r="O66" i="4"/>
  <c r="O18" i="4"/>
  <c r="O22" i="4"/>
  <c r="O26" i="4"/>
  <c r="N50" i="4"/>
  <c r="N54" i="4"/>
  <c r="P54" i="4" s="1"/>
  <c r="N56" i="4"/>
  <c r="O58" i="4"/>
  <c r="N60" i="4"/>
  <c r="O62" i="4"/>
  <c r="N13" i="4"/>
  <c r="N15" i="4"/>
  <c r="N16" i="4"/>
  <c r="N20" i="4"/>
  <c r="N24" i="4"/>
  <c r="N42" i="4"/>
  <c r="N46" i="4"/>
  <c r="N48" i="4"/>
  <c r="N52" i="4"/>
  <c r="N11" i="4"/>
  <c r="P11" i="4" s="1"/>
  <c r="N12" i="4"/>
  <c r="O15" i="4"/>
  <c r="N19" i="4"/>
  <c r="N23" i="4"/>
  <c r="N27" i="4"/>
  <c r="N30" i="4"/>
  <c r="N31" i="4"/>
  <c r="N34" i="4"/>
  <c r="N38" i="4"/>
  <c r="N40" i="4"/>
  <c r="O42" i="4"/>
  <c r="N44" i="4"/>
  <c r="O46" i="4"/>
  <c r="N66" i="4"/>
  <c r="P66" i="4" s="1"/>
  <c r="N70" i="4"/>
  <c r="P70" i="4" s="1"/>
  <c r="N72" i="4"/>
  <c r="L58" i="33"/>
  <c r="O14" i="4"/>
  <c r="O28" i="4"/>
  <c r="O32" i="4"/>
  <c r="N36" i="4"/>
  <c r="N58" i="4"/>
  <c r="N62" i="4"/>
  <c r="N64" i="4"/>
  <c r="N68" i="4"/>
  <c r="L75" i="33"/>
  <c r="F884" i="40" s="1"/>
  <c r="J884" i="40" s="1"/>
  <c r="H339" i="9"/>
  <c r="I337" i="9"/>
  <c r="N43" i="4"/>
  <c r="O43" i="4"/>
  <c r="M43" i="4"/>
  <c r="I345" i="9"/>
  <c r="M337" i="9"/>
  <c r="M347" i="9"/>
  <c r="O49" i="4"/>
  <c r="N49" i="4"/>
  <c r="M49" i="4"/>
  <c r="M335" i="9"/>
  <c r="J335" i="9"/>
  <c r="N335" i="9"/>
  <c r="M343" i="9"/>
  <c r="O21" i="4"/>
  <c r="N21" i="4"/>
  <c r="M21" i="4"/>
  <c r="O29" i="4"/>
  <c r="N29" i="4"/>
  <c r="M29" i="4"/>
  <c r="N59" i="4"/>
  <c r="O59" i="4"/>
  <c r="M59" i="4"/>
  <c r="O65" i="4"/>
  <c r="N65" i="4"/>
  <c r="M65" i="4"/>
  <c r="O17" i="4"/>
  <c r="N17" i="4"/>
  <c r="M17" i="4"/>
  <c r="O25" i="4"/>
  <c r="N25" i="4"/>
  <c r="M25" i="4"/>
  <c r="O33" i="4"/>
  <c r="N33" i="4"/>
  <c r="M33" i="4"/>
  <c r="M13" i="4"/>
  <c r="M14" i="4"/>
  <c r="M16" i="4"/>
  <c r="M20" i="4"/>
  <c r="M24" i="4"/>
  <c r="P24" i="4" s="1"/>
  <c r="M30" i="4"/>
  <c r="P30" i="4" s="1"/>
  <c r="N39" i="4"/>
  <c r="O39" i="4"/>
  <c r="M39" i="4"/>
  <c r="O45" i="4"/>
  <c r="N45" i="4"/>
  <c r="M45" i="4"/>
  <c r="N55" i="4"/>
  <c r="O55" i="4"/>
  <c r="M55" i="4"/>
  <c r="O61" i="4"/>
  <c r="N61" i="4"/>
  <c r="M61" i="4"/>
  <c r="N71" i="4"/>
  <c r="O71" i="4"/>
  <c r="M71" i="4"/>
  <c r="N35" i="4"/>
  <c r="O35" i="4"/>
  <c r="M35" i="4"/>
  <c r="O41" i="4"/>
  <c r="N41" i="4"/>
  <c r="M41" i="4"/>
  <c r="N51" i="4"/>
  <c r="O51" i="4"/>
  <c r="M51" i="4"/>
  <c r="O57" i="4"/>
  <c r="N57" i="4"/>
  <c r="M57" i="4"/>
  <c r="N67" i="4"/>
  <c r="O67" i="4"/>
  <c r="M67" i="4"/>
  <c r="N73" i="4"/>
  <c r="O74" i="4"/>
  <c r="N75" i="4"/>
  <c r="O37" i="4"/>
  <c r="N37" i="4"/>
  <c r="M37" i="4"/>
  <c r="N47" i="4"/>
  <c r="O47" i="4"/>
  <c r="M47" i="4"/>
  <c r="O53" i="4"/>
  <c r="N53" i="4"/>
  <c r="M53" i="4"/>
  <c r="N63" i="4"/>
  <c r="O63" i="4"/>
  <c r="M63" i="4"/>
  <c r="O69" i="4"/>
  <c r="N69" i="4"/>
  <c r="M69" i="4"/>
  <c r="M18" i="4"/>
  <c r="M22" i="4"/>
  <c r="M26" i="4"/>
  <c r="M28" i="4"/>
  <c r="M32" i="4"/>
  <c r="P32" i="4" s="1"/>
  <c r="M36" i="4"/>
  <c r="M40" i="4"/>
  <c r="P40" i="4" s="1"/>
  <c r="M44" i="4"/>
  <c r="M48" i="4"/>
  <c r="M52" i="4"/>
  <c r="P52" i="4" s="1"/>
  <c r="M56" i="4"/>
  <c r="P56" i="4" s="1"/>
  <c r="R21" i="37" s="1"/>
  <c r="M60" i="4"/>
  <c r="M64" i="4"/>
  <c r="M68" i="4"/>
  <c r="P68" i="4" s="1"/>
  <c r="M72" i="4"/>
  <c r="O87" i="4"/>
  <c r="N89" i="4"/>
  <c r="O90" i="4"/>
  <c r="N91" i="4"/>
  <c r="N85" i="4"/>
  <c r="O86" i="4"/>
  <c r="N87" i="4"/>
  <c r="N81" i="4"/>
  <c r="O82" i="4"/>
  <c r="N83" i="4"/>
  <c r="P83" i="4" s="1"/>
  <c r="O75" i="4"/>
  <c r="N77" i="4"/>
  <c r="O78" i="4"/>
  <c r="N79" i="4"/>
  <c r="O91" i="4"/>
  <c r="N93" i="4"/>
  <c r="O94" i="4"/>
  <c r="N95" i="4"/>
  <c r="O35" i="18"/>
  <c r="O36" i="18"/>
  <c r="N62" i="15"/>
  <c r="O33" i="18"/>
  <c r="O34" i="18"/>
  <c r="N61" i="15"/>
  <c r="M76" i="4"/>
  <c r="M80" i="4"/>
  <c r="M84" i="4"/>
  <c r="M88" i="4"/>
  <c r="M92" i="4"/>
  <c r="O73" i="4"/>
  <c r="N76" i="4"/>
  <c r="O77" i="4"/>
  <c r="N80" i="4"/>
  <c r="O81" i="4"/>
  <c r="N84" i="4"/>
  <c r="O85" i="4"/>
  <c r="N88" i="4"/>
  <c r="O89" i="4"/>
  <c r="N92" i="4"/>
  <c r="O93" i="4"/>
  <c r="N65" i="15"/>
  <c r="N67" i="15"/>
  <c r="N69" i="15"/>
  <c r="N71" i="15"/>
  <c r="N73" i="15"/>
  <c r="M74" i="4"/>
  <c r="M78" i="4"/>
  <c r="M82" i="4"/>
  <c r="M86" i="4"/>
  <c r="M90" i="4"/>
  <c r="M94" i="4"/>
  <c r="N42" i="46"/>
  <c r="N66" i="15"/>
  <c r="N68" i="15"/>
  <c r="N70" i="15"/>
  <c r="N72" i="15"/>
  <c r="M133" i="20"/>
  <c r="N135" i="20"/>
  <c r="M137" i="20"/>
  <c r="N139" i="20"/>
  <c r="M141" i="20"/>
  <c r="N143" i="20"/>
  <c r="M145" i="20"/>
  <c r="N147" i="20"/>
  <c r="M149" i="20"/>
  <c r="N151" i="20"/>
  <c r="M153" i="20"/>
  <c r="L159" i="20"/>
  <c r="M159" i="20"/>
  <c r="K159" i="20"/>
  <c r="N159" i="20" s="1"/>
  <c r="L160" i="20"/>
  <c r="O160" i="20" s="1"/>
  <c r="K160" i="20"/>
  <c r="P165" i="20"/>
  <c r="N133" i="20"/>
  <c r="K134" i="20"/>
  <c r="N134" i="20" s="1"/>
  <c r="Q134" i="20" s="1"/>
  <c r="M135" i="20"/>
  <c r="K138" i="20"/>
  <c r="N138" i="20" s="1"/>
  <c r="Q138" i="20" s="1"/>
  <c r="M139" i="20"/>
  <c r="P139" i="20" s="1"/>
  <c r="Q139" i="20" s="1"/>
  <c r="K142" i="20"/>
  <c r="N142" i="20" s="1"/>
  <c r="Q142" i="20" s="1"/>
  <c r="M143" i="20"/>
  <c r="K146" i="20"/>
  <c r="N146" i="20" s="1"/>
  <c r="Q146" i="20" s="1"/>
  <c r="M147" i="20"/>
  <c r="P147" i="20" s="1"/>
  <c r="Q147" i="20" s="1"/>
  <c r="K150" i="20"/>
  <c r="N150" i="20" s="1"/>
  <c r="Q150" i="20" s="1"/>
  <c r="M151" i="20"/>
  <c r="P151" i="20" s="1"/>
  <c r="Q151" i="20" s="1"/>
  <c r="K154" i="20"/>
  <c r="N154" i="20" s="1"/>
  <c r="Q154" i="20" s="1"/>
  <c r="P157" i="20"/>
  <c r="Q158" i="20"/>
  <c r="M160" i="20"/>
  <c r="P160" i="20" s="1"/>
  <c r="P132" i="20"/>
  <c r="K133" i="20"/>
  <c r="P136" i="20"/>
  <c r="K137" i="20"/>
  <c r="N137" i="20" s="1"/>
  <c r="P140" i="20"/>
  <c r="K141" i="20"/>
  <c r="N141" i="20" s="1"/>
  <c r="P144" i="20"/>
  <c r="K145" i="20"/>
  <c r="N145" i="20" s="1"/>
  <c r="P148" i="20"/>
  <c r="K149" i="20"/>
  <c r="N149" i="20" s="1"/>
  <c r="K153" i="20"/>
  <c r="N153" i="20" s="1"/>
  <c r="O165" i="20"/>
  <c r="L167" i="20"/>
  <c r="O167" i="20" s="1"/>
  <c r="M167" i="20"/>
  <c r="K167" i="20"/>
  <c r="N167" i="20" s="1"/>
  <c r="U13" i="37"/>
  <c r="AD13" i="37" s="1"/>
  <c r="N132" i="20"/>
  <c r="P133" i="20"/>
  <c r="P135" i="20"/>
  <c r="N136" i="20"/>
  <c r="P137" i="20"/>
  <c r="N140" i="20"/>
  <c r="P141" i="20"/>
  <c r="P143" i="20"/>
  <c r="N144" i="20"/>
  <c r="P145" i="20"/>
  <c r="N148" i="20"/>
  <c r="P149" i="20"/>
  <c r="P153" i="20"/>
  <c r="M155" i="20"/>
  <c r="P155" i="20" s="1"/>
  <c r="L156" i="20"/>
  <c r="O156" i="20" s="1"/>
  <c r="K157" i="20"/>
  <c r="N157" i="20" s="1"/>
  <c r="P159" i="20"/>
  <c r="O159" i="20"/>
  <c r="N160" i="20"/>
  <c r="M163" i="20"/>
  <c r="L164" i="20"/>
  <c r="O164" i="20" s="1"/>
  <c r="K165" i="20"/>
  <c r="N165" i="20" s="1"/>
  <c r="P167" i="20"/>
  <c r="P161" i="20"/>
  <c r="O161" i="20"/>
  <c r="AA77" i="33"/>
  <c r="AA76" i="33"/>
  <c r="AA72" i="33"/>
  <c r="AA70" i="33"/>
  <c r="AA63" i="33"/>
  <c r="AA62" i="33"/>
  <c r="AA58" i="33"/>
  <c r="M58" i="33" s="1"/>
  <c r="AA50" i="33"/>
  <c r="AA49" i="33"/>
  <c r="AA48" i="33"/>
  <c r="AA47" i="33"/>
  <c r="AA74" i="33"/>
  <c r="AA73" i="33"/>
  <c r="AA67" i="33"/>
  <c r="AA66" i="33"/>
  <c r="AA65" i="33"/>
  <c r="AA64" i="33"/>
  <c r="AA60" i="33"/>
  <c r="AA59" i="33"/>
  <c r="AA55" i="33"/>
  <c r="AA54" i="33"/>
  <c r="AA53" i="33"/>
  <c r="AA52" i="33"/>
  <c r="AA51" i="33"/>
  <c r="AA78" i="33"/>
  <c r="AA71" i="33"/>
  <c r="M71" i="33" s="1"/>
  <c r="G719" i="40" s="1"/>
  <c r="AA69" i="33"/>
  <c r="AA68" i="33"/>
  <c r="AA57" i="33"/>
  <c r="AA56" i="33"/>
  <c r="AA44" i="33"/>
  <c r="AA42" i="33"/>
  <c r="AA41" i="33"/>
  <c r="AA27" i="33"/>
  <c r="AA21" i="33"/>
  <c r="AA16" i="33"/>
  <c r="AA30" i="33"/>
  <c r="AA29" i="33"/>
  <c r="AA19" i="33"/>
  <c r="AA13" i="33"/>
  <c r="U33" i="37"/>
  <c r="AD33" i="37" s="1"/>
  <c r="AE33" i="37" s="1"/>
  <c r="E54" i="37" s="1"/>
  <c r="E74" i="37" s="1"/>
  <c r="U25" i="37"/>
  <c r="U22" i="37"/>
  <c r="U18" i="37"/>
  <c r="AD18" i="37" s="1"/>
  <c r="AE18" i="37" s="1"/>
  <c r="E59" i="37" s="1"/>
  <c r="E79" i="37" s="1"/>
  <c r="AA61" i="33"/>
  <c r="AA45" i="33"/>
  <c r="AA34" i="33"/>
  <c r="AA33" i="33"/>
  <c r="AA32" i="33"/>
  <c r="AA28" i="33"/>
  <c r="AA22" i="33"/>
  <c r="AA20" i="33"/>
  <c r="AA15" i="33"/>
  <c r="AA14" i="33"/>
  <c r="AI14" i="33" s="1"/>
  <c r="U37" i="37"/>
  <c r="U34" i="37"/>
  <c r="AD34" i="37" s="1"/>
  <c r="U31" i="37"/>
  <c r="AD31" i="37" s="1"/>
  <c r="AE31" i="37" s="1"/>
  <c r="E48" i="37" s="1"/>
  <c r="U28" i="37"/>
  <c r="U23" i="37"/>
  <c r="AA75" i="33"/>
  <c r="AA46" i="33"/>
  <c r="AA25" i="33"/>
  <c r="AA17" i="33"/>
  <c r="U35" i="37"/>
  <c r="AD35" i="37" s="1"/>
  <c r="U32" i="37"/>
  <c r="U29" i="37"/>
  <c r="AD29" i="37" s="1"/>
  <c r="AE29" i="37" s="1"/>
  <c r="E46" i="37" s="1"/>
  <c r="U26" i="37"/>
  <c r="U24" i="37"/>
  <c r="U20" i="37"/>
  <c r="AD20" i="37" s="1"/>
  <c r="AE20" i="37" s="1"/>
  <c r="E57" i="37" s="1"/>
  <c r="E77" i="37" s="1"/>
  <c r="AA43" i="33"/>
  <c r="AA40" i="33"/>
  <c r="AA39" i="33"/>
  <c r="AA38" i="33"/>
  <c r="AA37" i="33"/>
  <c r="AA36" i="33"/>
  <c r="AA35" i="33"/>
  <c r="AA31" i="33"/>
  <c r="AA26" i="33"/>
  <c r="AA24" i="33"/>
  <c r="AA23" i="33"/>
  <c r="AA18" i="33"/>
  <c r="U36" i="37"/>
  <c r="U30" i="37"/>
  <c r="U27" i="37"/>
  <c r="AD27" i="37" s="1"/>
  <c r="U21" i="37"/>
  <c r="AD21" i="37" s="1"/>
  <c r="AE21" i="37" s="1"/>
  <c r="U19" i="37"/>
  <c r="AD19" i="37" s="1"/>
  <c r="AE19" i="37" s="1"/>
  <c r="E58" i="37" s="1"/>
  <c r="E78" i="37" s="1"/>
  <c r="U16" i="37"/>
  <c r="U15" i="37"/>
  <c r="U17" i="37"/>
  <c r="AD17" i="37" s="1"/>
  <c r="AE17" i="37" s="1"/>
  <c r="E56" i="37" s="1"/>
  <c r="E76" i="37" s="1"/>
  <c r="O155" i="20"/>
  <c r="O168" i="20" s="1"/>
  <c r="N156" i="20"/>
  <c r="Q156" i="20" s="1"/>
  <c r="K161" i="20"/>
  <c r="N161" i="20" s="1"/>
  <c r="P163" i="20"/>
  <c r="O163" i="20"/>
  <c r="N164" i="20"/>
  <c r="E241" i="9" l="1"/>
  <c r="L342" i="9" s="1"/>
  <c r="M340" i="9"/>
  <c r="N120" i="9"/>
  <c r="N121" i="9" s="1"/>
  <c r="E55" i="9"/>
  <c r="D92" i="52" s="1"/>
  <c r="E323" i="9"/>
  <c r="O349" i="9" s="1"/>
  <c r="E51" i="9"/>
  <c r="D88" i="52" s="1"/>
  <c r="E49" i="9"/>
  <c r="D86" i="52" s="1"/>
  <c r="E163" i="9"/>
  <c r="I339" i="9" s="1"/>
  <c r="E236" i="9"/>
  <c r="L337" i="9" s="1"/>
  <c r="E185" i="9"/>
  <c r="J336" i="9" s="1"/>
  <c r="E57" i="9"/>
  <c r="D94" i="52" s="1"/>
  <c r="E248" i="9"/>
  <c r="L349" i="9" s="1"/>
  <c r="E53" i="9"/>
  <c r="D90" i="52" s="1"/>
  <c r="G294" i="9"/>
  <c r="N345" i="9"/>
  <c r="E196" i="9"/>
  <c r="J347" i="9" s="1"/>
  <c r="E44" i="9"/>
  <c r="D81" i="52" s="1"/>
  <c r="E173" i="9"/>
  <c r="I349" i="9" s="1"/>
  <c r="E54" i="9"/>
  <c r="D91" i="52" s="1"/>
  <c r="E273" i="9"/>
  <c r="E148" i="9"/>
  <c r="H349" i="9" s="1"/>
  <c r="H824" i="40"/>
  <c r="L824" i="40" s="1"/>
  <c r="H657" i="40"/>
  <c r="L657" i="40" s="1"/>
  <c r="H712" i="40"/>
  <c r="H549" i="40"/>
  <c r="L549" i="40" s="1"/>
  <c r="H449" i="40"/>
  <c r="H603" i="40"/>
  <c r="L603" i="40" s="1"/>
  <c r="H932" i="40"/>
  <c r="L932" i="40" s="1"/>
  <c r="H742" i="40"/>
  <c r="L742" i="40" s="1"/>
  <c r="H986" i="40"/>
  <c r="L986" i="40" s="1"/>
  <c r="H878" i="40"/>
  <c r="L878" i="40" s="1"/>
  <c r="N32" i="33"/>
  <c r="H61" i="40"/>
  <c r="H283" i="40"/>
  <c r="L283" i="40" s="1"/>
  <c r="L219" i="40"/>
  <c r="N15" i="33"/>
  <c r="H51" i="40"/>
  <c r="H285" i="40"/>
  <c r="L285" i="40" s="1"/>
  <c r="L221" i="40"/>
  <c r="F588" i="40"/>
  <c r="U64" i="33"/>
  <c r="L56" i="33"/>
  <c r="U32" i="33"/>
  <c r="U15" i="33"/>
  <c r="R107" i="24"/>
  <c r="O134" i="1" s="1"/>
  <c r="E222" i="9" s="1"/>
  <c r="U37" i="33"/>
  <c r="U40" i="33"/>
  <c r="U23" i="33"/>
  <c r="N47" i="33"/>
  <c r="H659" i="40"/>
  <c r="L659" i="40" s="1"/>
  <c r="H744" i="40"/>
  <c r="L744" i="40" s="1"/>
  <c r="H714" i="40"/>
  <c r="H551" i="40"/>
  <c r="L551" i="40" s="1"/>
  <c r="N26" i="33"/>
  <c r="H57" i="40"/>
  <c r="N35" i="33"/>
  <c r="N13" i="33"/>
  <c r="H50" i="40"/>
  <c r="H883" i="40"/>
  <c r="L883" i="40" s="1"/>
  <c r="H829" i="40"/>
  <c r="L829" i="40" s="1"/>
  <c r="H759" i="40"/>
  <c r="L759" i="40" s="1"/>
  <c r="L701" i="40"/>
  <c r="H760" i="40"/>
  <c r="L760" i="40" s="1"/>
  <c r="N59" i="33"/>
  <c r="H491" i="40"/>
  <c r="L491" i="40" s="1"/>
  <c r="L444" i="40"/>
  <c r="H987" i="40"/>
  <c r="L987" i="40" s="1"/>
  <c r="H933" i="40"/>
  <c r="L933" i="40" s="1"/>
  <c r="U65" i="33"/>
  <c r="U46" i="33"/>
  <c r="U42" i="33"/>
  <c r="U39" i="33"/>
  <c r="N17" i="33"/>
  <c r="H52" i="40"/>
  <c r="H822" i="40"/>
  <c r="L822" i="40" s="1"/>
  <c r="H655" i="40"/>
  <c r="L655" i="40" s="1"/>
  <c r="H984" i="40"/>
  <c r="L984" i="40" s="1"/>
  <c r="H547" i="40"/>
  <c r="L547" i="40" s="1"/>
  <c r="H930" i="40"/>
  <c r="L930" i="40" s="1"/>
  <c r="H876" i="40"/>
  <c r="L876" i="40" s="1"/>
  <c r="H601" i="40"/>
  <c r="L601" i="40" s="1"/>
  <c r="H341" i="40"/>
  <c r="L341" i="40" s="1"/>
  <c r="H447" i="40"/>
  <c r="H394" i="40"/>
  <c r="L394" i="40" s="1"/>
  <c r="H740" i="40"/>
  <c r="L740" i="40" s="1"/>
  <c r="H710" i="40"/>
  <c r="H470" i="40"/>
  <c r="L470" i="40" s="1"/>
  <c r="H745" i="40"/>
  <c r="L745" i="40" s="1"/>
  <c r="H552" i="40"/>
  <c r="L552" i="40" s="1"/>
  <c r="H879" i="40"/>
  <c r="L879" i="40" s="1"/>
  <c r="H604" i="40"/>
  <c r="L604" i="40" s="1"/>
  <c r="H660" i="40"/>
  <c r="L660" i="40" s="1"/>
  <c r="H472" i="40"/>
  <c r="H825" i="40"/>
  <c r="L825" i="40" s="1"/>
  <c r="H715" i="40"/>
  <c r="L749" i="40"/>
  <c r="H778" i="40"/>
  <c r="L778" i="40" s="1"/>
  <c r="L705" i="40"/>
  <c r="H764" i="40"/>
  <c r="L764" i="40" s="1"/>
  <c r="N41" i="33"/>
  <c r="L717" i="40"/>
  <c r="H776" i="40"/>
  <c r="L776" i="40" s="1"/>
  <c r="H977" i="40"/>
  <c r="L977" i="40" s="1"/>
  <c r="H923" i="40"/>
  <c r="L923" i="40" s="1"/>
  <c r="H733" i="40"/>
  <c r="L733" i="40" s="1"/>
  <c r="H540" i="40"/>
  <c r="L540" i="40" s="1"/>
  <c r="H463" i="40"/>
  <c r="L463" i="40" s="1"/>
  <c r="H387" i="40"/>
  <c r="L387" i="40" s="1"/>
  <c r="H703" i="40"/>
  <c r="H238" i="40"/>
  <c r="L238" i="40" s="1"/>
  <c r="H259" i="40"/>
  <c r="L259" i="40" s="1"/>
  <c r="H217" i="40"/>
  <c r="H163" i="40"/>
  <c r="L163" i="40" s="1"/>
  <c r="H869" i="40"/>
  <c r="L869" i="40" s="1"/>
  <c r="H440" i="40"/>
  <c r="H109" i="40"/>
  <c r="L109" i="40" s="1"/>
  <c r="L56" i="40"/>
  <c r="H815" i="40"/>
  <c r="L815" i="40" s="1"/>
  <c r="H648" i="40"/>
  <c r="L648" i="40" s="1"/>
  <c r="H594" i="40"/>
  <c r="L594" i="40" s="1"/>
  <c r="H334" i="40"/>
  <c r="L334" i="40" s="1"/>
  <c r="N23" i="33"/>
  <c r="H55" i="40"/>
  <c r="H489" i="40"/>
  <c r="L489" i="40" s="1"/>
  <c r="L442" i="40"/>
  <c r="H882" i="40"/>
  <c r="L882" i="40" s="1"/>
  <c r="H828" i="40"/>
  <c r="L828" i="40" s="1"/>
  <c r="H607" i="40"/>
  <c r="L607" i="40" s="1"/>
  <c r="G319" i="9"/>
  <c r="R106" i="24"/>
  <c r="O133" i="1" s="1"/>
  <c r="E197" i="9" s="1"/>
  <c r="N64" i="33"/>
  <c r="N30" i="33"/>
  <c r="H59" i="40"/>
  <c r="H484" i="40"/>
  <c r="L484" i="40" s="1"/>
  <c r="L707" i="40"/>
  <c r="H766" i="40"/>
  <c r="L766" i="40" s="1"/>
  <c r="M75" i="33"/>
  <c r="G884" i="40" s="1"/>
  <c r="I884" i="40" s="1"/>
  <c r="M70" i="33"/>
  <c r="G664" i="40" s="1"/>
  <c r="I664" i="40" s="1"/>
  <c r="L23" i="33"/>
  <c r="M78" i="19"/>
  <c r="M87" i="19"/>
  <c r="M36" i="19"/>
  <c r="M99" i="19"/>
  <c r="M50" i="19"/>
  <c r="R97" i="24"/>
  <c r="M71" i="19"/>
  <c r="M80" i="19"/>
  <c r="M104" i="19"/>
  <c r="F52" i="40"/>
  <c r="F590" i="40" s="1"/>
  <c r="J590" i="40" s="1"/>
  <c r="M55" i="19"/>
  <c r="M86" i="19"/>
  <c r="M69" i="19"/>
  <c r="M113" i="19"/>
  <c r="M92" i="19"/>
  <c r="K139" i="19"/>
  <c r="L57" i="1" s="1"/>
  <c r="R105" i="24"/>
  <c r="U31" i="33"/>
  <c r="U25" i="33"/>
  <c r="I93" i="19"/>
  <c r="L93" i="19" s="1"/>
  <c r="M93" i="19" s="1"/>
  <c r="I84" i="19"/>
  <c r="L84" i="19" s="1"/>
  <c r="M84" i="19" s="1"/>
  <c r="I34" i="19"/>
  <c r="L34" i="19" s="1"/>
  <c r="M34" i="19" s="1"/>
  <c r="I39" i="19"/>
  <c r="L39" i="19" s="1"/>
  <c r="M39" i="19" s="1"/>
  <c r="J126" i="19"/>
  <c r="J133" i="19"/>
  <c r="M72" i="33"/>
  <c r="G749" i="40" s="1"/>
  <c r="I749" i="40" s="1"/>
  <c r="L51" i="33"/>
  <c r="L68" i="33"/>
  <c r="K134" i="1"/>
  <c r="F55" i="40"/>
  <c r="M40" i="19"/>
  <c r="M72" i="19"/>
  <c r="M48" i="19"/>
  <c r="M68" i="19"/>
  <c r="M35" i="19"/>
  <c r="L136" i="19"/>
  <c r="M54" i="1" s="1"/>
  <c r="M62" i="19"/>
  <c r="M106" i="19"/>
  <c r="M90" i="19"/>
  <c r="M122" i="19"/>
  <c r="M74" i="19"/>
  <c r="L140" i="19"/>
  <c r="M58" i="1" s="1"/>
  <c r="M117" i="19"/>
  <c r="M140" i="19" s="1"/>
  <c r="O58" i="1" s="1"/>
  <c r="E314" i="9" s="1"/>
  <c r="M73" i="19"/>
  <c r="L139" i="19"/>
  <c r="M57" i="1" s="1"/>
  <c r="M112" i="19"/>
  <c r="M139" i="19" s="1"/>
  <c r="O57" i="1" s="1"/>
  <c r="E289" i="9" s="1"/>
  <c r="O124" i="1"/>
  <c r="E162" i="9" s="1"/>
  <c r="I338" i="9" s="1"/>
  <c r="K124" i="1"/>
  <c r="O125" i="1"/>
  <c r="E187" i="9" s="1"/>
  <c r="J338" i="9" s="1"/>
  <c r="K125" i="1"/>
  <c r="J135" i="19"/>
  <c r="K53" i="1" s="1"/>
  <c r="K134" i="19"/>
  <c r="L52" i="1" s="1"/>
  <c r="K136" i="19"/>
  <c r="L54" i="1" s="1"/>
  <c r="O126" i="1"/>
  <c r="E212" i="9" s="1"/>
  <c r="K338" i="9" s="1"/>
  <c r="K126" i="1"/>
  <c r="M60" i="19"/>
  <c r="L134" i="19"/>
  <c r="M52" i="1" s="1"/>
  <c r="M43" i="19"/>
  <c r="L133" i="19"/>
  <c r="M32" i="19"/>
  <c r="M51" i="19"/>
  <c r="M98" i="19"/>
  <c r="M58" i="19"/>
  <c r="M45" i="19"/>
  <c r="M61" i="19"/>
  <c r="M77" i="19"/>
  <c r="M111" i="19"/>
  <c r="M100" i="19"/>
  <c r="J136" i="19"/>
  <c r="K54" i="1" s="1"/>
  <c r="J134" i="19"/>
  <c r="K52" i="1" s="1"/>
  <c r="J137" i="19"/>
  <c r="K55" i="1" s="1"/>
  <c r="J139" i="19"/>
  <c r="K57" i="1" s="1"/>
  <c r="K133" i="19"/>
  <c r="K126" i="19"/>
  <c r="K135" i="19"/>
  <c r="L53" i="1" s="1"/>
  <c r="L135" i="19"/>
  <c r="M53" i="1" s="1"/>
  <c r="M52" i="19"/>
  <c r="K137" i="19"/>
  <c r="L55" i="1" s="1"/>
  <c r="F778" i="40"/>
  <c r="J778" i="40" s="1"/>
  <c r="G190" i="9"/>
  <c r="R112" i="24"/>
  <c r="K131" i="1"/>
  <c r="O131" i="1"/>
  <c r="K133" i="1"/>
  <c r="Q112" i="24"/>
  <c r="K123" i="1"/>
  <c r="O123" i="1"/>
  <c r="M91" i="19"/>
  <c r="M42" i="19"/>
  <c r="M66" i="19"/>
  <c r="M107" i="19"/>
  <c r="M101" i="19"/>
  <c r="M59" i="19"/>
  <c r="M102" i="19"/>
  <c r="M65" i="19"/>
  <c r="M95" i="19"/>
  <c r="L137" i="19"/>
  <c r="M55" i="1" s="1"/>
  <c r="M88" i="19"/>
  <c r="M120" i="19"/>
  <c r="N168" i="20"/>
  <c r="P168" i="20"/>
  <c r="Q164" i="20"/>
  <c r="Q159" i="20"/>
  <c r="Q143" i="20"/>
  <c r="Q135" i="20"/>
  <c r="Q160" i="20"/>
  <c r="G215" i="9"/>
  <c r="Q175" i="20"/>
  <c r="Q63" i="20"/>
  <c r="N183" i="20"/>
  <c r="K91" i="1"/>
  <c r="Q176" i="20"/>
  <c r="O92" i="1" s="1"/>
  <c r="E168" i="9" s="1"/>
  <c r="Q181" i="20"/>
  <c r="O97" i="1" s="1"/>
  <c r="E293" i="9" s="1"/>
  <c r="Q180" i="20"/>
  <c r="O96" i="1" s="1"/>
  <c r="E268" i="9" s="1"/>
  <c r="P183" i="20"/>
  <c r="M91" i="1"/>
  <c r="Q182" i="20"/>
  <c r="O98" i="1" s="1"/>
  <c r="E318" i="9" s="1"/>
  <c r="Q179" i="20"/>
  <c r="O95" i="1" s="1"/>
  <c r="E243" i="9" s="1"/>
  <c r="O183" i="20"/>
  <c r="L91" i="1"/>
  <c r="P58" i="4"/>
  <c r="R25" i="37" s="1"/>
  <c r="P95" i="4"/>
  <c r="P79" i="4"/>
  <c r="F381" i="40"/>
  <c r="J381" i="40" s="1"/>
  <c r="F917" i="40"/>
  <c r="J917" i="40" s="1"/>
  <c r="P34" i="4"/>
  <c r="P12" i="4"/>
  <c r="F457" i="40"/>
  <c r="J457" i="40" s="1"/>
  <c r="F534" i="40"/>
  <c r="J534" i="40" s="1"/>
  <c r="P38" i="4"/>
  <c r="F328" i="40"/>
  <c r="J328" i="40" s="1"/>
  <c r="F642" i="40"/>
  <c r="J642" i="40" s="1"/>
  <c r="F211" i="40"/>
  <c r="J211" i="40" s="1"/>
  <c r="F434" i="40"/>
  <c r="J434" i="40" s="1"/>
  <c r="P91" i="4"/>
  <c r="P72" i="4"/>
  <c r="P46" i="4"/>
  <c r="P27" i="4"/>
  <c r="P23" i="4"/>
  <c r="P90" i="4"/>
  <c r="P73" i="4"/>
  <c r="P48" i="4"/>
  <c r="V59" i="33" s="1"/>
  <c r="O104" i="4"/>
  <c r="M10" i="1" s="1"/>
  <c r="F157" i="40"/>
  <c r="J157" i="40" s="1"/>
  <c r="F863" i="40"/>
  <c r="J863" i="40" s="1"/>
  <c r="F103" i="40"/>
  <c r="J103" i="40" s="1"/>
  <c r="F971" i="40"/>
  <c r="J971" i="40" s="1"/>
  <c r="P19" i="4"/>
  <c r="AD25" i="37"/>
  <c r="AE25" i="37" s="1"/>
  <c r="E52" i="37" s="1"/>
  <c r="P60" i="4"/>
  <c r="R28" i="37" s="1"/>
  <c r="AD28" i="37" s="1"/>
  <c r="AE28" i="37" s="1"/>
  <c r="E47" i="37" s="1"/>
  <c r="P44" i="4"/>
  <c r="P28" i="4"/>
  <c r="R22" i="37" s="1"/>
  <c r="AD22" i="37" s="1"/>
  <c r="AE22" i="37" s="1"/>
  <c r="E55" i="37" s="1"/>
  <c r="E75" i="37" s="1"/>
  <c r="M110" i="4"/>
  <c r="K16" i="1" s="1"/>
  <c r="P20" i="4"/>
  <c r="J50" i="40"/>
  <c r="F697" i="40"/>
  <c r="F756" i="40" s="1"/>
  <c r="F232" i="40"/>
  <c r="J232" i="40" s="1"/>
  <c r="F253" i="40"/>
  <c r="J253" i="40" s="1"/>
  <c r="F809" i="40"/>
  <c r="J809" i="40" s="1"/>
  <c r="P88" i="4"/>
  <c r="P26" i="4"/>
  <c r="N110" i="4"/>
  <c r="L16" i="1" s="1"/>
  <c r="N109" i="4"/>
  <c r="L15" i="1" s="1"/>
  <c r="M106" i="4"/>
  <c r="K12" i="1" s="1"/>
  <c r="N105" i="4"/>
  <c r="L11" i="1" s="1"/>
  <c r="O103" i="4"/>
  <c r="M9" i="1" s="1"/>
  <c r="P42" i="4"/>
  <c r="O43" i="33" s="1"/>
  <c r="L43" i="33" s="1"/>
  <c r="F245" i="40" s="1"/>
  <c r="P15" i="4"/>
  <c r="P94" i="4"/>
  <c r="O110" i="4"/>
  <c r="M16" i="1" s="1"/>
  <c r="N103" i="4"/>
  <c r="L9" i="1" s="1"/>
  <c r="P80" i="4"/>
  <c r="P75" i="4"/>
  <c r="N107" i="4"/>
  <c r="L13" i="1" s="1"/>
  <c r="P21" i="4"/>
  <c r="P50" i="4"/>
  <c r="V61" i="33" s="1"/>
  <c r="M61" i="33" s="1"/>
  <c r="V43" i="33"/>
  <c r="M43" i="33" s="1"/>
  <c r="G245" i="40" s="1"/>
  <c r="P87" i="4"/>
  <c r="P36" i="4"/>
  <c r="O33" i="33" s="1"/>
  <c r="P22" i="4"/>
  <c r="P53" i="4"/>
  <c r="O78" i="33" s="1"/>
  <c r="L78" i="33" s="1"/>
  <c r="F988" i="40" s="1"/>
  <c r="J988" i="40" s="1"/>
  <c r="O106" i="4"/>
  <c r="M12" i="1" s="1"/>
  <c r="O105" i="4"/>
  <c r="M11" i="1" s="1"/>
  <c r="F661" i="40"/>
  <c r="J661" i="40" s="1"/>
  <c r="F605" i="40"/>
  <c r="J605" i="40" s="1"/>
  <c r="F746" i="40"/>
  <c r="J746" i="40" s="1"/>
  <c r="F880" i="40"/>
  <c r="J880" i="40" s="1"/>
  <c r="F826" i="40"/>
  <c r="J826" i="40" s="1"/>
  <c r="F716" i="40"/>
  <c r="F553" i="40"/>
  <c r="J553" i="40" s="1"/>
  <c r="P31" i="4"/>
  <c r="P62" i="4"/>
  <c r="P82" i="4"/>
  <c r="P93" i="4"/>
  <c r="P85" i="4"/>
  <c r="P77" i="4"/>
  <c r="P64" i="4"/>
  <c r="P63" i="4"/>
  <c r="N106" i="4"/>
  <c r="L12" i="1" s="1"/>
  <c r="P55" i="4"/>
  <c r="N96" i="4"/>
  <c r="P65" i="4"/>
  <c r="F745" i="40"/>
  <c r="J745" i="40" s="1"/>
  <c r="F660" i="40"/>
  <c r="J660" i="40" s="1"/>
  <c r="F604" i="40"/>
  <c r="J604" i="40" s="1"/>
  <c r="F472" i="40"/>
  <c r="F879" i="40"/>
  <c r="J879" i="40" s="1"/>
  <c r="F825" i="40"/>
  <c r="J825" i="40" s="1"/>
  <c r="F715" i="40"/>
  <c r="F552" i="40"/>
  <c r="J552" i="40" s="1"/>
  <c r="O109" i="4"/>
  <c r="M15" i="1" s="1"/>
  <c r="P51" i="4"/>
  <c r="V74" i="33" s="1"/>
  <c r="P35" i="4"/>
  <c r="O31" i="33" s="1"/>
  <c r="P61" i="4"/>
  <c r="O107" i="4"/>
  <c r="M13" i="1" s="1"/>
  <c r="P33" i="4"/>
  <c r="O29" i="33" s="1"/>
  <c r="P25" i="4"/>
  <c r="N108" i="4"/>
  <c r="L14" i="1" s="1"/>
  <c r="V60" i="33"/>
  <c r="M109" i="4"/>
  <c r="K15" i="1" s="1"/>
  <c r="P18" i="4"/>
  <c r="P78" i="4"/>
  <c r="V21" i="33"/>
  <c r="M21" i="33" s="1"/>
  <c r="O21" i="33"/>
  <c r="M104" i="4"/>
  <c r="K10" i="1" s="1"/>
  <c r="P13" i="4"/>
  <c r="M103" i="4"/>
  <c r="N104" i="4"/>
  <c r="L10" i="1" s="1"/>
  <c r="P49" i="4"/>
  <c r="V28" i="33"/>
  <c r="O27" i="33"/>
  <c r="V27" i="33"/>
  <c r="O26" i="33"/>
  <c r="V26" i="33"/>
  <c r="O28" i="33"/>
  <c r="O96" i="4"/>
  <c r="M108" i="4"/>
  <c r="K14" i="1" s="1"/>
  <c r="P17" i="4"/>
  <c r="P74" i="4"/>
  <c r="P89" i="4"/>
  <c r="P81" i="4"/>
  <c r="P69" i="4"/>
  <c r="P37" i="4"/>
  <c r="P57" i="4"/>
  <c r="P41" i="4"/>
  <c r="O42" i="33" s="1"/>
  <c r="P71" i="4"/>
  <c r="P39" i="4"/>
  <c r="O108" i="4"/>
  <c r="M14" i="1" s="1"/>
  <c r="P29" i="4"/>
  <c r="P103" i="4" s="1"/>
  <c r="P16" i="4"/>
  <c r="M107" i="4"/>
  <c r="K13" i="1" s="1"/>
  <c r="J588" i="40"/>
  <c r="M56" i="33"/>
  <c r="G879" i="40" s="1"/>
  <c r="P86" i="4"/>
  <c r="O77" i="33"/>
  <c r="O76" i="33"/>
  <c r="V77" i="33"/>
  <c r="V76" i="33"/>
  <c r="V34" i="33"/>
  <c r="V33" i="33"/>
  <c r="P47" i="4"/>
  <c r="P67" i="4"/>
  <c r="P45" i="4"/>
  <c r="M105" i="4"/>
  <c r="K11" i="1" s="1"/>
  <c r="P14" i="4"/>
  <c r="M96" i="4"/>
  <c r="P59" i="4"/>
  <c r="R26" i="37" s="1"/>
  <c r="AD26" i="37" s="1"/>
  <c r="F811" i="40"/>
  <c r="J811" i="40" s="1"/>
  <c r="F865" i="40"/>
  <c r="J865" i="40" s="1"/>
  <c r="F255" i="40"/>
  <c r="J255" i="40" s="1"/>
  <c r="F105" i="40"/>
  <c r="J105" i="40" s="1"/>
  <c r="F383" i="40"/>
  <c r="J383" i="40" s="1"/>
  <c r="F234" i="40"/>
  <c r="J234" i="40" s="1"/>
  <c r="F213" i="40"/>
  <c r="J52" i="40"/>
  <c r="F159" i="40"/>
  <c r="J159" i="40" s="1"/>
  <c r="F644" i="40"/>
  <c r="J644" i="40" s="1"/>
  <c r="P43" i="4"/>
  <c r="Q163" i="20"/>
  <c r="Q155" i="20"/>
  <c r="M64" i="33"/>
  <c r="Q167" i="20"/>
  <c r="Q149" i="20"/>
  <c r="Q145" i="20"/>
  <c r="Q141" i="20"/>
  <c r="Q137" i="20"/>
  <c r="Q133" i="20"/>
  <c r="Q144" i="20"/>
  <c r="Q136" i="20"/>
  <c r="P92" i="4"/>
  <c r="P76" i="4"/>
  <c r="AE27" i="37"/>
  <c r="E49" i="37" s="1"/>
  <c r="J32" i="37"/>
  <c r="AD32" i="37" s="1"/>
  <c r="AE32" i="37" s="1"/>
  <c r="E51" i="37" s="1"/>
  <c r="E72" i="37" s="1"/>
  <c r="M23" i="33"/>
  <c r="G55" i="40"/>
  <c r="AE35" i="37"/>
  <c r="J36" i="37"/>
  <c r="AD36" i="37" s="1"/>
  <c r="AE36" i="37" s="1"/>
  <c r="E44" i="37" s="1"/>
  <c r="K884" i="40"/>
  <c r="M884" i="40" s="1"/>
  <c r="AE34" i="37"/>
  <c r="E43" i="37" s="1"/>
  <c r="AI13" i="33"/>
  <c r="M13" i="33"/>
  <c r="G50" i="40"/>
  <c r="M68" i="33"/>
  <c r="M51" i="33"/>
  <c r="K664" i="40"/>
  <c r="M664" i="40" s="1"/>
  <c r="Q165" i="20"/>
  <c r="M17" i="33"/>
  <c r="G52" i="40"/>
  <c r="G880" i="40"/>
  <c r="G826" i="40"/>
  <c r="G746" i="40"/>
  <c r="G716" i="40"/>
  <c r="G661" i="40"/>
  <c r="G605" i="40"/>
  <c r="G553" i="40"/>
  <c r="K749" i="40"/>
  <c r="M749" i="40" s="1"/>
  <c r="Q161" i="20"/>
  <c r="Q153" i="20"/>
  <c r="AE13" i="37"/>
  <c r="E60" i="37" s="1"/>
  <c r="Q148" i="20"/>
  <c r="Q140" i="20"/>
  <c r="Q132" i="20"/>
  <c r="Q168" i="20" s="1"/>
  <c r="Q157" i="20"/>
  <c r="P84" i="4"/>
  <c r="M25" i="33"/>
  <c r="G56" i="40"/>
  <c r="AJ14" i="33"/>
  <c r="E91" i="33" s="1"/>
  <c r="K719" i="40"/>
  <c r="M719" i="40" s="1"/>
  <c r="I719" i="40"/>
  <c r="G244" i="9" l="1"/>
  <c r="G269" i="9"/>
  <c r="M349" i="9"/>
  <c r="H985" i="40"/>
  <c r="L985" i="40" s="1"/>
  <c r="H931" i="40"/>
  <c r="L931" i="40" s="1"/>
  <c r="H741" i="40"/>
  <c r="L741" i="40" s="1"/>
  <c r="H548" i="40"/>
  <c r="L548" i="40" s="1"/>
  <c r="H471" i="40"/>
  <c r="L471" i="40" s="1"/>
  <c r="H395" i="40"/>
  <c r="L395" i="40" s="1"/>
  <c r="H711" i="40"/>
  <c r="H823" i="40"/>
  <c r="L823" i="40" s="1"/>
  <c r="H656" i="40"/>
  <c r="L656" i="40" s="1"/>
  <c r="H448" i="40"/>
  <c r="H602" i="40"/>
  <c r="L602" i="40" s="1"/>
  <c r="H877" i="40"/>
  <c r="L877" i="40" s="1"/>
  <c r="L64" i="33"/>
  <c r="H972" i="40"/>
  <c r="L972" i="40" s="1"/>
  <c r="H918" i="40"/>
  <c r="L918" i="40" s="1"/>
  <c r="H810" i="40"/>
  <c r="L810" i="40" s="1"/>
  <c r="H643" i="40"/>
  <c r="L643" i="40" s="1"/>
  <c r="H728" i="40"/>
  <c r="L728" i="40" s="1"/>
  <c r="H698" i="40"/>
  <c r="H158" i="40"/>
  <c r="L158" i="40" s="1"/>
  <c r="H589" i="40"/>
  <c r="L589" i="40" s="1"/>
  <c r="H329" i="40"/>
  <c r="L329" i="40" s="1"/>
  <c r="H254" i="40"/>
  <c r="L254" i="40" s="1"/>
  <c r="H104" i="40"/>
  <c r="L104" i="40" s="1"/>
  <c r="H458" i="40"/>
  <c r="L458" i="40" s="1"/>
  <c r="H233" i="40"/>
  <c r="L233" i="40" s="1"/>
  <c r="H864" i="40"/>
  <c r="L864" i="40" s="1"/>
  <c r="H535" i="40"/>
  <c r="L535" i="40" s="1"/>
  <c r="H435" i="40"/>
  <c r="H212" i="40"/>
  <c r="L51" i="40"/>
  <c r="H382" i="40"/>
  <c r="L382" i="40" s="1"/>
  <c r="H820" i="40"/>
  <c r="L820" i="40" s="1"/>
  <c r="H653" i="40"/>
  <c r="L653" i="40" s="1"/>
  <c r="H982" i="40"/>
  <c r="L982" i="40" s="1"/>
  <c r="H874" i="40"/>
  <c r="L874" i="40" s="1"/>
  <c r="H599" i="40"/>
  <c r="L599" i="40" s="1"/>
  <c r="H738" i="40"/>
  <c r="L738" i="40" s="1"/>
  <c r="H468" i="40"/>
  <c r="L468" i="40" s="1"/>
  <c r="H392" i="40"/>
  <c r="L392" i="40" s="1"/>
  <c r="H168" i="40"/>
  <c r="L168" i="40" s="1"/>
  <c r="H243" i="40"/>
  <c r="L243" i="40" s="1"/>
  <c r="H545" i="40"/>
  <c r="L545" i="40" s="1"/>
  <c r="H445" i="40"/>
  <c r="H928" i="40"/>
  <c r="L928" i="40" s="1"/>
  <c r="H339" i="40"/>
  <c r="L339" i="40" s="1"/>
  <c r="H264" i="40"/>
  <c r="L264" i="40" s="1"/>
  <c r="H114" i="40"/>
  <c r="L114" i="40" s="1"/>
  <c r="H222" i="40"/>
  <c r="L61" i="40"/>
  <c r="H708" i="40"/>
  <c r="G778" i="40"/>
  <c r="K778" i="40" s="1"/>
  <c r="M778" i="40" s="1"/>
  <c r="F330" i="40"/>
  <c r="J330" i="40" s="1"/>
  <c r="F919" i="40"/>
  <c r="J919" i="40" s="1"/>
  <c r="F536" i="40"/>
  <c r="J536" i="40" s="1"/>
  <c r="F436" i="40"/>
  <c r="F483" i="40" s="1"/>
  <c r="J483" i="40" s="1"/>
  <c r="L217" i="40"/>
  <c r="H281" i="40"/>
  <c r="L281" i="40" s="1"/>
  <c r="H170" i="40"/>
  <c r="L170" i="40" s="1"/>
  <c r="H224" i="40"/>
  <c r="H743" i="40"/>
  <c r="L743" i="40" s="1"/>
  <c r="H550" i="40"/>
  <c r="L550" i="40" s="1"/>
  <c r="H658" i="40"/>
  <c r="L658" i="40" s="1"/>
  <c r="H713" i="40"/>
  <c r="H983" i="40"/>
  <c r="L983" i="40" s="1"/>
  <c r="H739" i="40"/>
  <c r="L739" i="40" s="1"/>
  <c r="H546" i="40"/>
  <c r="L546" i="40" s="1"/>
  <c r="H469" i="40"/>
  <c r="L469" i="40" s="1"/>
  <c r="H393" i="40"/>
  <c r="L393" i="40" s="1"/>
  <c r="H709" i="40"/>
  <c r="H821" i="40"/>
  <c r="L821" i="40" s="1"/>
  <c r="H244" i="40"/>
  <c r="L244" i="40" s="1"/>
  <c r="H929" i="40"/>
  <c r="L929" i="40" s="1"/>
  <c r="H875" i="40"/>
  <c r="L875" i="40" s="1"/>
  <c r="H340" i="40"/>
  <c r="L340" i="40" s="1"/>
  <c r="H115" i="40"/>
  <c r="L115" i="40" s="1"/>
  <c r="H265" i="40"/>
  <c r="L265" i="40" s="1"/>
  <c r="H654" i="40"/>
  <c r="L654" i="40" s="1"/>
  <c r="H600" i="40"/>
  <c r="L600" i="40" s="1"/>
  <c r="H446" i="40"/>
  <c r="H223" i="40"/>
  <c r="H169" i="40"/>
  <c r="L169" i="40" s="1"/>
  <c r="L714" i="40"/>
  <c r="H773" i="40"/>
  <c r="L773" i="40" s="1"/>
  <c r="H771" i="40"/>
  <c r="L771" i="40" s="1"/>
  <c r="L712" i="40"/>
  <c r="H980" i="40"/>
  <c r="L980" i="40" s="1"/>
  <c r="H926" i="40"/>
  <c r="L926" i="40" s="1"/>
  <c r="H818" i="40"/>
  <c r="L818" i="40" s="1"/>
  <c r="H651" i="40"/>
  <c r="L651" i="40" s="1"/>
  <c r="H736" i="40"/>
  <c r="L736" i="40" s="1"/>
  <c r="H706" i="40"/>
  <c r="H166" i="40"/>
  <c r="L166" i="40" s="1"/>
  <c r="H543" i="40"/>
  <c r="L543" i="40" s="1"/>
  <c r="H262" i="40"/>
  <c r="L262" i="40" s="1"/>
  <c r="H112" i="40"/>
  <c r="L112" i="40" s="1"/>
  <c r="H597" i="40"/>
  <c r="L597" i="40" s="1"/>
  <c r="H443" i="40"/>
  <c r="L59" i="40"/>
  <c r="H466" i="40"/>
  <c r="L466" i="40" s="1"/>
  <c r="H390" i="40"/>
  <c r="L390" i="40" s="1"/>
  <c r="H220" i="40"/>
  <c r="H872" i="40"/>
  <c r="L872" i="40" s="1"/>
  <c r="H337" i="40"/>
  <c r="L337" i="40" s="1"/>
  <c r="H241" i="40"/>
  <c r="L241" i="40" s="1"/>
  <c r="L703" i="40"/>
  <c r="H762" i="40"/>
  <c r="L762" i="40" s="1"/>
  <c r="L472" i="40"/>
  <c r="H497" i="40"/>
  <c r="L497" i="40" s="1"/>
  <c r="F699" i="40"/>
  <c r="F459" i="40"/>
  <c r="J459" i="40" s="1"/>
  <c r="F973" i="40"/>
  <c r="J973" i="40" s="1"/>
  <c r="F729" i="40"/>
  <c r="J729" i="40" s="1"/>
  <c r="H663" i="40"/>
  <c r="L663" i="40" s="1"/>
  <c r="H555" i="40"/>
  <c r="L555" i="40" s="1"/>
  <c r="H718" i="40"/>
  <c r="H748" i="40"/>
  <c r="L748" i="40" s="1"/>
  <c r="H814" i="40"/>
  <c r="L814" i="40" s="1"/>
  <c r="H647" i="40"/>
  <c r="L647" i="40" s="1"/>
  <c r="H539" i="40"/>
  <c r="L539" i="40" s="1"/>
  <c r="H868" i="40"/>
  <c r="L868" i="40" s="1"/>
  <c r="H593" i="40"/>
  <c r="L593" i="40" s="1"/>
  <c r="H333" i="40"/>
  <c r="L333" i="40" s="1"/>
  <c r="H162" i="40"/>
  <c r="L162" i="40" s="1"/>
  <c r="H922" i="40"/>
  <c r="L922" i="40" s="1"/>
  <c r="H732" i="40"/>
  <c r="L732" i="40" s="1"/>
  <c r="H702" i="40"/>
  <c r="H216" i="40"/>
  <c r="H237" i="40"/>
  <c r="L237" i="40" s="1"/>
  <c r="H976" i="40"/>
  <c r="L976" i="40" s="1"/>
  <c r="H462" i="40"/>
  <c r="L462" i="40" s="1"/>
  <c r="H439" i="40"/>
  <c r="H386" i="40"/>
  <c r="L386" i="40" s="1"/>
  <c r="H258" i="40"/>
  <c r="L258" i="40" s="1"/>
  <c r="H108" i="40"/>
  <c r="L108" i="40" s="1"/>
  <c r="L55" i="40"/>
  <c r="L440" i="40"/>
  <c r="H487" i="40"/>
  <c r="L487" i="40" s="1"/>
  <c r="L715" i="40"/>
  <c r="H774" i="40"/>
  <c r="L774" i="40" s="1"/>
  <c r="L447" i="40"/>
  <c r="H494" i="40"/>
  <c r="L494" i="40" s="1"/>
  <c r="H816" i="40"/>
  <c r="L816" i="40" s="1"/>
  <c r="H649" i="40"/>
  <c r="L649" i="40" s="1"/>
  <c r="H924" i="40"/>
  <c r="L924" i="40" s="1"/>
  <c r="H704" i="40"/>
  <c r="H978" i="40"/>
  <c r="L978" i="40" s="1"/>
  <c r="H541" i="40"/>
  <c r="L541" i="40" s="1"/>
  <c r="H441" i="40"/>
  <c r="H164" i="40"/>
  <c r="L164" i="40" s="1"/>
  <c r="H870" i="40"/>
  <c r="L870" i="40" s="1"/>
  <c r="H464" i="40"/>
  <c r="L464" i="40" s="1"/>
  <c r="H388" i="40"/>
  <c r="L388" i="40" s="1"/>
  <c r="L57" i="40"/>
  <c r="H734" i="40"/>
  <c r="L734" i="40" s="1"/>
  <c r="H335" i="40"/>
  <c r="L335" i="40" s="1"/>
  <c r="H218" i="40"/>
  <c r="H595" i="40"/>
  <c r="L595" i="40" s="1"/>
  <c r="H239" i="40"/>
  <c r="L239" i="40" s="1"/>
  <c r="H260" i="40"/>
  <c r="L260" i="40" s="1"/>
  <c r="H110" i="40"/>
  <c r="L110" i="40" s="1"/>
  <c r="H769" i="40"/>
  <c r="L769" i="40" s="1"/>
  <c r="L710" i="40"/>
  <c r="H973" i="40"/>
  <c r="L973" i="40" s="1"/>
  <c r="H729" i="40"/>
  <c r="L729" i="40" s="1"/>
  <c r="H536" i="40"/>
  <c r="L536" i="40" s="1"/>
  <c r="H459" i="40"/>
  <c r="L459" i="40" s="1"/>
  <c r="H383" i="40"/>
  <c r="L383" i="40" s="1"/>
  <c r="H811" i="40"/>
  <c r="L811" i="40" s="1"/>
  <c r="H919" i="40"/>
  <c r="L919" i="40" s="1"/>
  <c r="H865" i="40"/>
  <c r="L865" i="40" s="1"/>
  <c r="H644" i="40"/>
  <c r="L644" i="40" s="1"/>
  <c r="H590" i="40"/>
  <c r="L590" i="40" s="1"/>
  <c r="H436" i="40"/>
  <c r="H234" i="40"/>
  <c r="L234" i="40" s="1"/>
  <c r="L52" i="40"/>
  <c r="H330" i="40"/>
  <c r="L330" i="40" s="1"/>
  <c r="H213" i="40"/>
  <c r="H159" i="40"/>
  <c r="L159" i="40" s="1"/>
  <c r="H699" i="40"/>
  <c r="H255" i="40"/>
  <c r="L255" i="40" s="1"/>
  <c r="H105" i="40"/>
  <c r="L105" i="40" s="1"/>
  <c r="H971" i="40"/>
  <c r="H727" i="40"/>
  <c r="H534" i="40"/>
  <c r="H457" i="40"/>
  <c r="H381" i="40"/>
  <c r="H863" i="40"/>
  <c r="H642" i="40"/>
  <c r="H588" i="40"/>
  <c r="H328" i="40"/>
  <c r="H232" i="40"/>
  <c r="H917" i="40"/>
  <c r="H434" i="40"/>
  <c r="H211" i="40"/>
  <c r="H157" i="40"/>
  <c r="H809" i="40"/>
  <c r="H253" i="40"/>
  <c r="H62" i="40"/>
  <c r="H103" i="40"/>
  <c r="H697" i="40"/>
  <c r="L50" i="40"/>
  <c r="L449" i="40"/>
  <c r="H496" i="40"/>
  <c r="L496" i="40" s="1"/>
  <c r="M135" i="19"/>
  <c r="O53" i="1" s="1"/>
  <c r="E189" i="9" s="1"/>
  <c r="J340" i="9" s="1"/>
  <c r="M134" i="19"/>
  <c r="O52" i="1" s="1"/>
  <c r="E164" i="9" s="1"/>
  <c r="G164" i="9" s="1"/>
  <c r="F56" i="40"/>
  <c r="L25" i="33"/>
  <c r="L126" i="19"/>
  <c r="K132" i="1"/>
  <c r="O132" i="1"/>
  <c r="E172" i="9" s="1"/>
  <c r="F814" i="40"/>
  <c r="J814" i="40" s="1"/>
  <c r="F237" i="40"/>
  <c r="J237" i="40" s="1"/>
  <c r="F539" i="40"/>
  <c r="J539" i="40" s="1"/>
  <c r="F976" i="40"/>
  <c r="J976" i="40" s="1"/>
  <c r="J55" i="40"/>
  <c r="F462" i="40"/>
  <c r="J462" i="40" s="1"/>
  <c r="F162" i="40"/>
  <c r="J162" i="40" s="1"/>
  <c r="F108" i="40"/>
  <c r="J108" i="40" s="1"/>
  <c r="F439" i="40"/>
  <c r="F732" i="40"/>
  <c r="J732" i="40" s="1"/>
  <c r="F333" i="40"/>
  <c r="J333" i="40" s="1"/>
  <c r="F868" i="40"/>
  <c r="J868" i="40" s="1"/>
  <c r="F216" i="40"/>
  <c r="F647" i="40"/>
  <c r="J647" i="40" s="1"/>
  <c r="F258" i="40"/>
  <c r="J258" i="40" s="1"/>
  <c r="F593" i="40"/>
  <c r="J593" i="40" s="1"/>
  <c r="F702" i="40"/>
  <c r="F386" i="40"/>
  <c r="J386" i="40" s="1"/>
  <c r="F922" i="40"/>
  <c r="J922" i="40" s="1"/>
  <c r="F932" i="40"/>
  <c r="J932" i="40" s="1"/>
  <c r="F824" i="40"/>
  <c r="J824" i="40" s="1"/>
  <c r="F657" i="40"/>
  <c r="J657" i="40" s="1"/>
  <c r="F712" i="40"/>
  <c r="F742" i="40"/>
  <c r="J742" i="40" s="1"/>
  <c r="F986" i="40"/>
  <c r="J986" i="40" s="1"/>
  <c r="F603" i="40"/>
  <c r="J603" i="40" s="1"/>
  <c r="F878" i="40"/>
  <c r="J878" i="40" s="1"/>
  <c r="F549" i="40"/>
  <c r="J549" i="40" s="1"/>
  <c r="F449" i="40"/>
  <c r="F481" i="40"/>
  <c r="E137" i="9"/>
  <c r="H338" i="9" s="1"/>
  <c r="E46" i="9"/>
  <c r="D83" i="52" s="1"/>
  <c r="J348" i="9"/>
  <c r="G194" i="9"/>
  <c r="M133" i="19"/>
  <c r="M126" i="19"/>
  <c r="M136" i="19"/>
  <c r="O54" i="1" s="1"/>
  <c r="E214" i="9" s="1"/>
  <c r="N340" i="9"/>
  <c r="G289" i="9"/>
  <c r="M137" i="19"/>
  <c r="O55" i="1" s="1"/>
  <c r="E239" i="9" s="1"/>
  <c r="E56" i="9"/>
  <c r="D93" i="52" s="1"/>
  <c r="E147" i="9"/>
  <c r="K348" i="9"/>
  <c r="G219" i="9"/>
  <c r="J141" i="19"/>
  <c r="K51" i="1"/>
  <c r="K141" i="19"/>
  <c r="L51" i="1"/>
  <c r="L141" i="19"/>
  <c r="M51" i="1"/>
  <c r="M195" i="1" s="1"/>
  <c r="E90" i="9" s="1"/>
  <c r="G314" i="9"/>
  <c r="O340" i="9"/>
  <c r="F882" i="40"/>
  <c r="J882" i="40" s="1"/>
  <c r="F607" i="40"/>
  <c r="J607" i="40" s="1"/>
  <c r="F828" i="40"/>
  <c r="J828" i="40" s="1"/>
  <c r="L344" i="9"/>
  <c r="G240" i="9"/>
  <c r="G315" i="9"/>
  <c r="O344" i="9"/>
  <c r="M344" i="9"/>
  <c r="G265" i="9"/>
  <c r="N344" i="9"/>
  <c r="G290" i="9"/>
  <c r="I344" i="9"/>
  <c r="G165" i="9"/>
  <c r="Q183" i="20"/>
  <c r="O91" i="1"/>
  <c r="J697" i="40"/>
  <c r="R14" i="37"/>
  <c r="AD14" i="37" s="1"/>
  <c r="AE14" i="37" s="1"/>
  <c r="E61" i="37" s="1"/>
  <c r="P110" i="4"/>
  <c r="O16" i="1" s="1"/>
  <c r="E29" i="9" s="1"/>
  <c r="O74" i="33"/>
  <c r="R15" i="37"/>
  <c r="AD15" i="37" s="1"/>
  <c r="AE15" i="37" s="1"/>
  <c r="E62" i="37" s="1"/>
  <c r="R23" i="37"/>
  <c r="AD23" i="37" s="1"/>
  <c r="AE23" i="37" s="1"/>
  <c r="O61" i="33"/>
  <c r="L61" i="33" s="1"/>
  <c r="F714" i="40" s="1"/>
  <c r="R24" i="37"/>
  <c r="AD24" i="37" s="1"/>
  <c r="AE24" i="37" s="1"/>
  <c r="O34" i="33"/>
  <c r="V29" i="33"/>
  <c r="V32" i="33"/>
  <c r="M32" i="33" s="1"/>
  <c r="O73" i="33"/>
  <c r="M59" i="33"/>
  <c r="V30" i="33"/>
  <c r="O30" i="33"/>
  <c r="O46" i="33"/>
  <c r="P108" i="4"/>
  <c r="O14" i="1" s="1"/>
  <c r="V31" i="33"/>
  <c r="G60" i="40" s="1"/>
  <c r="G873" i="40" s="1"/>
  <c r="F275" i="40"/>
  <c r="J275" i="40" s="1"/>
  <c r="V78" i="33"/>
  <c r="M78" i="33" s="1"/>
  <c r="G988" i="40" s="1"/>
  <c r="K988" i="40" s="1"/>
  <c r="M988" i="40" s="1"/>
  <c r="G552" i="40"/>
  <c r="M26" i="33"/>
  <c r="V73" i="33"/>
  <c r="M73" i="33" s="1"/>
  <c r="G551" i="40"/>
  <c r="G744" i="40"/>
  <c r="G714" i="40"/>
  <c r="K714" i="40" s="1"/>
  <c r="G659" i="40"/>
  <c r="O32" i="33"/>
  <c r="O59" i="33"/>
  <c r="AI21" i="33"/>
  <c r="AJ21" i="33" s="1"/>
  <c r="E95" i="33" s="1"/>
  <c r="O60" i="33"/>
  <c r="I245" i="40"/>
  <c r="G57" i="40"/>
  <c r="G870" i="40" s="1"/>
  <c r="M76" i="33"/>
  <c r="G933" i="40" s="1"/>
  <c r="K933" i="40" s="1"/>
  <c r="G745" i="40"/>
  <c r="I745" i="40" s="1"/>
  <c r="G289" i="40"/>
  <c r="K289" i="40" s="1"/>
  <c r="K245" i="40"/>
  <c r="G472" i="40"/>
  <c r="K472" i="40" s="1"/>
  <c r="G825" i="40"/>
  <c r="I825" i="40" s="1"/>
  <c r="F289" i="40"/>
  <c r="J289" i="40" s="1"/>
  <c r="L76" i="33"/>
  <c r="F933" i="40" s="1"/>
  <c r="J472" i="40"/>
  <c r="F497" i="40"/>
  <c r="J497" i="40" s="1"/>
  <c r="V22" i="33"/>
  <c r="O22" i="33"/>
  <c r="G660" i="40"/>
  <c r="K660" i="40" s="1"/>
  <c r="M660" i="40" s="1"/>
  <c r="G604" i="40"/>
  <c r="I604" i="40" s="1"/>
  <c r="J715" i="40"/>
  <c r="F774" i="40"/>
  <c r="J774" i="40" s="1"/>
  <c r="J245" i="40"/>
  <c r="N111" i="4"/>
  <c r="G715" i="40"/>
  <c r="K715" i="40" s="1"/>
  <c r="M715" i="40" s="1"/>
  <c r="J37" i="37"/>
  <c r="AD37" i="37" s="1"/>
  <c r="AE37" i="37" s="1"/>
  <c r="E45" i="37" s="1"/>
  <c r="E71" i="37" s="1"/>
  <c r="V41" i="33"/>
  <c r="J716" i="40"/>
  <c r="F775" i="40"/>
  <c r="J775" i="40" s="1"/>
  <c r="AE26" i="37"/>
  <c r="E50" i="37" s="1"/>
  <c r="J30" i="37"/>
  <c r="AD30" i="37" s="1"/>
  <c r="AE30" i="37" s="1"/>
  <c r="E53" i="37" s="1"/>
  <c r="E73" i="37" s="1"/>
  <c r="E308" i="9"/>
  <c r="L32" i="33"/>
  <c r="F61" i="40"/>
  <c r="V45" i="33"/>
  <c r="V42" i="33"/>
  <c r="P104" i="4"/>
  <c r="O10" i="1" s="1"/>
  <c r="P96" i="4"/>
  <c r="V46" i="33"/>
  <c r="L26" i="33"/>
  <c r="F57" i="40"/>
  <c r="O63" i="33"/>
  <c r="O62" i="33"/>
  <c r="V63" i="33"/>
  <c r="V62" i="33"/>
  <c r="L195" i="1"/>
  <c r="E89" i="9" s="1"/>
  <c r="P120" i="9"/>
  <c r="P121" i="9" s="1"/>
  <c r="N122" i="9" s="1"/>
  <c r="F987" i="40"/>
  <c r="J987" i="40" s="1"/>
  <c r="P107" i="4"/>
  <c r="O13" i="1" s="1"/>
  <c r="O9" i="1"/>
  <c r="G53" i="40"/>
  <c r="G812" i="40" s="1"/>
  <c r="V44" i="33"/>
  <c r="M44" i="33" s="1"/>
  <c r="G266" i="40" s="1"/>
  <c r="O44" i="33"/>
  <c r="L44" i="33" s="1"/>
  <c r="F266" i="40" s="1"/>
  <c r="J481" i="40"/>
  <c r="F758" i="40"/>
  <c r="J758" i="40" s="1"/>
  <c r="J699" i="40"/>
  <c r="P105" i="4"/>
  <c r="O11" i="1" s="1"/>
  <c r="J756" i="40"/>
  <c r="V16" i="33"/>
  <c r="V15" i="33"/>
  <c r="O16" i="33"/>
  <c r="O15" i="33"/>
  <c r="V40" i="33"/>
  <c r="V39" i="33"/>
  <c r="V38" i="33"/>
  <c r="V37" i="33"/>
  <c r="V36" i="33"/>
  <c r="V35" i="33"/>
  <c r="O40" i="33"/>
  <c r="O39" i="33"/>
  <c r="O38" i="33"/>
  <c r="O37" i="33"/>
  <c r="O36" i="33"/>
  <c r="O35" i="33"/>
  <c r="O41" i="33"/>
  <c r="L41" i="33" s="1"/>
  <c r="M111" i="4"/>
  <c r="K9" i="1"/>
  <c r="O45" i="33"/>
  <c r="R120" i="9"/>
  <c r="R121" i="9" s="1"/>
  <c r="R122" i="9" s="1"/>
  <c r="J213" i="40"/>
  <c r="F277" i="40"/>
  <c r="J277" i="40" s="1"/>
  <c r="V50" i="33"/>
  <c r="O50" i="33"/>
  <c r="V49" i="33"/>
  <c r="O49" i="33"/>
  <c r="O47" i="33"/>
  <c r="P106" i="4"/>
  <c r="O12" i="1" s="1"/>
  <c r="V48" i="33"/>
  <c r="O48" i="33"/>
  <c r="V47" i="33"/>
  <c r="L29" i="33"/>
  <c r="F58" i="40"/>
  <c r="J436" i="40"/>
  <c r="E27" i="9"/>
  <c r="E258" i="9"/>
  <c r="L21" i="33"/>
  <c r="F53" i="40"/>
  <c r="L31" i="33"/>
  <c r="F60" i="40"/>
  <c r="P109" i="4"/>
  <c r="O15" i="1" s="1"/>
  <c r="O111" i="4"/>
  <c r="I553" i="40"/>
  <c r="K553" i="40"/>
  <c r="M553" i="40" s="1"/>
  <c r="G971" i="40"/>
  <c r="G863" i="40"/>
  <c r="G917" i="40"/>
  <c r="G809" i="40"/>
  <c r="G727" i="40"/>
  <c r="G697" i="40"/>
  <c r="G642" i="40"/>
  <c r="G457" i="40"/>
  <c r="G328" i="40"/>
  <c r="G534" i="40"/>
  <c r="G434" i="40"/>
  <c r="G381" i="40"/>
  <c r="G588" i="40"/>
  <c r="G232" i="40"/>
  <c r="G103" i="40"/>
  <c r="G253" i="40"/>
  <c r="K50" i="40"/>
  <c r="G157" i="40"/>
  <c r="G211" i="40"/>
  <c r="I50" i="40"/>
  <c r="G263" i="40"/>
  <c r="K879" i="40"/>
  <c r="M879" i="40" s="1"/>
  <c r="I879" i="40"/>
  <c r="I605" i="40"/>
  <c r="K605" i="40"/>
  <c r="M605" i="40" s="1"/>
  <c r="I826" i="40"/>
  <c r="K826" i="40"/>
  <c r="M826" i="40" s="1"/>
  <c r="G824" i="40"/>
  <c r="G986" i="40"/>
  <c r="G878" i="40"/>
  <c r="G742" i="40"/>
  <c r="G712" i="40"/>
  <c r="G657" i="40"/>
  <c r="G603" i="40"/>
  <c r="G932" i="40"/>
  <c r="G549" i="40"/>
  <c r="G449" i="40"/>
  <c r="G748" i="40"/>
  <c r="G718" i="40"/>
  <c r="G663" i="40"/>
  <c r="G555" i="40"/>
  <c r="G919" i="40"/>
  <c r="G973" i="40"/>
  <c r="G729" i="40"/>
  <c r="G699" i="40"/>
  <c r="G644" i="40"/>
  <c r="G865" i="40"/>
  <c r="G811" i="40"/>
  <c r="G590" i="40"/>
  <c r="G459" i="40"/>
  <c r="G330" i="40"/>
  <c r="G536" i="40"/>
  <c r="G436" i="40"/>
  <c r="G383" i="40"/>
  <c r="G159" i="40"/>
  <c r="G213" i="40"/>
  <c r="I52" i="40"/>
  <c r="G234" i="40"/>
  <c r="G105" i="40"/>
  <c r="G255" i="40"/>
  <c r="K52" i="40"/>
  <c r="M52" i="40" s="1"/>
  <c r="I552" i="40"/>
  <c r="K552" i="40"/>
  <c r="M552" i="40" s="1"/>
  <c r="G923" i="40"/>
  <c r="G815" i="40"/>
  <c r="G977" i="40"/>
  <c r="G869" i="40"/>
  <c r="G733" i="40"/>
  <c r="G703" i="40"/>
  <c r="G648" i="40"/>
  <c r="G594" i="40"/>
  <c r="G463" i="40"/>
  <c r="G334" i="40"/>
  <c r="G540" i="40"/>
  <c r="G440" i="40"/>
  <c r="G387" i="40"/>
  <c r="G163" i="40"/>
  <c r="G217" i="40"/>
  <c r="I56" i="40"/>
  <c r="G238" i="40"/>
  <c r="G109" i="40"/>
  <c r="G259" i="40"/>
  <c r="K56" i="40"/>
  <c r="K661" i="40"/>
  <c r="M661" i="40" s="1"/>
  <c r="I661" i="40"/>
  <c r="K880" i="40"/>
  <c r="M880" i="40" s="1"/>
  <c r="I880" i="40"/>
  <c r="G828" i="40"/>
  <c r="G882" i="40"/>
  <c r="G607" i="40"/>
  <c r="AJ13" i="33"/>
  <c r="E90" i="33" s="1"/>
  <c r="K22" i="33"/>
  <c r="G868" i="40"/>
  <c r="G922" i="40"/>
  <c r="G814" i="40"/>
  <c r="G976" i="40"/>
  <c r="G732" i="40"/>
  <c r="G702" i="40"/>
  <c r="G647" i="40"/>
  <c r="G593" i="40"/>
  <c r="G539" i="40"/>
  <c r="G439" i="40"/>
  <c r="G386" i="40"/>
  <c r="G462" i="40"/>
  <c r="G333" i="40"/>
  <c r="G258" i="40"/>
  <c r="K55" i="40"/>
  <c r="G162" i="40"/>
  <c r="G216" i="40"/>
  <c r="I55" i="40"/>
  <c r="G237" i="40"/>
  <c r="G108" i="40"/>
  <c r="K744" i="40"/>
  <c r="K746" i="40"/>
  <c r="M746" i="40" s="1"/>
  <c r="I746" i="40"/>
  <c r="G978" i="40"/>
  <c r="G649" i="40"/>
  <c r="G335" i="40"/>
  <c r="G218" i="40"/>
  <c r="K57" i="40"/>
  <c r="G775" i="40"/>
  <c r="K716" i="40"/>
  <c r="I716" i="40"/>
  <c r="G743" i="40"/>
  <c r="G713" i="40"/>
  <c r="G658" i="40"/>
  <c r="G550" i="40"/>
  <c r="I778" i="40" l="1"/>
  <c r="K60" i="40"/>
  <c r="G652" i="40"/>
  <c r="K652" i="40" s="1"/>
  <c r="G981" i="40"/>
  <c r="K981" i="40" s="1"/>
  <c r="G189" i="9"/>
  <c r="I340" i="9"/>
  <c r="J16" i="37"/>
  <c r="AD16" i="37" s="1"/>
  <c r="AE16" i="37" s="1"/>
  <c r="E63" i="37" s="1"/>
  <c r="E80" i="37" s="1"/>
  <c r="G235" i="40"/>
  <c r="K235" i="40" s="1"/>
  <c r="H885" i="40"/>
  <c r="L863" i="40"/>
  <c r="L885" i="40" s="1"/>
  <c r="L439" i="40"/>
  <c r="H486" i="40"/>
  <c r="L486" i="40" s="1"/>
  <c r="H280" i="40"/>
  <c r="L280" i="40" s="1"/>
  <c r="L216" i="40"/>
  <c r="L706" i="40"/>
  <c r="H765" i="40"/>
  <c r="L765" i="40" s="1"/>
  <c r="L713" i="40"/>
  <c r="H772" i="40"/>
  <c r="L772" i="40" s="1"/>
  <c r="H288" i="40"/>
  <c r="L288" i="40" s="1"/>
  <c r="L224" i="40"/>
  <c r="H225" i="40"/>
  <c r="L211" i="40"/>
  <c r="H275" i="40"/>
  <c r="L328" i="40"/>
  <c r="L342" i="40" s="1"/>
  <c r="H342" i="40"/>
  <c r="L381" i="40"/>
  <c r="L396" i="40" s="1"/>
  <c r="H396" i="40"/>
  <c r="H989" i="40"/>
  <c r="L971" i="40"/>
  <c r="L989" i="40" s="1"/>
  <c r="H761" i="40"/>
  <c r="L761" i="40" s="1"/>
  <c r="L702" i="40"/>
  <c r="L708" i="40"/>
  <c r="H767" i="40"/>
  <c r="L767" i="40" s="1"/>
  <c r="L698" i="40"/>
  <c r="H757" i="40"/>
  <c r="L757" i="40" s="1"/>
  <c r="L711" i="40"/>
  <c r="H770" i="40"/>
  <c r="L770" i="40" s="1"/>
  <c r="L157" i="40"/>
  <c r="L171" i="40" s="1"/>
  <c r="H171" i="40"/>
  <c r="H246" i="40"/>
  <c r="L232" i="40"/>
  <c r="L246" i="40" s="1"/>
  <c r="L699" i="40"/>
  <c r="H758" i="40"/>
  <c r="L758" i="40" s="1"/>
  <c r="H777" i="40"/>
  <c r="L777" i="40" s="1"/>
  <c r="L718" i="40"/>
  <c r="H493" i="40"/>
  <c r="L493" i="40" s="1"/>
  <c r="L446" i="40"/>
  <c r="L445" i="40"/>
  <c r="H492" i="40"/>
  <c r="L492" i="40" s="1"/>
  <c r="M55" i="40"/>
  <c r="G167" i="40"/>
  <c r="K167" i="40" s="1"/>
  <c r="I60" i="40"/>
  <c r="E71" i="9"/>
  <c r="L62" i="40"/>
  <c r="L253" i="40"/>
  <c r="L267" i="40" s="1"/>
  <c r="H267" i="40"/>
  <c r="H481" i="40"/>
  <c r="H450" i="40"/>
  <c r="L434" i="40"/>
  <c r="L588" i="40"/>
  <c r="L608" i="40" s="1"/>
  <c r="H608" i="40"/>
  <c r="H473" i="40"/>
  <c r="L457" i="40"/>
  <c r="L473" i="40" s="1"/>
  <c r="H277" i="40"/>
  <c r="L277" i="40" s="1"/>
  <c r="L213" i="40"/>
  <c r="H483" i="40"/>
  <c r="L483" i="40" s="1"/>
  <c r="L436" i="40"/>
  <c r="H763" i="40"/>
  <c r="L763" i="40" s="1"/>
  <c r="L704" i="40"/>
  <c r="H284" i="40"/>
  <c r="L284" i="40" s="1"/>
  <c r="L220" i="40"/>
  <c r="L443" i="40"/>
  <c r="H490" i="40"/>
  <c r="L490" i="40" s="1"/>
  <c r="L709" i="40"/>
  <c r="H768" i="40"/>
  <c r="L768" i="40" s="1"/>
  <c r="H276" i="40"/>
  <c r="L276" i="40" s="1"/>
  <c r="L212" i="40"/>
  <c r="H495" i="40"/>
  <c r="L495" i="40" s="1"/>
  <c r="L448" i="40"/>
  <c r="L103" i="40"/>
  <c r="L116" i="40" s="1"/>
  <c r="H116" i="40"/>
  <c r="L727" i="40"/>
  <c r="L750" i="40" s="1"/>
  <c r="H750" i="40"/>
  <c r="L697" i="40"/>
  <c r="L720" i="40" s="1"/>
  <c r="H756" i="40"/>
  <c r="H720" i="40"/>
  <c r="H830" i="40"/>
  <c r="L809" i="40"/>
  <c r="L830" i="40" s="1"/>
  <c r="L917" i="40"/>
  <c r="L934" i="40" s="1"/>
  <c r="H934" i="40"/>
  <c r="H665" i="40"/>
  <c r="L642" i="40"/>
  <c r="L665" i="40" s="1"/>
  <c r="H556" i="40"/>
  <c r="L534" i="40"/>
  <c r="L556" i="40" s="1"/>
  <c r="H282" i="40"/>
  <c r="L282" i="40" s="1"/>
  <c r="L218" i="40"/>
  <c r="L441" i="40"/>
  <c r="H488" i="40"/>
  <c r="L488" i="40" s="1"/>
  <c r="H287" i="40"/>
  <c r="L287" i="40" s="1"/>
  <c r="L223" i="40"/>
  <c r="H286" i="40"/>
  <c r="L286" i="40" s="1"/>
  <c r="L222" i="40"/>
  <c r="L435" i="40"/>
  <c r="H482" i="40"/>
  <c r="L482" i="40" s="1"/>
  <c r="F555" i="40"/>
  <c r="J555" i="40" s="1"/>
  <c r="F748" i="40"/>
  <c r="J748" i="40" s="1"/>
  <c r="F718" i="40"/>
  <c r="F663" i="40"/>
  <c r="J663" i="40" s="1"/>
  <c r="I348" i="9"/>
  <c r="G169" i="9"/>
  <c r="F977" i="40"/>
  <c r="J977" i="40" s="1"/>
  <c r="F217" i="40"/>
  <c r="I217" i="40" s="1"/>
  <c r="F238" i="40"/>
  <c r="J238" i="40" s="1"/>
  <c r="F440" i="40"/>
  <c r="J56" i="40"/>
  <c r="M56" i="40" s="1"/>
  <c r="F923" i="40"/>
  <c r="J923" i="40" s="1"/>
  <c r="F387" i="40"/>
  <c r="J387" i="40" s="1"/>
  <c r="F594" i="40"/>
  <c r="J594" i="40" s="1"/>
  <c r="F163" i="40"/>
  <c r="J163" i="40" s="1"/>
  <c r="F463" i="40"/>
  <c r="J463" i="40" s="1"/>
  <c r="F334" i="40"/>
  <c r="J334" i="40" s="1"/>
  <c r="F815" i="40"/>
  <c r="J815" i="40" s="1"/>
  <c r="F540" i="40"/>
  <c r="J540" i="40" s="1"/>
  <c r="F109" i="40"/>
  <c r="J109" i="40" s="1"/>
  <c r="F869" i="40"/>
  <c r="J869" i="40" s="1"/>
  <c r="F703" i="40"/>
  <c r="F648" i="40"/>
  <c r="J648" i="40" s="1"/>
  <c r="F733" i="40"/>
  <c r="J733" i="40" s="1"/>
  <c r="F259" i="40"/>
  <c r="J259" i="40" s="1"/>
  <c r="G214" i="9"/>
  <c r="K340" i="9"/>
  <c r="F496" i="40"/>
  <c r="J496" i="40" s="1"/>
  <c r="J449" i="40"/>
  <c r="J702" i="40"/>
  <c r="F761" i="40"/>
  <c r="J761" i="40" s="1"/>
  <c r="J216" i="40"/>
  <c r="F280" i="40"/>
  <c r="J280" i="40" s="1"/>
  <c r="J439" i="40"/>
  <c r="F486" i="40"/>
  <c r="J486" i="40" s="1"/>
  <c r="L340" i="9"/>
  <c r="G239" i="9"/>
  <c r="H348" i="9"/>
  <c r="G144" i="9"/>
  <c r="M141" i="19"/>
  <c r="O51" i="1"/>
  <c r="J712" i="40"/>
  <c r="F771" i="40"/>
  <c r="J771" i="40" s="1"/>
  <c r="E52" i="9"/>
  <c r="E143" i="9"/>
  <c r="E70" i="9"/>
  <c r="F659" i="40"/>
  <c r="J659" i="40" s="1"/>
  <c r="G829" i="40"/>
  <c r="K829" i="40" s="1"/>
  <c r="G883" i="40"/>
  <c r="K883" i="40" s="1"/>
  <c r="I472" i="40"/>
  <c r="I53" i="40"/>
  <c r="G61" i="40"/>
  <c r="G982" i="40" s="1"/>
  <c r="L73" i="33"/>
  <c r="F883" i="40" s="1"/>
  <c r="J883" i="40" s="1"/>
  <c r="J714" i="40"/>
  <c r="M714" i="40" s="1"/>
  <c r="K825" i="40"/>
  <c r="M825" i="40" s="1"/>
  <c r="K745" i="40"/>
  <c r="M745" i="40" s="1"/>
  <c r="G774" i="40"/>
  <c r="I774" i="40" s="1"/>
  <c r="G773" i="40"/>
  <c r="K773" i="40" s="1"/>
  <c r="K551" i="40"/>
  <c r="K604" i="40"/>
  <c r="M604" i="40" s="1"/>
  <c r="L45" i="33"/>
  <c r="F822" i="40" s="1"/>
  <c r="J822" i="40" s="1"/>
  <c r="F551" i="40"/>
  <c r="J551" i="40" s="1"/>
  <c r="F744" i="40"/>
  <c r="M31" i="33"/>
  <c r="M29" i="33"/>
  <c r="G58" i="40"/>
  <c r="I58" i="40" s="1"/>
  <c r="G260" i="40"/>
  <c r="K260" i="40" s="1"/>
  <c r="G464" i="40"/>
  <c r="K464" i="40" s="1"/>
  <c r="I714" i="40"/>
  <c r="G113" i="40"/>
  <c r="K113" i="40" s="1"/>
  <c r="G338" i="40"/>
  <c r="K338" i="40" s="1"/>
  <c r="G819" i="40"/>
  <c r="K819" i="40" s="1"/>
  <c r="L59" i="33"/>
  <c r="F743" i="40" s="1"/>
  <c r="J743" i="40" s="1"/>
  <c r="G388" i="40"/>
  <c r="K388" i="40" s="1"/>
  <c r="G704" i="40"/>
  <c r="G816" i="40"/>
  <c r="K816" i="40" s="1"/>
  <c r="G391" i="40"/>
  <c r="K391" i="40" s="1"/>
  <c r="G707" i="40"/>
  <c r="K707" i="40" s="1"/>
  <c r="G110" i="40"/>
  <c r="K110" i="40" s="1"/>
  <c r="G441" i="40"/>
  <c r="G595" i="40"/>
  <c r="K595" i="40" s="1"/>
  <c r="G734" i="40"/>
  <c r="K734" i="40" s="1"/>
  <c r="G242" i="40"/>
  <c r="K242" i="40" s="1"/>
  <c r="G444" i="40"/>
  <c r="K444" i="40" s="1"/>
  <c r="G467" i="40"/>
  <c r="K467" i="40" s="1"/>
  <c r="G737" i="40"/>
  <c r="G927" i="40"/>
  <c r="K927" i="40" s="1"/>
  <c r="M47" i="33"/>
  <c r="G711" i="40" s="1"/>
  <c r="G164" i="40"/>
  <c r="K164" i="40" s="1"/>
  <c r="G239" i="40"/>
  <c r="K239" i="40" s="1"/>
  <c r="G541" i="40"/>
  <c r="K541" i="40" s="1"/>
  <c r="G924" i="40"/>
  <c r="K924" i="40" s="1"/>
  <c r="G221" i="40"/>
  <c r="K221" i="40" s="1"/>
  <c r="G544" i="40"/>
  <c r="K544" i="40" s="1"/>
  <c r="G598" i="40"/>
  <c r="K598" i="40" s="1"/>
  <c r="I57" i="40"/>
  <c r="I715" i="40"/>
  <c r="M289" i="40"/>
  <c r="F59" i="40"/>
  <c r="L30" i="33"/>
  <c r="AI22" i="33"/>
  <c r="AJ22" i="33" s="1"/>
  <c r="E96" i="33" s="1"/>
  <c r="I988" i="40"/>
  <c r="M30" i="33"/>
  <c r="G59" i="40"/>
  <c r="G437" i="40"/>
  <c r="K437" i="40" s="1"/>
  <c r="G987" i="40"/>
  <c r="K987" i="40" s="1"/>
  <c r="M987" i="40" s="1"/>
  <c r="M716" i="40"/>
  <c r="K659" i="40"/>
  <c r="G920" i="40"/>
  <c r="M472" i="40"/>
  <c r="G160" i="40"/>
  <c r="K160" i="40" s="1"/>
  <c r="G730" i="40"/>
  <c r="K730" i="40" s="1"/>
  <c r="I289" i="40"/>
  <c r="J933" i="40"/>
  <c r="M933" i="40" s="1"/>
  <c r="I933" i="40"/>
  <c r="G497" i="40"/>
  <c r="I497" i="40" s="1"/>
  <c r="AI16" i="33"/>
  <c r="AJ16" i="33" s="1"/>
  <c r="E93" i="33" s="1"/>
  <c r="M245" i="40"/>
  <c r="M41" i="33"/>
  <c r="G170" i="40" s="1"/>
  <c r="K170" i="40" s="1"/>
  <c r="L22" i="33"/>
  <c r="F54" i="40"/>
  <c r="I660" i="40"/>
  <c r="M22" i="33"/>
  <c r="G54" i="40"/>
  <c r="L62" i="33"/>
  <c r="F827" i="40" s="1"/>
  <c r="G258" i="9"/>
  <c r="M334" i="9"/>
  <c r="E274" i="9"/>
  <c r="F258" i="9" s="1"/>
  <c r="F925" i="40"/>
  <c r="J925" i="40" s="1"/>
  <c r="F817" i="40"/>
  <c r="J817" i="40" s="1"/>
  <c r="F650" i="40"/>
  <c r="J650" i="40" s="1"/>
  <c r="F979" i="40"/>
  <c r="J979" i="40" s="1"/>
  <c r="F596" i="40"/>
  <c r="J596" i="40" s="1"/>
  <c r="F442" i="40"/>
  <c r="F261" i="40"/>
  <c r="J261" i="40" s="1"/>
  <c r="F111" i="40"/>
  <c r="J111" i="40" s="1"/>
  <c r="F542" i="40"/>
  <c r="J542" i="40" s="1"/>
  <c r="F389" i="40"/>
  <c r="J389" i="40" s="1"/>
  <c r="F240" i="40"/>
  <c r="J240" i="40" s="1"/>
  <c r="F871" i="40"/>
  <c r="J871" i="40" s="1"/>
  <c r="F465" i="40"/>
  <c r="J465" i="40" s="1"/>
  <c r="F336" i="40"/>
  <c r="J336" i="40" s="1"/>
  <c r="F165" i="40"/>
  <c r="J165" i="40" s="1"/>
  <c r="F735" i="40"/>
  <c r="J735" i="40" s="1"/>
  <c r="F705" i="40"/>
  <c r="F219" i="40"/>
  <c r="J58" i="40"/>
  <c r="G51" i="40"/>
  <c r="M15" i="33"/>
  <c r="M45" i="33"/>
  <c r="F928" i="40"/>
  <c r="J928" i="40" s="1"/>
  <c r="F820" i="40"/>
  <c r="J820" i="40" s="1"/>
  <c r="F653" i="40"/>
  <c r="J653" i="40" s="1"/>
  <c r="F599" i="40"/>
  <c r="J599" i="40" s="1"/>
  <c r="F445" i="40"/>
  <c r="F264" i="40"/>
  <c r="J264" i="40" s="1"/>
  <c r="F114" i="40"/>
  <c r="J114" i="40" s="1"/>
  <c r="F874" i="40"/>
  <c r="J874" i="40" s="1"/>
  <c r="F545" i="40"/>
  <c r="J545" i="40" s="1"/>
  <c r="F392" i="40"/>
  <c r="J392" i="40" s="1"/>
  <c r="F243" i="40"/>
  <c r="J243" i="40" s="1"/>
  <c r="F738" i="40"/>
  <c r="J738" i="40" s="1"/>
  <c r="F982" i="40"/>
  <c r="J982" i="40" s="1"/>
  <c r="F708" i="40"/>
  <c r="F222" i="40"/>
  <c r="J61" i="40"/>
  <c r="F339" i="40"/>
  <c r="J339" i="40" s="1"/>
  <c r="F168" i="40"/>
  <c r="J168" i="40" s="1"/>
  <c r="F468" i="40"/>
  <c r="J468" i="40" s="1"/>
  <c r="K53" i="40"/>
  <c r="G537" i="40"/>
  <c r="K537" i="40" s="1"/>
  <c r="G591" i="40"/>
  <c r="K591" i="40" s="1"/>
  <c r="G866" i="40"/>
  <c r="K866" i="40" s="1"/>
  <c r="F829" i="40"/>
  <c r="J829" i="40" s="1"/>
  <c r="D67" i="52"/>
  <c r="M35" i="33"/>
  <c r="K266" i="40"/>
  <c r="G290" i="40"/>
  <c r="K290" i="40" s="1"/>
  <c r="E68" i="9"/>
  <c r="E42" i="9"/>
  <c r="E133" i="9"/>
  <c r="O195" i="1"/>
  <c r="P10" i="1" s="1"/>
  <c r="E22" i="9"/>
  <c r="E23" i="9"/>
  <c r="E158" i="9"/>
  <c r="O334" i="9"/>
  <c r="G308" i="9"/>
  <c r="E324" i="9"/>
  <c r="E283" i="9"/>
  <c r="E28" i="9"/>
  <c r="F920" i="40"/>
  <c r="J920" i="40" s="1"/>
  <c r="F812" i="40"/>
  <c r="J812" i="40" s="1"/>
  <c r="F591" i="40"/>
  <c r="J591" i="40" s="1"/>
  <c r="F437" i="40"/>
  <c r="F256" i="40"/>
  <c r="J256" i="40" s="1"/>
  <c r="F106" i="40"/>
  <c r="J106" i="40" s="1"/>
  <c r="F866" i="40"/>
  <c r="J866" i="40" s="1"/>
  <c r="F537" i="40"/>
  <c r="J537" i="40" s="1"/>
  <c r="F384" i="40"/>
  <c r="J384" i="40" s="1"/>
  <c r="F235" i="40"/>
  <c r="J235" i="40" s="1"/>
  <c r="F730" i="40"/>
  <c r="J730" i="40" s="1"/>
  <c r="F700" i="40"/>
  <c r="F645" i="40"/>
  <c r="J645" i="40" s="1"/>
  <c r="J53" i="40"/>
  <c r="F214" i="40"/>
  <c r="F974" i="40"/>
  <c r="J974" i="40" s="1"/>
  <c r="F331" i="40"/>
  <c r="J331" i="40" s="1"/>
  <c r="F460" i="40"/>
  <c r="J460" i="40" s="1"/>
  <c r="F160" i="40"/>
  <c r="J160" i="40" s="1"/>
  <c r="J266" i="40"/>
  <c r="F290" i="40"/>
  <c r="I266" i="40"/>
  <c r="D69" i="52"/>
  <c r="G256" i="40"/>
  <c r="K256" i="40" s="1"/>
  <c r="G214" i="40"/>
  <c r="K214" i="40" s="1"/>
  <c r="G331" i="40"/>
  <c r="G645" i="40"/>
  <c r="K645" i="40" s="1"/>
  <c r="G974" i="40"/>
  <c r="K974" i="40" s="1"/>
  <c r="F927" i="40"/>
  <c r="J927" i="40" s="1"/>
  <c r="F819" i="40"/>
  <c r="J819" i="40" s="1"/>
  <c r="F652" i="40"/>
  <c r="J652" i="40" s="1"/>
  <c r="F873" i="40"/>
  <c r="J873" i="40" s="1"/>
  <c r="F598" i="40"/>
  <c r="J598" i="40" s="1"/>
  <c r="F444" i="40"/>
  <c r="F263" i="40"/>
  <c r="J263" i="40" s="1"/>
  <c r="F113" i="40"/>
  <c r="J113" i="40" s="1"/>
  <c r="F737" i="40"/>
  <c r="J737" i="40" s="1"/>
  <c r="F544" i="40"/>
  <c r="J544" i="40" s="1"/>
  <c r="F391" i="40"/>
  <c r="J391" i="40" s="1"/>
  <c r="F242" i="40"/>
  <c r="J242" i="40" s="1"/>
  <c r="F981" i="40"/>
  <c r="J981" i="40" s="1"/>
  <c r="F221" i="40"/>
  <c r="J60" i="40"/>
  <c r="M60" i="40" s="1"/>
  <c r="F467" i="40"/>
  <c r="J467" i="40" s="1"/>
  <c r="F338" i="40"/>
  <c r="J338" i="40" s="1"/>
  <c r="F167" i="40"/>
  <c r="J167" i="40" s="1"/>
  <c r="F707" i="40"/>
  <c r="E208" i="9"/>
  <c r="E25" i="9"/>
  <c r="F655" i="40"/>
  <c r="J655" i="40" s="1"/>
  <c r="F740" i="40"/>
  <c r="J740" i="40" s="1"/>
  <c r="F601" i="40"/>
  <c r="J601" i="40" s="1"/>
  <c r="F984" i="40"/>
  <c r="J984" i="40" s="1"/>
  <c r="F547" i="40"/>
  <c r="J547" i="40" s="1"/>
  <c r="F394" i="40"/>
  <c r="J394" i="40" s="1"/>
  <c r="F470" i="40"/>
  <c r="J470" i="40" s="1"/>
  <c r="F341" i="40"/>
  <c r="J341" i="40" s="1"/>
  <c r="F710" i="40"/>
  <c r="F170" i="40"/>
  <c r="J170" i="40" s="1"/>
  <c r="F224" i="40"/>
  <c r="L15" i="33"/>
  <c r="F51" i="40"/>
  <c r="AI15" i="33"/>
  <c r="AJ15" i="33" s="1"/>
  <c r="E92" i="33" s="1"/>
  <c r="P111" i="4"/>
  <c r="E233" i="9"/>
  <c r="E26" i="9"/>
  <c r="P13" i="1"/>
  <c r="M62" i="33"/>
  <c r="F924" i="40"/>
  <c r="J924" i="40" s="1"/>
  <c r="F816" i="40"/>
  <c r="J816" i="40" s="1"/>
  <c r="F649" i="40"/>
  <c r="J649" i="40" s="1"/>
  <c r="F595" i="40"/>
  <c r="J595" i="40" s="1"/>
  <c r="F441" i="40"/>
  <c r="F260" i="40"/>
  <c r="J260" i="40" s="1"/>
  <c r="F110" i="40"/>
  <c r="J110" i="40" s="1"/>
  <c r="F870" i="40"/>
  <c r="J870" i="40" s="1"/>
  <c r="F541" i="40"/>
  <c r="J541" i="40" s="1"/>
  <c r="F388" i="40"/>
  <c r="J388" i="40" s="1"/>
  <c r="F239" i="40"/>
  <c r="J239" i="40" s="1"/>
  <c r="F734" i="40"/>
  <c r="J734" i="40" s="1"/>
  <c r="F704" i="40"/>
  <c r="F978" i="40"/>
  <c r="J978" i="40" s="1"/>
  <c r="F218" i="40"/>
  <c r="I218" i="40" s="1"/>
  <c r="J57" i="40"/>
  <c r="M57" i="40" s="1"/>
  <c r="F464" i="40"/>
  <c r="J464" i="40" s="1"/>
  <c r="F164" i="40"/>
  <c r="J164" i="40" s="1"/>
  <c r="F335" i="40"/>
  <c r="J335" i="40" s="1"/>
  <c r="G106" i="40"/>
  <c r="K106" i="40" s="1"/>
  <c r="G384" i="40"/>
  <c r="K384" i="40" s="1"/>
  <c r="G460" i="40"/>
  <c r="G700" i="40"/>
  <c r="K700" i="40" s="1"/>
  <c r="L47" i="33"/>
  <c r="K195" i="1"/>
  <c r="E88" i="9" s="1"/>
  <c r="L120" i="9"/>
  <c r="L121" i="9" s="1"/>
  <c r="L122" i="9" s="1"/>
  <c r="L123" i="9" s="1"/>
  <c r="L35" i="33"/>
  <c r="E183" i="9"/>
  <c r="E24" i="9"/>
  <c r="I702" i="40"/>
  <c r="G761" i="40"/>
  <c r="K702" i="40"/>
  <c r="M702" i="40" s="1"/>
  <c r="I387" i="40"/>
  <c r="K387" i="40"/>
  <c r="M387" i="40" s="1"/>
  <c r="G483" i="40"/>
  <c r="I436" i="40"/>
  <c r="K436" i="40"/>
  <c r="M436" i="40" s="1"/>
  <c r="G777" i="40"/>
  <c r="I718" i="40"/>
  <c r="K718" i="40"/>
  <c r="G496" i="40"/>
  <c r="I449" i="40"/>
  <c r="K449" i="40"/>
  <c r="M449" i="40" s="1"/>
  <c r="K986" i="40"/>
  <c r="M986" i="40" s="1"/>
  <c r="I986" i="40"/>
  <c r="K873" i="40"/>
  <c r="I727" i="40"/>
  <c r="K727" i="40"/>
  <c r="G772" i="40"/>
  <c r="K713" i="40"/>
  <c r="G280" i="40"/>
  <c r="I216" i="40"/>
  <c r="K216" i="40"/>
  <c r="M216" i="40" s="1"/>
  <c r="I333" i="40"/>
  <c r="K333" i="40"/>
  <c r="M333" i="40" s="1"/>
  <c r="K539" i="40"/>
  <c r="M539" i="40" s="1"/>
  <c r="I539" i="40"/>
  <c r="I732" i="40"/>
  <c r="K732" i="40"/>
  <c r="M732" i="40" s="1"/>
  <c r="K868" i="40"/>
  <c r="M868" i="40" s="1"/>
  <c r="I868" i="40"/>
  <c r="K607" i="40"/>
  <c r="M607" i="40" s="1"/>
  <c r="I607" i="40"/>
  <c r="G487" i="40"/>
  <c r="I440" i="40"/>
  <c r="K440" i="40"/>
  <c r="I594" i="40"/>
  <c r="K594" i="40"/>
  <c r="M594" i="40" s="1"/>
  <c r="I869" i="40"/>
  <c r="K869" i="40"/>
  <c r="M869" i="40" s="1"/>
  <c r="I255" i="40"/>
  <c r="K255" i="40"/>
  <c r="M255" i="40" s="1"/>
  <c r="G277" i="40"/>
  <c r="K213" i="40"/>
  <c r="M213" i="40" s="1"/>
  <c r="I213" i="40"/>
  <c r="I536" i="40"/>
  <c r="K536" i="40"/>
  <c r="M536" i="40" s="1"/>
  <c r="I811" i="40"/>
  <c r="K811" i="40"/>
  <c r="M811" i="40" s="1"/>
  <c r="K729" i="40"/>
  <c r="M729" i="40" s="1"/>
  <c r="I729" i="40"/>
  <c r="I748" i="40"/>
  <c r="K748" i="40"/>
  <c r="M748" i="40" s="1"/>
  <c r="I549" i="40"/>
  <c r="K549" i="40"/>
  <c r="M549" i="40" s="1"/>
  <c r="G771" i="40"/>
  <c r="K712" i="40"/>
  <c r="M712" i="40" s="1"/>
  <c r="I712" i="40"/>
  <c r="K824" i="40"/>
  <c r="M824" i="40" s="1"/>
  <c r="I824" i="40"/>
  <c r="K263" i="40"/>
  <c r="G275" i="40"/>
  <c r="I211" i="40"/>
  <c r="K211" i="40"/>
  <c r="K253" i="40"/>
  <c r="I253" i="40"/>
  <c r="K381" i="40"/>
  <c r="I381" i="40"/>
  <c r="K457" i="40"/>
  <c r="I457" i="40"/>
  <c r="I809" i="40"/>
  <c r="K809" i="40"/>
  <c r="K258" i="40"/>
  <c r="M258" i="40" s="1"/>
  <c r="I258" i="40"/>
  <c r="K922" i="40"/>
  <c r="M922" i="40" s="1"/>
  <c r="I922" i="40"/>
  <c r="I238" i="40"/>
  <c r="K238" i="40"/>
  <c r="M238" i="40" s="1"/>
  <c r="K733" i="40"/>
  <c r="G758" i="40"/>
  <c r="K699" i="40"/>
  <c r="M699" i="40" s="1"/>
  <c r="I699" i="40"/>
  <c r="K657" i="40"/>
  <c r="M657" i="40" s="1"/>
  <c r="I657" i="40"/>
  <c r="K588" i="40"/>
  <c r="I588" i="40"/>
  <c r="K328" i="40"/>
  <c r="I328" i="40"/>
  <c r="K971" i="40"/>
  <c r="I971" i="40"/>
  <c r="K812" i="40"/>
  <c r="K743" i="40"/>
  <c r="K870" i="40"/>
  <c r="I108" i="40"/>
  <c r="K108" i="40"/>
  <c r="M108" i="40" s="1"/>
  <c r="K162" i="40"/>
  <c r="M162" i="40" s="1"/>
  <c r="I162" i="40"/>
  <c r="I462" i="40"/>
  <c r="K462" i="40"/>
  <c r="M462" i="40" s="1"/>
  <c r="I593" i="40"/>
  <c r="K593" i="40"/>
  <c r="M593" i="40" s="1"/>
  <c r="I976" i="40"/>
  <c r="K976" i="40"/>
  <c r="M976" i="40" s="1"/>
  <c r="I882" i="40"/>
  <c r="K882" i="40"/>
  <c r="M882" i="40" s="1"/>
  <c r="I259" i="40"/>
  <c r="K259" i="40"/>
  <c r="M259" i="40" s="1"/>
  <c r="G281" i="40"/>
  <c r="K217" i="40"/>
  <c r="I540" i="40"/>
  <c r="K540" i="40"/>
  <c r="M540" i="40" s="1"/>
  <c r="K648" i="40"/>
  <c r="M648" i="40" s="1"/>
  <c r="I648" i="40"/>
  <c r="I977" i="40"/>
  <c r="K977" i="40"/>
  <c r="M977" i="40" s="1"/>
  <c r="I105" i="40"/>
  <c r="K105" i="40"/>
  <c r="M105" i="40" s="1"/>
  <c r="K159" i="40"/>
  <c r="M159" i="40" s="1"/>
  <c r="I159" i="40"/>
  <c r="I330" i="40"/>
  <c r="K330" i="40"/>
  <c r="M330" i="40" s="1"/>
  <c r="I865" i="40"/>
  <c r="K865" i="40"/>
  <c r="M865" i="40" s="1"/>
  <c r="I973" i="40"/>
  <c r="K973" i="40"/>
  <c r="M973" i="40" s="1"/>
  <c r="K555" i="40"/>
  <c r="M555" i="40" s="1"/>
  <c r="I555" i="40"/>
  <c r="I932" i="40"/>
  <c r="K932" i="40"/>
  <c r="M932" i="40" s="1"/>
  <c r="K742" i="40"/>
  <c r="M742" i="40" s="1"/>
  <c r="I742" i="40"/>
  <c r="I157" i="40"/>
  <c r="K157" i="40"/>
  <c r="K103" i="40"/>
  <c r="I103" i="40"/>
  <c r="K434" i="40"/>
  <c r="G481" i="40"/>
  <c r="I434" i="40"/>
  <c r="I642" i="40"/>
  <c r="K642" i="40"/>
  <c r="I917" i="40"/>
  <c r="K917" i="40"/>
  <c r="K658" i="40"/>
  <c r="K439" i="40"/>
  <c r="M439" i="40" s="1"/>
  <c r="G486" i="40"/>
  <c r="I439" i="40"/>
  <c r="K463" i="40"/>
  <c r="M463" i="40" s="1"/>
  <c r="K923" i="40"/>
  <c r="M923" i="40" s="1"/>
  <c r="I590" i="40"/>
  <c r="K590" i="40"/>
  <c r="M590" i="40" s="1"/>
  <c r="K982" i="40"/>
  <c r="K550" i="40"/>
  <c r="K775" i="40"/>
  <c r="M775" i="40" s="1"/>
  <c r="I775" i="40"/>
  <c r="K218" i="40"/>
  <c r="K335" i="40"/>
  <c r="K649" i="40"/>
  <c r="K978" i="40"/>
  <c r="I237" i="40"/>
  <c r="K237" i="40"/>
  <c r="M237" i="40" s="1"/>
  <c r="K386" i="40"/>
  <c r="M386" i="40" s="1"/>
  <c r="I386" i="40"/>
  <c r="I647" i="40"/>
  <c r="K647" i="40"/>
  <c r="M647" i="40" s="1"/>
  <c r="I814" i="40"/>
  <c r="K814" i="40"/>
  <c r="M814" i="40" s="1"/>
  <c r="K828" i="40"/>
  <c r="M828" i="40" s="1"/>
  <c r="I828" i="40"/>
  <c r="I109" i="40"/>
  <c r="K109" i="40"/>
  <c r="K163" i="40"/>
  <c r="M163" i="40" s="1"/>
  <c r="I163" i="40"/>
  <c r="I334" i="40"/>
  <c r="K334" i="40"/>
  <c r="M334" i="40" s="1"/>
  <c r="G762" i="40"/>
  <c r="K703" i="40"/>
  <c r="I703" i="40"/>
  <c r="K815" i="40"/>
  <c r="M815" i="40" s="1"/>
  <c r="I815" i="40"/>
  <c r="I234" i="40"/>
  <c r="K234" i="40"/>
  <c r="M234" i="40" s="1"/>
  <c r="I383" i="40"/>
  <c r="K383" i="40"/>
  <c r="M383" i="40" s="1"/>
  <c r="I459" i="40"/>
  <c r="K459" i="40"/>
  <c r="M459" i="40" s="1"/>
  <c r="K644" i="40"/>
  <c r="M644" i="40" s="1"/>
  <c r="I644" i="40"/>
  <c r="K919" i="40"/>
  <c r="M919" i="40" s="1"/>
  <c r="I919" i="40"/>
  <c r="K663" i="40"/>
  <c r="K603" i="40"/>
  <c r="M603" i="40" s="1"/>
  <c r="I603" i="40"/>
  <c r="I878" i="40"/>
  <c r="K878" i="40"/>
  <c r="M878" i="40" s="1"/>
  <c r="M50" i="40"/>
  <c r="K232" i="40"/>
  <c r="I232" i="40"/>
  <c r="K534" i="40"/>
  <c r="I534" i="40"/>
  <c r="I697" i="40"/>
  <c r="G756" i="40"/>
  <c r="K697" i="40"/>
  <c r="K863" i="40"/>
  <c r="I863" i="40"/>
  <c r="K774" i="40" l="1"/>
  <c r="M774" i="40" s="1"/>
  <c r="K20" i="33"/>
  <c r="AI20" i="33" s="1"/>
  <c r="AJ20" i="33" s="1"/>
  <c r="K17" i="33"/>
  <c r="AI17" i="33" s="1"/>
  <c r="AJ17" i="33" s="1"/>
  <c r="E94" i="33" s="1"/>
  <c r="K19" i="33"/>
  <c r="AI19" i="33" s="1"/>
  <c r="AJ19" i="33" s="1"/>
  <c r="K18" i="33"/>
  <c r="AI18" i="33" s="1"/>
  <c r="AJ18" i="33" s="1"/>
  <c r="I987" i="40"/>
  <c r="I707" i="40"/>
  <c r="G653" i="40"/>
  <c r="K653" i="40" s="1"/>
  <c r="M653" i="40" s="1"/>
  <c r="G282" i="40"/>
  <c r="G599" i="40"/>
  <c r="K599" i="40" s="1"/>
  <c r="M599" i="40" s="1"/>
  <c r="E109" i="9"/>
  <c r="D105" i="52" s="1"/>
  <c r="M663" i="40"/>
  <c r="G708" i="40"/>
  <c r="K708" i="40" s="1"/>
  <c r="G264" i="40"/>
  <c r="K264" i="40" s="1"/>
  <c r="M264" i="40" s="1"/>
  <c r="G445" i="40"/>
  <c r="K445" i="40" s="1"/>
  <c r="F777" i="40"/>
  <c r="J777" i="40" s="1"/>
  <c r="J718" i="40"/>
  <c r="L450" i="40"/>
  <c r="H291" i="40"/>
  <c r="L275" i="40"/>
  <c r="L291" i="40" s="1"/>
  <c r="I733" i="40"/>
  <c r="I663" i="40"/>
  <c r="I923" i="40"/>
  <c r="M733" i="40"/>
  <c r="I61" i="40"/>
  <c r="G339" i="40"/>
  <c r="K339" i="40" s="1"/>
  <c r="M339" i="40" s="1"/>
  <c r="G168" i="40"/>
  <c r="K168" i="40" s="1"/>
  <c r="M168" i="40" s="1"/>
  <c r="L225" i="40"/>
  <c r="M718" i="40"/>
  <c r="K61" i="40"/>
  <c r="M61" i="40" s="1"/>
  <c r="G874" i="40"/>
  <c r="K874" i="40" s="1"/>
  <c r="M874" i="40" s="1"/>
  <c r="G928" i="40"/>
  <c r="K928" i="40" s="1"/>
  <c r="M928" i="40" s="1"/>
  <c r="H779" i="40"/>
  <c r="L756" i="40"/>
  <c r="L779" i="40" s="1"/>
  <c r="L481" i="40"/>
  <c r="L498" i="40" s="1"/>
  <c r="H498" i="40"/>
  <c r="J217" i="40"/>
  <c r="F281" i="40"/>
  <c r="J281" i="40" s="1"/>
  <c r="M109" i="40"/>
  <c r="K23" i="33"/>
  <c r="AI23" i="33" s="1"/>
  <c r="AJ23" i="33" s="1"/>
  <c r="E97" i="33" s="1"/>
  <c r="I463" i="40"/>
  <c r="M883" i="40"/>
  <c r="G285" i="40"/>
  <c r="K285" i="40" s="1"/>
  <c r="M659" i="40"/>
  <c r="I659" i="40"/>
  <c r="J703" i="40"/>
  <c r="F762" i="40"/>
  <c r="J762" i="40" s="1"/>
  <c r="F487" i="40"/>
  <c r="J487" i="40" s="1"/>
  <c r="J440" i="40"/>
  <c r="M440" i="40" s="1"/>
  <c r="M703" i="40"/>
  <c r="M217" i="40"/>
  <c r="F876" i="40"/>
  <c r="J876" i="40" s="1"/>
  <c r="F930" i="40"/>
  <c r="J930" i="40" s="1"/>
  <c r="F447" i="40"/>
  <c r="G766" i="40"/>
  <c r="K766" i="40" s="1"/>
  <c r="G763" i="40"/>
  <c r="K763" i="40" s="1"/>
  <c r="M763" i="40" s="1"/>
  <c r="E48" i="9"/>
  <c r="D85" i="52" s="1"/>
  <c r="E139" i="9"/>
  <c r="E149" i="9" s="1"/>
  <c r="E69" i="9"/>
  <c r="E108" i="9" s="1"/>
  <c r="D104" i="52" s="1"/>
  <c r="I920" i="40"/>
  <c r="G224" i="40"/>
  <c r="I224" i="40" s="1"/>
  <c r="G392" i="40"/>
  <c r="I392" i="40" s="1"/>
  <c r="G222" i="40"/>
  <c r="K222" i="40" s="1"/>
  <c r="G243" i="40"/>
  <c r="K243" i="40" s="1"/>
  <c r="M243" i="40" s="1"/>
  <c r="G545" i="40"/>
  <c r="K545" i="40" s="1"/>
  <c r="M545" i="40" s="1"/>
  <c r="G738" i="40"/>
  <c r="G767" i="40" s="1"/>
  <c r="K767" i="40" s="1"/>
  <c r="K24" i="33"/>
  <c r="AI24" i="33" s="1"/>
  <c r="AJ24" i="33" s="1"/>
  <c r="E98" i="33" s="1"/>
  <c r="K704" i="40"/>
  <c r="G484" i="40"/>
  <c r="I221" i="40"/>
  <c r="I437" i="40"/>
  <c r="I708" i="40"/>
  <c r="G468" i="40"/>
  <c r="G820" i="40"/>
  <c r="K820" i="40" s="1"/>
  <c r="M820" i="40" s="1"/>
  <c r="K920" i="40"/>
  <c r="M920" i="40" s="1"/>
  <c r="I704" i="40"/>
  <c r="G488" i="40"/>
  <c r="K488" i="40" s="1"/>
  <c r="G114" i="40"/>
  <c r="I114" i="40" s="1"/>
  <c r="H344" i="9"/>
  <c r="G140" i="9"/>
  <c r="K737" i="40"/>
  <c r="M737" i="40" s="1"/>
  <c r="D89" i="52"/>
  <c r="I737" i="40"/>
  <c r="M982" i="40"/>
  <c r="I866" i="40"/>
  <c r="F550" i="40"/>
  <c r="J550" i="40" s="1"/>
  <c r="M550" i="40" s="1"/>
  <c r="M829" i="40"/>
  <c r="M924" i="40"/>
  <c r="M242" i="40"/>
  <c r="I113" i="40"/>
  <c r="P12" i="1"/>
  <c r="P15" i="1"/>
  <c r="M160" i="40"/>
  <c r="M551" i="40"/>
  <c r="I260" i="40"/>
  <c r="I263" i="40"/>
  <c r="M873" i="40"/>
  <c r="P11" i="1"/>
  <c r="I331" i="40"/>
  <c r="P9" i="1"/>
  <c r="I551" i="40"/>
  <c r="M541" i="40"/>
  <c r="J744" i="40"/>
  <c r="M744" i="40" s="1"/>
  <c r="I744" i="40"/>
  <c r="G471" i="40"/>
  <c r="K471" i="40" s="1"/>
  <c r="F881" i="40"/>
  <c r="J881" i="40" s="1"/>
  <c r="G548" i="40"/>
  <c r="K548" i="40" s="1"/>
  <c r="M537" i="40"/>
  <c r="G491" i="40"/>
  <c r="K491" i="40" s="1"/>
  <c r="M464" i="40"/>
  <c r="M819" i="40"/>
  <c r="G448" i="40"/>
  <c r="K448" i="40" s="1"/>
  <c r="F773" i="40"/>
  <c r="G871" i="40"/>
  <c r="K871" i="40" s="1"/>
  <c r="M871" i="40" s="1"/>
  <c r="G735" i="40"/>
  <c r="K735" i="40" s="1"/>
  <c r="M735" i="40" s="1"/>
  <c r="G336" i="40"/>
  <c r="G389" i="40"/>
  <c r="K389" i="40" s="1"/>
  <c r="M389" i="40" s="1"/>
  <c r="G165" i="40"/>
  <c r="G925" i="40"/>
  <c r="G705" i="40"/>
  <c r="G261" i="40"/>
  <c r="K261" i="40" s="1"/>
  <c r="M261" i="40" s="1"/>
  <c r="G240" i="40"/>
  <c r="K240" i="40" s="1"/>
  <c r="M240" i="40" s="1"/>
  <c r="G219" i="40"/>
  <c r="G596" i="40"/>
  <c r="K596" i="40" s="1"/>
  <c r="M596" i="40" s="1"/>
  <c r="G542" i="40"/>
  <c r="K542" i="40" s="1"/>
  <c r="M542" i="40" s="1"/>
  <c r="G111" i="40"/>
  <c r="K111" i="40" s="1"/>
  <c r="M111" i="40" s="1"/>
  <c r="G650" i="40"/>
  <c r="K650" i="40" s="1"/>
  <c r="M650" i="40" s="1"/>
  <c r="G817" i="40"/>
  <c r="G442" i="40"/>
  <c r="G979" i="40"/>
  <c r="K979" i="40" s="1"/>
  <c r="M979" i="40" s="1"/>
  <c r="G465" i="40"/>
  <c r="K465" i="40" s="1"/>
  <c r="M465" i="40" s="1"/>
  <c r="K58" i="40"/>
  <c r="M58" i="40" s="1"/>
  <c r="G395" i="40"/>
  <c r="K395" i="40" s="1"/>
  <c r="M338" i="40"/>
  <c r="K441" i="40"/>
  <c r="K331" i="40"/>
  <c r="M331" i="40" s="1"/>
  <c r="G877" i="40"/>
  <c r="K877" i="40" s="1"/>
  <c r="G823" i="40"/>
  <c r="K823" i="40" s="1"/>
  <c r="G985" i="40"/>
  <c r="K985" i="40" s="1"/>
  <c r="F713" i="40"/>
  <c r="I713" i="40" s="1"/>
  <c r="M981" i="40"/>
  <c r="G656" i="40"/>
  <c r="K656" i="40" s="1"/>
  <c r="G602" i="40"/>
  <c r="K602" i="40" s="1"/>
  <c r="F658" i="40"/>
  <c r="M110" i="40"/>
  <c r="G931" i="40"/>
  <c r="K931" i="40" s="1"/>
  <c r="G741" i="40"/>
  <c r="K741" i="40" s="1"/>
  <c r="I441" i="40"/>
  <c r="I444" i="40"/>
  <c r="M730" i="40"/>
  <c r="G818" i="40"/>
  <c r="K818" i="40" s="1"/>
  <c r="G651" i="40"/>
  <c r="K651" i="40" s="1"/>
  <c r="G390" i="40"/>
  <c r="K390" i="40" s="1"/>
  <c r="K59" i="40"/>
  <c r="G241" i="40"/>
  <c r="K241" i="40" s="1"/>
  <c r="G980" i="40"/>
  <c r="K980" i="40" s="1"/>
  <c r="G597" i="40"/>
  <c r="K597" i="40" s="1"/>
  <c r="G466" i="40"/>
  <c r="K466" i="40" s="1"/>
  <c r="G166" i="40"/>
  <c r="K166" i="40" s="1"/>
  <c r="G112" i="40"/>
  <c r="K112" i="40" s="1"/>
  <c r="G872" i="40"/>
  <c r="K872" i="40" s="1"/>
  <c r="G736" i="40"/>
  <c r="K736" i="40" s="1"/>
  <c r="G543" i="40"/>
  <c r="K543" i="40" s="1"/>
  <c r="G337" i="40"/>
  <c r="K337" i="40" s="1"/>
  <c r="G220" i="40"/>
  <c r="G926" i="40"/>
  <c r="K926" i="40" s="1"/>
  <c r="G706" i="40"/>
  <c r="G443" i="40"/>
  <c r="G262" i="40"/>
  <c r="K262" i="40" s="1"/>
  <c r="I591" i="40"/>
  <c r="M106" i="40"/>
  <c r="F597" i="40"/>
  <c r="F980" i="40"/>
  <c r="F872" i="40"/>
  <c r="F166" i="40"/>
  <c r="F818" i="40"/>
  <c r="F443" i="40"/>
  <c r="F543" i="40"/>
  <c r="F926" i="40"/>
  <c r="F706" i="40"/>
  <c r="F736" i="40"/>
  <c r="F112" i="40"/>
  <c r="F241" i="40"/>
  <c r="F337" i="40"/>
  <c r="F220" i="40"/>
  <c r="F651" i="40"/>
  <c r="F262" i="40"/>
  <c r="F390" i="40"/>
  <c r="F466" i="40"/>
  <c r="J59" i="40"/>
  <c r="I59" i="40"/>
  <c r="M467" i="40"/>
  <c r="I170" i="40"/>
  <c r="I829" i="40"/>
  <c r="I460" i="40"/>
  <c r="I652" i="40"/>
  <c r="M595" i="40"/>
  <c r="M164" i="40"/>
  <c r="M974" i="40"/>
  <c r="I537" i="40"/>
  <c r="M978" i="40"/>
  <c r="I235" i="40"/>
  <c r="M388" i="40"/>
  <c r="M391" i="40"/>
  <c r="M652" i="40"/>
  <c r="I164" i="40"/>
  <c r="M260" i="40"/>
  <c r="I388" i="40"/>
  <c r="I391" i="40"/>
  <c r="I812" i="40"/>
  <c r="M263" i="40"/>
  <c r="I927" i="40"/>
  <c r="M870" i="40"/>
  <c r="K460" i="40"/>
  <c r="M460" i="40" s="1"/>
  <c r="I981" i="40"/>
  <c r="I734" i="40"/>
  <c r="I974" i="40"/>
  <c r="M384" i="40"/>
  <c r="K497" i="40"/>
  <c r="M497" i="40" s="1"/>
  <c r="I338" i="40"/>
  <c r="M598" i="40"/>
  <c r="M927" i="40"/>
  <c r="I982" i="40"/>
  <c r="I870" i="40"/>
  <c r="I384" i="40"/>
  <c r="I545" i="40"/>
  <c r="I598" i="40"/>
  <c r="M734" i="40"/>
  <c r="M866" i="40"/>
  <c r="I595" i="40"/>
  <c r="I645" i="40"/>
  <c r="I256" i="40"/>
  <c r="M266" i="40"/>
  <c r="G592" i="40"/>
  <c r="K592" i="40" s="1"/>
  <c r="G646" i="40"/>
  <c r="K646" i="40" s="1"/>
  <c r="G438" i="40"/>
  <c r="G257" i="40"/>
  <c r="K257" i="40" s="1"/>
  <c r="G701" i="40"/>
  <c r="G215" i="40"/>
  <c r="G975" i="40"/>
  <c r="K975" i="40" s="1"/>
  <c r="G813" i="40"/>
  <c r="K813" i="40" s="1"/>
  <c r="G461" i="40"/>
  <c r="K461" i="40" s="1"/>
  <c r="G385" i="40"/>
  <c r="K385" i="40" s="1"/>
  <c r="K54" i="40"/>
  <c r="G867" i="40"/>
  <c r="K867" i="40" s="1"/>
  <c r="G731" i="40"/>
  <c r="K731" i="40" s="1"/>
  <c r="G332" i="40"/>
  <c r="K332" i="40" s="1"/>
  <c r="G236" i="40"/>
  <c r="K236" i="40" s="1"/>
  <c r="G161" i="40"/>
  <c r="K161" i="40" s="1"/>
  <c r="G921" i="40"/>
  <c r="K921" i="40" s="1"/>
  <c r="G538" i="40"/>
  <c r="K538" i="40" s="1"/>
  <c r="G107" i="40"/>
  <c r="K107" i="40" s="1"/>
  <c r="I649" i="40"/>
  <c r="M235" i="40"/>
  <c r="F747" i="40"/>
  <c r="J747" i="40" s="1"/>
  <c r="I700" i="40"/>
  <c r="I816" i="40"/>
  <c r="I214" i="40"/>
  <c r="F554" i="40"/>
  <c r="J554" i="40" s="1"/>
  <c r="F717" i="40"/>
  <c r="J717" i="40" s="1"/>
  <c r="M645" i="40"/>
  <c r="F592" i="40"/>
  <c r="F538" i="40"/>
  <c r="F461" i="40"/>
  <c r="F701" i="40"/>
  <c r="I54" i="40"/>
  <c r="F975" i="40"/>
  <c r="F107" i="40"/>
  <c r="F867" i="40"/>
  <c r="J54" i="40"/>
  <c r="F215" i="40"/>
  <c r="F921" i="40"/>
  <c r="F438" i="40"/>
  <c r="F385" i="40"/>
  <c r="F332" i="40"/>
  <c r="F646" i="40"/>
  <c r="F813" i="40"/>
  <c r="F257" i="40"/>
  <c r="F236" i="40"/>
  <c r="F161" i="40"/>
  <c r="F731" i="40"/>
  <c r="M812" i="40"/>
  <c r="M167" i="40"/>
  <c r="F662" i="40"/>
  <c r="J662" i="40" s="1"/>
  <c r="I978" i="40"/>
  <c r="I335" i="40"/>
  <c r="I544" i="40"/>
  <c r="M743" i="40"/>
  <c r="G759" i="40"/>
  <c r="K759" i="40" s="1"/>
  <c r="I106" i="40"/>
  <c r="M816" i="40"/>
  <c r="M239" i="40"/>
  <c r="G278" i="40"/>
  <c r="K278" i="40" s="1"/>
  <c r="F606" i="40"/>
  <c r="J606" i="40" s="1"/>
  <c r="K711" i="40"/>
  <c r="D68" i="52"/>
  <c r="G324" i="9"/>
  <c r="H308" i="9" s="1"/>
  <c r="M170" i="40"/>
  <c r="M649" i="40"/>
  <c r="I730" i="40"/>
  <c r="I242" i="40"/>
  <c r="I924" i="40"/>
  <c r="I743" i="40"/>
  <c r="I110" i="40"/>
  <c r="M113" i="40"/>
  <c r="M591" i="40"/>
  <c r="D66" i="52"/>
  <c r="F810" i="40"/>
  <c r="F728" i="40"/>
  <c r="F589" i="40"/>
  <c r="F435" i="40"/>
  <c r="F254" i="40"/>
  <c r="F104" i="40"/>
  <c r="F972" i="40"/>
  <c r="F535" i="40"/>
  <c r="F382" i="40"/>
  <c r="F233" i="40"/>
  <c r="F918" i="40"/>
  <c r="J51" i="40"/>
  <c r="F458" i="40"/>
  <c r="F329" i="40"/>
  <c r="F158" i="40"/>
  <c r="F864" i="40"/>
  <c r="F698" i="40"/>
  <c r="F643" i="40"/>
  <c r="F212" i="40"/>
  <c r="F62" i="40"/>
  <c r="I51" i="40"/>
  <c r="J224" i="40"/>
  <c r="F288" i="40"/>
  <c r="J288" i="40" s="1"/>
  <c r="D65" i="52"/>
  <c r="G283" i="9"/>
  <c r="N334" i="9"/>
  <c r="E299" i="9"/>
  <c r="F283" i="9" s="1"/>
  <c r="P193" i="1"/>
  <c r="P189" i="1"/>
  <c r="P185" i="1"/>
  <c r="P191" i="1"/>
  <c r="P187" i="1"/>
  <c r="P183" i="1"/>
  <c r="P188" i="1"/>
  <c r="P194" i="1"/>
  <c r="P186" i="1"/>
  <c r="P97" i="1"/>
  <c r="P95" i="1"/>
  <c r="P93" i="1"/>
  <c r="P91" i="1"/>
  <c r="P89" i="1"/>
  <c r="P87" i="1"/>
  <c r="P85" i="1"/>
  <c r="P83" i="1"/>
  <c r="P81" i="1"/>
  <c r="P79" i="1"/>
  <c r="P77" i="1"/>
  <c r="P75" i="1"/>
  <c r="P73" i="1"/>
  <c r="P71" i="1"/>
  <c r="P69" i="1"/>
  <c r="P67" i="1"/>
  <c r="P65" i="1"/>
  <c r="P63" i="1"/>
  <c r="P61" i="1"/>
  <c r="P59" i="1"/>
  <c r="P57" i="1"/>
  <c r="P55" i="1"/>
  <c r="P53" i="1"/>
  <c r="P51" i="1"/>
  <c r="P182" i="1"/>
  <c r="P180" i="1"/>
  <c r="P178" i="1"/>
  <c r="P176" i="1"/>
  <c r="P174" i="1"/>
  <c r="P172" i="1"/>
  <c r="P170" i="1"/>
  <c r="P168" i="1"/>
  <c r="P165" i="1"/>
  <c r="P163" i="1"/>
  <c r="P161" i="1"/>
  <c r="P159" i="1"/>
  <c r="P157" i="1"/>
  <c r="P155" i="1"/>
  <c r="P153" i="1"/>
  <c r="P151" i="1"/>
  <c r="P149" i="1"/>
  <c r="P147" i="1"/>
  <c r="P145" i="1"/>
  <c r="P143" i="1"/>
  <c r="P141" i="1"/>
  <c r="P139" i="1"/>
  <c r="P137" i="1"/>
  <c r="P135" i="1"/>
  <c r="P133" i="1"/>
  <c r="P131" i="1"/>
  <c r="P129" i="1"/>
  <c r="P127" i="1"/>
  <c r="P125" i="1"/>
  <c r="P123" i="1"/>
  <c r="P121" i="1"/>
  <c r="P119" i="1"/>
  <c r="P117" i="1"/>
  <c r="P116" i="1"/>
  <c r="P113" i="1"/>
  <c r="P111" i="1"/>
  <c r="P110" i="1"/>
  <c r="P108" i="1"/>
  <c r="P106" i="1"/>
  <c r="P103" i="1"/>
  <c r="P101" i="1"/>
  <c r="P99" i="1"/>
  <c r="P96" i="1"/>
  <c r="P92" i="1"/>
  <c r="P86" i="1"/>
  <c r="P84" i="1"/>
  <c r="P78" i="1"/>
  <c r="P76" i="1"/>
  <c r="P72" i="1"/>
  <c r="P66" i="1"/>
  <c r="P62" i="1"/>
  <c r="P58" i="1"/>
  <c r="P54" i="1"/>
  <c r="P52" i="1"/>
  <c r="P49" i="1"/>
  <c r="P47" i="1"/>
  <c r="P45" i="1"/>
  <c r="P43" i="1"/>
  <c r="P41" i="1"/>
  <c r="P39" i="1"/>
  <c r="P38" i="1"/>
  <c r="P36" i="1"/>
  <c r="P34" i="1"/>
  <c r="P32" i="1"/>
  <c r="P30" i="1"/>
  <c r="P28" i="1"/>
  <c r="P26" i="1"/>
  <c r="P192" i="1"/>
  <c r="P184" i="1"/>
  <c r="P190" i="1"/>
  <c r="P181" i="1"/>
  <c r="P179" i="1"/>
  <c r="P177" i="1"/>
  <c r="P175" i="1"/>
  <c r="P173" i="1"/>
  <c r="P171" i="1"/>
  <c r="P169" i="1"/>
  <c r="P167" i="1"/>
  <c r="P166" i="1"/>
  <c r="P164" i="1"/>
  <c r="P162" i="1"/>
  <c r="P160" i="1"/>
  <c r="P158" i="1"/>
  <c r="P156" i="1"/>
  <c r="P154" i="1"/>
  <c r="P152" i="1"/>
  <c r="P150" i="1"/>
  <c r="P148" i="1"/>
  <c r="P146" i="1"/>
  <c r="P144" i="1"/>
  <c r="P142" i="1"/>
  <c r="P140" i="1"/>
  <c r="P138" i="1"/>
  <c r="P136" i="1"/>
  <c r="P134" i="1"/>
  <c r="P132" i="1"/>
  <c r="P130" i="1"/>
  <c r="P128" i="1"/>
  <c r="P126" i="1"/>
  <c r="P124" i="1"/>
  <c r="P122" i="1"/>
  <c r="P120" i="1"/>
  <c r="P118" i="1"/>
  <c r="P115" i="1"/>
  <c r="P114" i="1"/>
  <c r="P112" i="1"/>
  <c r="P109" i="1"/>
  <c r="P107" i="1"/>
  <c r="P105" i="1"/>
  <c r="P104" i="1"/>
  <c r="P102" i="1"/>
  <c r="P100" i="1"/>
  <c r="P98" i="1"/>
  <c r="P94" i="1"/>
  <c r="P90" i="1"/>
  <c r="P88" i="1"/>
  <c r="P82" i="1"/>
  <c r="P80" i="1"/>
  <c r="P74" i="1"/>
  <c r="P70" i="1"/>
  <c r="P68" i="1"/>
  <c r="P64" i="1"/>
  <c r="P60" i="1"/>
  <c r="P56" i="1"/>
  <c r="P50" i="1"/>
  <c r="P48" i="1"/>
  <c r="P46" i="1"/>
  <c r="P44" i="1"/>
  <c r="P42" i="1"/>
  <c r="P40" i="1"/>
  <c r="P37" i="1"/>
  <c r="P35" i="1"/>
  <c r="P33" i="1"/>
  <c r="P31" i="1"/>
  <c r="P29" i="1"/>
  <c r="P27" i="1"/>
  <c r="P25" i="1"/>
  <c r="P23" i="1"/>
  <c r="P21" i="1"/>
  <c r="P19" i="1"/>
  <c r="P17" i="1"/>
  <c r="P24" i="1"/>
  <c r="P22" i="1"/>
  <c r="P20" i="1"/>
  <c r="P18" i="1"/>
  <c r="P16" i="1"/>
  <c r="P14" i="1"/>
  <c r="M53" i="40"/>
  <c r="G822" i="40"/>
  <c r="G655" i="40"/>
  <c r="K655" i="40" s="1"/>
  <c r="M655" i="40" s="1"/>
  <c r="G394" i="40"/>
  <c r="G930" i="40"/>
  <c r="G710" i="40"/>
  <c r="G984" i="40"/>
  <c r="G601" i="40"/>
  <c r="G470" i="40"/>
  <c r="G876" i="40"/>
  <c r="G740" i="40"/>
  <c r="G547" i="40"/>
  <c r="G341" i="40"/>
  <c r="G447" i="40"/>
  <c r="J219" i="40"/>
  <c r="F283" i="40"/>
  <c r="J283" i="40" s="1"/>
  <c r="F489" i="40"/>
  <c r="J489" i="40" s="1"/>
  <c r="J442" i="40"/>
  <c r="F763" i="40"/>
  <c r="J763" i="40" s="1"/>
  <c r="J704" i="40"/>
  <c r="F488" i="40"/>
  <c r="J488" i="40" s="1"/>
  <c r="J441" i="40"/>
  <c r="M441" i="40" s="1"/>
  <c r="K334" i="9"/>
  <c r="G208" i="9"/>
  <c r="E224" i="9"/>
  <c r="F208" i="9" s="1"/>
  <c r="J290" i="40"/>
  <c r="M290" i="40" s="1"/>
  <c r="I290" i="40"/>
  <c r="F320" i="9"/>
  <c r="F314" i="9"/>
  <c r="F310" i="9"/>
  <c r="F322" i="9"/>
  <c r="F312" i="9"/>
  <c r="F316" i="9"/>
  <c r="F311" i="9"/>
  <c r="F313" i="9"/>
  <c r="F323" i="9"/>
  <c r="F318" i="9"/>
  <c r="F321" i="9"/>
  <c r="F315" i="9"/>
  <c r="F317" i="9"/>
  <c r="F319" i="9"/>
  <c r="F309" i="9"/>
  <c r="G600" i="40"/>
  <c r="K600" i="40" s="1"/>
  <c r="G654" i="40"/>
  <c r="K654" i="40" s="1"/>
  <c r="G546" i="40"/>
  <c r="K546" i="40" s="1"/>
  <c r="G115" i="40"/>
  <c r="K115" i="40" s="1"/>
  <c r="G709" i="40"/>
  <c r="G983" i="40"/>
  <c r="K983" i="40" s="1"/>
  <c r="G821" i="40"/>
  <c r="K821" i="40" s="1"/>
  <c r="G469" i="40"/>
  <c r="K469" i="40" s="1"/>
  <c r="G446" i="40"/>
  <c r="G169" i="40"/>
  <c r="K169" i="40" s="1"/>
  <c r="G875" i="40"/>
  <c r="K875" i="40" s="1"/>
  <c r="G739" i="40"/>
  <c r="K739" i="40" s="1"/>
  <c r="G340" i="40"/>
  <c r="K340" i="40" s="1"/>
  <c r="G393" i="40"/>
  <c r="K393" i="40" s="1"/>
  <c r="G223" i="40"/>
  <c r="G929" i="40"/>
  <c r="K929" i="40" s="1"/>
  <c r="G265" i="40"/>
  <c r="K265" i="40" s="1"/>
  <c r="G244" i="40"/>
  <c r="K244" i="40" s="1"/>
  <c r="J222" i="40"/>
  <c r="F286" i="40"/>
  <c r="J286" i="40" s="1"/>
  <c r="J705" i="40"/>
  <c r="F764" i="40"/>
  <c r="J764" i="40" s="1"/>
  <c r="G274" i="9"/>
  <c r="H258" i="9" s="1"/>
  <c r="E92" i="9"/>
  <c r="F88" i="9" s="1"/>
  <c r="G233" i="9"/>
  <c r="L334" i="9"/>
  <c r="E249" i="9"/>
  <c r="F233" i="9" s="1"/>
  <c r="G133" i="9"/>
  <c r="H334" i="9"/>
  <c r="I467" i="40"/>
  <c r="M335" i="40"/>
  <c r="I160" i="40"/>
  <c r="M544" i="40"/>
  <c r="I883" i="40"/>
  <c r="I464" i="40"/>
  <c r="I468" i="40"/>
  <c r="I819" i="40"/>
  <c r="I542" i="40"/>
  <c r="I541" i="40"/>
  <c r="I167" i="40"/>
  <c r="I239" i="40"/>
  <c r="M256" i="40"/>
  <c r="I873" i="40"/>
  <c r="D64" i="52"/>
  <c r="F823" i="40"/>
  <c r="F931" i="40"/>
  <c r="F711" i="40"/>
  <c r="F656" i="40"/>
  <c r="F877" i="40"/>
  <c r="F602" i="40"/>
  <c r="F448" i="40"/>
  <c r="F741" i="40"/>
  <c r="F548" i="40"/>
  <c r="F395" i="40"/>
  <c r="F985" i="40"/>
  <c r="F471" i="40"/>
  <c r="J827" i="40"/>
  <c r="G827" i="40"/>
  <c r="K827" i="40" s="1"/>
  <c r="G717" i="40"/>
  <c r="G747" i="40"/>
  <c r="K747" i="40" s="1"/>
  <c r="G881" i="40"/>
  <c r="K881" i="40" s="1"/>
  <c r="G662" i="40"/>
  <c r="K662" i="40" s="1"/>
  <c r="G554" i="40"/>
  <c r="K554" i="40" s="1"/>
  <c r="G606" i="40"/>
  <c r="K606" i="40" s="1"/>
  <c r="F494" i="40"/>
  <c r="J494" i="40" s="1"/>
  <c r="J447" i="40"/>
  <c r="F766" i="40"/>
  <c r="J766" i="40" s="1"/>
  <c r="J707" i="40"/>
  <c r="M707" i="40" s="1"/>
  <c r="F759" i="40"/>
  <c r="J759" i="40" s="1"/>
  <c r="J700" i="40"/>
  <c r="M700" i="40" s="1"/>
  <c r="F484" i="40"/>
  <c r="J484" i="40" s="1"/>
  <c r="J437" i="40"/>
  <c r="M437" i="40" s="1"/>
  <c r="F308" i="9"/>
  <c r="G158" i="9"/>
  <c r="I334" i="9"/>
  <c r="E174" i="9"/>
  <c r="F158" i="9" s="1"/>
  <c r="D79" i="52"/>
  <c r="D95" i="52" s="1"/>
  <c r="F118" i="9"/>
  <c r="E58" i="9"/>
  <c r="F42" i="9" s="1"/>
  <c r="F767" i="40"/>
  <c r="J767" i="40" s="1"/>
  <c r="J708" i="40"/>
  <c r="M708" i="40" s="1"/>
  <c r="G810" i="40"/>
  <c r="G643" i="40"/>
  <c r="G382" i="40"/>
  <c r="K51" i="40"/>
  <c r="G233" i="40"/>
  <c r="G918" i="40"/>
  <c r="G698" i="40"/>
  <c r="G254" i="40"/>
  <c r="G62" i="40"/>
  <c r="G972" i="40"/>
  <c r="G589" i="40"/>
  <c r="G458" i="40"/>
  <c r="G158" i="40"/>
  <c r="G104" i="40"/>
  <c r="G864" i="40"/>
  <c r="G728" i="40"/>
  <c r="G535" i="40"/>
  <c r="G329" i="40"/>
  <c r="G212" i="40"/>
  <c r="G435" i="40"/>
  <c r="F270" i="9"/>
  <c r="F268" i="9"/>
  <c r="F264" i="9"/>
  <c r="F260" i="9"/>
  <c r="F272" i="9"/>
  <c r="F262" i="9"/>
  <c r="F266" i="9"/>
  <c r="F263" i="9"/>
  <c r="F265" i="9"/>
  <c r="F261" i="9"/>
  <c r="F269" i="9"/>
  <c r="F267" i="9"/>
  <c r="F259" i="9"/>
  <c r="F271" i="9"/>
  <c r="F273" i="9"/>
  <c r="G183" i="9"/>
  <c r="J334" i="9"/>
  <c r="E199" i="9"/>
  <c r="F183" i="9" s="1"/>
  <c r="F821" i="40"/>
  <c r="F929" i="40"/>
  <c r="F654" i="40"/>
  <c r="F983" i="40"/>
  <c r="F600" i="40"/>
  <c r="F446" i="40"/>
  <c r="F265" i="40"/>
  <c r="F115" i="40"/>
  <c r="F546" i="40"/>
  <c r="F393" i="40"/>
  <c r="F244" i="40"/>
  <c r="F875" i="40"/>
  <c r="F739" i="40"/>
  <c r="F469" i="40"/>
  <c r="F340" i="40"/>
  <c r="F169" i="40"/>
  <c r="F709" i="40"/>
  <c r="F223" i="40"/>
  <c r="J218" i="40"/>
  <c r="M218" i="40" s="1"/>
  <c r="F282" i="40"/>
  <c r="J282" i="40" s="1"/>
  <c r="J710" i="40"/>
  <c r="F769" i="40"/>
  <c r="J769" i="40" s="1"/>
  <c r="J221" i="40"/>
  <c r="M221" i="40" s="1"/>
  <c r="F285" i="40"/>
  <c r="J285" i="40" s="1"/>
  <c r="F491" i="40"/>
  <c r="J491" i="40" s="1"/>
  <c r="J444" i="40"/>
  <c r="M444" i="40" s="1"/>
  <c r="J214" i="40"/>
  <c r="M214" i="40" s="1"/>
  <c r="F278" i="40"/>
  <c r="J278" i="40" s="1"/>
  <c r="D63" i="52"/>
  <c r="D62" i="52"/>
  <c r="E30" i="9"/>
  <c r="E107" i="9"/>
  <c r="F492" i="40"/>
  <c r="J492" i="40" s="1"/>
  <c r="J445" i="40"/>
  <c r="M103" i="40"/>
  <c r="M588" i="40"/>
  <c r="M457" i="40"/>
  <c r="M381" i="40"/>
  <c r="M211" i="40"/>
  <c r="K771" i="40"/>
  <c r="M771" i="40" s="1"/>
  <c r="I771" i="40"/>
  <c r="K487" i="40"/>
  <c r="M487" i="40" s="1"/>
  <c r="I487" i="40"/>
  <c r="K280" i="40"/>
  <c r="M280" i="40" s="1"/>
  <c r="I280" i="40"/>
  <c r="M863" i="40"/>
  <c r="K282" i="40"/>
  <c r="I486" i="40"/>
  <c r="K486" i="40"/>
  <c r="M486" i="40" s="1"/>
  <c r="M157" i="40"/>
  <c r="I277" i="40"/>
  <c r="K277" i="40"/>
  <c r="M277" i="40" s="1"/>
  <c r="M917" i="40"/>
  <c r="M434" i="40"/>
  <c r="M809" i="40"/>
  <c r="K772" i="40"/>
  <c r="K496" i="40"/>
  <c r="M496" i="40" s="1"/>
  <c r="I496" i="40"/>
  <c r="K483" i="40"/>
  <c r="M483" i="40" s="1"/>
  <c r="I483" i="40"/>
  <c r="M697" i="40"/>
  <c r="K762" i="40"/>
  <c r="I281" i="40"/>
  <c r="K281" i="40"/>
  <c r="M281" i="40" s="1"/>
  <c r="M328" i="40"/>
  <c r="K758" i="40"/>
  <c r="M758" i="40" s="1"/>
  <c r="I758" i="40"/>
  <c r="M253" i="40"/>
  <c r="M727" i="40"/>
  <c r="M534" i="40"/>
  <c r="I756" i="40"/>
  <c r="K756" i="40"/>
  <c r="M232" i="40"/>
  <c r="K484" i="40"/>
  <c r="M642" i="40"/>
  <c r="I481" i="40"/>
  <c r="K481" i="40"/>
  <c r="M971" i="40"/>
  <c r="K275" i="40"/>
  <c r="I275" i="40"/>
  <c r="I777" i="40"/>
  <c r="K777" i="40"/>
  <c r="M777" i="40" s="1"/>
  <c r="I761" i="40"/>
  <c r="K761" i="40"/>
  <c r="M761" i="40" s="1"/>
  <c r="I928" i="40" l="1"/>
  <c r="I653" i="40"/>
  <c r="M704" i="40"/>
  <c r="G770" i="40"/>
  <c r="K770" i="40" s="1"/>
  <c r="I738" i="40"/>
  <c r="K392" i="40"/>
  <c r="M392" i="40" s="1"/>
  <c r="I168" i="40"/>
  <c r="K25" i="33"/>
  <c r="AI25" i="33" s="1"/>
  <c r="AJ25" i="33" s="1"/>
  <c r="E99" i="33" s="1"/>
  <c r="I599" i="40"/>
  <c r="I264" i="40"/>
  <c r="I339" i="40"/>
  <c r="M445" i="40"/>
  <c r="I222" i="40"/>
  <c r="M222" i="40"/>
  <c r="I874" i="40"/>
  <c r="I762" i="40"/>
  <c r="I445" i="40"/>
  <c r="M762" i="40"/>
  <c r="E74" i="9"/>
  <c r="F68" i="9" s="1"/>
  <c r="K114" i="40"/>
  <c r="M114" i="40" s="1"/>
  <c r="M767" i="40"/>
  <c r="F124" i="9"/>
  <c r="G118" i="9" s="1"/>
  <c r="G288" i="40"/>
  <c r="K224" i="40"/>
  <c r="M224" i="40" s="1"/>
  <c r="G139" i="9"/>
  <c r="H340" i="9"/>
  <c r="I735" i="40"/>
  <c r="I243" i="40"/>
  <c r="K738" i="40"/>
  <c r="M738" i="40" s="1"/>
  <c r="G286" i="40"/>
  <c r="K286" i="40" s="1"/>
  <c r="M286" i="40" s="1"/>
  <c r="G492" i="40"/>
  <c r="K492" i="40" s="1"/>
  <c r="M492" i="40" s="1"/>
  <c r="K468" i="40"/>
  <c r="M468" i="40" s="1"/>
  <c r="G495" i="40"/>
  <c r="K495" i="40" s="1"/>
  <c r="I820" i="40"/>
  <c r="I240" i="40"/>
  <c r="I550" i="40"/>
  <c r="J713" i="40"/>
  <c r="M713" i="40" s="1"/>
  <c r="I62" i="40"/>
  <c r="I596" i="40"/>
  <c r="I763" i="40"/>
  <c r="J773" i="40"/>
  <c r="M773" i="40" s="1"/>
  <c r="I773" i="40"/>
  <c r="M488" i="40"/>
  <c r="I389" i="40"/>
  <c r="I261" i="40"/>
  <c r="M747" i="40"/>
  <c r="G283" i="40"/>
  <c r="K219" i="40"/>
  <c r="M219" i="40" s="1"/>
  <c r="I650" i="40"/>
  <c r="K165" i="40"/>
  <c r="M165" i="40" s="1"/>
  <c r="I165" i="40"/>
  <c r="J658" i="40"/>
  <c r="M658" i="40" s="1"/>
  <c r="I658" i="40"/>
  <c r="M662" i="40"/>
  <c r="I871" i="40"/>
  <c r="K442" i="40"/>
  <c r="M442" i="40" s="1"/>
  <c r="G489" i="40"/>
  <c r="K489" i="40" s="1"/>
  <c r="M489" i="40" s="1"/>
  <c r="I442" i="40"/>
  <c r="K925" i="40"/>
  <c r="M925" i="40" s="1"/>
  <c r="I925" i="40"/>
  <c r="I767" i="40"/>
  <c r="F772" i="40"/>
  <c r="I465" i="40"/>
  <c r="I979" i="40"/>
  <c r="I111" i="40"/>
  <c r="K817" i="40"/>
  <c r="M817" i="40" s="1"/>
  <c r="I817" i="40"/>
  <c r="K705" i="40"/>
  <c r="M705" i="40" s="1"/>
  <c r="G764" i="40"/>
  <c r="K764" i="40" s="1"/>
  <c r="M764" i="40" s="1"/>
  <c r="I705" i="40"/>
  <c r="K336" i="40"/>
  <c r="M336" i="40" s="1"/>
  <c r="I336" i="40"/>
  <c r="I219" i="40"/>
  <c r="J651" i="40"/>
  <c r="M651" i="40" s="1"/>
  <c r="I651" i="40"/>
  <c r="J543" i="40"/>
  <c r="I543" i="40"/>
  <c r="M59" i="40"/>
  <c r="J62" i="40"/>
  <c r="J466" i="40"/>
  <c r="M466" i="40" s="1"/>
  <c r="I466" i="40"/>
  <c r="F284" i="40"/>
  <c r="I220" i="40"/>
  <c r="J220" i="40"/>
  <c r="J736" i="40"/>
  <c r="M736" i="40" s="1"/>
  <c r="I736" i="40"/>
  <c r="J443" i="40"/>
  <c r="I443" i="40"/>
  <c r="F490" i="40"/>
  <c r="J980" i="40"/>
  <c r="M980" i="40" s="1"/>
  <c r="I980" i="40"/>
  <c r="K220" i="40"/>
  <c r="G284" i="40"/>
  <c r="K284" i="40" s="1"/>
  <c r="J112" i="40"/>
  <c r="M112" i="40" s="1"/>
  <c r="I112" i="40"/>
  <c r="J872" i="40"/>
  <c r="M872" i="40" s="1"/>
  <c r="I872" i="40"/>
  <c r="F776" i="40"/>
  <c r="J776" i="40" s="1"/>
  <c r="J390" i="40"/>
  <c r="M390" i="40" s="1"/>
  <c r="I390" i="40"/>
  <c r="J337" i="40"/>
  <c r="M337" i="40" s="1"/>
  <c r="I337" i="40"/>
  <c r="F765" i="40"/>
  <c r="J706" i="40"/>
  <c r="I706" i="40"/>
  <c r="J818" i="40"/>
  <c r="M818" i="40" s="1"/>
  <c r="I818" i="40"/>
  <c r="J597" i="40"/>
  <c r="M597" i="40" s="1"/>
  <c r="I597" i="40"/>
  <c r="K443" i="40"/>
  <c r="G490" i="40"/>
  <c r="K490" i="40" s="1"/>
  <c r="M491" i="40"/>
  <c r="I717" i="40"/>
  <c r="J262" i="40"/>
  <c r="M262" i="40" s="1"/>
  <c r="I262" i="40"/>
  <c r="J241" i="40"/>
  <c r="M241" i="40" s="1"/>
  <c r="I241" i="40"/>
  <c r="J926" i="40"/>
  <c r="M926" i="40" s="1"/>
  <c r="I926" i="40"/>
  <c r="J166" i="40"/>
  <c r="M166" i="40" s="1"/>
  <c r="I166" i="40"/>
  <c r="K706" i="40"/>
  <c r="G765" i="40"/>
  <c r="K765" i="40" s="1"/>
  <c r="M543" i="40"/>
  <c r="I489" i="40"/>
  <c r="I484" i="40"/>
  <c r="P195" i="1"/>
  <c r="M759" i="40"/>
  <c r="M484" i="40"/>
  <c r="I766" i="40"/>
  <c r="M766" i="40"/>
  <c r="J731" i="40"/>
  <c r="M731" i="40" s="1"/>
  <c r="I731" i="40"/>
  <c r="I438" i="40"/>
  <c r="F485" i="40"/>
  <c r="J438" i="40"/>
  <c r="J867" i="40"/>
  <c r="M867" i="40" s="1"/>
  <c r="I867" i="40"/>
  <c r="J161" i="40"/>
  <c r="M161" i="40" s="1"/>
  <c r="I161" i="40"/>
  <c r="J646" i="40"/>
  <c r="M646" i="40" s="1"/>
  <c r="I646" i="40"/>
  <c r="J921" i="40"/>
  <c r="M921" i="40" s="1"/>
  <c r="I921" i="40"/>
  <c r="J107" i="40"/>
  <c r="I107" i="40"/>
  <c r="J461" i="40"/>
  <c r="M461" i="40" s="1"/>
  <c r="I461" i="40"/>
  <c r="M107" i="40"/>
  <c r="M54" i="40"/>
  <c r="K438" i="40"/>
  <c r="G485" i="40"/>
  <c r="K485" i="40" s="1"/>
  <c r="J813" i="40"/>
  <c r="M813" i="40" s="1"/>
  <c r="I813" i="40"/>
  <c r="F760" i="40"/>
  <c r="I701" i="40"/>
  <c r="J701" i="40"/>
  <c r="I491" i="40"/>
  <c r="M285" i="40"/>
  <c r="I759" i="40"/>
  <c r="I881" i="40"/>
  <c r="M554" i="40"/>
  <c r="J236" i="40"/>
  <c r="M236" i="40" s="1"/>
  <c r="I236" i="40"/>
  <c r="J332" i="40"/>
  <c r="M332" i="40" s="1"/>
  <c r="I332" i="40"/>
  <c r="J215" i="40"/>
  <c r="F279" i="40"/>
  <c r="I215" i="40"/>
  <c r="J975" i="40"/>
  <c r="M975" i="40" s="1"/>
  <c r="I975" i="40"/>
  <c r="J538" i="40"/>
  <c r="M538" i="40" s="1"/>
  <c r="I538" i="40"/>
  <c r="G279" i="40"/>
  <c r="K279" i="40" s="1"/>
  <c r="K215" i="40"/>
  <c r="M282" i="40"/>
  <c r="F274" i="9"/>
  <c r="M827" i="40"/>
  <c r="J257" i="40"/>
  <c r="M257" i="40" s="1"/>
  <c r="I257" i="40"/>
  <c r="J385" i="40"/>
  <c r="M385" i="40" s="1"/>
  <c r="I385" i="40"/>
  <c r="J592" i="40"/>
  <c r="M592" i="40" s="1"/>
  <c r="I592" i="40"/>
  <c r="G760" i="40"/>
  <c r="K760" i="40" s="1"/>
  <c r="K701" i="40"/>
  <c r="J602" i="40"/>
  <c r="M602" i="40" s="1"/>
  <c r="I602" i="40"/>
  <c r="F9" i="50"/>
  <c r="F27" i="9"/>
  <c r="F29" i="9"/>
  <c r="J340" i="40"/>
  <c r="M340" i="40" s="1"/>
  <c r="I340" i="40"/>
  <c r="J265" i="40"/>
  <c r="I265" i="40"/>
  <c r="G116" i="40"/>
  <c r="K104" i="40"/>
  <c r="K918" i="40"/>
  <c r="G934" i="40"/>
  <c r="F145" i="9"/>
  <c r="F135" i="9"/>
  <c r="F139" i="9"/>
  <c r="F141" i="9"/>
  <c r="F143" i="9"/>
  <c r="F147" i="9"/>
  <c r="F137" i="9"/>
  <c r="F136" i="9"/>
  <c r="F138" i="9"/>
  <c r="F148" i="9"/>
  <c r="F140" i="9"/>
  <c r="F134" i="9"/>
  <c r="F146" i="9"/>
  <c r="F142" i="9"/>
  <c r="F144" i="9"/>
  <c r="I740" i="40"/>
  <c r="K740" i="40"/>
  <c r="M740" i="40" s="1"/>
  <c r="J698" i="40"/>
  <c r="F757" i="40"/>
  <c r="F720" i="40"/>
  <c r="I698" i="40"/>
  <c r="J254" i="40"/>
  <c r="F267" i="40"/>
  <c r="I254" i="40"/>
  <c r="J810" i="40"/>
  <c r="F830" i="40"/>
  <c r="I810" i="40"/>
  <c r="I655" i="40"/>
  <c r="I285" i="40"/>
  <c r="I282" i="40"/>
  <c r="D70" i="52"/>
  <c r="D48" i="52" s="1"/>
  <c r="J223" i="40"/>
  <c r="F287" i="40"/>
  <c r="I223" i="40"/>
  <c r="J469" i="40"/>
  <c r="M469" i="40" s="1"/>
  <c r="I469" i="40"/>
  <c r="J393" i="40"/>
  <c r="M393" i="40" s="1"/>
  <c r="I393" i="40"/>
  <c r="F493" i="40"/>
  <c r="J446" i="40"/>
  <c r="I446" i="40"/>
  <c r="J929" i="40"/>
  <c r="M929" i="40" s="1"/>
  <c r="I929" i="40"/>
  <c r="G556" i="40"/>
  <c r="K535" i="40"/>
  <c r="K158" i="40"/>
  <c r="G171" i="40"/>
  <c r="G246" i="40"/>
  <c r="K233" i="40"/>
  <c r="G830" i="40"/>
  <c r="K810" i="40"/>
  <c r="F57" i="9"/>
  <c r="F56" i="9"/>
  <c r="F55" i="9"/>
  <c r="F54" i="9"/>
  <c r="F53" i="9"/>
  <c r="F52" i="9"/>
  <c r="F51" i="9"/>
  <c r="F50" i="9"/>
  <c r="F49" i="9"/>
  <c r="F48" i="9"/>
  <c r="F47" i="9"/>
  <c r="F46" i="9"/>
  <c r="F45" i="9"/>
  <c r="F44" i="9"/>
  <c r="F43" i="9"/>
  <c r="F170" i="9"/>
  <c r="F168" i="9"/>
  <c r="F172" i="9"/>
  <c r="F164" i="9"/>
  <c r="F166" i="9"/>
  <c r="F162" i="9"/>
  <c r="F160" i="9"/>
  <c r="F169" i="9"/>
  <c r="F165" i="9"/>
  <c r="F159" i="9"/>
  <c r="F163" i="9"/>
  <c r="F167" i="9"/>
  <c r="F171" i="9"/>
  <c r="F173" i="9"/>
  <c r="F161" i="9"/>
  <c r="F324" i="9"/>
  <c r="M881" i="40"/>
  <c r="I827" i="40"/>
  <c r="J548" i="40"/>
  <c r="M548" i="40" s="1"/>
  <c r="I548" i="40"/>
  <c r="J877" i="40"/>
  <c r="M877" i="40" s="1"/>
  <c r="I877" i="40"/>
  <c r="J823" i="40"/>
  <c r="M823" i="40" s="1"/>
  <c r="I823" i="40"/>
  <c r="G149" i="9"/>
  <c r="H133" i="9" s="1"/>
  <c r="G249" i="9"/>
  <c r="H233" i="9" s="1"/>
  <c r="I554" i="40"/>
  <c r="F91" i="9"/>
  <c r="F90" i="9"/>
  <c r="F89" i="9"/>
  <c r="M265" i="40"/>
  <c r="K446" i="40"/>
  <c r="G493" i="40"/>
  <c r="K493" i="40" s="1"/>
  <c r="K709" i="40"/>
  <c r="G768" i="40"/>
  <c r="K768" i="40" s="1"/>
  <c r="G224" i="9"/>
  <c r="H208" i="9" s="1"/>
  <c r="G494" i="40"/>
  <c r="I447" i="40"/>
  <c r="K447" i="40"/>
  <c r="M447" i="40" s="1"/>
  <c r="K876" i="40"/>
  <c r="M876" i="40" s="1"/>
  <c r="I876" i="40"/>
  <c r="K710" i="40"/>
  <c r="M710" i="40" s="1"/>
  <c r="G769" i="40"/>
  <c r="K769" i="40" s="1"/>
  <c r="M769" i="40" s="1"/>
  <c r="I710" i="40"/>
  <c r="I822" i="40"/>
  <c r="K822" i="40"/>
  <c r="M822" i="40" s="1"/>
  <c r="J864" i="40"/>
  <c r="F885" i="40"/>
  <c r="I864" i="40"/>
  <c r="J535" i="40"/>
  <c r="F556" i="40"/>
  <c r="I535" i="40"/>
  <c r="F482" i="40"/>
  <c r="J435" i="40"/>
  <c r="F450" i="40"/>
  <c r="I435" i="40"/>
  <c r="F26" i="9"/>
  <c r="I747" i="40"/>
  <c r="J244" i="40"/>
  <c r="M244" i="40" s="1"/>
  <c r="I244" i="40"/>
  <c r="K643" i="40"/>
  <c r="G665" i="40"/>
  <c r="G174" i="9"/>
  <c r="H158" i="9" s="1"/>
  <c r="J931" i="40"/>
  <c r="M931" i="40" s="1"/>
  <c r="I931" i="40"/>
  <c r="J382" i="40"/>
  <c r="F396" i="40"/>
  <c r="I382" i="40"/>
  <c r="F28" i="9"/>
  <c r="M278" i="40"/>
  <c r="D103" i="52"/>
  <c r="D106" i="52" s="1"/>
  <c r="E110" i="9"/>
  <c r="F107" i="9" s="1"/>
  <c r="J709" i="40"/>
  <c r="F768" i="40"/>
  <c r="I709" i="40"/>
  <c r="J739" i="40"/>
  <c r="M739" i="40" s="1"/>
  <c r="I739" i="40"/>
  <c r="J546" i="40"/>
  <c r="M546" i="40" s="1"/>
  <c r="I546" i="40"/>
  <c r="J600" i="40"/>
  <c r="M600" i="40" s="1"/>
  <c r="I600" i="40"/>
  <c r="J821" i="40"/>
  <c r="M821" i="40" s="1"/>
  <c r="I821" i="40"/>
  <c r="G199" i="9"/>
  <c r="H183" i="9" s="1"/>
  <c r="K435" i="40"/>
  <c r="G482" i="40"/>
  <c r="G450" i="40"/>
  <c r="G750" i="40"/>
  <c r="K728" i="40"/>
  <c r="G473" i="40"/>
  <c r="K458" i="40"/>
  <c r="K254" i="40"/>
  <c r="G267" i="40"/>
  <c r="M51" i="40"/>
  <c r="K62" i="40"/>
  <c r="M606" i="40"/>
  <c r="J471" i="40"/>
  <c r="M471" i="40" s="1"/>
  <c r="I471" i="40"/>
  <c r="J741" i="40"/>
  <c r="M741" i="40" s="1"/>
  <c r="I741" i="40"/>
  <c r="J656" i="40"/>
  <c r="M656" i="40" s="1"/>
  <c r="I656" i="40"/>
  <c r="F24" i="9"/>
  <c r="F133" i="9"/>
  <c r="F245" i="9"/>
  <c r="F243" i="9"/>
  <c r="F239" i="9"/>
  <c r="F235" i="9"/>
  <c r="F241" i="9"/>
  <c r="F247" i="9"/>
  <c r="F237" i="9"/>
  <c r="F234" i="9"/>
  <c r="F236" i="9"/>
  <c r="F244" i="9"/>
  <c r="F240" i="9"/>
  <c r="F242" i="9"/>
  <c r="F238" i="9"/>
  <c r="F246" i="9"/>
  <c r="F248" i="9"/>
  <c r="I341" i="40"/>
  <c r="K341" i="40"/>
  <c r="M341" i="40" s="1"/>
  <c r="K470" i="40"/>
  <c r="M470" i="40" s="1"/>
  <c r="I470" i="40"/>
  <c r="K930" i="40"/>
  <c r="M930" i="40" s="1"/>
  <c r="I930" i="40"/>
  <c r="J212" i="40"/>
  <c r="F276" i="40"/>
  <c r="F225" i="40"/>
  <c r="I212" i="40"/>
  <c r="J158" i="40"/>
  <c r="F171" i="40"/>
  <c r="I158" i="40"/>
  <c r="J918" i="40"/>
  <c r="F934" i="40"/>
  <c r="I918" i="40"/>
  <c r="J972" i="40"/>
  <c r="F989" i="40"/>
  <c r="I972" i="40"/>
  <c r="J589" i="40"/>
  <c r="F608" i="40"/>
  <c r="I589" i="40"/>
  <c r="J654" i="40"/>
  <c r="M654" i="40" s="1"/>
  <c r="I654" i="40"/>
  <c r="K329" i="40"/>
  <c r="G342" i="40"/>
  <c r="G989" i="40"/>
  <c r="K972" i="40"/>
  <c r="J395" i="40"/>
  <c r="M395" i="40" s="1"/>
  <c r="I395" i="40"/>
  <c r="K984" i="40"/>
  <c r="M984" i="40" s="1"/>
  <c r="I984" i="40"/>
  <c r="F295" i="9"/>
  <c r="F293" i="9"/>
  <c r="F289" i="9"/>
  <c r="F285" i="9"/>
  <c r="F291" i="9"/>
  <c r="F297" i="9"/>
  <c r="F287" i="9"/>
  <c r="F296" i="9"/>
  <c r="F290" i="9"/>
  <c r="F284" i="9"/>
  <c r="F292" i="9"/>
  <c r="F294" i="9"/>
  <c r="F288" i="9"/>
  <c r="F298" i="9"/>
  <c r="F286" i="9"/>
  <c r="F25" i="9"/>
  <c r="J458" i="40"/>
  <c r="F473" i="40"/>
  <c r="I458" i="40"/>
  <c r="I488" i="40"/>
  <c r="I278" i="40"/>
  <c r="F22" i="9"/>
  <c r="J169" i="40"/>
  <c r="M169" i="40" s="1"/>
  <c r="I169" i="40"/>
  <c r="J875" i="40"/>
  <c r="M875" i="40" s="1"/>
  <c r="I875" i="40"/>
  <c r="J115" i="40"/>
  <c r="M115" i="40" s="1"/>
  <c r="I115" i="40"/>
  <c r="J983" i="40"/>
  <c r="M983" i="40" s="1"/>
  <c r="I983" i="40"/>
  <c r="F195" i="9"/>
  <c r="F193" i="9"/>
  <c r="F189" i="9"/>
  <c r="F185" i="9"/>
  <c r="F191" i="9"/>
  <c r="F197" i="9"/>
  <c r="F187" i="9"/>
  <c r="F186" i="9"/>
  <c r="F188" i="9"/>
  <c r="F198" i="9"/>
  <c r="F190" i="9"/>
  <c r="F196" i="9"/>
  <c r="F194" i="9"/>
  <c r="F192" i="9"/>
  <c r="F184" i="9"/>
  <c r="G225" i="40"/>
  <c r="K212" i="40"/>
  <c r="G276" i="40"/>
  <c r="K864" i="40"/>
  <c r="G885" i="40"/>
  <c r="K589" i="40"/>
  <c r="G608" i="40"/>
  <c r="G757" i="40"/>
  <c r="G720" i="40"/>
  <c r="K698" i="40"/>
  <c r="K382" i="40"/>
  <c r="G396" i="40"/>
  <c r="G776" i="40"/>
  <c r="K776" i="40" s="1"/>
  <c r="K717" i="40"/>
  <c r="M717" i="40" s="1"/>
  <c r="I606" i="40"/>
  <c r="J985" i="40"/>
  <c r="M985" i="40" s="1"/>
  <c r="I985" i="40"/>
  <c r="F495" i="40"/>
  <c r="J448" i="40"/>
  <c r="I448" i="40"/>
  <c r="F770" i="40"/>
  <c r="J711" i="40"/>
  <c r="M711" i="40" s="1"/>
  <c r="I711" i="40"/>
  <c r="H264" i="9"/>
  <c r="H265" i="9"/>
  <c r="H269" i="9"/>
  <c r="G287" i="40"/>
  <c r="K287" i="40" s="1"/>
  <c r="K223" i="40"/>
  <c r="F220" i="9"/>
  <c r="F218" i="9"/>
  <c r="F214" i="9"/>
  <c r="F210" i="9"/>
  <c r="F222" i="9"/>
  <c r="F212" i="9"/>
  <c r="F216" i="9"/>
  <c r="F211" i="9"/>
  <c r="F221" i="9"/>
  <c r="F209" i="9"/>
  <c r="F213" i="9"/>
  <c r="F217" i="9"/>
  <c r="F223" i="9"/>
  <c r="F215" i="9"/>
  <c r="F219" i="9"/>
  <c r="K547" i="40"/>
  <c r="M547" i="40" s="1"/>
  <c r="I547" i="40"/>
  <c r="I601" i="40"/>
  <c r="K601" i="40"/>
  <c r="M601" i="40" s="1"/>
  <c r="K394" i="40"/>
  <c r="M394" i="40" s="1"/>
  <c r="I394" i="40"/>
  <c r="G299" i="9"/>
  <c r="H283" i="9" s="1"/>
  <c r="J643" i="40"/>
  <c r="F665" i="40"/>
  <c r="I643" i="40"/>
  <c r="J329" i="40"/>
  <c r="F342" i="40"/>
  <c r="I329" i="40"/>
  <c r="J233" i="40"/>
  <c r="F246" i="40"/>
  <c r="I233" i="40"/>
  <c r="J104" i="40"/>
  <c r="F116" i="40"/>
  <c r="I104" i="40"/>
  <c r="J728" i="40"/>
  <c r="F750" i="40"/>
  <c r="I728" i="40"/>
  <c r="I662" i="40"/>
  <c r="M448" i="40"/>
  <c r="H314" i="9"/>
  <c r="H315" i="9"/>
  <c r="H319" i="9"/>
  <c r="M275" i="40"/>
  <c r="M481" i="40"/>
  <c r="M756" i="40"/>
  <c r="K27" i="33" l="1"/>
  <c r="AI27" i="33" s="1"/>
  <c r="K29" i="33" s="1"/>
  <c r="AI29" i="33" s="1"/>
  <c r="K28" i="33"/>
  <c r="AI28" i="33" s="1"/>
  <c r="AJ28" i="33" s="1"/>
  <c r="E101" i="33" s="1"/>
  <c r="K26" i="33"/>
  <c r="AI26" i="33" s="1"/>
  <c r="AJ26" i="33" s="1"/>
  <c r="E100" i="33" s="1"/>
  <c r="F71" i="9"/>
  <c r="I492" i="40"/>
  <c r="F73" i="9"/>
  <c r="I286" i="40"/>
  <c r="F70" i="9"/>
  <c r="F69" i="9"/>
  <c r="F72" i="9"/>
  <c r="I764" i="40"/>
  <c r="I288" i="40"/>
  <c r="K288" i="40"/>
  <c r="M288" i="40" s="1"/>
  <c r="AJ27" i="33"/>
  <c r="J772" i="40"/>
  <c r="M772" i="40" s="1"/>
  <c r="I772" i="40"/>
  <c r="M220" i="40"/>
  <c r="K283" i="40"/>
  <c r="M283" i="40" s="1"/>
  <c r="I283" i="40"/>
  <c r="F92" i="9"/>
  <c r="I776" i="40"/>
  <c r="M443" i="40"/>
  <c r="F174" i="9"/>
  <c r="F58" i="9"/>
  <c r="J267" i="40"/>
  <c r="M706" i="40"/>
  <c r="J284" i="40"/>
  <c r="M284" i="40" s="1"/>
  <c r="I284" i="40"/>
  <c r="M62" i="40"/>
  <c r="N51" i="40" s="1"/>
  <c r="J765" i="40"/>
  <c r="M765" i="40" s="1"/>
  <c r="I765" i="40"/>
  <c r="J490" i="40"/>
  <c r="M490" i="40" s="1"/>
  <c r="I490" i="40"/>
  <c r="I225" i="40"/>
  <c r="K30" i="33"/>
  <c r="AI30" i="33" s="1"/>
  <c r="AJ30" i="33" s="1"/>
  <c r="E103" i="33" s="1"/>
  <c r="J665" i="40"/>
  <c r="F199" i="9"/>
  <c r="F299" i="9"/>
  <c r="M446" i="40"/>
  <c r="J116" i="40"/>
  <c r="I116" i="40"/>
  <c r="J342" i="40"/>
  <c r="J608" i="40"/>
  <c r="J246" i="40"/>
  <c r="M223" i="40"/>
  <c r="J225" i="40"/>
  <c r="M215" i="40"/>
  <c r="M438" i="40"/>
  <c r="I750" i="40"/>
  <c r="F224" i="9"/>
  <c r="J473" i="40"/>
  <c r="I934" i="40"/>
  <c r="I267" i="40"/>
  <c r="M701" i="40"/>
  <c r="J485" i="40"/>
  <c r="M485" i="40" s="1"/>
  <c r="I485" i="40"/>
  <c r="H324" i="9"/>
  <c r="I342" i="40"/>
  <c r="H274" i="9"/>
  <c r="J279" i="40"/>
  <c r="M279" i="40" s="1"/>
  <c r="I279" i="40"/>
  <c r="J750" i="40"/>
  <c r="I246" i="40"/>
  <c r="I473" i="40"/>
  <c r="J934" i="40"/>
  <c r="F249" i="9"/>
  <c r="F149" i="9"/>
  <c r="J760" i="40"/>
  <c r="M760" i="40" s="1"/>
  <c r="I760" i="40"/>
  <c r="J770" i="40"/>
  <c r="M770" i="40" s="1"/>
  <c r="I770" i="40"/>
  <c r="M776" i="40"/>
  <c r="F30" i="9"/>
  <c r="M972" i="40"/>
  <c r="M989" i="40" s="1"/>
  <c r="N971" i="40" s="1"/>
  <c r="K989" i="40"/>
  <c r="I608" i="40"/>
  <c r="M458" i="40"/>
  <c r="M473" i="40" s="1"/>
  <c r="N471" i="40" s="1"/>
  <c r="K473" i="40"/>
  <c r="H190" i="9"/>
  <c r="H189" i="9"/>
  <c r="H194" i="9"/>
  <c r="I396" i="40"/>
  <c r="J450" i="40"/>
  <c r="J556" i="40"/>
  <c r="H240" i="9"/>
  <c r="H244" i="9"/>
  <c r="H239" i="9"/>
  <c r="M233" i="40"/>
  <c r="M246" i="40" s="1"/>
  <c r="N232" i="40" s="1"/>
  <c r="K246" i="40"/>
  <c r="M535" i="40"/>
  <c r="M556" i="40" s="1"/>
  <c r="L557" i="40" s="1"/>
  <c r="K556" i="40"/>
  <c r="J287" i="40"/>
  <c r="M287" i="40" s="1"/>
  <c r="I287" i="40"/>
  <c r="I769" i="40"/>
  <c r="J830" i="40"/>
  <c r="I720" i="40"/>
  <c r="M104" i="40"/>
  <c r="M116" i="40" s="1"/>
  <c r="N103" i="40" s="1"/>
  <c r="K116" i="40"/>
  <c r="K757" i="40"/>
  <c r="G779" i="40"/>
  <c r="M864" i="40"/>
  <c r="M885" i="40" s="1"/>
  <c r="L886" i="40" s="1"/>
  <c r="K885" i="40"/>
  <c r="J989" i="40"/>
  <c r="I171" i="40"/>
  <c r="K482" i="40"/>
  <c r="G498" i="40"/>
  <c r="H164" i="9"/>
  <c r="H165" i="9"/>
  <c r="H169" i="9"/>
  <c r="J482" i="40"/>
  <c r="F498" i="40"/>
  <c r="I482" i="40"/>
  <c r="I885" i="40"/>
  <c r="I494" i="40"/>
  <c r="K494" i="40"/>
  <c r="M494" i="40" s="1"/>
  <c r="H139" i="9"/>
  <c r="H140" i="9"/>
  <c r="H144" i="9"/>
  <c r="I665" i="40"/>
  <c r="H290" i="9"/>
  <c r="H294" i="9"/>
  <c r="H289" i="9"/>
  <c r="M382" i="40"/>
  <c r="M396" i="40" s="1"/>
  <c r="L397" i="40" s="1"/>
  <c r="K396" i="40"/>
  <c r="K276" i="40"/>
  <c r="G291" i="40"/>
  <c r="J276" i="40"/>
  <c r="F291" i="40"/>
  <c r="I276" i="40"/>
  <c r="M728" i="40"/>
  <c r="M750" i="40" s="1"/>
  <c r="L751" i="40" s="1"/>
  <c r="K750" i="40"/>
  <c r="M435" i="40"/>
  <c r="K450" i="40"/>
  <c r="J768" i="40"/>
  <c r="M768" i="40" s="1"/>
  <c r="I768" i="40"/>
  <c r="F109" i="9"/>
  <c r="F108" i="9"/>
  <c r="J396" i="40"/>
  <c r="I450" i="40"/>
  <c r="I556" i="40"/>
  <c r="M709" i="40"/>
  <c r="M810" i="40"/>
  <c r="M830" i="40" s="1"/>
  <c r="N823" i="40" s="1"/>
  <c r="K830" i="40"/>
  <c r="J493" i="40"/>
  <c r="M493" i="40" s="1"/>
  <c r="I493" i="40"/>
  <c r="I830" i="40"/>
  <c r="J757" i="40"/>
  <c r="F779" i="40"/>
  <c r="I757" i="40"/>
  <c r="J495" i="40"/>
  <c r="M495" i="40" s="1"/>
  <c r="I495" i="40"/>
  <c r="M698" i="40"/>
  <c r="K720" i="40"/>
  <c r="M589" i="40"/>
  <c r="M608" i="40" s="1"/>
  <c r="N605" i="40" s="1"/>
  <c r="K608" i="40"/>
  <c r="M212" i="40"/>
  <c r="K225" i="40"/>
  <c r="M329" i="40"/>
  <c r="M342" i="40" s="1"/>
  <c r="N328" i="40" s="1"/>
  <c r="K342" i="40"/>
  <c r="I989" i="40"/>
  <c r="J171" i="40"/>
  <c r="M254" i="40"/>
  <c r="M267" i="40" s="1"/>
  <c r="N253" i="40" s="1"/>
  <c r="K267" i="40"/>
  <c r="M643" i="40"/>
  <c r="M665" i="40" s="1"/>
  <c r="N662" i="40" s="1"/>
  <c r="K665" i="40"/>
  <c r="J885" i="40"/>
  <c r="H214" i="9"/>
  <c r="H215" i="9"/>
  <c r="H219" i="9"/>
  <c r="M158" i="40"/>
  <c r="M171" i="40" s="1"/>
  <c r="N157" i="40" s="1"/>
  <c r="K171" i="40"/>
  <c r="J720" i="40"/>
  <c r="M918" i="40"/>
  <c r="M934" i="40" s="1"/>
  <c r="N917" i="40" s="1"/>
  <c r="K934" i="40"/>
  <c r="AJ29" i="33"/>
  <c r="E102" i="33" s="1"/>
  <c r="N744" i="40"/>
  <c r="N878" i="40"/>
  <c r="J990" i="40" l="1"/>
  <c r="N740" i="40"/>
  <c r="L474" i="40"/>
  <c r="N815" i="40"/>
  <c r="N735" i="40"/>
  <c r="N746" i="40"/>
  <c r="N814" i="40"/>
  <c r="N809" i="40"/>
  <c r="N590" i="40"/>
  <c r="N922" i="40"/>
  <c r="N596" i="40"/>
  <c r="L609" i="40"/>
  <c r="N53" i="40"/>
  <c r="N591" i="40"/>
  <c r="J609" i="40"/>
  <c r="N739" i="40"/>
  <c r="N821" i="40"/>
  <c r="L831" i="40"/>
  <c r="N264" i="40"/>
  <c r="N595" i="40"/>
  <c r="N730" i="40"/>
  <c r="N817" i="40"/>
  <c r="N109" i="40"/>
  <c r="K31" i="33"/>
  <c r="AI31" i="33" s="1"/>
  <c r="AJ31" i="33" s="1"/>
  <c r="E104" i="33" s="1"/>
  <c r="N931" i="40"/>
  <c r="N245" i="40"/>
  <c r="N932" i="40"/>
  <c r="F74" i="9"/>
  <c r="N159" i="40"/>
  <c r="N169" i="40"/>
  <c r="N330" i="40"/>
  <c r="N255" i="40"/>
  <c r="N813" i="40"/>
  <c r="N162" i="40"/>
  <c r="N727" i="40"/>
  <c r="N600" i="40"/>
  <c r="N606" i="40"/>
  <c r="N732" i="40"/>
  <c r="N738" i="40"/>
  <c r="N810" i="40"/>
  <c r="N825" i="40"/>
  <c r="N329" i="40"/>
  <c r="N161" i="40"/>
  <c r="N928" i="40"/>
  <c r="N598" i="40"/>
  <c r="N601" i="40"/>
  <c r="N602" i="40"/>
  <c r="N748" i="40"/>
  <c r="N734" i="40"/>
  <c r="N741" i="40"/>
  <c r="N824" i="40"/>
  <c r="N811" i="40"/>
  <c r="N827" i="40"/>
  <c r="N464" i="40"/>
  <c r="N337" i="40"/>
  <c r="J397" i="40"/>
  <c r="N166" i="40"/>
  <c r="N167" i="40"/>
  <c r="N599" i="40"/>
  <c r="N592" i="40"/>
  <c r="N589" i="40"/>
  <c r="N593" i="40"/>
  <c r="N604" i="40"/>
  <c r="N980" i="40"/>
  <c r="N731" i="40"/>
  <c r="N736" i="40"/>
  <c r="N743" i="40"/>
  <c r="N728" i="40"/>
  <c r="N747" i="40"/>
  <c r="N749" i="40"/>
  <c r="N816" i="40"/>
  <c r="N819" i="40"/>
  <c r="N812" i="40"/>
  <c r="N818" i="40"/>
  <c r="N826" i="40"/>
  <c r="N114" i="40"/>
  <c r="N465" i="40"/>
  <c r="N335" i="40"/>
  <c r="N331" i="40"/>
  <c r="N257" i="40"/>
  <c r="N535" i="40"/>
  <c r="N550" i="40"/>
  <c r="N160" i="40"/>
  <c r="N158" i="40"/>
  <c r="N597" i="40"/>
  <c r="N594" i="40"/>
  <c r="N607" i="40"/>
  <c r="N603" i="40"/>
  <c r="N986" i="40"/>
  <c r="N733" i="40"/>
  <c r="N742" i="40"/>
  <c r="N729" i="40"/>
  <c r="N737" i="40"/>
  <c r="N745" i="40"/>
  <c r="N820" i="40"/>
  <c r="N828" i="40"/>
  <c r="N822" i="40"/>
  <c r="N829" i="40"/>
  <c r="N110" i="40"/>
  <c r="N468" i="40"/>
  <c r="N333" i="40"/>
  <c r="N259" i="40"/>
  <c r="N392" i="40"/>
  <c r="K172" i="40"/>
  <c r="N648" i="40"/>
  <c r="N975" i="40"/>
  <c r="N538" i="40"/>
  <c r="N985" i="40"/>
  <c r="N552" i="40"/>
  <c r="N163" i="40"/>
  <c r="N168" i="40"/>
  <c r="N165" i="40"/>
  <c r="N972" i="40"/>
  <c r="N977" i="40"/>
  <c r="N332" i="40"/>
  <c r="N341" i="40"/>
  <c r="N340" i="40"/>
  <c r="N261" i="40"/>
  <c r="N266" i="40"/>
  <c r="N537" i="40"/>
  <c r="N539" i="40"/>
  <c r="N553" i="40"/>
  <c r="N385" i="40"/>
  <c r="N58" i="40"/>
  <c r="N381" i="40"/>
  <c r="N542" i="40"/>
  <c r="N393" i="40"/>
  <c r="N170" i="40"/>
  <c r="N164" i="40"/>
  <c r="L172" i="40"/>
  <c r="N973" i="40"/>
  <c r="N979" i="40"/>
  <c r="L990" i="40"/>
  <c r="N338" i="40"/>
  <c r="N334" i="40"/>
  <c r="N339" i="40"/>
  <c r="L343" i="40"/>
  <c r="N258" i="40"/>
  <c r="N540" i="40"/>
  <c r="N549" i="40"/>
  <c r="N390" i="40"/>
  <c r="K397" i="40"/>
  <c r="J831" i="40"/>
  <c r="N661" i="40"/>
  <c r="N642" i="40"/>
  <c r="N978" i="40"/>
  <c r="N974" i="40"/>
  <c r="N982" i="40"/>
  <c r="N987" i="40"/>
  <c r="N534" i="40"/>
  <c r="N653" i="40"/>
  <c r="N664" i="40"/>
  <c r="N545" i="40"/>
  <c r="N543" i="40"/>
  <c r="N536" i="40"/>
  <c r="N544" i="40"/>
  <c r="N551" i="40"/>
  <c r="N548" i="40"/>
  <c r="N386" i="40"/>
  <c r="N383" i="40"/>
  <c r="N59" i="40"/>
  <c r="N643" i="40"/>
  <c r="K63" i="40"/>
  <c r="J63" i="40"/>
  <c r="N984" i="40"/>
  <c r="N983" i="40"/>
  <c r="N976" i="40"/>
  <c r="N981" i="40"/>
  <c r="N988" i="40"/>
  <c r="N655" i="40"/>
  <c r="N541" i="40"/>
  <c r="N555" i="40"/>
  <c r="N547" i="40"/>
  <c r="N546" i="40"/>
  <c r="N554" i="40"/>
  <c r="N382" i="40"/>
  <c r="N384" i="40"/>
  <c r="N52" i="40"/>
  <c r="N646" i="40"/>
  <c r="N663" i="40"/>
  <c r="N657" i="40"/>
  <c r="N644" i="40"/>
  <c r="N659" i="40"/>
  <c r="L666" i="40"/>
  <c r="L63" i="40"/>
  <c r="N61" i="40"/>
  <c r="N57" i="40"/>
  <c r="N652" i="40"/>
  <c r="N645" i="40"/>
  <c r="N647" i="40"/>
  <c r="N651" i="40"/>
  <c r="N656" i="40"/>
  <c r="J666" i="40"/>
  <c r="N56" i="40"/>
  <c r="N654" i="40"/>
  <c r="N658" i="40"/>
  <c r="N649" i="40"/>
  <c r="N650" i="40"/>
  <c r="N660" i="40"/>
  <c r="N394" i="40"/>
  <c r="N388" i="40"/>
  <c r="N395" i="40"/>
  <c r="K666" i="40"/>
  <c r="J172" i="40"/>
  <c r="J557" i="40"/>
  <c r="N60" i="40"/>
  <c r="N50" i="40"/>
  <c r="N55" i="40"/>
  <c r="N54" i="40"/>
  <c r="N923" i="40"/>
  <c r="N919" i="40"/>
  <c r="N925" i="40"/>
  <c r="N924" i="40"/>
  <c r="L935" i="40"/>
  <c r="N864" i="40"/>
  <c r="N244" i="40"/>
  <c r="N391" i="40"/>
  <c r="N389" i="40"/>
  <c r="N387" i="40"/>
  <c r="M450" i="40"/>
  <c r="N449" i="40" s="1"/>
  <c r="N929" i="40"/>
  <c r="N233" i="40"/>
  <c r="N920" i="40"/>
  <c r="N927" i="40"/>
  <c r="N918" i="40"/>
  <c r="N883" i="40"/>
  <c r="N926" i="40"/>
  <c r="N930" i="40"/>
  <c r="N921" i="40"/>
  <c r="N933" i="40"/>
  <c r="N870" i="40"/>
  <c r="N879" i="40"/>
  <c r="N243" i="40"/>
  <c r="K935" i="40"/>
  <c r="H249" i="9"/>
  <c r="J751" i="40"/>
  <c r="J474" i="40"/>
  <c r="N104" i="40"/>
  <c r="N115" i="40"/>
  <c r="N113" i="40"/>
  <c r="N463" i="40"/>
  <c r="N460" i="40"/>
  <c r="N467" i="40"/>
  <c r="N462" i="40"/>
  <c r="M225" i="40"/>
  <c r="M720" i="40"/>
  <c r="H149" i="9"/>
  <c r="H199" i="9"/>
  <c r="J935" i="40"/>
  <c r="N457" i="40"/>
  <c r="N105" i="40"/>
  <c r="N108" i="40"/>
  <c r="N106" i="40"/>
  <c r="J117" i="40"/>
  <c r="N459" i="40"/>
  <c r="N470" i="40"/>
  <c r="N466" i="40"/>
  <c r="N472" i="40"/>
  <c r="K343" i="40"/>
  <c r="J779" i="40"/>
  <c r="K751" i="40"/>
  <c r="K474" i="40"/>
  <c r="N112" i="40"/>
  <c r="N107" i="40"/>
  <c r="N111" i="40"/>
  <c r="L117" i="40"/>
  <c r="N469" i="40"/>
  <c r="N458" i="40"/>
  <c r="N461" i="40"/>
  <c r="J886" i="40"/>
  <c r="N868" i="40"/>
  <c r="N447" i="40"/>
  <c r="N238" i="40"/>
  <c r="N240" i="40"/>
  <c r="N234" i="40"/>
  <c r="J247" i="40"/>
  <c r="K247" i="40"/>
  <c r="K609" i="40"/>
  <c r="K831" i="40"/>
  <c r="J291" i="40"/>
  <c r="N876" i="40"/>
  <c r="N872" i="40"/>
  <c r="N884" i="40"/>
  <c r="N874" i="40"/>
  <c r="N866" i="40"/>
  <c r="N882" i="40"/>
  <c r="N867" i="40"/>
  <c r="N877" i="40"/>
  <c r="N237" i="40"/>
  <c r="N239" i="40"/>
  <c r="N236" i="40"/>
  <c r="L247" i="40"/>
  <c r="N336" i="40"/>
  <c r="N265" i="40"/>
  <c r="N254" i="40"/>
  <c r="N260" i="40"/>
  <c r="J268" i="40"/>
  <c r="I779" i="40"/>
  <c r="H299" i="9"/>
  <c r="H174" i="9"/>
  <c r="K557" i="40"/>
  <c r="N869" i="40"/>
  <c r="N881" i="40"/>
  <c r="N875" i="40"/>
  <c r="N873" i="40"/>
  <c r="N871" i="40"/>
  <c r="N865" i="40"/>
  <c r="N880" i="40"/>
  <c r="N241" i="40"/>
  <c r="N235" i="40"/>
  <c r="N242" i="40"/>
  <c r="J343" i="40"/>
  <c r="N256" i="40"/>
  <c r="N263" i="40"/>
  <c r="N262" i="40"/>
  <c r="L268" i="40"/>
  <c r="H224" i="9"/>
  <c r="F110" i="9"/>
  <c r="I291" i="40"/>
  <c r="K268" i="40"/>
  <c r="M276" i="40"/>
  <c r="M291" i="40" s="1"/>
  <c r="N275" i="40" s="1"/>
  <c r="K291" i="40"/>
  <c r="J498" i="40"/>
  <c r="K117" i="40"/>
  <c r="M482" i="40"/>
  <c r="M498" i="40" s="1"/>
  <c r="N495" i="40" s="1"/>
  <c r="K498" i="40"/>
  <c r="K886" i="40"/>
  <c r="N863" i="40"/>
  <c r="I498" i="40"/>
  <c r="N588" i="40"/>
  <c r="M757" i="40"/>
  <c r="M779" i="40" s="1"/>
  <c r="N776" i="40" s="1"/>
  <c r="K779" i="40"/>
  <c r="K990" i="40"/>
  <c r="K34" i="33" l="1"/>
  <c r="AI34" i="33" s="1"/>
  <c r="AJ34" i="33" s="1"/>
  <c r="K33" i="33"/>
  <c r="AI33" i="33" s="1"/>
  <c r="AJ33" i="33" s="1"/>
  <c r="K32" i="33"/>
  <c r="AI32" i="33" s="1"/>
  <c r="N441" i="40"/>
  <c r="N491" i="40"/>
  <c r="N171" i="40"/>
  <c r="N750" i="40"/>
  <c r="N830" i="40"/>
  <c r="N765" i="40"/>
  <c r="N438" i="40"/>
  <c r="N290" i="40"/>
  <c r="N608" i="40"/>
  <c r="N487" i="40"/>
  <c r="N769" i="40"/>
  <c r="N768" i="40"/>
  <c r="N490" i="40"/>
  <c r="N493" i="40"/>
  <c r="L499" i="40"/>
  <c r="N283" i="40"/>
  <c r="N486" i="40"/>
  <c r="N483" i="40"/>
  <c r="N277" i="40"/>
  <c r="N484" i="40"/>
  <c r="N482" i="40"/>
  <c r="N284" i="40"/>
  <c r="N62" i="40"/>
  <c r="N665" i="40"/>
  <c r="N396" i="40"/>
  <c r="N556" i="40"/>
  <c r="N989" i="40"/>
  <c r="N342" i="40"/>
  <c r="N759" i="40"/>
  <c r="N771" i="40"/>
  <c r="N762" i="40"/>
  <c r="N775" i="40"/>
  <c r="L780" i="40"/>
  <c r="N287" i="40"/>
  <c r="J499" i="40"/>
  <c r="N773" i="40"/>
  <c r="N778" i="40"/>
  <c r="N767" i="40"/>
  <c r="N763" i="40"/>
  <c r="N761" i="40"/>
  <c r="N760" i="40"/>
  <c r="N770" i="40"/>
  <c r="N280" i="40"/>
  <c r="N288" i="40"/>
  <c r="N756" i="40"/>
  <c r="N766" i="40"/>
  <c r="N764" i="40"/>
  <c r="N757" i="40"/>
  <c r="N758" i="40"/>
  <c r="N934" i="40"/>
  <c r="N445" i="40"/>
  <c r="N442" i="40"/>
  <c r="N473" i="40"/>
  <c r="N116" i="40"/>
  <c r="N448" i="40"/>
  <c r="N437" i="40"/>
  <c r="N435" i="40"/>
  <c r="L451" i="40"/>
  <c r="K451" i="40"/>
  <c r="N439" i="40"/>
  <c r="N443" i="40"/>
  <c r="N440" i="40"/>
  <c r="N434" i="40"/>
  <c r="N444" i="40"/>
  <c r="J292" i="40"/>
  <c r="J451" i="40"/>
  <c r="N436" i="40"/>
  <c r="N446" i="40"/>
  <c r="L721" i="40"/>
  <c r="N715" i="40"/>
  <c r="N707" i="40"/>
  <c r="N710" i="40"/>
  <c r="N704" i="40"/>
  <c r="N697" i="40"/>
  <c r="N714" i="40"/>
  <c r="N708" i="40"/>
  <c r="N719" i="40"/>
  <c r="N716" i="40"/>
  <c r="N700" i="40"/>
  <c r="N706" i="40"/>
  <c r="N713" i="40"/>
  <c r="N701" i="40"/>
  <c r="N711" i="40"/>
  <c r="N717" i="40"/>
  <c r="N705" i="40"/>
  <c r="N699" i="40"/>
  <c r="N718" i="40"/>
  <c r="N712" i="40"/>
  <c r="N703" i="40"/>
  <c r="N702" i="40"/>
  <c r="K721" i="40"/>
  <c r="N211" i="40"/>
  <c r="N213" i="40"/>
  <c r="N212" i="40"/>
  <c r="N217" i="40"/>
  <c r="N214" i="40"/>
  <c r="N216" i="40"/>
  <c r="L226" i="40"/>
  <c r="N219" i="40"/>
  <c r="N218" i="40"/>
  <c r="J226" i="40"/>
  <c r="N222" i="40"/>
  <c r="N224" i="40"/>
  <c r="N221" i="40"/>
  <c r="N220" i="40"/>
  <c r="N709" i="40"/>
  <c r="N698" i="40"/>
  <c r="N488" i="40"/>
  <c r="N496" i="40"/>
  <c r="N494" i="40"/>
  <c r="N497" i="40"/>
  <c r="N286" i="40"/>
  <c r="N276" i="40"/>
  <c r="N279" i="40"/>
  <c r="K780" i="40"/>
  <c r="N885" i="40"/>
  <c r="N267" i="40"/>
  <c r="K226" i="40"/>
  <c r="N246" i="40"/>
  <c r="N223" i="40"/>
  <c r="N492" i="40"/>
  <c r="N489" i="40"/>
  <c r="N485" i="40"/>
  <c r="N285" i="40"/>
  <c r="N282" i="40"/>
  <c r="N278" i="40"/>
  <c r="N289" i="40"/>
  <c r="J721" i="40"/>
  <c r="N215" i="40"/>
  <c r="K292" i="40"/>
  <c r="K499" i="40"/>
  <c r="N481" i="40"/>
  <c r="N772" i="40"/>
  <c r="N777" i="40"/>
  <c r="N774" i="40"/>
  <c r="J780" i="40"/>
  <c r="N281" i="40"/>
  <c r="L292" i="40"/>
  <c r="AJ32" i="33"/>
  <c r="E105" i="33" s="1"/>
  <c r="K35" i="33"/>
  <c r="AI35" i="33" s="1"/>
  <c r="K40" i="33"/>
  <c r="AI40" i="33" s="1"/>
  <c r="AJ40" i="33" s="1"/>
  <c r="E106" i="33" s="1"/>
  <c r="F22" i="40" s="1"/>
  <c r="D115" i="52" s="1"/>
  <c r="D136" i="52" s="1"/>
  <c r="K39" i="33"/>
  <c r="AI39" i="33" s="1"/>
  <c r="K38" i="33"/>
  <c r="AI38" i="33" s="1"/>
  <c r="K37" i="33"/>
  <c r="AI37" i="33" s="1"/>
  <c r="AJ37" i="33" s="1"/>
  <c r="K36" i="33"/>
  <c r="AI36" i="33" s="1"/>
  <c r="N450" i="40" l="1"/>
  <c r="N291" i="40"/>
  <c r="N720" i="40"/>
  <c r="N225" i="40"/>
  <c r="N498" i="40"/>
  <c r="N779" i="40"/>
  <c r="K43" i="33"/>
  <c r="AI43" i="33" s="1"/>
  <c r="AJ43" i="33" s="1"/>
  <c r="E109" i="33" s="1"/>
  <c r="AJ36" i="33"/>
  <c r="K42" i="33"/>
  <c r="AI42" i="33" s="1"/>
  <c r="AJ42" i="33" s="1"/>
  <c r="E108" i="33" s="1"/>
  <c r="F23" i="40" s="1"/>
  <c r="D116" i="52" s="1"/>
  <c r="D137" i="52" s="1"/>
  <c r="AJ35" i="33"/>
  <c r="K41" i="33"/>
  <c r="AI41" i="33" s="1"/>
  <c r="AJ41" i="33" s="1"/>
  <c r="E107" i="33" s="1"/>
  <c r="K44" i="33"/>
  <c r="AI44" i="33" s="1"/>
  <c r="AJ44" i="33" s="1"/>
  <c r="E110" i="33" s="1"/>
  <c r="AJ38" i="33"/>
  <c r="F21" i="40"/>
  <c r="D114" i="52" s="1"/>
  <c r="D135" i="52" s="1"/>
  <c r="H9" i="50"/>
  <c r="K45" i="33"/>
  <c r="AI45" i="33" s="1"/>
  <c r="AJ45" i="33" s="1"/>
  <c r="E111" i="33" s="1"/>
  <c r="F25" i="40" s="1"/>
  <c r="D118" i="52" s="1"/>
  <c r="D139" i="52" s="1"/>
  <c r="K46" i="33"/>
  <c r="AI46" i="33" s="1"/>
  <c r="AJ39" i="33"/>
  <c r="K50" i="33" l="1"/>
  <c r="AI50" i="33" s="1"/>
  <c r="AJ50" i="33" s="1"/>
  <c r="E113" i="33" s="1"/>
  <c r="K49" i="33"/>
  <c r="AI49" i="33" s="1"/>
  <c r="K48" i="33"/>
  <c r="AI48" i="33" s="1"/>
  <c r="AJ46" i="33"/>
  <c r="K47" i="33"/>
  <c r="AI47" i="33" s="1"/>
  <c r="AJ47" i="33" s="1"/>
  <c r="E112" i="33" s="1"/>
  <c r="F26" i="40" s="1"/>
  <c r="D119" i="52" s="1"/>
  <c r="D140" i="52" s="1"/>
  <c r="E134" i="33"/>
  <c r="F24" i="40" s="1"/>
  <c r="D117" i="52" s="1"/>
  <c r="D138" i="52" s="1"/>
  <c r="K51" i="33" l="1"/>
  <c r="AI51" i="33" s="1"/>
  <c r="K55" i="33"/>
  <c r="AI55" i="33" s="1"/>
  <c r="AJ55" i="33" s="1"/>
  <c r="E115" i="33" s="1"/>
  <c r="K54" i="33"/>
  <c r="AI54" i="33" s="1"/>
  <c r="K53" i="33"/>
  <c r="AI53" i="33" s="1"/>
  <c r="K52" i="33"/>
  <c r="AI52" i="33" s="1"/>
  <c r="AJ48" i="33"/>
  <c r="K56" i="33"/>
  <c r="AI56" i="33" s="1"/>
  <c r="AJ56" i="33" s="1"/>
  <c r="E116" i="33" s="1"/>
  <c r="K57" i="33"/>
  <c r="AI57" i="33" s="1"/>
  <c r="AJ57" i="33" s="1"/>
  <c r="E117" i="33" s="1"/>
  <c r="AJ49" i="33"/>
  <c r="E135" i="33" l="1"/>
  <c r="F27" i="40" s="1"/>
  <c r="D120" i="52" s="1"/>
  <c r="D141" i="52" s="1"/>
  <c r="AJ53" i="33"/>
  <c r="K61" i="33"/>
  <c r="AI61" i="33" s="1"/>
  <c r="AJ61" i="33" s="1"/>
  <c r="AJ54" i="33"/>
  <c r="K58" i="33"/>
  <c r="AI58" i="33" s="1"/>
  <c r="K59" i="33"/>
  <c r="AI59" i="33" s="1"/>
  <c r="AJ52" i="33"/>
  <c r="K60" i="33"/>
  <c r="AI60" i="33" s="1"/>
  <c r="AJ60" i="33" s="1"/>
  <c r="E119" i="33" s="1"/>
  <c r="K77" i="33"/>
  <c r="AI77" i="33" s="1"/>
  <c r="AJ77" i="33" s="1"/>
  <c r="E132" i="33" s="1"/>
  <c r="F34" i="40" s="1"/>
  <c r="D127" i="52" s="1"/>
  <c r="D148" i="52" s="1"/>
  <c r="AJ51" i="33"/>
  <c r="E114" i="33" s="1"/>
  <c r="K76" i="33"/>
  <c r="AI76" i="33" s="1"/>
  <c r="K63" i="33" l="1"/>
  <c r="AI63" i="33" s="1"/>
  <c r="AJ63" i="33" s="1"/>
  <c r="K62" i="33"/>
  <c r="AI62" i="33" s="1"/>
  <c r="AJ58" i="33"/>
  <c r="E118" i="33" s="1"/>
  <c r="K78" i="33"/>
  <c r="AI78" i="33" s="1"/>
  <c r="AJ78" i="33" s="1"/>
  <c r="E133" i="33" s="1"/>
  <c r="F35" i="40" s="1"/>
  <c r="D128" i="52" s="1"/>
  <c r="D149" i="52" s="1"/>
  <c r="AJ76" i="33"/>
  <c r="AJ59" i="33"/>
  <c r="K66" i="33" l="1"/>
  <c r="AI66" i="33" s="1"/>
  <c r="K67" i="33"/>
  <c r="AI67" i="33" s="1"/>
  <c r="AJ67" i="33" s="1"/>
  <c r="K65" i="33"/>
  <c r="AI65" i="33" s="1"/>
  <c r="AJ65" i="33" s="1"/>
  <c r="E124" i="33" s="1"/>
  <c r="K64" i="33"/>
  <c r="AI64" i="33" s="1"/>
  <c r="AJ64" i="33" s="1"/>
  <c r="E123" i="33" s="1"/>
  <c r="F28" i="40" s="1"/>
  <c r="D121" i="52" s="1"/>
  <c r="D142" i="52" s="1"/>
  <c r="K68" i="33"/>
  <c r="AI68" i="33" s="1"/>
  <c r="K69" i="33"/>
  <c r="AI69" i="33" s="1"/>
  <c r="AJ69" i="33" s="1"/>
  <c r="E126" i="33" s="1"/>
  <c r="F29" i="40" s="1"/>
  <c r="D122" i="52" s="1"/>
  <c r="D143" i="52" s="1"/>
  <c r="AJ62" i="33"/>
  <c r="E122" i="33" s="1"/>
  <c r="AJ66" i="33"/>
  <c r="K71" i="33"/>
  <c r="AI71" i="33" s="1"/>
  <c r="AJ71" i="33" s="1"/>
  <c r="E128" i="33" s="1"/>
  <c r="E121" i="33"/>
  <c r="E120" i="33"/>
  <c r="K70" i="33" l="1"/>
  <c r="AI70" i="33" s="1"/>
  <c r="AJ70" i="33" s="1"/>
  <c r="E127" i="33" s="1"/>
  <c r="F30" i="40" s="1"/>
  <c r="D123" i="52" s="1"/>
  <c r="D144" i="52" s="1"/>
  <c r="K72" i="33"/>
  <c r="AI72" i="33" s="1"/>
  <c r="AJ72" i="33" s="1"/>
  <c r="E129" i="33" s="1"/>
  <c r="E136" i="33" s="1"/>
  <c r="F31" i="40" s="1"/>
  <c r="D124" i="52" s="1"/>
  <c r="D145" i="52" s="1"/>
  <c r="K73" i="33"/>
  <c r="AI73" i="33" s="1"/>
  <c r="AJ73" i="33" s="1"/>
  <c r="E130" i="33" s="1"/>
  <c r="F32" i="40" s="1"/>
  <c r="D125" i="52" s="1"/>
  <c r="D146" i="52" s="1"/>
  <c r="K74" i="33"/>
  <c r="AI74" i="33" s="1"/>
  <c r="AJ68" i="33"/>
  <c r="E125" i="33" s="1"/>
  <c r="AJ74" i="33" l="1"/>
  <c r="K75" i="33"/>
  <c r="AI75" i="33" s="1"/>
  <c r="AJ75" i="33" s="1"/>
  <c r="E131" i="33" s="1"/>
  <c r="F33" i="40" s="1"/>
  <c r="D126" i="52" s="1"/>
  <c r="D147" i="52" s="1"/>
</calcChain>
</file>

<file path=xl/sharedStrings.xml><?xml version="1.0" encoding="utf-8"?>
<sst xmlns="http://schemas.openxmlformats.org/spreadsheetml/2006/main" count="11141" uniqueCount="2133">
  <si>
    <t>احتراقی</t>
  </si>
  <si>
    <t>Total</t>
  </si>
  <si>
    <t>مجموع</t>
  </si>
  <si>
    <t>Version:</t>
  </si>
  <si>
    <t>Owner:</t>
  </si>
  <si>
    <t>Date:</t>
  </si>
  <si>
    <t>فرآیندی</t>
  </si>
  <si>
    <t>(ton/y)</t>
  </si>
  <si>
    <t>(ton/ton of product)</t>
  </si>
  <si>
    <r>
      <t>CO</t>
    </r>
    <r>
      <rPr>
        <b/>
        <vertAlign val="subscript"/>
        <sz val="11"/>
        <color theme="1"/>
        <rFont val="Times New Roman"/>
        <family val="1"/>
      </rPr>
      <t>2</t>
    </r>
  </si>
  <si>
    <r>
      <t>CH</t>
    </r>
    <r>
      <rPr>
        <b/>
        <vertAlign val="subscript"/>
        <sz val="11"/>
        <color theme="1"/>
        <rFont val="Times New Roman"/>
        <family val="1"/>
      </rPr>
      <t>4</t>
    </r>
  </si>
  <si>
    <r>
      <t>N</t>
    </r>
    <r>
      <rPr>
        <b/>
        <vertAlign val="subscript"/>
        <sz val="11"/>
        <color theme="1"/>
        <rFont val="Times New Roman"/>
        <family val="1"/>
      </rPr>
      <t>2</t>
    </r>
    <r>
      <rPr>
        <b/>
        <sz val="11"/>
        <color theme="1"/>
        <rFont val="Times New Roman"/>
        <family val="1"/>
      </rPr>
      <t>O</t>
    </r>
  </si>
  <si>
    <r>
      <t>CO</t>
    </r>
    <r>
      <rPr>
        <vertAlign val="subscript"/>
        <sz val="11"/>
        <color theme="1"/>
        <rFont val="Times New Roman"/>
        <family val="1"/>
      </rPr>
      <t>2</t>
    </r>
  </si>
  <si>
    <r>
      <t>(tCO</t>
    </r>
    <r>
      <rPr>
        <vertAlign val="subscript"/>
        <sz val="11"/>
        <color theme="1"/>
        <rFont val="Times New Roman"/>
        <family val="1"/>
      </rPr>
      <t>2</t>
    </r>
    <r>
      <rPr>
        <sz val="11"/>
        <color theme="1"/>
        <rFont val="Times New Roman"/>
        <family val="1"/>
      </rPr>
      <t>/GJ)</t>
    </r>
  </si>
  <si>
    <r>
      <t>(tCH</t>
    </r>
    <r>
      <rPr>
        <vertAlign val="subscript"/>
        <sz val="11"/>
        <color theme="1"/>
        <rFont val="Times New Roman"/>
        <family val="1"/>
      </rPr>
      <t>4</t>
    </r>
    <r>
      <rPr>
        <sz val="11"/>
        <color theme="1"/>
        <rFont val="Times New Roman"/>
        <family val="1"/>
      </rPr>
      <t>/GJ)</t>
    </r>
  </si>
  <si>
    <r>
      <t>(tN</t>
    </r>
    <r>
      <rPr>
        <vertAlign val="subscript"/>
        <sz val="11"/>
        <color theme="1"/>
        <rFont val="Times New Roman"/>
        <family val="1"/>
      </rPr>
      <t>2</t>
    </r>
    <r>
      <rPr>
        <sz val="11"/>
        <color theme="1"/>
        <rFont val="Times New Roman"/>
        <family val="1"/>
      </rPr>
      <t>O/GJ)</t>
    </r>
  </si>
  <si>
    <t>MSC</t>
  </si>
  <si>
    <t>آهن‏سازی</t>
  </si>
  <si>
    <t>فولادسازی</t>
  </si>
  <si>
    <t>کوره‏های پاتیلی</t>
  </si>
  <si>
    <t>نورد گرم</t>
  </si>
  <si>
    <t>خط برش سبک شماره 1</t>
  </si>
  <si>
    <t>خط برش سبک شماره 2</t>
  </si>
  <si>
    <t>خط برش سنگین</t>
  </si>
  <si>
    <t>نورد سرد</t>
  </si>
  <si>
    <t>خط برش سبک</t>
  </si>
  <si>
    <t>خط گالوانیزه</t>
  </si>
  <si>
    <t>انرژی و سیالات</t>
  </si>
  <si>
    <t>حمل و نقل</t>
  </si>
  <si>
    <t>تعداد ساعت کاری در سال (hrs/yr)</t>
  </si>
  <si>
    <t xml:space="preserve"> درصد وزنی متان در گاز طبیعی</t>
  </si>
  <si>
    <t xml:space="preserve">برق </t>
  </si>
  <si>
    <t>بخار</t>
  </si>
  <si>
    <t>فرار</t>
  </si>
  <si>
    <t>C</t>
  </si>
  <si>
    <t>V</t>
  </si>
  <si>
    <t>F</t>
  </si>
  <si>
    <t>E</t>
  </si>
  <si>
    <t>T</t>
  </si>
  <si>
    <t>W</t>
  </si>
  <si>
    <t>حمل و نقل بالادست</t>
  </si>
  <si>
    <t>حمل و نقل داخلی</t>
  </si>
  <si>
    <t>54110</t>
  </si>
  <si>
    <t>هوای فشرده</t>
  </si>
  <si>
    <t>S</t>
  </si>
  <si>
    <t>A</t>
  </si>
  <si>
    <t>M</t>
  </si>
  <si>
    <t>Combustion</t>
  </si>
  <si>
    <t>Vent</t>
  </si>
  <si>
    <t>Fugitive</t>
  </si>
  <si>
    <t>Electricity</t>
  </si>
  <si>
    <t>Steam</t>
  </si>
  <si>
    <t>R</t>
  </si>
  <si>
    <t>Waste</t>
  </si>
  <si>
    <t>P</t>
  </si>
  <si>
    <t>Raw Material</t>
  </si>
  <si>
    <t>N</t>
  </si>
  <si>
    <t>B</t>
  </si>
  <si>
    <t>Business travel</t>
  </si>
  <si>
    <t>Energy related</t>
  </si>
  <si>
    <t>Compressed air</t>
  </si>
  <si>
    <t>00050</t>
  </si>
  <si>
    <t>آهک خریداری</t>
  </si>
  <si>
    <t>05016</t>
  </si>
  <si>
    <t>نرمه آهک خریداری</t>
  </si>
  <si>
    <t>05155</t>
  </si>
  <si>
    <t>دولومیت پخته خریداری داخلی</t>
  </si>
  <si>
    <t>05036</t>
  </si>
  <si>
    <t>05043</t>
  </si>
  <si>
    <t>00320</t>
  </si>
  <si>
    <t>00325</t>
  </si>
  <si>
    <t>00330</t>
  </si>
  <si>
    <t>00335</t>
  </si>
  <si>
    <t>00350</t>
  </si>
  <si>
    <t>بنتونیت</t>
  </si>
  <si>
    <t>05025</t>
  </si>
  <si>
    <t>05030</t>
  </si>
  <si>
    <t>05095</t>
  </si>
  <si>
    <t>55010</t>
  </si>
  <si>
    <t>گندله تولید شده</t>
  </si>
  <si>
    <t>گندله خریداری از گهر زمین</t>
  </si>
  <si>
    <t>گندله خریداری از گل گهر</t>
  </si>
  <si>
    <t>گندله خریداری از سنگان</t>
  </si>
  <si>
    <t>01010</t>
  </si>
  <si>
    <t>01027</t>
  </si>
  <si>
    <t>01030</t>
  </si>
  <si>
    <t>01090</t>
  </si>
  <si>
    <t>آهن اسفنجی تولیدی 0-5 میلی متر احیاء 1</t>
  </si>
  <si>
    <t>05123</t>
  </si>
  <si>
    <t>05160</t>
  </si>
  <si>
    <t>آهن اسفنجی تولیدی 0-5 میلی متر احیاء 2</t>
  </si>
  <si>
    <t>05124</t>
  </si>
  <si>
    <t>مواد اولیه (خوراک)</t>
  </si>
  <si>
    <t>فرو سیلیکن 80-70 (فروسیلیسیم)</t>
  </si>
  <si>
    <t>فرو منگنزبا کربن پائین</t>
  </si>
  <si>
    <t>فرو منگنزبا کربن متوسط</t>
  </si>
  <si>
    <t>فرو منگنزبا کربن بالا</t>
  </si>
  <si>
    <t>فرو فسفر</t>
  </si>
  <si>
    <t>مس</t>
  </si>
  <si>
    <t>نیکل</t>
  </si>
  <si>
    <t>فرو کروم</t>
  </si>
  <si>
    <t>فرو مولیبدنوم</t>
  </si>
  <si>
    <t>کاربید کلسیم (CaC2)</t>
  </si>
  <si>
    <t>کلسیم آلومینات</t>
  </si>
  <si>
    <t>دولومیت برای درب سرباره</t>
  </si>
  <si>
    <t>دولومیت خریداری 50-18 م م پخته شده</t>
  </si>
  <si>
    <t>کک برای مصرف فولاد سازی</t>
  </si>
  <si>
    <t>بریکت داغ خریداری</t>
  </si>
  <si>
    <t>آهن اسفنجی خریداری</t>
  </si>
  <si>
    <t>قراضه داخلی درجه یک</t>
  </si>
  <si>
    <t>قراضه سنگین درجه یک خریداری شده</t>
  </si>
  <si>
    <t>قراضه متوسط درجه یک خریداری شده</t>
  </si>
  <si>
    <t>03020</t>
  </si>
  <si>
    <t>03040</t>
  </si>
  <si>
    <t>03045</t>
  </si>
  <si>
    <t>03050</t>
  </si>
  <si>
    <t>03090</t>
  </si>
  <si>
    <t>03095</t>
  </si>
  <si>
    <t>03120</t>
  </si>
  <si>
    <t>03125</t>
  </si>
  <si>
    <t>03130</t>
  </si>
  <si>
    <t>03150</t>
  </si>
  <si>
    <t>05014</t>
  </si>
  <si>
    <t>05015</t>
  </si>
  <si>
    <t>05031</t>
  </si>
  <si>
    <t>05035</t>
  </si>
  <si>
    <t>05045</t>
  </si>
  <si>
    <t>05075</t>
  </si>
  <si>
    <t>05076</t>
  </si>
  <si>
    <t>05135</t>
  </si>
  <si>
    <t>05180</t>
  </si>
  <si>
    <t>05240</t>
  </si>
  <si>
    <t>05250</t>
  </si>
  <si>
    <t>23140</t>
  </si>
  <si>
    <t>فرو نیوبیوم</t>
  </si>
  <si>
    <t>فرو وانادیوم</t>
  </si>
  <si>
    <t>فرو تیتانیوم</t>
  </si>
  <si>
    <t>فرو بورون</t>
  </si>
  <si>
    <t>آلومینیوم چیپس</t>
  </si>
  <si>
    <t>کلسیم فرو وایر</t>
  </si>
  <si>
    <t>کلسیم سیلیکن</t>
  </si>
  <si>
    <t>گرافیت  مفتولی</t>
  </si>
  <si>
    <t>03060</t>
  </si>
  <si>
    <t>03070</t>
  </si>
  <si>
    <t>03080</t>
  </si>
  <si>
    <t>03100</t>
  </si>
  <si>
    <t>03160</t>
  </si>
  <si>
    <t>03180</t>
  </si>
  <si>
    <t>05013</t>
  </si>
  <si>
    <t>05024</t>
  </si>
  <si>
    <t>05046</t>
  </si>
  <si>
    <t>55120</t>
  </si>
  <si>
    <t>فرو منگنز نیتروژن دار</t>
  </si>
  <si>
    <t>پودر اکسیژن زدا</t>
  </si>
  <si>
    <t>بریکت سرباره ساز</t>
  </si>
  <si>
    <t>03055</t>
  </si>
  <si>
    <t>05028</t>
  </si>
  <si>
    <t>05053</t>
  </si>
  <si>
    <t>08022</t>
  </si>
  <si>
    <t>55130</t>
  </si>
  <si>
    <t>05065</t>
  </si>
  <si>
    <t>شمش روی</t>
  </si>
  <si>
    <t>05066</t>
  </si>
  <si>
    <t>رنگ</t>
  </si>
  <si>
    <t>05067</t>
  </si>
  <si>
    <t>51110</t>
  </si>
  <si>
    <t>51120</t>
  </si>
  <si>
    <t>Up-Transportation</t>
  </si>
  <si>
    <t>Down-Transportation</t>
  </si>
  <si>
    <t>حمل و نقل پایین‏دست</t>
  </si>
  <si>
    <r>
      <t>CH</t>
    </r>
    <r>
      <rPr>
        <vertAlign val="subscript"/>
        <sz val="11"/>
        <color theme="1"/>
        <rFont val="Times New Roman"/>
        <family val="1"/>
      </rPr>
      <t>4</t>
    </r>
  </si>
  <si>
    <r>
      <t>N</t>
    </r>
    <r>
      <rPr>
        <vertAlign val="subscript"/>
        <sz val="11"/>
        <color theme="1"/>
        <rFont val="Times New Roman"/>
        <family val="1"/>
      </rPr>
      <t>2</t>
    </r>
    <r>
      <rPr>
        <sz val="11"/>
        <color theme="1"/>
        <rFont val="Times New Roman"/>
        <family val="1"/>
      </rPr>
      <t>O</t>
    </r>
  </si>
  <si>
    <t>تختال (اسلب)</t>
  </si>
  <si>
    <t>کلاف اسید شویی شده</t>
  </si>
  <si>
    <t>کلاف گالوانیزه گرم</t>
  </si>
  <si>
    <t>کلاف رنگی</t>
  </si>
  <si>
    <t>کلاف سخت (خام)</t>
  </si>
  <si>
    <t>کلاف سرد نورد شده نهائی</t>
  </si>
  <si>
    <t>کلاف قلع اندود</t>
  </si>
  <si>
    <t>ورق قلع اندود</t>
  </si>
  <si>
    <t>کویل گرم (کلاف گرم)</t>
  </si>
  <si>
    <t>آذربایجان شرقی</t>
  </si>
  <si>
    <t>آذربایجان غربی</t>
  </si>
  <si>
    <t>اردبیل</t>
  </si>
  <si>
    <t>اصفهان</t>
  </si>
  <si>
    <t>ايلام</t>
  </si>
  <si>
    <t>بوشهر</t>
  </si>
  <si>
    <t>تهران</t>
  </si>
  <si>
    <t>خوزستان</t>
  </si>
  <si>
    <t>کرمانشاه</t>
  </si>
  <si>
    <t>یزد</t>
  </si>
  <si>
    <t>زنجان</t>
  </si>
  <si>
    <t>سمنان</t>
  </si>
  <si>
    <t>فارس</t>
  </si>
  <si>
    <t>قم</t>
  </si>
  <si>
    <t>لرستان</t>
  </si>
  <si>
    <t>گلستان</t>
  </si>
  <si>
    <t>مازندران</t>
  </si>
  <si>
    <t>هرمزگان</t>
  </si>
  <si>
    <t>همدان</t>
  </si>
  <si>
    <t>البرز</t>
  </si>
  <si>
    <t>چهارمحال و بختیاری</t>
  </si>
  <si>
    <t>خراسان جنوبی</t>
  </si>
  <si>
    <t>خراسان رضوی</t>
  </si>
  <si>
    <t>خراسان شمالی</t>
  </si>
  <si>
    <t>سیستان و بلوچستان</t>
  </si>
  <si>
    <t>قزوین</t>
  </si>
  <si>
    <t xml:space="preserve">کردستان	</t>
  </si>
  <si>
    <t>کرمان</t>
  </si>
  <si>
    <t xml:space="preserve">کهگیلویه و بویراحمد	</t>
  </si>
  <si>
    <t>گیلان</t>
  </si>
  <si>
    <t>مرکزی</t>
  </si>
  <si>
    <t>تعداد روزهای کاری پرسنل روز کار در سال</t>
  </si>
  <si>
    <t>تعداد روزهای کاری پرسنل شیفت در سال</t>
  </si>
  <si>
    <t>سفرهای کاری</t>
  </si>
  <si>
    <t>میانگین وزارت نیرو</t>
  </si>
  <si>
    <t>میانگین بخش خصوصی</t>
  </si>
  <si>
    <t>میانگین کل کشور</t>
  </si>
  <si>
    <t>(kWh/y)</t>
  </si>
  <si>
    <r>
      <t>(tCO</t>
    </r>
    <r>
      <rPr>
        <b/>
        <vertAlign val="subscript"/>
        <sz val="11"/>
        <color theme="1"/>
        <rFont val="Times New Roman"/>
        <family val="1"/>
      </rPr>
      <t>2</t>
    </r>
    <r>
      <rPr>
        <b/>
        <sz val="11"/>
        <color theme="1"/>
        <rFont val="Times New Roman"/>
        <family val="1"/>
      </rPr>
      <t>/y)</t>
    </r>
  </si>
  <si>
    <r>
      <t>(tCH</t>
    </r>
    <r>
      <rPr>
        <b/>
        <vertAlign val="subscript"/>
        <sz val="11"/>
        <color theme="1"/>
        <rFont val="Times New Roman"/>
        <family val="1"/>
      </rPr>
      <t>4</t>
    </r>
    <r>
      <rPr>
        <b/>
        <sz val="11"/>
        <color theme="1"/>
        <rFont val="Times New Roman"/>
        <family val="1"/>
      </rPr>
      <t>/y)</t>
    </r>
  </si>
  <si>
    <r>
      <t>(tN</t>
    </r>
    <r>
      <rPr>
        <b/>
        <vertAlign val="subscript"/>
        <sz val="11"/>
        <color theme="1"/>
        <rFont val="Times New Roman"/>
        <family val="1"/>
      </rPr>
      <t>2</t>
    </r>
    <r>
      <rPr>
        <b/>
        <sz val="11"/>
        <color theme="1"/>
        <rFont val="Times New Roman"/>
        <family val="1"/>
      </rPr>
      <t>O/y)</t>
    </r>
  </si>
  <si>
    <r>
      <t>(tCO</t>
    </r>
    <r>
      <rPr>
        <b/>
        <vertAlign val="subscript"/>
        <sz val="11"/>
        <color theme="1"/>
        <rFont val="Times New Roman"/>
        <family val="1"/>
      </rPr>
      <t>2</t>
    </r>
    <r>
      <rPr>
        <b/>
        <sz val="11"/>
        <color theme="1"/>
        <rFont val="Times New Roman"/>
        <family val="1"/>
      </rPr>
      <t>e/y)</t>
    </r>
  </si>
  <si>
    <r>
      <t>CO</t>
    </r>
    <r>
      <rPr>
        <b/>
        <vertAlign val="subscript"/>
        <sz val="11"/>
        <color theme="1"/>
        <rFont val="Times New Roman"/>
        <family val="1"/>
      </rPr>
      <t>2</t>
    </r>
    <r>
      <rPr>
        <b/>
        <sz val="11"/>
        <color theme="1"/>
        <rFont val="Times New Roman"/>
        <family val="1"/>
      </rPr>
      <t xml:space="preserve">
(tCO</t>
    </r>
    <r>
      <rPr>
        <b/>
        <vertAlign val="subscript"/>
        <sz val="11"/>
        <color theme="1"/>
        <rFont val="Times New Roman"/>
        <family val="1"/>
      </rPr>
      <t>2</t>
    </r>
    <r>
      <rPr>
        <b/>
        <sz val="11"/>
        <color theme="1"/>
        <rFont val="Times New Roman"/>
        <family val="1"/>
      </rPr>
      <t>/y)</t>
    </r>
  </si>
  <si>
    <r>
      <t>CH</t>
    </r>
    <r>
      <rPr>
        <b/>
        <vertAlign val="subscript"/>
        <sz val="11"/>
        <color theme="1"/>
        <rFont val="Times New Roman"/>
        <family val="1"/>
      </rPr>
      <t>4</t>
    </r>
    <r>
      <rPr>
        <b/>
        <sz val="11"/>
        <color theme="1"/>
        <rFont val="Times New Roman"/>
        <family val="1"/>
      </rPr>
      <t xml:space="preserve">
(tCH</t>
    </r>
    <r>
      <rPr>
        <b/>
        <vertAlign val="subscript"/>
        <sz val="11"/>
        <color theme="1"/>
        <rFont val="Times New Roman"/>
        <family val="1"/>
      </rPr>
      <t>4</t>
    </r>
    <r>
      <rPr>
        <b/>
        <sz val="11"/>
        <color theme="1"/>
        <rFont val="Times New Roman"/>
        <family val="1"/>
      </rPr>
      <t>/y)</t>
    </r>
  </si>
  <si>
    <r>
      <t>N</t>
    </r>
    <r>
      <rPr>
        <b/>
        <vertAlign val="subscript"/>
        <sz val="11"/>
        <color theme="1"/>
        <rFont val="Times New Roman"/>
        <family val="1"/>
      </rPr>
      <t>2</t>
    </r>
    <r>
      <rPr>
        <b/>
        <sz val="11"/>
        <color theme="1"/>
        <rFont val="Times New Roman"/>
        <family val="1"/>
      </rPr>
      <t>O
(tN</t>
    </r>
    <r>
      <rPr>
        <b/>
        <vertAlign val="subscript"/>
        <sz val="11"/>
        <color theme="1"/>
        <rFont val="Times New Roman"/>
        <family val="1"/>
      </rPr>
      <t>2</t>
    </r>
    <r>
      <rPr>
        <b/>
        <sz val="11"/>
        <color theme="1"/>
        <rFont val="Times New Roman"/>
        <family val="1"/>
      </rPr>
      <t>O/y)</t>
    </r>
  </si>
  <si>
    <r>
      <t>Emission
(tCO</t>
    </r>
    <r>
      <rPr>
        <b/>
        <vertAlign val="subscript"/>
        <sz val="11"/>
        <color theme="1"/>
        <rFont val="Times New Roman"/>
        <family val="1"/>
      </rPr>
      <t>2</t>
    </r>
    <r>
      <rPr>
        <b/>
        <sz val="11"/>
        <color theme="1"/>
        <rFont val="Times New Roman"/>
        <family val="1"/>
      </rPr>
      <t>e/y)</t>
    </r>
  </si>
  <si>
    <t>(g/kWh)</t>
  </si>
  <si>
    <t>-</t>
  </si>
  <si>
    <t>انباشت و برداشت</t>
  </si>
  <si>
    <t>تعمیرات</t>
  </si>
  <si>
    <t>ستاد</t>
  </si>
  <si>
    <t>IRM</t>
  </si>
  <si>
    <t>SMC</t>
  </si>
  <si>
    <t>HSM</t>
  </si>
  <si>
    <t>CRM</t>
  </si>
  <si>
    <t>ENF</t>
  </si>
  <si>
    <t>MTO</t>
  </si>
  <si>
    <t>TAI</t>
  </si>
  <si>
    <t>TRA</t>
  </si>
  <si>
    <t>CEM</t>
  </si>
  <si>
    <t>CEW</t>
  </si>
  <si>
    <t>CEO</t>
  </si>
  <si>
    <t>MIN</t>
  </si>
  <si>
    <t>PPC</t>
  </si>
  <si>
    <t>SIN</t>
  </si>
  <si>
    <t>TEC</t>
  </si>
  <si>
    <t>SAM</t>
  </si>
  <si>
    <t>PUR</t>
  </si>
  <si>
    <t>HCO</t>
  </si>
  <si>
    <t>DAD</t>
  </si>
  <si>
    <t>COM</t>
  </si>
  <si>
    <t>ACF</t>
  </si>
  <si>
    <t>تعداد افراد استخدامی</t>
  </si>
  <si>
    <t>تعداد افراد پیمانکار</t>
  </si>
  <si>
    <t>(GJ/Unit)</t>
  </si>
  <si>
    <t>GJ/SCM</t>
  </si>
  <si>
    <t>GJ/Lit</t>
  </si>
  <si>
    <t>بافق</t>
  </si>
  <si>
    <t>چادر ملو</t>
  </si>
  <si>
    <t>زرند</t>
  </si>
  <si>
    <t>سنگان</t>
  </si>
  <si>
    <t>D</t>
  </si>
  <si>
    <t>نیروگاه بادی</t>
  </si>
  <si>
    <r>
      <t>(tCO</t>
    </r>
    <r>
      <rPr>
        <b/>
        <vertAlign val="subscript"/>
        <sz val="11"/>
        <color theme="1"/>
        <rFont val="Times New Roman"/>
        <family val="1"/>
      </rPr>
      <t>2</t>
    </r>
    <r>
      <rPr>
        <b/>
        <sz val="11"/>
        <color theme="1"/>
        <rFont val="Times New Roman"/>
        <family val="1"/>
      </rPr>
      <t>/kWh)</t>
    </r>
  </si>
  <si>
    <r>
      <t>(tCH</t>
    </r>
    <r>
      <rPr>
        <b/>
        <vertAlign val="subscript"/>
        <sz val="11"/>
        <color theme="1"/>
        <rFont val="Times New Roman"/>
        <family val="1"/>
      </rPr>
      <t>4</t>
    </r>
    <r>
      <rPr>
        <b/>
        <sz val="11"/>
        <color theme="1"/>
        <rFont val="Times New Roman"/>
        <family val="1"/>
      </rPr>
      <t>/kWh)</t>
    </r>
  </si>
  <si>
    <r>
      <t>(tN</t>
    </r>
    <r>
      <rPr>
        <b/>
        <vertAlign val="subscript"/>
        <sz val="11"/>
        <color theme="1"/>
        <rFont val="Times New Roman"/>
        <family val="1"/>
      </rPr>
      <t>2</t>
    </r>
    <r>
      <rPr>
        <b/>
        <sz val="11"/>
        <color theme="1"/>
        <rFont val="Times New Roman"/>
        <family val="1"/>
      </rPr>
      <t>O/kWh)</t>
    </r>
  </si>
  <si>
    <r>
      <t>(tCO</t>
    </r>
    <r>
      <rPr>
        <b/>
        <vertAlign val="subscript"/>
        <sz val="11"/>
        <color theme="1"/>
        <rFont val="Times New Roman"/>
        <family val="1"/>
      </rPr>
      <t>2</t>
    </r>
    <r>
      <rPr>
        <b/>
        <sz val="11"/>
        <color theme="1"/>
        <rFont val="Times New Roman"/>
        <family val="1"/>
      </rPr>
      <t>e/unit)</t>
    </r>
  </si>
  <si>
    <t>(%)</t>
  </si>
  <si>
    <r>
      <t>(tCO</t>
    </r>
    <r>
      <rPr>
        <b/>
        <vertAlign val="subscript"/>
        <sz val="11"/>
        <color theme="1"/>
        <rFont val="Times New Roman"/>
        <family val="1"/>
      </rPr>
      <t>2</t>
    </r>
    <r>
      <rPr>
        <b/>
        <sz val="11"/>
        <color theme="1"/>
        <rFont val="Times New Roman"/>
        <family val="1"/>
      </rPr>
      <t>e/Nm</t>
    </r>
    <r>
      <rPr>
        <b/>
        <vertAlign val="superscript"/>
        <sz val="11"/>
        <color theme="1"/>
        <rFont val="Times New Roman"/>
        <family val="1"/>
      </rPr>
      <t>3</t>
    </r>
    <r>
      <rPr>
        <b/>
        <sz val="11"/>
        <color theme="1"/>
        <rFont val="Times New Roman"/>
        <family val="1"/>
      </rPr>
      <t>)</t>
    </r>
  </si>
  <si>
    <r>
      <t>(tCO</t>
    </r>
    <r>
      <rPr>
        <b/>
        <vertAlign val="subscript"/>
        <sz val="11"/>
        <color theme="1"/>
        <rFont val="Times New Roman"/>
        <family val="1"/>
      </rPr>
      <t>2</t>
    </r>
    <r>
      <rPr>
        <b/>
        <sz val="11"/>
        <color theme="1"/>
        <rFont val="Times New Roman"/>
        <family val="1"/>
      </rPr>
      <t>e/ton)</t>
    </r>
  </si>
  <si>
    <r>
      <t>Total CO</t>
    </r>
    <r>
      <rPr>
        <b/>
        <vertAlign val="subscript"/>
        <sz val="11"/>
        <color theme="1"/>
        <rFont val="Times New Roman"/>
        <family val="1"/>
      </rPr>
      <t>2</t>
    </r>
    <r>
      <rPr>
        <b/>
        <sz val="11"/>
        <color theme="1"/>
        <rFont val="Times New Roman"/>
        <family val="1"/>
      </rPr>
      <t>e</t>
    </r>
  </si>
  <si>
    <t>GWP</t>
  </si>
  <si>
    <t>CO2</t>
  </si>
  <si>
    <t>رفت و آمد پرسنل</t>
  </si>
  <si>
    <t>Commuting</t>
  </si>
  <si>
    <t>1-C-1</t>
  </si>
  <si>
    <t>1-F-27</t>
  </si>
  <si>
    <t>2-F-28</t>
  </si>
  <si>
    <t>(1)</t>
  </si>
  <si>
    <t>(2)</t>
  </si>
  <si>
    <t>(3)</t>
  </si>
  <si>
    <t>1</t>
  </si>
  <si>
    <t>(4)</t>
  </si>
  <si>
    <t>(5)</t>
  </si>
  <si>
    <t>1. DEFRA-UK Government GHG Conversion Factors for Company Reporting. 2024.</t>
  </si>
  <si>
    <t>Source: Air Permit Technical Guidance Package for Chemical Sources, Equipment Leak Fugitives, TCEQ.</t>
  </si>
  <si>
    <t>https://www.bahesab.ir/map/distance</t>
  </si>
  <si>
    <t xml:space="preserve"> نقشه راه آهن جمهوری اسلامی ایران</t>
  </si>
  <si>
    <t>2</t>
  </si>
  <si>
    <t>3</t>
  </si>
  <si>
    <t>4</t>
  </si>
  <si>
    <t>7</t>
  </si>
  <si>
    <t>9</t>
  </si>
  <si>
    <t>5</t>
  </si>
  <si>
    <t>55060</t>
  </si>
  <si>
    <r>
      <t>(tCO</t>
    </r>
    <r>
      <rPr>
        <b/>
        <vertAlign val="subscript"/>
        <sz val="11"/>
        <color theme="1"/>
        <rFont val="Times New Roman"/>
        <family val="1"/>
      </rPr>
      <t>2</t>
    </r>
    <r>
      <rPr>
        <b/>
        <sz val="11"/>
        <color theme="1"/>
        <rFont val="Times New Roman"/>
        <family val="1"/>
      </rPr>
      <t>e/m</t>
    </r>
    <r>
      <rPr>
        <b/>
        <vertAlign val="superscript"/>
        <sz val="11"/>
        <color theme="1"/>
        <rFont val="Times New Roman"/>
        <family val="1"/>
      </rPr>
      <t>3</t>
    </r>
    <r>
      <rPr>
        <b/>
        <sz val="11"/>
        <color theme="1"/>
        <rFont val="Times New Roman"/>
        <family val="1"/>
      </rPr>
      <t>)</t>
    </r>
  </si>
  <si>
    <t>55035</t>
  </si>
  <si>
    <t>55040</t>
  </si>
  <si>
    <t>ton</t>
  </si>
  <si>
    <r>
      <t>(tCO</t>
    </r>
    <r>
      <rPr>
        <b/>
        <vertAlign val="subscript"/>
        <sz val="11"/>
        <color theme="1"/>
        <rFont val="Times New Roman"/>
        <family val="1"/>
      </rPr>
      <t>2e</t>
    </r>
    <r>
      <rPr>
        <b/>
        <sz val="11"/>
        <color theme="1"/>
        <rFont val="Times New Roman"/>
        <family val="1"/>
      </rPr>
      <t>/kWh)</t>
    </r>
  </si>
  <si>
    <t>kWh</t>
  </si>
  <si>
    <r>
      <t>(</t>
    </r>
    <r>
      <rPr>
        <b/>
        <sz val="11"/>
        <color theme="1"/>
        <rFont val="Times New Roman"/>
        <family val="1"/>
      </rPr>
      <t>ton/yr</t>
    </r>
    <r>
      <rPr>
        <b/>
        <sz val="11"/>
        <color theme="1"/>
        <rFont val="B Mitra"/>
        <charset val="178"/>
      </rPr>
      <t>)</t>
    </r>
  </si>
  <si>
    <t>(tCO2e/kWh)</t>
  </si>
  <si>
    <t>tCO2e/kWh</t>
  </si>
  <si>
    <t>tCO2e/ton</t>
  </si>
  <si>
    <r>
      <t>tCO2e/m</t>
    </r>
    <r>
      <rPr>
        <vertAlign val="superscript"/>
        <sz val="10"/>
        <color theme="1"/>
        <rFont val="Times New Roman"/>
        <family val="1"/>
      </rPr>
      <t>3</t>
    </r>
  </si>
  <si>
    <r>
      <t>tCO2e/Nm</t>
    </r>
    <r>
      <rPr>
        <vertAlign val="superscript"/>
        <sz val="10"/>
        <color theme="1"/>
        <rFont val="Times New Roman"/>
        <family val="1"/>
      </rPr>
      <t>3</t>
    </r>
  </si>
  <si>
    <r>
      <t>tCO</t>
    </r>
    <r>
      <rPr>
        <b/>
        <vertAlign val="subscript"/>
        <sz val="11"/>
        <color theme="1"/>
        <rFont val="Times New Roman"/>
        <family val="1"/>
      </rPr>
      <t>2</t>
    </r>
    <r>
      <rPr>
        <b/>
        <sz val="11"/>
        <color theme="1"/>
        <rFont val="Times New Roman"/>
        <family val="1"/>
      </rPr>
      <t>e</t>
    </r>
  </si>
  <si>
    <t>%</t>
  </si>
  <si>
    <r>
      <t>tCO</t>
    </r>
    <r>
      <rPr>
        <b/>
        <vertAlign val="subscript"/>
        <sz val="11"/>
        <color theme="1"/>
        <rFont val="Times New Roman"/>
        <family val="1"/>
      </rPr>
      <t>2</t>
    </r>
    <r>
      <rPr>
        <b/>
        <sz val="11"/>
        <color theme="1"/>
        <rFont val="Times New Roman"/>
        <family val="1"/>
      </rPr>
      <t>e/ton</t>
    </r>
  </si>
  <si>
    <t>(gr/hr)</t>
  </si>
  <si>
    <t>1330, 1335</t>
  </si>
  <si>
    <t>2402, 2410, 2427</t>
  </si>
  <si>
    <t>Primary Data</t>
  </si>
  <si>
    <t>Secondary Data</t>
  </si>
  <si>
    <t>Site-specific</t>
  </si>
  <si>
    <t>Refer to Setting Sheet to access references</t>
  </si>
  <si>
    <t>00510</t>
  </si>
  <si>
    <t>گاز خوراک احیاء</t>
  </si>
  <si>
    <t>Based on assumptions or mass ratio</t>
  </si>
  <si>
    <t>DEFRA-UK Government GHG Conversion Factors for Company Reporting. 2024.</t>
  </si>
  <si>
    <r>
      <t>GJ/kNm</t>
    </r>
    <r>
      <rPr>
        <vertAlign val="superscript"/>
        <sz val="11"/>
        <color theme="1"/>
        <rFont val="Times New Roman"/>
        <family val="1"/>
      </rPr>
      <t>3</t>
    </r>
  </si>
  <si>
    <r>
      <t>(kNm</t>
    </r>
    <r>
      <rPr>
        <b/>
        <vertAlign val="superscript"/>
        <sz val="11"/>
        <color theme="1"/>
        <rFont val="Times New Roman"/>
        <family val="1"/>
      </rPr>
      <t>3</t>
    </r>
    <r>
      <rPr>
        <b/>
        <sz val="11"/>
        <color theme="1"/>
        <rFont val="Times New Roman"/>
        <family val="1"/>
      </rPr>
      <t>)</t>
    </r>
  </si>
  <si>
    <r>
      <t>(ton per kNm</t>
    </r>
    <r>
      <rPr>
        <b/>
        <vertAlign val="superscript"/>
        <sz val="11"/>
        <color theme="1"/>
        <rFont val="Times New Roman"/>
        <family val="1"/>
      </rPr>
      <t>3</t>
    </r>
    <r>
      <rPr>
        <b/>
        <sz val="11"/>
        <color theme="1"/>
        <rFont val="Times New Roman"/>
        <family val="1"/>
      </rPr>
      <t>)</t>
    </r>
  </si>
  <si>
    <t>GHG Protocol, Calculating Greenhouse Gas Emissions from Iron and Steel Production, 2008 (Equation13).</t>
  </si>
  <si>
    <t>GHG Protocol, Calculating Greenhouse Gas Emissions from Iron and Steel Production, 2008 (Equation14).</t>
  </si>
  <si>
    <t>GHG Emission Inventory</t>
  </si>
  <si>
    <t>Emission Share
(%)</t>
  </si>
  <si>
    <t>Emission Code</t>
  </si>
  <si>
    <t>Scope</t>
  </si>
  <si>
    <t>Category</t>
  </si>
  <si>
    <t>Sign</t>
  </si>
  <si>
    <t>Category No.</t>
  </si>
  <si>
    <t>Area Code</t>
  </si>
  <si>
    <t>Area</t>
  </si>
  <si>
    <t>No.</t>
  </si>
  <si>
    <t>Iron Making</t>
  </si>
  <si>
    <t>Steel Making</t>
  </si>
  <si>
    <t>Hot Rolling</t>
  </si>
  <si>
    <t>Cold Rolling</t>
  </si>
  <si>
    <t>Utility</t>
  </si>
  <si>
    <t>Transportation</t>
  </si>
  <si>
    <t>Maintenance</t>
  </si>
  <si>
    <t>Area Comparison</t>
  </si>
  <si>
    <t>Cells that has to be filled by user</t>
  </si>
  <si>
    <t>Cells that can be modified by user</t>
  </si>
  <si>
    <t>Cells that reports the results of calculations</t>
  </si>
  <si>
    <t>Data Quality Sheet</t>
  </si>
  <si>
    <t>Section</t>
  </si>
  <si>
    <t>Sheet Name</t>
  </si>
  <si>
    <t>Parameters</t>
  </si>
  <si>
    <t>Type of Data</t>
  </si>
  <si>
    <t>Notes</t>
  </si>
  <si>
    <t>On-Site Transportation</t>
  </si>
  <si>
    <t>Upstream Transportation</t>
  </si>
  <si>
    <t>Downstream Transportation</t>
  </si>
  <si>
    <t>Energy Related</t>
  </si>
  <si>
    <t>Employee Commuting</t>
  </si>
  <si>
    <t>Business Travel</t>
  </si>
  <si>
    <t>Upstream CF</t>
  </si>
  <si>
    <t>Utility CF</t>
  </si>
  <si>
    <t>Units CF</t>
  </si>
  <si>
    <t>Air</t>
  </si>
  <si>
    <t>Oxygen</t>
  </si>
  <si>
    <t>Nitrogen</t>
  </si>
  <si>
    <t>Argon</t>
  </si>
  <si>
    <t>Water</t>
  </si>
  <si>
    <t>Mix Electricity</t>
  </si>
  <si>
    <t>On-Site Tran.</t>
  </si>
  <si>
    <t>Upstream Tran.</t>
  </si>
  <si>
    <t>Downstream Tran.</t>
  </si>
  <si>
    <t>Section 2:
Carbon Footprint of Products</t>
  </si>
  <si>
    <t>Section 1:
Emission Inventory</t>
  </si>
  <si>
    <t>Annual fuel consumption</t>
  </si>
  <si>
    <t>LHV of fuels</t>
  </si>
  <si>
    <t>Emission factors</t>
  </si>
  <si>
    <t>Allocation factors</t>
  </si>
  <si>
    <t>Annual production</t>
  </si>
  <si>
    <t>Annual consumption</t>
  </si>
  <si>
    <t>Equipment count</t>
  </si>
  <si>
    <t>Control efficiency</t>
  </si>
  <si>
    <t>Electricity consumption</t>
  </si>
  <si>
    <t>Distribution loss</t>
  </si>
  <si>
    <t>Origin</t>
  </si>
  <si>
    <t>Distance</t>
  </si>
  <si>
    <t>Destination</t>
  </si>
  <si>
    <t>Weight</t>
  </si>
  <si>
    <t>Annual distance traveled</t>
  </si>
  <si>
    <t>Personnel count</t>
  </si>
  <si>
    <t>Travel counts</t>
  </si>
  <si>
    <t>Management approach</t>
  </si>
  <si>
    <t>Business Travel (International)</t>
  </si>
  <si>
    <t>Utility Carbon Footprint</t>
  </si>
  <si>
    <t>Unit Processes Carbon Footprint</t>
  </si>
  <si>
    <t>Compressed Air</t>
  </si>
  <si>
    <t>Emission Source</t>
  </si>
  <si>
    <t>Cost Center</t>
  </si>
  <si>
    <t>Cost Center Code</t>
  </si>
  <si>
    <t>Cost Item</t>
  </si>
  <si>
    <t>Cost Item Code</t>
  </si>
  <si>
    <t>Annual Consumption</t>
  </si>
  <si>
    <t>Unit</t>
  </si>
  <si>
    <t>Fuel Type</t>
  </si>
  <si>
    <t>LHV</t>
  </si>
  <si>
    <t>EF</t>
  </si>
  <si>
    <t>Emission</t>
  </si>
  <si>
    <t>Gas</t>
  </si>
  <si>
    <t>Production</t>
  </si>
  <si>
    <t>Gas Feed</t>
  </si>
  <si>
    <t>Sum</t>
  </si>
  <si>
    <t>Unit Process</t>
  </si>
  <si>
    <t>Facility</t>
  </si>
  <si>
    <t>Valves</t>
  </si>
  <si>
    <t>Equipment Count</t>
  </si>
  <si>
    <t>Fugitive Emission
(No Control)</t>
  </si>
  <si>
    <t>Control Efficiency</t>
  </si>
  <si>
    <t>Input Electricity</t>
  </si>
  <si>
    <t>Power Plant Type</t>
  </si>
  <si>
    <t>Emission of Input Electricity</t>
  </si>
  <si>
    <t>EF Calculation for Electricity</t>
  </si>
  <si>
    <t>Consumed Electricity</t>
  </si>
  <si>
    <t>Emisison</t>
  </si>
  <si>
    <t>Distance
(km)</t>
  </si>
  <si>
    <t>Weight
(ton)</t>
  </si>
  <si>
    <t>Product</t>
  </si>
  <si>
    <t>Type</t>
  </si>
  <si>
    <t>Shift</t>
  </si>
  <si>
    <t>Daily trip
(km)</t>
  </si>
  <si>
    <t>Annual trip
(km)</t>
  </si>
  <si>
    <t>Committee</t>
  </si>
  <si>
    <t>Mode of Transportation</t>
  </si>
  <si>
    <t>Distance 
(km)</t>
  </si>
  <si>
    <t>No. of passengers</t>
  </si>
  <si>
    <t>Waste Name</t>
  </si>
  <si>
    <t>Annual Production</t>
  </si>
  <si>
    <t>Management Approach</t>
  </si>
  <si>
    <r>
      <t>EF (tCO</t>
    </r>
    <r>
      <rPr>
        <b/>
        <vertAlign val="subscript"/>
        <sz val="11"/>
        <color theme="1"/>
        <rFont val="Times New Roman"/>
        <family val="1"/>
      </rPr>
      <t>2</t>
    </r>
    <r>
      <rPr>
        <b/>
        <sz val="11"/>
        <color theme="1"/>
        <rFont val="Times New Roman"/>
        <family val="1"/>
      </rPr>
      <t>e/ton)</t>
    </r>
  </si>
  <si>
    <t>Landfill</t>
  </si>
  <si>
    <t>Sale</t>
  </si>
  <si>
    <t>Reuse</t>
  </si>
  <si>
    <t>Store</t>
  </si>
  <si>
    <t>Reference</t>
  </si>
  <si>
    <t>Amount</t>
  </si>
  <si>
    <t>Type of Energy</t>
  </si>
  <si>
    <t>Input from Upstream</t>
  </si>
  <si>
    <t>Production/process</t>
  </si>
  <si>
    <t>References / Notes</t>
  </si>
  <si>
    <t>CF of Inputs
(tCO2e/unit)</t>
  </si>
  <si>
    <t>Cost Center Codes</t>
  </si>
  <si>
    <t>Outputs</t>
  </si>
  <si>
    <t>Allocation Factor</t>
  </si>
  <si>
    <t>Previous Emissions (tCO2e)</t>
  </si>
  <si>
    <t>Upstream Emissions (tCO2e)</t>
  </si>
  <si>
    <t>Utility Emission (tCO2e)</t>
  </si>
  <si>
    <t>Input data from sheets</t>
  </si>
  <si>
    <t>Cummulative Emission
(tCO2e/y)</t>
  </si>
  <si>
    <t>Carbon Footprint
(tCO2e/unit)</t>
  </si>
  <si>
    <t>Hot Steam</t>
  </si>
  <si>
    <t>Saturated Steam</t>
  </si>
  <si>
    <t>Industrial Water</t>
  </si>
  <si>
    <t>Light Water</t>
  </si>
  <si>
    <t>DM Water</t>
  </si>
  <si>
    <t>Compressed
Air</t>
  </si>
  <si>
    <t>On-Site
Tran.</t>
  </si>
  <si>
    <t>Natural Gas</t>
  </si>
  <si>
    <t>Gas Oil</t>
  </si>
  <si>
    <t>DRI</t>
  </si>
  <si>
    <t>Concentrate</t>
  </si>
  <si>
    <t>Pellet</t>
  </si>
  <si>
    <t>Limestone</t>
  </si>
  <si>
    <t>Dolomite</t>
  </si>
  <si>
    <t>Bentonite</t>
  </si>
  <si>
    <t>Lime</t>
  </si>
  <si>
    <t>Graphite</t>
  </si>
  <si>
    <t>Coke</t>
  </si>
  <si>
    <t>Electrode</t>
  </si>
  <si>
    <t>(ton)</t>
  </si>
  <si>
    <t>Direct Emissions (tCO2e)</t>
  </si>
  <si>
    <t>Upstream
Emission</t>
  </si>
  <si>
    <t>Direct
Emission</t>
  </si>
  <si>
    <t>Utility
Emission</t>
  </si>
  <si>
    <t>Total
Emission</t>
  </si>
  <si>
    <t>Direct
CF</t>
  </si>
  <si>
    <t>Upstream
CF</t>
  </si>
  <si>
    <t>Utility
CF</t>
  </si>
  <si>
    <t>Total
CFP</t>
  </si>
  <si>
    <t>Share</t>
  </si>
  <si>
    <t>Legend</t>
  </si>
  <si>
    <t>Steel making</t>
  </si>
  <si>
    <t>kNm3</t>
  </si>
  <si>
    <t>m3</t>
  </si>
  <si>
    <t>Lit</t>
  </si>
  <si>
    <t>Dolomite stone</t>
  </si>
  <si>
    <t>Petrol</t>
  </si>
  <si>
    <t>Network Electricity</t>
  </si>
  <si>
    <t>Network
Electricity</t>
  </si>
  <si>
    <t>Nm3</t>
  </si>
  <si>
    <t>Electricity 1</t>
  </si>
  <si>
    <t>Electricity 2</t>
  </si>
  <si>
    <t>HNX gas</t>
  </si>
  <si>
    <t>Saturated Steam 2</t>
  </si>
  <si>
    <t>Saturated Steam 3</t>
  </si>
  <si>
    <t>Saturated Steam 1</t>
  </si>
  <si>
    <t>Light Water 3</t>
  </si>
  <si>
    <t>Light Water 1</t>
  </si>
  <si>
    <t>Light Water 2</t>
  </si>
  <si>
    <t>Industrial Water 1</t>
  </si>
  <si>
    <t>Industrial Water 2</t>
  </si>
  <si>
    <t xml:space="preserve"> To Unit Processes </t>
  </si>
  <si>
    <t>TAS</t>
  </si>
  <si>
    <t>Fossil Fuel Combustion</t>
  </si>
  <si>
    <r>
      <t>kNm</t>
    </r>
    <r>
      <rPr>
        <vertAlign val="superscript"/>
        <sz val="11"/>
        <color theme="1"/>
        <rFont val="Times New Roman"/>
        <family val="1"/>
      </rPr>
      <t>3</t>
    </r>
  </si>
  <si>
    <t>Gasoil</t>
  </si>
  <si>
    <t>CO2 process vent in Lime production</t>
  </si>
  <si>
    <t>CO2 process vent in EAF (1-8)</t>
  </si>
  <si>
    <t>CO2 process vent in DRI 1</t>
  </si>
  <si>
    <t>CO2 process vent in DRI 2</t>
  </si>
  <si>
    <t>EFs (gr/hr)</t>
  </si>
  <si>
    <t>Flanges</t>
  </si>
  <si>
    <t>PSVs</t>
  </si>
  <si>
    <t>Electricity from contract</t>
  </si>
  <si>
    <t>On-site Transportation</t>
  </si>
  <si>
    <t>No. of employees</t>
  </si>
  <si>
    <t>Raw material CF</t>
  </si>
  <si>
    <t>Purchased electricity</t>
  </si>
  <si>
    <t>Consumption
(ton/y)</t>
  </si>
  <si>
    <t>Consumption
(kWh/y)</t>
  </si>
  <si>
    <r>
      <t>Consumption
(Nm</t>
    </r>
    <r>
      <rPr>
        <b/>
        <vertAlign val="superscript"/>
        <sz val="11"/>
        <color theme="1"/>
        <rFont val="Times New Roman"/>
        <family val="1"/>
      </rPr>
      <t>3</t>
    </r>
    <r>
      <rPr>
        <b/>
        <sz val="11"/>
        <color theme="1"/>
        <rFont val="Times New Roman"/>
        <family val="1"/>
      </rPr>
      <t>/y)</t>
    </r>
  </si>
  <si>
    <r>
      <t>Consumption
(m</t>
    </r>
    <r>
      <rPr>
        <b/>
        <vertAlign val="superscript"/>
        <sz val="11"/>
        <color theme="1"/>
        <rFont val="Times New Roman"/>
        <family val="1"/>
      </rPr>
      <t>3</t>
    </r>
    <r>
      <rPr>
        <b/>
        <sz val="11"/>
        <color theme="1"/>
        <rFont val="Times New Roman"/>
        <family val="1"/>
      </rPr>
      <t>/y)</t>
    </r>
  </si>
  <si>
    <t>Equipment</t>
  </si>
  <si>
    <t>Compressors</t>
  </si>
  <si>
    <t>Energy type</t>
  </si>
  <si>
    <t>Grid Electricity</t>
  </si>
  <si>
    <t>Gas oil</t>
  </si>
  <si>
    <t>Others</t>
  </si>
  <si>
    <t>Waste Type</t>
  </si>
  <si>
    <t>Metal</t>
  </si>
  <si>
    <t>Non-Metal</t>
  </si>
  <si>
    <t>Plastic</t>
  </si>
  <si>
    <t>Fuel type</t>
  </si>
  <si>
    <t>CNG</t>
  </si>
  <si>
    <t>Transport type</t>
  </si>
  <si>
    <t>Road</t>
  </si>
  <si>
    <t>Marine</t>
  </si>
  <si>
    <t>Vehicle type</t>
  </si>
  <si>
    <t>Car</t>
  </si>
  <si>
    <t>Bus</t>
  </si>
  <si>
    <t>Air - Short Haul</t>
  </si>
  <si>
    <t>Air - Long Haul</t>
  </si>
  <si>
    <t>Train</t>
  </si>
  <si>
    <t>Mini Bus</t>
  </si>
  <si>
    <t>Oil</t>
  </si>
  <si>
    <t>Working hours (hrs/yr)</t>
  </si>
  <si>
    <t>Working days for Shift Employees</t>
  </si>
  <si>
    <t>Working days for Day Employees</t>
  </si>
  <si>
    <t>Methane weight percent in natural gas</t>
  </si>
  <si>
    <t>Year</t>
  </si>
  <si>
    <t>GWPs</t>
  </si>
  <si>
    <t>EFs: Fuel Combustion</t>
  </si>
  <si>
    <t>EF: Business Travels</t>
  </si>
  <si>
    <t>EF: Employee Commuting</t>
  </si>
  <si>
    <t>EF: On-Site Transportation</t>
  </si>
  <si>
    <t>EF: Waste Management</t>
  </si>
  <si>
    <t>EF: Energy Related (Upstream)</t>
  </si>
  <si>
    <t>EF: Fugitive</t>
  </si>
  <si>
    <t>EF: Utilities</t>
  </si>
  <si>
    <t>Codes of Emission Categories</t>
  </si>
  <si>
    <t>Emission Type</t>
  </si>
  <si>
    <t>Products of Areas</t>
  </si>
  <si>
    <t>Rail (km)</t>
  </si>
  <si>
    <t>Province</t>
  </si>
  <si>
    <t>Road (km)</t>
  </si>
  <si>
    <t>Air Distance (km)</t>
  </si>
  <si>
    <t>MSC Areas and Codes</t>
  </si>
  <si>
    <t>Code</t>
  </si>
  <si>
    <t>Area Name</t>
  </si>
  <si>
    <t>MSC Committees</t>
  </si>
  <si>
    <t>MSC Number of Employees</t>
  </si>
  <si>
    <t>EF- (t/GJ)</t>
  </si>
  <si>
    <t>Powerplant type</t>
  </si>
  <si>
    <t>tCO2e/kNm3</t>
  </si>
  <si>
    <t>tCO2e/Lit</t>
  </si>
  <si>
    <t>6</t>
  </si>
  <si>
    <t>Emission of Areas</t>
  </si>
  <si>
    <t>Emissions by Categories</t>
  </si>
  <si>
    <t>Emissions by Types</t>
  </si>
  <si>
    <t>Emission
(tCO2e/yr)</t>
  </si>
  <si>
    <t>Share
(%)</t>
  </si>
  <si>
    <t>Emission
(t/yr)</t>
  </si>
  <si>
    <t>Emission type</t>
  </si>
  <si>
    <t>GHG</t>
  </si>
  <si>
    <t>Formula</t>
  </si>
  <si>
    <r>
      <t>Area Emission (tCO</t>
    </r>
    <r>
      <rPr>
        <b/>
        <vertAlign val="subscript"/>
        <sz val="11"/>
        <color theme="1"/>
        <rFont val="Times New Roman"/>
        <family val="1"/>
      </rPr>
      <t>2</t>
    </r>
    <r>
      <rPr>
        <b/>
        <sz val="11"/>
        <color theme="1"/>
        <rFont val="Times New Roman"/>
        <family val="1"/>
      </rPr>
      <t>e/yr)</t>
    </r>
  </si>
  <si>
    <t>Yard</t>
  </si>
  <si>
    <t>Lime Dehydration</t>
  </si>
  <si>
    <t>Dolomite Plant</t>
  </si>
  <si>
    <t>Lime Plant</t>
  </si>
  <si>
    <t>Pelletizing</t>
  </si>
  <si>
    <t>Direct Reduction</t>
  </si>
  <si>
    <t>Briquetting</t>
  </si>
  <si>
    <t>EAF</t>
  </si>
  <si>
    <t>Degassing</t>
  </si>
  <si>
    <t>Ladle Furnaces</t>
  </si>
  <si>
    <t>Continuous Casting</t>
  </si>
  <si>
    <t>Slab Conditioning</t>
  </si>
  <si>
    <t>Extraction</t>
  </si>
  <si>
    <t>Slab</t>
  </si>
  <si>
    <t>1. Data shall be complete and accurate to ensure the accountability of the results.</t>
  </si>
  <si>
    <t>2. Units of all input data shall be checked with the required measurement system.</t>
  </si>
  <si>
    <t>3. Section 1 contains all MSC areas for GHG Inventory based on ISO 14064-1:2018.</t>
  </si>
  <si>
    <t>4. Section 2 contains all MSC products for Carbon Footprinting based on ISO 14067:2018.</t>
  </si>
  <si>
    <t xml:space="preserve">5. Legends of cells: </t>
  </si>
  <si>
    <t>6. User information:</t>
  </si>
  <si>
    <t>Date of completion:</t>
  </si>
  <si>
    <t>User Name:</t>
  </si>
  <si>
    <t>Title:</t>
  </si>
  <si>
    <t>Contact information:</t>
  </si>
  <si>
    <t>Refer to table inside sheet to access references</t>
  </si>
  <si>
    <t>Purchased Material</t>
  </si>
  <si>
    <t>Lime Making</t>
  </si>
  <si>
    <t>Dolomite Making</t>
  </si>
  <si>
    <t>De-gassing</t>
  </si>
  <si>
    <t>Casting Machines</t>
  </si>
  <si>
    <t>Slab Cooling</t>
  </si>
  <si>
    <t>Galvanizing</t>
  </si>
  <si>
    <t>Electrical Workshop</t>
  </si>
  <si>
    <t>EAFs</t>
  </si>
  <si>
    <t>Direct Reduction 1</t>
  </si>
  <si>
    <t>Direct Reduction 2</t>
  </si>
  <si>
    <t>Lime Hydration</t>
  </si>
  <si>
    <t>Laddle Furnaces</t>
  </si>
  <si>
    <t>Utilities and Areas</t>
  </si>
  <si>
    <t>Utilities</t>
  </si>
  <si>
    <t>Areas</t>
  </si>
  <si>
    <t>Roll Shop</t>
  </si>
  <si>
    <t>Hot Rolling Mill</t>
  </si>
  <si>
    <t>Coil Stockyard</t>
  </si>
  <si>
    <t>Shearing Line 1</t>
  </si>
  <si>
    <t>Shearing Line 2</t>
  </si>
  <si>
    <t>Heavy Shearing Line</t>
  </si>
  <si>
    <t>Skin Pass Mill</t>
  </si>
  <si>
    <t>Box Annealing 1</t>
  </si>
  <si>
    <t>Box Annealing 3</t>
  </si>
  <si>
    <t>Box Annealing 2</t>
  </si>
  <si>
    <t>Tinning Line</t>
  </si>
  <si>
    <t>Galvanizing Line</t>
  </si>
  <si>
    <t>Coating Line</t>
  </si>
  <si>
    <t>Steam Production</t>
  </si>
  <si>
    <t>Oxygen &amp; Hydrogen</t>
  </si>
  <si>
    <t>Steam Production (PU:55)</t>
  </si>
  <si>
    <t>Industrial Water Production</t>
  </si>
  <si>
    <t>Steam PowerPlant</t>
  </si>
  <si>
    <t>Charge Handling</t>
  </si>
  <si>
    <t>Tandem Mill</t>
  </si>
  <si>
    <t>Two Stand Reversible Mill</t>
  </si>
  <si>
    <t>Electrolytic Cleaning Line</t>
  </si>
  <si>
    <t>Temper Mill</t>
  </si>
  <si>
    <t>Slitting Line</t>
  </si>
  <si>
    <t>Light Shearing Line (CRM)</t>
  </si>
  <si>
    <t>Heavy Shearing Line (CRM)</t>
  </si>
  <si>
    <t>RO3</t>
  </si>
  <si>
    <t>DM Water Production</t>
  </si>
  <si>
    <t>Compressed Air Production</t>
  </si>
  <si>
    <t>Industrial Water Distribution</t>
  </si>
  <si>
    <t>Sewage Treatment</t>
  </si>
  <si>
    <t>Light Water Distribution</t>
  </si>
  <si>
    <t>Internal &amp; Urban Sewage System</t>
  </si>
  <si>
    <t>Electricity Distribution</t>
  </si>
  <si>
    <t>Material Handling Maintenance</t>
  </si>
  <si>
    <t>Emission Rate</t>
  </si>
  <si>
    <t>Daily</t>
  </si>
  <si>
    <t>Share of Heavy Transportation</t>
  </si>
  <si>
    <t>Share of Light Transportation</t>
  </si>
  <si>
    <t>Heavy</t>
  </si>
  <si>
    <t>Light</t>
  </si>
  <si>
    <t>Steam Distribution</t>
  </si>
  <si>
    <t>Carbon Footprint of Utilities</t>
  </si>
  <si>
    <t>Molten Steel</t>
  </si>
  <si>
    <t>Slag</t>
  </si>
  <si>
    <t>Briquett</t>
  </si>
  <si>
    <t>Hydrated Lime</t>
  </si>
  <si>
    <t>Powder</t>
  </si>
  <si>
    <t>Lime Powder</t>
  </si>
  <si>
    <t>Molten Steel 1</t>
  </si>
  <si>
    <t>Molten Steel 2</t>
  </si>
  <si>
    <t>Notes/References</t>
  </si>
  <si>
    <t>Cost Center Documents.</t>
  </si>
  <si>
    <t>Chemical Composition of NG.</t>
  </si>
  <si>
    <t xml:space="preserve">P&amp;IDs of facilities. </t>
  </si>
  <si>
    <t>Personnel interview.</t>
  </si>
  <si>
    <t>Documents of MSC</t>
  </si>
  <si>
    <t>Waste Management Reports.</t>
  </si>
  <si>
    <t>Calculations in this study.</t>
  </si>
  <si>
    <t>Upstream Transportation of Raw Materials</t>
  </si>
  <si>
    <t>Downstream Transportation of Products</t>
  </si>
  <si>
    <t>Heavy and Light Transportation</t>
  </si>
  <si>
    <t>Business Travels</t>
  </si>
  <si>
    <t>Purchased Electricity</t>
  </si>
  <si>
    <t>References:</t>
  </si>
  <si>
    <t>Water Conditioning</t>
  </si>
  <si>
    <t>Source:  IPCC Sixth Assessment Report (AR6).</t>
  </si>
  <si>
    <t>Carbon Footprint</t>
  </si>
  <si>
    <t>Carbon Footprint of Products</t>
  </si>
  <si>
    <t>CO2 process vent in Dolomite production</t>
  </si>
  <si>
    <t xml:space="preserve"> Categories Emission (tCO2e)</t>
  </si>
  <si>
    <t>Cat1</t>
  </si>
  <si>
    <t>Cat2</t>
  </si>
  <si>
    <t>Cat3</t>
  </si>
  <si>
    <t>Cat4</t>
  </si>
  <si>
    <t>The Intergovernmental Panel on Climate Change (IPCC) Guidelines for National Greenhouse Gas Inventories, 2006.</t>
  </si>
  <si>
    <t>SF6</t>
  </si>
  <si>
    <t>CFC-12</t>
  </si>
  <si>
    <t>Fugitive (Methane)</t>
  </si>
  <si>
    <t>Source 2: API Compendium of Greenhouse Gas Emissions Methodologies for the Oil and Natural Gas Industry, 2009.</t>
  </si>
  <si>
    <t>Data Source of Annaul Consumption</t>
  </si>
  <si>
    <t>Data Source of Annual Consumption</t>
  </si>
  <si>
    <t>Data Source of Annual Weight</t>
  </si>
  <si>
    <t>Measurement</t>
  </si>
  <si>
    <t>Estimation</t>
  </si>
  <si>
    <t>Bill</t>
  </si>
  <si>
    <t>Purchase Order</t>
  </si>
  <si>
    <t>Calculation</t>
  </si>
  <si>
    <t>Meter</t>
  </si>
  <si>
    <t>Data Source of trips</t>
  </si>
  <si>
    <t>Data Source of Amount</t>
  </si>
  <si>
    <t>Reference: http://www.gcmap.com</t>
  </si>
  <si>
    <t>IST</t>
  </si>
  <si>
    <t>DXB</t>
  </si>
  <si>
    <t>SVO</t>
  </si>
  <si>
    <t>BGW</t>
  </si>
  <si>
    <t>DEL</t>
  </si>
  <si>
    <t>IKA</t>
  </si>
  <si>
    <t>Travel Route</t>
  </si>
  <si>
    <t>IKA-IST</t>
  </si>
  <si>
    <t>IKA-DXB</t>
  </si>
  <si>
    <t>IKA-BGW</t>
  </si>
  <si>
    <t>IKA-DEL</t>
  </si>
  <si>
    <t>IKA-SVO</t>
  </si>
  <si>
    <t>IKA-EVN</t>
  </si>
  <si>
    <t>IKA-TAS</t>
  </si>
  <si>
    <t>IKA-DOH</t>
  </si>
  <si>
    <t>IKA-PEK</t>
  </si>
  <si>
    <t>IKA-MCT</t>
  </si>
  <si>
    <t>PEK</t>
  </si>
  <si>
    <t>FCO</t>
  </si>
  <si>
    <t>IST-FCO</t>
  </si>
  <si>
    <t>MXP</t>
  </si>
  <si>
    <t>IST-MXP</t>
  </si>
  <si>
    <t>DUS</t>
  </si>
  <si>
    <t>MXP-DUS</t>
  </si>
  <si>
    <t>IST-VCE</t>
  </si>
  <si>
    <t>VCE-VIE</t>
  </si>
  <si>
    <t>VIE</t>
  </si>
  <si>
    <t>BKK</t>
  </si>
  <si>
    <t>DXB-BKK</t>
  </si>
  <si>
    <t>MXP-BER</t>
  </si>
  <si>
    <t>FCO-BRU</t>
  </si>
  <si>
    <t>MXP-MUC</t>
  </si>
  <si>
    <t>DXB-HND</t>
  </si>
  <si>
    <t>Fugitive (Other GHGs)</t>
  </si>
  <si>
    <t>Total CO2e</t>
  </si>
  <si>
    <t>Non-Kyoto GHGs</t>
  </si>
  <si>
    <t>SF6 fugitive emission</t>
  </si>
  <si>
    <r>
      <t>SF</t>
    </r>
    <r>
      <rPr>
        <b/>
        <vertAlign val="subscript"/>
        <sz val="11"/>
        <color theme="1"/>
        <rFont val="Times New Roman"/>
        <family val="1"/>
      </rPr>
      <t>6</t>
    </r>
    <r>
      <rPr>
        <b/>
        <sz val="11"/>
        <color theme="1"/>
        <rFont val="Times New Roman"/>
        <family val="1"/>
      </rPr>
      <t xml:space="preserve">
(tSF</t>
    </r>
    <r>
      <rPr>
        <b/>
        <vertAlign val="subscript"/>
        <sz val="11"/>
        <color theme="1"/>
        <rFont val="Times New Roman"/>
        <family val="1"/>
      </rPr>
      <t>6</t>
    </r>
    <r>
      <rPr>
        <b/>
        <sz val="11"/>
        <color theme="1"/>
        <rFont val="Times New Roman"/>
        <family val="1"/>
      </rPr>
      <t>/y)</t>
    </r>
  </si>
  <si>
    <t>(t/y)</t>
  </si>
  <si>
    <t>Non-Kyoto GHG</t>
  </si>
  <si>
    <t>(kg)</t>
  </si>
  <si>
    <r>
      <t>CH</t>
    </r>
    <r>
      <rPr>
        <b/>
        <vertAlign val="subscript"/>
        <sz val="11"/>
        <color theme="1"/>
        <rFont val="Times New Roman"/>
        <family val="1"/>
      </rPr>
      <t xml:space="preserve">4 </t>
    </r>
    <r>
      <rPr>
        <b/>
        <sz val="11"/>
        <color theme="1"/>
        <rFont val="Times New Roman"/>
        <family val="1"/>
      </rPr>
      <t>(F,V)</t>
    </r>
  </si>
  <si>
    <r>
      <t>SF</t>
    </r>
    <r>
      <rPr>
        <vertAlign val="subscript"/>
        <sz val="11"/>
        <color theme="1"/>
        <rFont val="Times New Roman"/>
        <family val="1"/>
      </rPr>
      <t>6</t>
    </r>
  </si>
  <si>
    <t>Methane</t>
  </si>
  <si>
    <t>Butane</t>
  </si>
  <si>
    <t>Acetylene</t>
  </si>
  <si>
    <t>All cost centers</t>
  </si>
  <si>
    <t>Non-energy product use (oil)</t>
  </si>
  <si>
    <t>Non-energy product use (grease)</t>
  </si>
  <si>
    <t>Fugitive (Non-energy product use)</t>
  </si>
  <si>
    <t>Carbon Content</t>
  </si>
  <si>
    <t>ODU Factor</t>
  </si>
  <si>
    <t>(TJ/ton)</t>
  </si>
  <si>
    <t>(ton C/TJ)</t>
  </si>
  <si>
    <t>GJ/ton</t>
  </si>
  <si>
    <t>PRS4.GASNAG29</t>
  </si>
  <si>
    <t>GASNAG32</t>
  </si>
  <si>
    <t>SUM(ELEACT1&amp;2&amp;3)</t>
  </si>
  <si>
    <t>ELEACT4</t>
  </si>
  <si>
    <t>Data Source of Annual Production</t>
  </si>
  <si>
    <t>Data Source of Equipment Count</t>
  </si>
  <si>
    <t>P&amp;IDs</t>
  </si>
  <si>
    <t>Meter (G1 to G3)</t>
  </si>
  <si>
    <t>Meter G4</t>
  </si>
  <si>
    <t>Sumation of input meters</t>
  </si>
  <si>
    <t>Data Quality Assessment</t>
  </si>
  <si>
    <t>Time</t>
  </si>
  <si>
    <t>Technology</t>
  </si>
  <si>
    <t>Geography</t>
  </si>
  <si>
    <t>Completeness</t>
  </si>
  <si>
    <t>Reliability</t>
  </si>
  <si>
    <t>Data Quality Scoring Criteria</t>
  </si>
  <si>
    <t>Very good</t>
  </si>
  <si>
    <t>Good</t>
  </si>
  <si>
    <t>Fair</t>
  </si>
  <si>
    <t>Poor</t>
  </si>
  <si>
    <t>Transportation Reports.</t>
  </si>
  <si>
    <t>GHG Emission Inventory and Carbon Footprint of MSC Complex</t>
  </si>
  <si>
    <t>This electronic file is developed to facilitate data management and reporting for MSC Complex GHG Inventory (Section 1) and Carbon Footprint of Products (Section 2).</t>
  </si>
  <si>
    <t>Scoring Criteria Breakdown:</t>
  </si>
  <si>
    <r>
      <t>Very good</t>
    </r>
    <r>
      <rPr>
        <sz val="10"/>
        <color rgb="FF404040"/>
        <rFont val="Times New Roman"/>
        <family val="1"/>
      </rPr>
      <t>: Data generated using the same technology.</t>
    </r>
  </si>
  <si>
    <r>
      <t>Good</t>
    </r>
    <r>
      <rPr>
        <sz val="10"/>
        <color rgb="FF404040"/>
        <rFont val="Times New Roman"/>
        <family val="1"/>
      </rPr>
      <t>: Data from a similar but different technology.</t>
    </r>
  </si>
  <si>
    <r>
      <t>Fair</t>
    </r>
    <r>
      <rPr>
        <sz val="10"/>
        <color rgb="FF404040"/>
        <rFont val="Times New Roman"/>
        <family val="1"/>
      </rPr>
      <t>: Data from a different technology.</t>
    </r>
  </si>
  <si>
    <r>
      <t>Poor</t>
    </r>
    <r>
      <rPr>
        <sz val="10"/>
        <color rgb="FF404040"/>
        <rFont val="Times New Roman"/>
        <family val="1"/>
      </rPr>
      <t>: Technology is unknown.</t>
    </r>
  </si>
  <si>
    <r>
      <t>Very good</t>
    </r>
    <r>
      <rPr>
        <sz val="10"/>
        <color rgb="FF404040"/>
        <rFont val="Times New Roman"/>
        <family val="1"/>
      </rPr>
      <t>: Data is less than 3 years old.</t>
    </r>
  </si>
  <si>
    <r>
      <t>Very good</t>
    </r>
    <r>
      <rPr>
        <sz val="10"/>
        <color rgb="FF404040"/>
        <rFont val="Times New Roman"/>
        <family val="1"/>
      </rPr>
      <t>: Data from the same area.</t>
    </r>
  </si>
  <si>
    <r>
      <t>Very good</t>
    </r>
    <r>
      <rPr>
        <sz val="10"/>
        <color rgb="FF404040"/>
        <rFont val="Times New Roman"/>
        <family val="1"/>
      </rPr>
      <t>: Data covers all relevant process sites over an adequate time period.</t>
    </r>
  </si>
  <si>
    <r>
      <t>Very good</t>
    </r>
    <r>
      <rPr>
        <sz val="10"/>
        <color rgb="FF404040"/>
        <rFont val="Times New Roman"/>
        <family val="1"/>
      </rPr>
      <t>: Verified data based on measurements.</t>
    </r>
  </si>
  <si>
    <r>
      <t>Good</t>
    </r>
    <r>
      <rPr>
        <sz val="10"/>
        <color rgb="FF404040"/>
        <rFont val="Times New Roman"/>
        <family val="1"/>
      </rPr>
      <t>: Data is less than 6 years old.</t>
    </r>
  </si>
  <si>
    <r>
      <t>Good</t>
    </r>
    <r>
      <rPr>
        <sz val="10"/>
        <color rgb="FF404040"/>
        <rFont val="Times New Roman"/>
        <family val="1"/>
      </rPr>
      <t>: Data from a similar area.</t>
    </r>
  </si>
  <si>
    <r>
      <t>Good</t>
    </r>
    <r>
      <rPr>
        <sz val="10"/>
        <color rgb="FF404040"/>
        <rFont val="Times New Roman"/>
        <family val="1"/>
      </rPr>
      <t>: Data covers &gt;50% of sites for an adequate time period.</t>
    </r>
  </si>
  <si>
    <r>
      <t>Good</t>
    </r>
    <r>
      <rPr>
        <sz val="10"/>
        <color rgb="FF404040"/>
        <rFont val="Times New Roman"/>
        <family val="1"/>
      </rPr>
      <t>: Verified data partly based on assumptions or non-verified data based on measurements.</t>
    </r>
  </si>
  <si>
    <r>
      <t>Fair</t>
    </r>
    <r>
      <rPr>
        <sz val="10"/>
        <color rgb="FF404040"/>
        <rFont val="Times New Roman"/>
        <family val="1"/>
      </rPr>
      <t>: Data is less than 10 years old.</t>
    </r>
  </si>
  <si>
    <r>
      <t>Fair</t>
    </r>
    <r>
      <rPr>
        <sz val="10"/>
        <color rgb="FF404040"/>
        <rFont val="Times New Roman"/>
        <family val="1"/>
      </rPr>
      <t>: Data from a different area.</t>
    </r>
  </si>
  <si>
    <r>
      <t>Fair</t>
    </r>
    <r>
      <rPr>
        <sz val="10"/>
        <color rgb="FF404040"/>
        <rFont val="Times New Roman"/>
        <family val="1"/>
      </rPr>
      <t>: Data covers &lt;50% of sites or is from &gt;50% of sites but for a shorter time.</t>
    </r>
  </si>
  <si>
    <r>
      <t>Fair</t>
    </r>
    <r>
      <rPr>
        <sz val="10"/>
        <color rgb="FF404040"/>
        <rFont val="Times New Roman"/>
        <family val="1"/>
      </rPr>
      <t>: Non-verified data partly based on assumptions or expert estimates.</t>
    </r>
  </si>
  <si>
    <r>
      <t>Poor</t>
    </r>
    <r>
      <rPr>
        <sz val="10"/>
        <color rgb="FF404040"/>
        <rFont val="Times New Roman"/>
        <family val="1"/>
      </rPr>
      <t>: Data is more than 10 years old or age is unknown.</t>
    </r>
  </si>
  <si>
    <r>
      <t>Poor</t>
    </r>
    <r>
      <rPr>
        <sz val="10"/>
        <color rgb="FF404040"/>
        <rFont val="Times New Roman"/>
        <family val="1"/>
      </rPr>
      <t>: Area is unknown.</t>
    </r>
  </si>
  <si>
    <r>
      <t>Poor</t>
    </r>
    <r>
      <rPr>
        <sz val="10"/>
        <color rgb="FF404040"/>
        <rFont val="Times New Roman"/>
        <family val="1"/>
      </rPr>
      <t>: Data covers &lt;50% of sites for a short time, or representativeness is unknown.</t>
    </r>
  </si>
  <si>
    <r>
      <t>Poor</t>
    </r>
    <r>
      <rPr>
        <sz val="10"/>
        <color rgb="FF404040"/>
        <rFont val="Times New Roman"/>
        <family val="1"/>
      </rPr>
      <t>: Non-qualified estimate.</t>
    </r>
  </si>
  <si>
    <t>Gas Oil for on-site transportation</t>
  </si>
  <si>
    <t>Gasoline for on-site transportation</t>
  </si>
  <si>
    <t>Natural Gas for combustion</t>
  </si>
  <si>
    <t>Butane Gas for combustion</t>
  </si>
  <si>
    <t>Methane Gas for combustion</t>
  </si>
  <si>
    <t>Acetylene Gas for combustion</t>
  </si>
  <si>
    <t>Gasoil for combustion</t>
  </si>
  <si>
    <t>Assume like other petroleum gas</t>
  </si>
  <si>
    <t>Source</t>
  </si>
  <si>
    <t>Source 1: Calculation based on chemical composition of natural gas delivered to MSC.</t>
  </si>
  <si>
    <t>Source 3: https://www.engineeringtoolbox.com/fuels-higher-calorific-values-d_169.html</t>
  </si>
  <si>
    <t>CO2 fire extinguishers</t>
  </si>
  <si>
    <r>
      <t>(tCO</t>
    </r>
    <r>
      <rPr>
        <vertAlign val="subscript"/>
        <sz val="11"/>
        <color theme="1"/>
        <rFont val="Times New Roman"/>
        <family val="1"/>
      </rPr>
      <t>2</t>
    </r>
    <r>
      <rPr>
        <sz val="11"/>
        <color theme="1"/>
        <rFont val="Times New Roman"/>
        <family val="1"/>
      </rPr>
      <t>e/kWh)</t>
    </r>
  </si>
  <si>
    <r>
      <t>(tCO</t>
    </r>
    <r>
      <rPr>
        <vertAlign val="subscript"/>
        <sz val="11"/>
        <color theme="1"/>
        <rFont val="Times New Roman"/>
        <family val="1"/>
      </rPr>
      <t>2</t>
    </r>
    <r>
      <rPr>
        <sz val="11"/>
        <color theme="1"/>
        <rFont val="Times New Roman"/>
        <family val="1"/>
      </rPr>
      <t>e/Nm</t>
    </r>
    <r>
      <rPr>
        <vertAlign val="superscript"/>
        <sz val="11"/>
        <color theme="1"/>
        <rFont val="Times New Roman"/>
        <family val="1"/>
      </rPr>
      <t>3</t>
    </r>
    <r>
      <rPr>
        <sz val="11"/>
        <color theme="1"/>
        <rFont val="Times New Roman"/>
        <family val="1"/>
      </rPr>
      <t>)</t>
    </r>
  </si>
  <si>
    <r>
      <t>(tCO</t>
    </r>
    <r>
      <rPr>
        <vertAlign val="subscript"/>
        <sz val="11"/>
        <color theme="1"/>
        <rFont val="Times New Roman"/>
        <family val="1"/>
      </rPr>
      <t>2</t>
    </r>
    <r>
      <rPr>
        <sz val="11"/>
        <color theme="1"/>
        <rFont val="Times New Roman"/>
        <family val="1"/>
      </rPr>
      <t>e/ton)</t>
    </r>
  </si>
  <si>
    <r>
      <t>(tCO</t>
    </r>
    <r>
      <rPr>
        <vertAlign val="subscript"/>
        <sz val="11"/>
        <color theme="1"/>
        <rFont val="Times New Roman"/>
        <family val="1"/>
      </rPr>
      <t>2</t>
    </r>
    <r>
      <rPr>
        <sz val="11"/>
        <color theme="1"/>
        <rFont val="Times New Roman"/>
        <family val="1"/>
      </rPr>
      <t>e/m</t>
    </r>
    <r>
      <rPr>
        <vertAlign val="superscript"/>
        <sz val="11"/>
        <color theme="1"/>
        <rFont val="Times New Roman"/>
        <family val="1"/>
      </rPr>
      <t>3</t>
    </r>
    <r>
      <rPr>
        <sz val="11"/>
        <color theme="1"/>
        <rFont val="Times New Roman"/>
        <family val="1"/>
      </rPr>
      <t>)</t>
    </r>
  </si>
  <si>
    <t>Uncertainty Rank</t>
  </si>
  <si>
    <t>Uncertainty Assessment</t>
  </si>
  <si>
    <t>Low</t>
  </si>
  <si>
    <t>Medium</t>
  </si>
  <si>
    <t>High</t>
  </si>
  <si>
    <t>Type of Uncertainty</t>
  </si>
  <si>
    <t>Parameter</t>
  </si>
  <si>
    <t>Scenario</t>
  </si>
  <si>
    <t>Model</t>
  </si>
  <si>
    <t>Last Update</t>
  </si>
  <si>
    <t>Data Source of Activity Data</t>
  </si>
  <si>
    <t>Notes and guidance</t>
  </si>
  <si>
    <t>Energy Related Emissions</t>
  </si>
  <si>
    <t>Raw Material Emissions</t>
  </si>
  <si>
    <t>Waste Emissions</t>
  </si>
  <si>
    <t>Employee Commuting Emissions</t>
  </si>
  <si>
    <t>On-Site Transportation Emissions</t>
  </si>
  <si>
    <t>Electricity Emissions</t>
  </si>
  <si>
    <t>Vent Emissions</t>
  </si>
  <si>
    <t>Combustion Emissions</t>
  </si>
  <si>
    <t>Details of Combustion Emission Source Calculations</t>
  </si>
  <si>
    <t>Details of Process Emission Source Calculations</t>
  </si>
  <si>
    <t>Details of Fugitive Emission Calculations</t>
  </si>
  <si>
    <t>Details of Electricity Emission Calculations</t>
  </si>
  <si>
    <t>Details of On-Site Transportation Emission Calculations</t>
  </si>
  <si>
    <t>Details of Employee Commuting Emission Calculations</t>
  </si>
  <si>
    <t>Details of Business Travel (Domestic &amp; International) Emission Calculations</t>
  </si>
  <si>
    <t>Details of Transportation (Downstream) Emission Calculations</t>
  </si>
  <si>
    <t>Details of Transportation (Upstream) Emission Calculations</t>
  </si>
  <si>
    <t>Details of Waste Emission Calculations</t>
  </si>
  <si>
    <t>Details of Energy-Related Emission Calculations</t>
  </si>
  <si>
    <t>Upstream Carbon Footprint Calculation</t>
  </si>
  <si>
    <t>Utility Carbon Footprint Calculation</t>
  </si>
  <si>
    <t>Unit-Processes Carbon Footprint Calculation</t>
  </si>
  <si>
    <t>Details of Compressed Air Emission Calculations</t>
  </si>
  <si>
    <t>Details of Oxygen Emission Calculations</t>
  </si>
  <si>
    <t>Details of Nitrogen Emission Calculations</t>
  </si>
  <si>
    <t>Details of Argon Emission Calculations</t>
  </si>
  <si>
    <t>Details of Water Emission Calculations (Various Types)</t>
  </si>
  <si>
    <t>Details of Mixed-Electricity Emission Calculations</t>
  </si>
  <si>
    <t>Business Travel (Domestic)</t>
  </si>
  <si>
    <t>Section 2: Carbon Footprint of Products of MSC Complex</t>
  </si>
  <si>
    <t>Disel Fuel Receipt Voucher</t>
  </si>
  <si>
    <t xml:space="preserve">Apportionment Factor </t>
  </si>
  <si>
    <t>02983</t>
  </si>
  <si>
    <t>02980</t>
  </si>
  <si>
    <t>02075</t>
  </si>
  <si>
    <t>02290</t>
  </si>
  <si>
    <t>برشهای سر و ته تختال</t>
  </si>
  <si>
    <t>تختال قراضه شده</t>
  </si>
  <si>
    <t>اسکال تاندیش</t>
  </si>
  <si>
    <t>02990</t>
  </si>
  <si>
    <t>02100</t>
  </si>
  <si>
    <t>02140</t>
  </si>
  <si>
    <t>پوسته های اکسید شده ریخته گری</t>
  </si>
  <si>
    <t>2. IEA Life Cycle Upstream Emission Factors 2023 (Pilot Edition).</t>
  </si>
  <si>
    <t>Including both upstream and T/D loss emissions</t>
  </si>
  <si>
    <t>Categories
Emission
(%)</t>
  </si>
  <si>
    <t>02280</t>
  </si>
  <si>
    <t>EF: Material Transportation</t>
  </si>
  <si>
    <t>Air - Medium Haul</t>
  </si>
  <si>
    <t>&lt; 300 miles</t>
  </si>
  <si>
    <t>&gt;= 300 miles and &lt; 2300 miles</t>
  </si>
  <si>
    <r>
      <t>(tCO</t>
    </r>
    <r>
      <rPr>
        <b/>
        <vertAlign val="subscript"/>
        <sz val="11"/>
        <color theme="1"/>
        <rFont val="Times New Roman"/>
        <family val="1"/>
      </rPr>
      <t>2</t>
    </r>
    <r>
      <rPr>
        <b/>
        <sz val="11"/>
        <color theme="1"/>
        <rFont val="Times New Roman"/>
        <family val="1"/>
      </rPr>
      <t>/km/ton)</t>
    </r>
  </si>
  <si>
    <t>(tCH4/km/ton)</t>
  </si>
  <si>
    <t>(tCO2/km/ton)</t>
  </si>
  <si>
    <t>(tN2O/km/ton)</t>
  </si>
  <si>
    <t>(tCO2/L)</t>
  </si>
  <si>
    <t>(tCH4/L)</t>
  </si>
  <si>
    <t>(tN2O/L)</t>
  </si>
  <si>
    <t>Material Transportation</t>
  </si>
  <si>
    <t>Cat.</t>
  </si>
  <si>
    <t>(tCH4/km/person)</t>
  </si>
  <si>
    <t>(tCO2/km/person)</t>
  </si>
  <si>
    <t>(tN2O/km/person)</t>
  </si>
  <si>
    <t>(tCO2/km)</t>
  </si>
  <si>
    <t>(tCH4/km)</t>
  </si>
  <si>
    <t>(tN2O/km)</t>
  </si>
  <si>
    <r>
      <t>(tCO</t>
    </r>
    <r>
      <rPr>
        <b/>
        <vertAlign val="subscript"/>
        <sz val="11"/>
        <color theme="1"/>
        <rFont val="Times New Roman"/>
        <family val="1"/>
      </rPr>
      <t>2</t>
    </r>
    <r>
      <rPr>
        <b/>
        <sz val="11"/>
        <color theme="1"/>
        <rFont val="Times New Roman"/>
        <family val="1"/>
      </rPr>
      <t>/unit)</t>
    </r>
  </si>
  <si>
    <r>
      <t>(tCH</t>
    </r>
    <r>
      <rPr>
        <b/>
        <vertAlign val="subscript"/>
        <sz val="11"/>
        <color theme="1"/>
        <rFont val="Times New Roman"/>
        <family val="1"/>
      </rPr>
      <t>4</t>
    </r>
    <r>
      <rPr>
        <b/>
        <sz val="11"/>
        <color theme="1"/>
        <rFont val="Times New Roman"/>
        <family val="1"/>
      </rPr>
      <t>/unit)</t>
    </r>
  </si>
  <si>
    <r>
      <t>(tN</t>
    </r>
    <r>
      <rPr>
        <b/>
        <vertAlign val="subscript"/>
        <sz val="11"/>
        <color theme="1"/>
        <rFont val="Times New Roman"/>
        <family val="1"/>
      </rPr>
      <t>2</t>
    </r>
    <r>
      <rPr>
        <b/>
        <sz val="11"/>
        <color theme="1"/>
        <rFont val="Times New Roman"/>
        <family val="1"/>
      </rPr>
      <t>O/unit)</t>
    </r>
  </si>
  <si>
    <r>
      <t>(tCH</t>
    </r>
    <r>
      <rPr>
        <b/>
        <vertAlign val="subscript"/>
        <sz val="11"/>
        <color theme="1"/>
        <rFont val="Times New Roman"/>
        <family val="1"/>
      </rPr>
      <t>4</t>
    </r>
    <r>
      <rPr>
        <b/>
        <sz val="11"/>
        <color theme="1"/>
        <rFont val="Times New Roman"/>
        <family val="1"/>
      </rPr>
      <t>/km/ton)</t>
    </r>
  </si>
  <si>
    <r>
      <t>(tN</t>
    </r>
    <r>
      <rPr>
        <b/>
        <vertAlign val="subscript"/>
        <sz val="11"/>
        <color theme="1"/>
        <rFont val="Times New Roman"/>
        <family val="1"/>
      </rPr>
      <t>2</t>
    </r>
    <r>
      <rPr>
        <b/>
        <sz val="11"/>
        <color theme="1"/>
        <rFont val="Times New Roman"/>
        <family val="1"/>
      </rPr>
      <t>O/km/ton)</t>
    </r>
  </si>
  <si>
    <t>Mode of Transport</t>
  </si>
  <si>
    <t>Upstream Transportation Emissions</t>
  </si>
  <si>
    <t>Material Transportation Emission Rates</t>
  </si>
  <si>
    <t>Transportation Emission</t>
  </si>
  <si>
    <t>Transported Amount</t>
  </si>
  <si>
    <r>
      <t>(tCO</t>
    </r>
    <r>
      <rPr>
        <b/>
        <vertAlign val="subscript"/>
        <sz val="11"/>
        <color theme="1"/>
        <rFont val="Times New Roman"/>
        <family val="1"/>
      </rPr>
      <t>2</t>
    </r>
    <r>
      <rPr>
        <b/>
        <sz val="11"/>
        <color theme="1"/>
        <rFont val="Times New Roman"/>
        <family val="1"/>
      </rPr>
      <t>/km)</t>
    </r>
  </si>
  <si>
    <r>
      <t>(tN</t>
    </r>
    <r>
      <rPr>
        <b/>
        <vertAlign val="subscript"/>
        <sz val="11"/>
        <color theme="1"/>
        <rFont val="Times New Roman"/>
        <family val="1"/>
      </rPr>
      <t>2</t>
    </r>
    <r>
      <rPr>
        <b/>
        <sz val="11"/>
        <color theme="1"/>
        <rFont val="Times New Roman"/>
        <family val="1"/>
      </rPr>
      <t>O/km)</t>
    </r>
  </si>
  <si>
    <r>
      <t>(tCH</t>
    </r>
    <r>
      <rPr>
        <b/>
        <vertAlign val="subscript"/>
        <sz val="11"/>
        <color theme="1"/>
        <rFont val="Times New Roman"/>
        <family val="1"/>
      </rPr>
      <t>4</t>
    </r>
    <r>
      <rPr>
        <b/>
        <sz val="11"/>
        <color theme="1"/>
        <rFont val="Times New Roman"/>
        <family val="1"/>
      </rPr>
      <t>/km)</t>
    </r>
  </si>
  <si>
    <t>Vehicle Type</t>
  </si>
  <si>
    <t>Transportation Class</t>
  </si>
  <si>
    <t>Total Distance 
(km.person/yr)</t>
  </si>
  <si>
    <r>
      <t>(tCO</t>
    </r>
    <r>
      <rPr>
        <b/>
        <vertAlign val="subscript"/>
        <sz val="11"/>
        <color theme="1"/>
        <rFont val="Times New Roman"/>
        <family val="1"/>
      </rPr>
      <t>2</t>
    </r>
    <r>
      <rPr>
        <b/>
        <sz val="11"/>
        <color theme="1"/>
        <rFont val="Times New Roman"/>
        <family val="1"/>
      </rPr>
      <t>/km/person)</t>
    </r>
  </si>
  <si>
    <r>
      <t>(tCH</t>
    </r>
    <r>
      <rPr>
        <b/>
        <vertAlign val="subscript"/>
        <sz val="11"/>
        <color theme="1"/>
        <rFont val="Times New Roman"/>
        <family val="1"/>
      </rPr>
      <t>4</t>
    </r>
    <r>
      <rPr>
        <b/>
        <sz val="11"/>
        <color theme="1"/>
        <rFont val="Times New Roman"/>
        <family val="1"/>
      </rPr>
      <t>/km/person)</t>
    </r>
  </si>
  <si>
    <r>
      <t>(tN</t>
    </r>
    <r>
      <rPr>
        <b/>
        <vertAlign val="subscript"/>
        <sz val="11"/>
        <color theme="1"/>
        <rFont val="Times New Roman"/>
        <family val="1"/>
      </rPr>
      <t>2</t>
    </r>
    <r>
      <rPr>
        <b/>
        <sz val="11"/>
        <color theme="1"/>
        <rFont val="Times New Roman"/>
        <family val="1"/>
      </rPr>
      <t>O/km/person)</t>
    </r>
  </si>
  <si>
    <t>Classification</t>
  </si>
  <si>
    <t>&lt; 482 kms</t>
  </si>
  <si>
    <t>&gt;= 482 kms and &lt; 3701 kms</t>
  </si>
  <si>
    <t>3701 kms &lt;</t>
  </si>
  <si>
    <t>2300 miles &lt;</t>
  </si>
  <si>
    <t>Source: Calculating GHG Emissions from Mobile Combustion, V2.7, GHG Protocol, 2024.</t>
  </si>
  <si>
    <t>MXP-VIE</t>
  </si>
  <si>
    <t>Two-way / One-way</t>
  </si>
  <si>
    <t>Downstream Transportation Emissions</t>
  </si>
  <si>
    <t>Source 1: 2006 IPCC Guidelines for National Greenhouse Gas Inventories.</t>
  </si>
  <si>
    <t>Source 2: Methodology for reporting B.C. public sector greenhouse gas emissions, 2011.</t>
  </si>
  <si>
    <t>Source 3: Emission Factors for Greenhouse Gas Inventories, 2014.</t>
  </si>
  <si>
    <t xml:space="preserve">Source 4: Stoichiometry for CO2 EF and similarity to NG for CH4 and N2O. </t>
  </si>
  <si>
    <t>Ancillary Input (Iron Making)</t>
  </si>
  <si>
    <t>Ancillary Input (Steel Making)</t>
  </si>
  <si>
    <t>Ancillary Input (Hot Rolling)</t>
  </si>
  <si>
    <t>Ancillary Input (Cold Rolling)</t>
  </si>
  <si>
    <t>Ancillary Input (Utility)</t>
  </si>
  <si>
    <t>Ancillary Input (Maintenance)</t>
  </si>
  <si>
    <t>Ancillary Input (Transportation)</t>
  </si>
  <si>
    <t>Ancillary Input (TAS)</t>
  </si>
  <si>
    <t>مواد اولیه (مصرفی)</t>
  </si>
  <si>
    <t>Purchased Services</t>
  </si>
  <si>
    <t>خرید خدمات</t>
  </si>
  <si>
    <t>X</t>
  </si>
  <si>
    <t>L</t>
  </si>
  <si>
    <t>Ancillary Input</t>
  </si>
  <si>
    <t>Details of Ancillary Input Emission Calculations</t>
  </si>
  <si>
    <t>Details of Purchased Services Emission Calculations</t>
  </si>
  <si>
    <t>Cost Item (Farsi)</t>
  </si>
  <si>
    <t>Purchased Services (Iron Making)</t>
  </si>
  <si>
    <t>Purchased Services (Steel Making)</t>
  </si>
  <si>
    <t>Purchased Services (Hot Rolling)</t>
  </si>
  <si>
    <t>Purchased Services (Cold Rolling)</t>
  </si>
  <si>
    <t>Purchased Services (Utility)</t>
  </si>
  <si>
    <t>Purchased Services (Transportation)</t>
  </si>
  <si>
    <t>Purchased Services (Maintenance)</t>
  </si>
  <si>
    <t>Purchased Services (TAS)</t>
  </si>
  <si>
    <t>گلوله های فلزی آسیاب سنگ آهن</t>
  </si>
  <si>
    <t>روغن هیدرولیک</t>
  </si>
  <si>
    <t xml:space="preserve"> گریس های خاص</t>
  </si>
  <si>
    <t>روغن دنده</t>
  </si>
  <si>
    <t>روغنهای گردشی</t>
  </si>
  <si>
    <t>اسید هیدروکلریک</t>
  </si>
  <si>
    <t>گریس معمولی</t>
  </si>
  <si>
    <t>لوازم  و قطعات برقی</t>
  </si>
  <si>
    <t>گاز اکسیژن درون کپسول</t>
  </si>
  <si>
    <t>گاز نیتروژن درون کپسول</t>
  </si>
  <si>
    <t>هیدروکسید سدیم</t>
  </si>
  <si>
    <t>مواد شوینده و چربی زدا</t>
  </si>
  <si>
    <t>کربنات سدیم</t>
  </si>
  <si>
    <t>میله های چدنی (شمش چدنی)</t>
  </si>
  <si>
    <t>فولادهای خاص ساختی</t>
  </si>
  <si>
    <t>سایر مقاطع فولادی</t>
  </si>
  <si>
    <t>سایر روغنها</t>
  </si>
  <si>
    <t>لوله های فولادی</t>
  </si>
  <si>
    <t>هیپوکلرید سدیم</t>
  </si>
  <si>
    <t>اسید سولفوریک</t>
  </si>
  <si>
    <t>گاز فریون آر 12 درون کپسول</t>
  </si>
  <si>
    <t>کاتالیست سولفور زدایی</t>
  </si>
  <si>
    <t>کاتالیست نیمه فعال</t>
  </si>
  <si>
    <t>کاتالیست خنثی</t>
  </si>
  <si>
    <t>کاتالیست  فعال</t>
  </si>
  <si>
    <t>سایر لوازم مصرفی مورد نیاز جهت عملیات</t>
  </si>
  <si>
    <t>سایرلوازم مصرفی ( خرید مستقیم )</t>
  </si>
  <si>
    <t>مواد بسته بندی</t>
  </si>
  <si>
    <t>تسمه برای بسته بندی</t>
  </si>
  <si>
    <t>پالت چوبی</t>
  </si>
  <si>
    <t>نوار چسب بسته بندی</t>
  </si>
  <si>
    <t>پلاستیک شفاف بسته بندی</t>
  </si>
  <si>
    <t>تخته و چهارتراش چوبی</t>
  </si>
  <si>
    <t>صفحه فولادی برای بسته بندی</t>
  </si>
  <si>
    <t>پلاستیک فشرده</t>
  </si>
  <si>
    <t>10010</t>
  </si>
  <si>
    <t>10130</t>
  </si>
  <si>
    <t>10135</t>
  </si>
  <si>
    <t>10160</t>
  </si>
  <si>
    <t>10170</t>
  </si>
  <si>
    <t>10240</t>
  </si>
  <si>
    <t>10253</t>
  </si>
  <si>
    <t>10305</t>
  </si>
  <si>
    <t>10330</t>
  </si>
  <si>
    <t>10340</t>
  </si>
  <si>
    <t>10430</t>
  </si>
  <si>
    <t>10440</t>
  </si>
  <si>
    <t>10480</t>
  </si>
  <si>
    <t>10510</t>
  </si>
  <si>
    <t>10520</t>
  </si>
  <si>
    <t>10530</t>
  </si>
  <si>
    <t>10580</t>
  </si>
  <si>
    <t>10600</t>
  </si>
  <si>
    <t>10610</t>
  </si>
  <si>
    <t>10650</t>
  </si>
  <si>
    <t>10660</t>
  </si>
  <si>
    <t>10710</t>
  </si>
  <si>
    <t>10875</t>
  </si>
  <si>
    <t>10880</t>
  </si>
  <si>
    <t>10885</t>
  </si>
  <si>
    <t>10890</t>
  </si>
  <si>
    <t>10990</t>
  </si>
  <si>
    <t>10992</t>
  </si>
  <si>
    <t>17000</t>
  </si>
  <si>
    <t>17010</t>
  </si>
  <si>
    <t>17070</t>
  </si>
  <si>
    <t>17105</t>
  </si>
  <si>
    <t>17106</t>
  </si>
  <si>
    <t>17130</t>
  </si>
  <si>
    <t>17230</t>
  </si>
  <si>
    <t>17266</t>
  </si>
  <si>
    <t>kg</t>
  </si>
  <si>
    <t>kRial</t>
  </si>
  <si>
    <t>Number</t>
  </si>
  <si>
    <t>m</t>
  </si>
  <si>
    <t>خدمات پیمانکاری انرژی و سیالات</t>
  </si>
  <si>
    <t>80500</t>
  </si>
  <si>
    <t xml:space="preserve"> خدمات پیمانکاری مکانیزم های حمل (فقط مراکز حمل)</t>
  </si>
  <si>
    <t>80100</t>
  </si>
  <si>
    <t>خدمات پیمانکاری نظافت صنعتی</t>
  </si>
  <si>
    <t>سایر خدمات پیمانکاری</t>
  </si>
  <si>
    <t>Emissions by Scope</t>
  </si>
  <si>
    <t>Scope 1</t>
  </si>
  <si>
    <t>Scope 2</t>
  </si>
  <si>
    <t>Scope 3</t>
  </si>
  <si>
    <t>Carbon Dioxide</t>
  </si>
  <si>
    <t>Nitrous Oxide</t>
  </si>
  <si>
    <t>Sulfur Hexafluoride</t>
  </si>
  <si>
    <t>US EPA EEIO, 2022 - Supply Chain Greenhouse Gas Emission Factors for US Industries and Commodities</t>
  </si>
  <si>
    <t>Value</t>
  </si>
  <si>
    <t>Source 1: Chemical composition of natural gas delivered to MSC.</t>
  </si>
  <si>
    <t>Source 2: https://cbi.ir/simplelist/30450.aspx</t>
  </si>
  <si>
    <t>نرخ برابری دلار به ریال (متوسط نرخ موزون)</t>
  </si>
  <si>
    <t>Dollar to Rial exchange rate</t>
  </si>
  <si>
    <t>Cost Item Equivalent</t>
  </si>
  <si>
    <t>Carpet and Upholstery Cleaning Services</t>
  </si>
  <si>
    <t>(kgCO2e/USD)</t>
  </si>
  <si>
    <t>All Other Business Support Services</t>
  </si>
  <si>
    <t>Other Support Activities for Road Transportation</t>
  </si>
  <si>
    <t>Site Preparation Contractors</t>
  </si>
  <si>
    <t>نگهدارنده ها و مهار کننده ها (پیچ ها ، مهره ها ، بستها و ...)</t>
  </si>
  <si>
    <t>Electrical Apparatus and Equipment</t>
  </si>
  <si>
    <t>Structural Steel and Precast Concrete Contractors</t>
  </si>
  <si>
    <t>Bolt, Nut, Screw, Rivet, and Washer Manufacturing</t>
  </si>
  <si>
    <t>Iron and Steel Pipe and Tube Manufacturing</t>
  </si>
  <si>
    <t>All Other Consumer Goods Rental</t>
  </si>
  <si>
    <t>Plastics Packaging Film and Sheet</t>
  </si>
  <si>
    <t>Note 1:</t>
  </si>
  <si>
    <r>
      <t>SF</t>
    </r>
    <r>
      <rPr>
        <b/>
        <vertAlign val="subscript"/>
        <sz val="11"/>
        <color theme="1"/>
        <rFont val="Times New Roman"/>
        <family val="1"/>
      </rPr>
      <t>6</t>
    </r>
  </si>
  <si>
    <t>tonnes</t>
  </si>
  <si>
    <t>Scrap</t>
  </si>
  <si>
    <r>
      <t>CH</t>
    </r>
    <r>
      <rPr>
        <b/>
        <vertAlign val="subscript"/>
        <sz val="11"/>
        <color theme="1"/>
        <rFont val="Times New Roman"/>
        <family val="1"/>
      </rPr>
      <t>4</t>
    </r>
    <r>
      <rPr>
        <b/>
        <sz val="11"/>
        <color theme="1"/>
        <rFont val="Times New Roman"/>
        <family val="1"/>
      </rPr>
      <t xml:space="preserve"> (V,F) </t>
    </r>
  </si>
  <si>
    <t>Farsi Description</t>
  </si>
  <si>
    <t>ضایعات برش تختال</t>
  </si>
  <si>
    <t>02110</t>
  </si>
  <si>
    <t>2. Minisry of Energy, Iran, Energy Balance, 1399.</t>
  </si>
  <si>
    <t>References for EFs:</t>
  </si>
  <si>
    <t>Lime Making:</t>
  </si>
  <si>
    <t>EAFs:</t>
  </si>
  <si>
    <t>Direct Reduction:</t>
  </si>
  <si>
    <t>Dolomite Making:</t>
  </si>
  <si>
    <t xml:space="preserve">Note 1: </t>
  </si>
  <si>
    <t>Emissions of raw material extraction are included in the production stage, otherwise specified.</t>
  </si>
  <si>
    <t>Raw material extraction</t>
  </si>
  <si>
    <t>Note:</t>
  </si>
  <si>
    <t>Mobarakeh (Urban)</t>
  </si>
  <si>
    <t>Safaeie (Urban)</t>
  </si>
  <si>
    <t>Varnamkhast (Urban)</t>
  </si>
  <si>
    <t>ZarinShahr (Urban)</t>
  </si>
  <si>
    <t>Sanitary (MSC)</t>
  </si>
  <si>
    <t>Flowrate</t>
  </si>
  <si>
    <r>
      <t>(kgCOD/m</t>
    </r>
    <r>
      <rPr>
        <b/>
        <vertAlign val="superscript"/>
        <sz val="11"/>
        <color theme="1"/>
        <rFont val="Times New Roman"/>
        <family val="1"/>
      </rPr>
      <t>3</t>
    </r>
    <r>
      <rPr>
        <b/>
        <sz val="11"/>
        <color theme="1"/>
        <rFont val="Times New Roman"/>
        <family val="1"/>
      </rPr>
      <t>)</t>
    </r>
  </si>
  <si>
    <t>COD (avg)</t>
  </si>
  <si>
    <t>TOWi</t>
  </si>
  <si>
    <t>Influent</t>
  </si>
  <si>
    <t>Effluent</t>
  </si>
  <si>
    <t>Lake Sludge</t>
  </si>
  <si>
    <t>Bo</t>
  </si>
  <si>
    <t>MCF</t>
  </si>
  <si>
    <t>CH4 Emission</t>
  </si>
  <si>
    <t>(kgCH4/kgCOD)</t>
  </si>
  <si>
    <r>
      <t>(m</t>
    </r>
    <r>
      <rPr>
        <b/>
        <vertAlign val="superscript"/>
        <sz val="11"/>
        <color theme="1"/>
        <rFont val="Times New Roman"/>
        <family val="1"/>
      </rPr>
      <t>3</t>
    </r>
    <r>
      <rPr>
        <b/>
        <sz val="11"/>
        <color theme="1"/>
        <rFont val="Times New Roman"/>
        <family val="1"/>
      </rPr>
      <t>/y)</t>
    </r>
  </si>
  <si>
    <t>(kgCOD/y)</t>
  </si>
  <si>
    <t>(kgCH4/y)</t>
  </si>
  <si>
    <t>(tCH4/y)</t>
  </si>
  <si>
    <t>Wastewater</t>
  </si>
  <si>
    <t>EF Calculation for Wastewater Emission</t>
  </si>
  <si>
    <t>Emission Factor</t>
  </si>
  <si>
    <t>Definitions:</t>
  </si>
  <si>
    <t>TOW: Total organically degradable material</t>
  </si>
  <si>
    <t>Bo: Maximum CH4 producing capacity</t>
  </si>
  <si>
    <t>MCF: Methane correction factor</t>
  </si>
  <si>
    <t>Reference:</t>
  </si>
  <si>
    <t>Wastewater Emissions</t>
  </si>
  <si>
    <t>Sanitary Sludge</t>
  </si>
  <si>
    <t>Corrective Factor are used to convert other units of materials into "kRial", based on prices rates.</t>
  </si>
  <si>
    <t>Petroleum Lubricating Oil and Grease Manufacturing</t>
  </si>
  <si>
    <t>Rolling Mill and Other Metalworking Machinery Manufacturing</t>
  </si>
  <si>
    <t>Other Basic Inorganic Chemical Manufacturing</t>
  </si>
  <si>
    <t>ضایعات روی</t>
  </si>
  <si>
    <t>Soap and Other Detergent Manufacturing</t>
  </si>
  <si>
    <t>All Other Miscellaneous Fabricated Metal Product Manufacturing</t>
  </si>
  <si>
    <t>Rubber and Plastics Hoses and Belting Manufacturing</t>
  </si>
  <si>
    <t xml:space="preserve">Plastics Packaging Film and Sheet </t>
  </si>
  <si>
    <t>Sheet Metal Work Manufacturing</t>
  </si>
  <si>
    <t>Wood Container and Pallet Manufacturing</t>
  </si>
  <si>
    <t>Adhesive Manufacturing</t>
  </si>
  <si>
    <t>All Other Plastics Product Manufacturing</t>
  </si>
  <si>
    <t>Conversion Factor (kRial/Unit)</t>
  </si>
  <si>
    <t>All Other Miscellaneous Chemical Product and Preparation Manufacturing</t>
  </si>
  <si>
    <t>Air-Conditioning and Warm Air Heating Equipment</t>
  </si>
  <si>
    <t>Go to Tab "Carbon Footprint" for details of the results.</t>
  </si>
  <si>
    <t>Si</t>
  </si>
  <si>
    <t>TOW</t>
  </si>
  <si>
    <t>Utility Type</t>
  </si>
  <si>
    <t>Details of Wastewater Treatment Emission Calculations</t>
  </si>
  <si>
    <t>تصفیه فاضلاب</t>
  </si>
  <si>
    <t>Y</t>
  </si>
  <si>
    <t>Wastewater Treatment</t>
  </si>
  <si>
    <t>See Note 1 for EF definition.</t>
  </si>
  <si>
    <t>Estimation/Measurement</t>
  </si>
  <si>
    <r>
      <rPr>
        <b/>
        <sz val="11"/>
        <color theme="1"/>
        <rFont val="Times New Roman"/>
        <family val="1"/>
      </rPr>
      <t>Note 1:</t>
    </r>
    <r>
      <rPr>
        <sz val="11"/>
        <color theme="1"/>
        <rFont val="Times New Roman"/>
        <family val="1"/>
      </rPr>
      <t xml:space="preserve"> Emission Factor is defined as the tCH4 emisison from wasterwater treatment per 1 cubic meter of water used in cost centers.</t>
    </r>
  </si>
  <si>
    <r>
      <t>(tCH4/m</t>
    </r>
    <r>
      <rPr>
        <b/>
        <vertAlign val="superscript"/>
        <sz val="11"/>
        <color theme="1"/>
        <rFont val="Times New Roman"/>
        <family val="1"/>
      </rPr>
      <t>3</t>
    </r>
    <r>
      <rPr>
        <b/>
        <sz val="11"/>
        <color theme="1"/>
        <rFont val="Times New Roman"/>
        <family val="1"/>
      </rPr>
      <t>)</t>
    </r>
  </si>
  <si>
    <t>(1) IPCC Guidelines for National Greenhouse Gas Inventories, 2006, V5, Ch6, Eq. 6.4.</t>
  </si>
  <si>
    <r>
      <t>CH</t>
    </r>
    <r>
      <rPr>
        <b/>
        <vertAlign val="subscript"/>
        <sz val="11"/>
        <color theme="1"/>
        <rFont val="Times New Roman"/>
        <family val="1"/>
      </rPr>
      <t>4</t>
    </r>
    <r>
      <rPr>
        <b/>
        <sz val="11"/>
        <color theme="1"/>
        <rFont val="Times New Roman"/>
        <family val="1"/>
      </rPr>
      <t xml:space="preserve"> (C,B) </t>
    </r>
  </si>
  <si>
    <t>مرتبط با انرژی</t>
  </si>
  <si>
    <t>Annual flow</t>
  </si>
  <si>
    <t>COD</t>
  </si>
  <si>
    <t>Constant parameters</t>
  </si>
  <si>
    <t>Lab Tests.</t>
  </si>
  <si>
    <t>EF 
(tCO2e/unit)</t>
  </si>
  <si>
    <t>Emission
(tCO2e/y)</t>
  </si>
  <si>
    <t>Business Travel Emissions</t>
  </si>
  <si>
    <t>Details of Purchased Material Emission Calculations</t>
  </si>
  <si>
    <t>Typical Name</t>
  </si>
  <si>
    <t>Sodium Silicate</t>
  </si>
  <si>
    <t>Intermediate Product</t>
  </si>
  <si>
    <t>Paint</t>
  </si>
  <si>
    <t>EF (gr/hr)</t>
  </si>
  <si>
    <t>EF: Purchased Materials</t>
  </si>
  <si>
    <t>Material</t>
  </si>
  <si>
    <t>Aluminium</t>
  </si>
  <si>
    <t>Calcium aluminate</t>
  </si>
  <si>
    <t>Calcium Carbide</t>
  </si>
  <si>
    <t>Calcium Silicon</t>
  </si>
  <si>
    <t>Copper</t>
  </si>
  <si>
    <t>Ferrochromium</t>
  </si>
  <si>
    <t>Ferromanganese</t>
  </si>
  <si>
    <t>Ferromolybdenum</t>
  </si>
  <si>
    <t>Ferroniobium</t>
  </si>
  <si>
    <t>Ferrosilicon</t>
  </si>
  <si>
    <t>Nickel</t>
  </si>
  <si>
    <t>Tin</t>
  </si>
  <si>
    <t>Zinc</t>
  </si>
  <si>
    <t>Oxygen Scavenger</t>
  </si>
  <si>
    <t>Ferroboron</t>
  </si>
  <si>
    <t>Ferrotitanium</t>
  </si>
  <si>
    <t>Ferrophosphorus</t>
  </si>
  <si>
    <t>Ferrovanadium</t>
  </si>
  <si>
    <t>Same as Sodium Aluminate</t>
  </si>
  <si>
    <t>Without raw material extraction</t>
  </si>
  <si>
    <t>Reference 1:</t>
  </si>
  <si>
    <t>Note 1: Road distances are according to the center city of provinces.</t>
  </si>
  <si>
    <t>Reference for road:</t>
  </si>
  <si>
    <t>Reference for rial:</t>
  </si>
  <si>
    <t>IPCC 2021, GPW 100a, AR6, without CO2 uptake, Ecoinvent V3.11, SimaPro 2025.</t>
  </si>
  <si>
    <t>WSA, CO2 emissions data collection submission form, Version 2024_1.</t>
  </si>
  <si>
    <t>Reference 2:</t>
  </si>
  <si>
    <t>Reference 3:</t>
  </si>
  <si>
    <t>EF is in tCO2e/kNm3 unit.</t>
  </si>
  <si>
    <t>NA. Assumed to be similar to Ferromanganese</t>
  </si>
  <si>
    <t xml:space="preserve"> Ferro Calcium Wire</t>
  </si>
  <si>
    <t>Note 2:</t>
  </si>
  <si>
    <r>
      <t xml:space="preserve">Emission (tCO2e/unit) </t>
    </r>
    <r>
      <rPr>
        <b/>
        <sz val="9"/>
        <color theme="1"/>
        <rFont val="Times New Roman"/>
        <family val="1"/>
      </rPr>
      <t>(Note 1,2)</t>
    </r>
  </si>
  <si>
    <t xml:space="preserve"> Concentrate</t>
  </si>
  <si>
    <r>
      <rPr>
        <b/>
        <sz val="11"/>
        <color theme="1"/>
        <rFont val="Times New Roman"/>
        <family val="1"/>
      </rPr>
      <t>Note 1:</t>
    </r>
    <r>
      <rPr>
        <sz val="11"/>
        <color theme="1"/>
        <rFont val="Times New Roman"/>
        <family val="1"/>
      </rPr>
      <t xml:space="preserve"> 
</t>
    </r>
  </si>
  <si>
    <t>The carbon footprint of materials produced within the company and consumed in other units is not accounted for, as they have not entered the system boundary from upstream (Named as Intermediate Product).</t>
  </si>
  <si>
    <t>Classification is just to determine which materials are regarded as "Other" purchased materials, for carbon footprint calculations.</t>
  </si>
  <si>
    <t>Sponge Iron (DRI)</t>
  </si>
  <si>
    <t>Iron Ore and Pellet Yard</t>
  </si>
  <si>
    <t>Limestone Calcination Plant</t>
  </si>
  <si>
    <t>Lime Hydration Plant</t>
  </si>
  <si>
    <t>Pelletizing Plant</t>
  </si>
  <si>
    <t>Briquetting Plant 1</t>
  </si>
  <si>
    <t>Briquetting Plant 2</t>
  </si>
  <si>
    <t>Electric Arc Furnaces</t>
  </si>
  <si>
    <t>Degassing Plant</t>
  </si>
  <si>
    <t>Continuous Casting Machine</t>
  </si>
  <si>
    <t>Slab Cooling and Conditioning</t>
  </si>
  <si>
    <t>Slab Stockyard and Slab Reheating Furnaces</t>
  </si>
  <si>
    <t>Light Gauge Shearing Line N. 1</t>
  </si>
  <si>
    <t>Light Gauge Shearing Line N. 2</t>
  </si>
  <si>
    <t>Heavy Gauge Shearing Line</t>
  </si>
  <si>
    <t>Finishing Coils and Sheets Stockyard</t>
  </si>
  <si>
    <t>Roll Shop 1 No 1</t>
  </si>
  <si>
    <t>Roll Shop 2 No 2</t>
  </si>
  <si>
    <t>Pickling Line No 1</t>
  </si>
  <si>
    <t>Pickling Line No 2</t>
  </si>
  <si>
    <t>Regeneration Plant No 1</t>
  </si>
  <si>
    <t>Regeneration Plant No 2</t>
  </si>
  <si>
    <t>Box Annealing No.1 (HNX)</t>
  </si>
  <si>
    <t>Box Annealing No.3 (H2)</t>
  </si>
  <si>
    <t>Box Annealing No.2 (H2)</t>
  </si>
  <si>
    <t>Temper Mill (RDC)</t>
  </si>
  <si>
    <t>Corrective Line No 1</t>
  </si>
  <si>
    <t>Corrective Line No 2</t>
  </si>
  <si>
    <t>Corrective Line No 3</t>
  </si>
  <si>
    <t>Corrective Line No 4</t>
  </si>
  <si>
    <t>Light Gauge Shearing Line (CRM)</t>
  </si>
  <si>
    <t>Heavy Gauge Shearing Line (CRM)</t>
  </si>
  <si>
    <t>Packing And Shipping CRM</t>
  </si>
  <si>
    <t>Shearing Line of Tinning No 1</t>
  </si>
  <si>
    <t>Shearing Line of Tinning No 2</t>
  </si>
  <si>
    <t>Demineralized Water Production (RO3)</t>
  </si>
  <si>
    <t>Demineralized Water Production</t>
  </si>
  <si>
    <t>Electric Power Production No 1</t>
  </si>
  <si>
    <t>Electric Power Production No 2</t>
  </si>
  <si>
    <t>Oxygen &amp; Hydrogen Plant</t>
  </si>
  <si>
    <t>Industrial Water Purchase &amp; Production</t>
  </si>
  <si>
    <t>Drinking Water Production and Distribution</t>
  </si>
  <si>
    <t>Hot Strip Mill Water Treatment</t>
  </si>
  <si>
    <t>Industrial &amp; Chemical Sewage Treatment</t>
  </si>
  <si>
    <t>Emulsion Breaking System</t>
  </si>
  <si>
    <t>Demineralized Water Production (Pu:55)</t>
  </si>
  <si>
    <t>Steam Production (Pu:55)</t>
  </si>
  <si>
    <t>Cold Roll Mill Recirculation Water &amp; Treatment</t>
  </si>
  <si>
    <t>Demineralized Water &amp; Steam Production (RO1)</t>
  </si>
  <si>
    <t>Demineralized Water &amp; Steam Production (RO2)</t>
  </si>
  <si>
    <t>Tinning &amp; Galvanizing &amp; Coating Lines Chemical Infusion</t>
  </si>
  <si>
    <t>Demineralized Water Distribution</t>
  </si>
  <si>
    <t>Electrical Power Purchase and Distribution</t>
  </si>
  <si>
    <t>Compressed Air Distribution</t>
  </si>
  <si>
    <t>Methane Purchase &amp; Distribution</t>
  </si>
  <si>
    <t>Railway Transportation Maintenance</t>
  </si>
  <si>
    <t>Railway Transportation</t>
  </si>
  <si>
    <t>Mobile Equipment Maintenance</t>
  </si>
  <si>
    <t>Road &amp; Lifting Transports</t>
  </si>
  <si>
    <t>Slag Process &amp; Handling</t>
  </si>
  <si>
    <t>Slag Process &amp; Handling Maintenance</t>
  </si>
  <si>
    <t>Maintenance Planning &amp; Control of CEM</t>
  </si>
  <si>
    <t>Mechanical Maintenance Center</t>
  </si>
  <si>
    <t>Electrical Center</t>
  </si>
  <si>
    <t>Refractory Center</t>
  </si>
  <si>
    <t>Building Repairs &amp; Maintenance Center</t>
  </si>
  <si>
    <t>Improvement Projects Implementation</t>
  </si>
  <si>
    <t>Piping &amp; Installation Maintenance</t>
  </si>
  <si>
    <t>Belt Conveyers &amp; Scaffold &amp; Special Maintenance</t>
  </si>
  <si>
    <t>Technical Services of Central Workshop</t>
  </si>
  <si>
    <t>Mechanical Repair Workshop</t>
  </si>
  <si>
    <t>Steel Structure and Heat Treatment Workshop</t>
  </si>
  <si>
    <t>Mechanical Make Workshop</t>
  </si>
  <si>
    <t>Top Management</t>
  </si>
  <si>
    <t>Secretary Executive Office</t>
  </si>
  <si>
    <t>External Relation</t>
  </si>
  <si>
    <t>Hot Rolling Mill Development No 2</t>
  </si>
  <si>
    <t>Internal Auditing</t>
  </si>
  <si>
    <t>Security</t>
  </si>
  <si>
    <t>Transaction Commission</t>
  </si>
  <si>
    <t>Legal Services</t>
  </si>
  <si>
    <t>Purchase</t>
  </si>
  <si>
    <t>Material Management</t>
  </si>
  <si>
    <t>Internal Sales</t>
  </si>
  <si>
    <t>Sales Planning &amp; Products Shipment</t>
  </si>
  <si>
    <t>Export</t>
  </si>
  <si>
    <t>Sales Support</t>
  </si>
  <si>
    <t>Accounting And Finance</t>
  </si>
  <si>
    <t>Organization and Job Classification</t>
  </si>
  <si>
    <t>Training &amp; Human Resources Development</t>
  </si>
  <si>
    <t>Contractors Human Resources</t>
  </si>
  <si>
    <t>Occupational Health Center</t>
  </si>
  <si>
    <t>Urban Management &amp; Environment Beautifying</t>
  </si>
  <si>
    <t>General Services &amp; Welfare Affairs</t>
  </si>
  <si>
    <t>Ancillary Input Emissions</t>
  </si>
  <si>
    <t>Purchased Services Emissions</t>
  </si>
  <si>
    <t>The pink-colored items shall be inserted into Setting Tab (EF: Utilities Table) iteratively, untill the results converge. Below Table is for ease of copying values in order.</t>
  </si>
  <si>
    <t>Sensitivity Analysis</t>
  </si>
  <si>
    <r>
      <rPr>
        <b/>
        <sz val="11"/>
        <color theme="1"/>
        <rFont val="Times New Roman"/>
        <family val="1"/>
      </rPr>
      <t>Note 2:</t>
    </r>
    <r>
      <rPr>
        <sz val="11"/>
        <color theme="1"/>
        <rFont val="Times New Roman"/>
        <family val="1"/>
      </rPr>
      <t xml:space="preserve"> If the values for Sludge COD and Flowrate are not included, the GHG emissions will be overestimated, but at least not underestimated.</t>
    </r>
  </si>
  <si>
    <t>Emissions</t>
  </si>
  <si>
    <t>Direct Emissions</t>
  </si>
  <si>
    <t>Indirect Emissions</t>
  </si>
  <si>
    <t>2,3</t>
  </si>
  <si>
    <t>E, T, D, P, B, R, L, X, N</t>
  </si>
  <si>
    <t>tCO2e</t>
  </si>
  <si>
    <r>
      <t>tCO</t>
    </r>
    <r>
      <rPr>
        <vertAlign val="subscript"/>
        <sz val="11"/>
        <color theme="1"/>
        <rFont val="Times New Roman"/>
        <family val="1"/>
      </rPr>
      <t>2</t>
    </r>
    <r>
      <rPr>
        <sz val="11"/>
        <color theme="1"/>
        <rFont val="Times New Roman"/>
        <family val="1"/>
      </rPr>
      <t>e</t>
    </r>
  </si>
  <si>
    <t>Emissions by GHGs</t>
  </si>
  <si>
    <t>Final</t>
  </si>
  <si>
    <t>Description</t>
  </si>
  <si>
    <t>Total GHG Emissions
(tCO2e)</t>
  </si>
  <si>
    <t>Carbon Footprint of "Slab"
(tCO2e/t)</t>
  </si>
  <si>
    <t>The present conditions of study</t>
  </si>
  <si>
    <t>Remarks</t>
  </si>
  <si>
    <t>Selected case in the study</t>
  </si>
  <si>
    <t>Reference to Note 1 in Tab "Purchased Materials".</t>
  </si>
  <si>
    <t>Parameters with high uncertainty</t>
  </si>
  <si>
    <t>Variation of CFP</t>
  </si>
  <si>
    <t>Variation of Total Emissions</t>
  </si>
  <si>
    <t>Total Average</t>
  </si>
  <si>
    <t>Private Average</t>
  </si>
  <si>
    <t>Government Average</t>
  </si>
  <si>
    <t>Direct Contract</t>
  </si>
  <si>
    <t>Solar</t>
  </si>
  <si>
    <t>Wind</t>
  </si>
  <si>
    <t>Logistics</t>
  </si>
  <si>
    <t>2025 August</t>
  </si>
  <si>
    <t>تختال</t>
  </si>
  <si>
    <t>کلاف گرم (تمپر)</t>
  </si>
  <si>
    <t>کلاف گرم</t>
  </si>
  <si>
    <t>کلاف گرم (اسکین)</t>
  </si>
  <si>
    <t>کلاف گالوانیزه</t>
  </si>
  <si>
    <t>کلاف اسیدشویی</t>
  </si>
  <si>
    <t>کلاف سرد</t>
  </si>
  <si>
    <t>کلاف سرد روغنی</t>
  </si>
  <si>
    <t>کلاف سیاه</t>
  </si>
  <si>
    <t>Inside the boundary</t>
  </si>
  <si>
    <t>Outside of the boundary</t>
  </si>
  <si>
    <t>کلاف خام</t>
  </si>
  <si>
    <t>ورق گرم</t>
  </si>
  <si>
    <t>Click to see the results of each section.</t>
  </si>
  <si>
    <t>Click to see the results of each product.</t>
  </si>
  <si>
    <t>Comparison</t>
  </si>
  <si>
    <t>ورق سرد</t>
  </si>
  <si>
    <r>
      <t>CFP
(tCO</t>
    </r>
    <r>
      <rPr>
        <b/>
        <vertAlign val="subscript"/>
        <sz val="14"/>
        <color theme="1"/>
        <rFont val="Times New Roman"/>
        <family val="1"/>
      </rPr>
      <t>2</t>
    </r>
    <r>
      <rPr>
        <b/>
        <sz val="14"/>
        <color theme="1"/>
        <rFont val="Times New Roman"/>
        <family val="1"/>
      </rPr>
      <t>e/ton)</t>
    </r>
  </si>
  <si>
    <t>Section 1: GHG Emission Inventory of MSC Complex</t>
  </si>
  <si>
    <t>Raw material</t>
  </si>
  <si>
    <t>Iron ore</t>
  </si>
  <si>
    <t>Lime stone</t>
  </si>
  <si>
    <t>Gathering</t>
  </si>
  <si>
    <t>Natural gas</t>
  </si>
  <si>
    <t>Sponge iron</t>
  </si>
  <si>
    <t>Binder</t>
  </si>
  <si>
    <t>HCl</t>
  </si>
  <si>
    <t>Casting</t>
  </si>
  <si>
    <t>Hydrated lime</t>
  </si>
  <si>
    <t>Lime powder</t>
  </si>
  <si>
    <t>Molten slab 1</t>
  </si>
  <si>
    <t>Molten slab 2</t>
  </si>
  <si>
    <t>Light Shearing 1</t>
  </si>
  <si>
    <t>Light Shearing 2</t>
  </si>
  <si>
    <t>Heavy Shearing</t>
  </si>
  <si>
    <t>Pickling Line 1,2</t>
  </si>
  <si>
    <t>Two Stand Mill</t>
  </si>
  <si>
    <t>Electrolytic Cleaning</t>
  </si>
  <si>
    <t>Skin Pass 1,2</t>
  </si>
  <si>
    <t xml:space="preserve">Temper Mill </t>
  </si>
  <si>
    <t>Corrective Line 1-4</t>
  </si>
  <si>
    <t>Light Shearing</t>
  </si>
  <si>
    <t>Shearing Line of Tinning 1,2</t>
  </si>
  <si>
    <t>Molten steel</t>
  </si>
  <si>
    <t xml:space="preserve">
</t>
  </si>
  <si>
    <t>Developer:</t>
  </si>
  <si>
    <t>Behineh Sazan Sanat Tasisat</t>
  </si>
  <si>
    <t>Shayan Seif</t>
  </si>
  <si>
    <t>Hot Rolled Coil</t>
  </si>
  <si>
    <t>Hot Rolled Sheet</t>
  </si>
  <si>
    <t>Full Hard Rolled Coil</t>
  </si>
  <si>
    <t>Cold Rolled Oiled Coil</t>
  </si>
  <si>
    <t>Black Plate Coil</t>
  </si>
  <si>
    <t>Cold Rolled Coil</t>
  </si>
  <si>
    <t>Cold Rolled Sheet</t>
  </si>
  <si>
    <t>Tin Plated Coil</t>
  </si>
  <si>
    <t>Tin Plated Sheet</t>
  </si>
  <si>
    <t>Galvanized Coil</t>
  </si>
  <si>
    <t>Color Coated Coil</t>
  </si>
  <si>
    <t>Hot Coil (Temper)</t>
  </si>
  <si>
    <t>Hot Coil (Skin)</t>
  </si>
  <si>
    <t>GHG Atlas MSC</t>
  </si>
  <si>
    <t>File Name:</t>
  </si>
  <si>
    <t>Source: Shall be copied from Tab "Utility CF".</t>
  </si>
  <si>
    <t>Hot Sheet (Heavy)</t>
  </si>
  <si>
    <t>Hot Sheet (Light 2)</t>
  </si>
  <si>
    <t>Hot Sheet (Light 1)</t>
  </si>
  <si>
    <t>Pickled Coil</t>
  </si>
  <si>
    <t>Pickled Oxide Powder</t>
  </si>
  <si>
    <t>Full Hard Coil 1</t>
  </si>
  <si>
    <t>Full Hard Rolled Coil 1</t>
  </si>
  <si>
    <t>Full Hard Coil 2</t>
  </si>
  <si>
    <t>Full Hard Rolled Coil 2</t>
  </si>
  <si>
    <t>Cold Non-Oiled Coil</t>
  </si>
  <si>
    <t>Cold Rolled Sheet (Light)</t>
  </si>
  <si>
    <t>Cold Rolled Sheet (Heavy)</t>
  </si>
  <si>
    <t>Cold Coil Temper Mill</t>
  </si>
  <si>
    <t>Annealed Coil 1</t>
  </si>
  <si>
    <t>Annealed Coil 2</t>
  </si>
  <si>
    <t>Cleaned Coil</t>
  </si>
  <si>
    <t>Annealed Coil 3</t>
  </si>
  <si>
    <t>Annealed Coil</t>
  </si>
  <si>
    <t>Non-Kyoto GHGs Emissions</t>
  </si>
  <si>
    <t>Emission (Cat.1)</t>
  </si>
  <si>
    <t>Emission (Cat.4)</t>
  </si>
  <si>
    <t>Emission Code Cat.1</t>
  </si>
  <si>
    <t>Emission Code Cat.4</t>
  </si>
  <si>
    <t>Mobile Combustion</t>
  </si>
  <si>
    <t>Z</t>
  </si>
  <si>
    <t>Onsite Waste Management</t>
  </si>
  <si>
    <t>Offsite Waste Management</t>
  </si>
  <si>
    <t>Waste Onsite</t>
  </si>
  <si>
    <t>Waste Offsite</t>
  </si>
  <si>
    <t>پسماند (داخل سایت)</t>
  </si>
  <si>
    <t>پسماند (خارج سایت)</t>
  </si>
  <si>
    <t>3410, 3420</t>
  </si>
  <si>
    <t>3450, 3460</t>
  </si>
  <si>
    <t>4510, 4515</t>
  </si>
  <si>
    <t>4610, 4615, 4616, 4618</t>
  </si>
  <si>
    <t>4720, 4730</t>
  </si>
  <si>
    <r>
      <t>tCO</t>
    </r>
    <r>
      <rPr>
        <vertAlign val="subscript"/>
        <sz val="10"/>
        <color theme="1"/>
        <rFont val="Times New Roman"/>
        <family val="1"/>
      </rPr>
      <t>2</t>
    </r>
    <r>
      <rPr>
        <sz val="10"/>
        <color theme="1"/>
        <rFont val="Times New Roman"/>
        <family val="1"/>
      </rPr>
      <t>e/ton</t>
    </r>
  </si>
  <si>
    <t>Pickling Line NO: 1,2</t>
  </si>
  <si>
    <t>Skin Pass Line 1,2</t>
  </si>
  <si>
    <t>آهک‏سازی</t>
  </si>
  <si>
    <t>تولید آهک هیدراته</t>
  </si>
  <si>
    <t>دولومیت‏سازی</t>
  </si>
  <si>
    <t>گندله‏سازی</t>
  </si>
  <si>
    <t>احیای مستقیم</t>
  </si>
  <si>
    <t>بریکت‏سازی</t>
  </si>
  <si>
    <t>کوره‏های قوس</t>
  </si>
  <si>
    <t>گاززدایی</t>
  </si>
  <si>
    <t>ریخته‏گری مداوم</t>
  </si>
  <si>
    <t>آماده‏سازی و خنک‏کننده شمش</t>
  </si>
  <si>
    <t xml:space="preserve"> خط نورد گرم</t>
  </si>
  <si>
    <t>خط برش سبک 1</t>
  </si>
  <si>
    <t xml:space="preserve"> خط برش سنگین</t>
  </si>
  <si>
    <t xml:space="preserve">ورق گرم </t>
  </si>
  <si>
    <t>خط اسکین پاس</t>
  </si>
  <si>
    <t>خط اسیدشویی 1و2</t>
  </si>
  <si>
    <t>کلاف خام 1</t>
  </si>
  <si>
    <t>خط تاندم میل</t>
  </si>
  <si>
    <t>کلاف خام 2</t>
  </si>
  <si>
    <t>خط نورد دو قفسه‏ای</t>
  </si>
  <si>
    <t>بازپخت 1</t>
  </si>
  <si>
    <t>بازپخت 2</t>
  </si>
  <si>
    <t>شستشوی الکترولیتی</t>
  </si>
  <si>
    <t>بازپخت 3</t>
  </si>
  <si>
    <t>اسکین پاس 1و2</t>
  </si>
  <si>
    <t>خط تمپر میل</t>
  </si>
  <si>
    <t>خطوط اصلاح 1تا4</t>
  </si>
  <si>
    <t xml:space="preserve"> خط قلع اندود</t>
  </si>
  <si>
    <t>برش و بسته‏بندی قلع‏اندود 1و2</t>
  </si>
  <si>
    <t>خط پوشش رنگی</t>
  </si>
  <si>
    <t xml:space="preserve"> کلاف گرم (اسکین)</t>
  </si>
  <si>
    <t xml:space="preserve"> کلاف خام </t>
  </si>
  <si>
    <t xml:space="preserve"> کلاف سرد روغنی</t>
  </si>
  <si>
    <t xml:space="preserve"> کلاف سیاه</t>
  </si>
  <si>
    <t xml:space="preserve"> کلاف سرد</t>
  </si>
  <si>
    <t>مقایسه محصولات</t>
  </si>
  <si>
    <t>Company</t>
  </si>
  <si>
    <t>Total Upstream Emissions (tCO2e)</t>
  </si>
  <si>
    <t>Total Utility Emission (tCO2e)</t>
  </si>
  <si>
    <t>Total Direct Emissions (tCO2e)</t>
  </si>
  <si>
    <t>z</t>
  </si>
  <si>
    <t>توجه: ردپای کربن ورق گرم، متوسط وزنی ردپای کربن ورق‏های گرم خروجی از خطوط برش سبک 1 و 2 و سنگین است.</t>
  </si>
  <si>
    <t>Note that CFP of Hot Rolled Sheet is the weighted average of CFPs of Hot Sheet (Light 1), Hot Sheet (Lighte 2) and Hot Sheet (Heavy).</t>
  </si>
  <si>
    <t>Hot Rolled Sheet (Average)</t>
  </si>
  <si>
    <t>توجه 1: ردپای کربن ورق گرم، متوسط وزنی ردپای کربن ورق‏های گرم خروجی از خطوط برش سبک 1 و 2 و سنگین است.</t>
  </si>
  <si>
    <t>توجه 2: ردپای کربن کلاف خام، متوسط وزنی ردپای کربن کلاف‏های خام خروجی از خطوط تاندم میل و نورد دو قفسه‏ای است.</t>
  </si>
  <si>
    <t>توجه 3: ردپای کربن ورق سرد، متوسط وزنی ردپای کربن ورق‏های سرد خروجی از خطوط برش سبک و سنگین است.</t>
  </si>
  <si>
    <t>Weighted Average of No. 18, 20, 21</t>
  </si>
  <si>
    <t>Weighted Average of No. 26, 28</t>
  </si>
  <si>
    <t>Weighted Average of No. 39, 40</t>
  </si>
  <si>
    <t>توجه: ردپای کربن کلاف خام، متوسط وزنی ردپای کربن کلاف‏های خام خروجی از خطوط تاندم میل و نورد دو قفسه‏ای است.</t>
  </si>
  <si>
    <t xml:space="preserve">Note that CFP of Full Hard Rolled Coil is the weighted average of CFPs of Full Hard Rolled Coil 1 and Full Hard Rolled Coil 2. </t>
  </si>
  <si>
    <t>توجه: ردپای کربن ورق سرد، متوسط وزنی ردپای کربن ورق‏های سرد خروجی از خطوط برش سبک و سنگین است.</t>
  </si>
  <si>
    <t>Note that CFP of Cold Rolled Sheet is the weighted average of CFPs of Cold Rolled Sheet (Light) and Cold Rolled Sheet (Heavy).</t>
  </si>
  <si>
    <t>کنسانتره خریداری</t>
  </si>
  <si>
    <t>گندله خریداری</t>
  </si>
  <si>
    <t>آهک</t>
  </si>
  <si>
    <t xml:space="preserve">پودر آهک </t>
  </si>
  <si>
    <t>آهک هیدراته</t>
  </si>
  <si>
    <t>دولومیت</t>
  </si>
  <si>
    <t>گندله</t>
  </si>
  <si>
    <t>آهن اسفنجی</t>
  </si>
  <si>
    <t>ریزدانه (نرمه)</t>
  </si>
  <si>
    <t>بریکت</t>
  </si>
  <si>
    <t>مذاب تخلیه شده</t>
  </si>
  <si>
    <t>سرباره</t>
  </si>
  <si>
    <t>مذاب ارسالی 1</t>
  </si>
  <si>
    <t>مذاب ارسالی 2</t>
  </si>
  <si>
    <t>تختال تولیدی</t>
  </si>
  <si>
    <t>ورق گرم (برش سبک 1)</t>
  </si>
  <si>
    <t>ورق گرم (برش سبک 2)</t>
  </si>
  <si>
    <t>ورق گرم (برش سنگین)</t>
  </si>
  <si>
    <t>پودر اکسید اسیدشویی</t>
  </si>
  <si>
    <t>کلاف فول هارد 1</t>
  </si>
  <si>
    <t>کلاف فول هارد 2</t>
  </si>
  <si>
    <t>کلاف شستشو شده</t>
  </si>
  <si>
    <t>کلاف آنیل 1</t>
  </si>
  <si>
    <t>کلاف آنیل 2</t>
  </si>
  <si>
    <t>کلاف آنیل 3</t>
  </si>
  <si>
    <t>کلاف سرد غیر روغنی</t>
  </si>
  <si>
    <t>کلاف سرد تمپر میل</t>
  </si>
  <si>
    <t>ورق سرد (برش سبک)</t>
  </si>
  <si>
    <t>ورق سرد (برش سنگین)</t>
  </si>
  <si>
    <t>کلاف باز پخت شده</t>
  </si>
  <si>
    <t>اردکان یزد</t>
  </si>
  <si>
    <t>بافت کرمان</t>
  </si>
  <si>
    <t>بافق یزد</t>
  </si>
  <si>
    <t>توسعه گل گهر سیرجان</t>
  </si>
  <si>
    <t>چادرملو یزد</t>
  </si>
  <si>
    <t>سبزوار خراسان رضوی</t>
  </si>
  <si>
    <t>سناباد قائن</t>
  </si>
  <si>
    <t>شادگان خوزستان</t>
  </si>
  <si>
    <t>غدیر اردکان</t>
  </si>
  <si>
    <t>فولاد خوزستان</t>
  </si>
  <si>
    <t>فولاد سفید دشت</t>
  </si>
  <si>
    <t>فولاد کاوه هرمزگان</t>
  </si>
  <si>
    <t>فولاد هرمزگان</t>
  </si>
  <si>
    <t>کوار فارس</t>
  </si>
  <si>
    <t>نیریز فارس</t>
  </si>
  <si>
    <t>احیاء سنگان</t>
  </si>
  <si>
    <t>آریا جنوب زرند</t>
  </si>
  <si>
    <t>افرا سنگ میبد</t>
  </si>
  <si>
    <t>بیجار کردستان</t>
  </si>
  <si>
    <t>زرین گهر سیرجان</t>
  </si>
  <si>
    <t>زیر کوه خراسان جنوبی</t>
  </si>
  <si>
    <t>ساغند یزد</t>
  </si>
  <si>
    <t>سیریز زرند</t>
  </si>
  <si>
    <t>شایان صنعت همدان</t>
  </si>
  <si>
    <t>شهرضا- طبس- نایین- سلطانیه- همدان</t>
  </si>
  <si>
    <t>صبانور همدان</t>
  </si>
  <si>
    <t>فولاد سنگان</t>
  </si>
  <si>
    <t>کویر مروست</t>
  </si>
  <si>
    <t>گهرزمین سیرجان</t>
  </si>
  <si>
    <t>معدن نرم بردسکن طبس</t>
  </si>
  <si>
    <t>مینای مروست</t>
  </si>
  <si>
    <t>نایین</t>
  </si>
  <si>
    <t>شهرضا</t>
  </si>
  <si>
    <t>گل گهر سیرجان</t>
  </si>
  <si>
    <t>صبا فولاد هرمزگان</t>
  </si>
  <si>
    <t>احیا سپاهان</t>
  </si>
  <si>
    <t>سلطانیه</t>
  </si>
  <si>
    <t>گهر زمین</t>
  </si>
  <si>
    <t>اوپال</t>
  </si>
  <si>
    <t>گل گهر</t>
  </si>
  <si>
    <t>متیل</t>
  </si>
  <si>
    <t>Electric Power Production No 3</t>
  </si>
  <si>
    <t>Finishing Lines Maintenance</t>
  </si>
  <si>
    <t>Dummy Cost Center</t>
  </si>
  <si>
    <t>Raw Material Maintenance</t>
  </si>
  <si>
    <t>Pelletizing Maintenance</t>
  </si>
  <si>
    <t>Direct Reduction 1 Maintenance</t>
  </si>
  <si>
    <t>Direct Reduction 2 Maintenance</t>
  </si>
  <si>
    <t>Material Handling of Direct Reduction 1</t>
  </si>
  <si>
    <t>Material Handling of Direct Reduction 2</t>
  </si>
  <si>
    <t>Iron Making Production Planning and Control</t>
  </si>
  <si>
    <t>Technical And Administrative Services of IRM</t>
  </si>
  <si>
    <t>Maintenance Planning and Control of IRM</t>
  </si>
  <si>
    <t>Iron Making Area Material Handling Maintenance</t>
  </si>
  <si>
    <t>Scrap Handling</t>
  </si>
  <si>
    <t>EAF Common Services</t>
  </si>
  <si>
    <t>Electric Arc Furnaces Maintenance</t>
  </si>
  <si>
    <t>Steel Making Transfer Car &amp; Crane Services</t>
  </si>
  <si>
    <t>Ladle Furnaces &amp; Deg &amp; Des Maintenance</t>
  </si>
  <si>
    <t>Desulphur Plant</t>
  </si>
  <si>
    <t>Ladles Total Services</t>
  </si>
  <si>
    <t>Continuous Casting Common Services</t>
  </si>
  <si>
    <t>Continuous Casting Maintenance</t>
  </si>
  <si>
    <t>Crane Continuous Casting Services and Maintenance</t>
  </si>
  <si>
    <t>Continuous Casting Workshop</t>
  </si>
  <si>
    <t>Slab Cooling and Conditioning Maintenance</t>
  </si>
  <si>
    <t>SLABS (Dummy C.C. For G.B.L.M.)</t>
  </si>
  <si>
    <t>Technical And Administrative Services of SMC</t>
  </si>
  <si>
    <t>Maintenance Planning &amp; Control of SPR</t>
  </si>
  <si>
    <t>Maintenance Planning &amp; Control of CCA</t>
  </si>
  <si>
    <t>Roll Shop Maintenance</t>
  </si>
  <si>
    <t>Slab Stockyard and Slab Reheating Furnaces Maintenance</t>
  </si>
  <si>
    <t>Hot Rolling Mill Maintenance</t>
  </si>
  <si>
    <t>Process Control of Hot Rolling Mill</t>
  </si>
  <si>
    <t>Hot &amp; Pickled Coils (Dummy C.C. For G.B.L.M.)</t>
  </si>
  <si>
    <t>Hot Rolling Finishing Lines Maintenance</t>
  </si>
  <si>
    <t>Technical And Administrative Services of HSM Area</t>
  </si>
  <si>
    <t>Maintenance Planning &amp; Control</t>
  </si>
  <si>
    <t>HSM Cranes Maintenance</t>
  </si>
  <si>
    <t>CRM Cranes Maintenance</t>
  </si>
  <si>
    <t>Chrome Workshop</t>
  </si>
  <si>
    <t>Roll Shop Maintenance CRM</t>
  </si>
  <si>
    <t>Pickling Line No: 1 Maintenance</t>
  </si>
  <si>
    <t>Pickling Line No:2 Maintenance</t>
  </si>
  <si>
    <t>Pickled Coil (Dummy C.C. For G.B.L.M.)</t>
  </si>
  <si>
    <t>Tandem Mill Maintenance</t>
  </si>
  <si>
    <t>Two Stand Reversible Mill Maintenance</t>
  </si>
  <si>
    <t>Full Hard Coil (Dummy C.C. For G.B.L.M.)</t>
  </si>
  <si>
    <t>Box Annealing &amp; Cleaning Line Maintenance</t>
  </si>
  <si>
    <t>Annealed Coils (Dummy C.C. For G.B.L.M.)</t>
  </si>
  <si>
    <t>Skinpass Mill No: 1 CRM</t>
  </si>
  <si>
    <t>Skinpass Mill No: 2 CRM</t>
  </si>
  <si>
    <t>Skinpass &amp; Temper Mill Maintenance</t>
  </si>
  <si>
    <t>Skinpassed Coils (Dummy C.C. For G.B.L.M.)</t>
  </si>
  <si>
    <t>Slitting (Dummy C.C. For G.B.L.M.)</t>
  </si>
  <si>
    <t>Shearing Line (Dummy C.C. For G.B.L.M.)</t>
  </si>
  <si>
    <t>Packing And Shipping Maintenance</t>
  </si>
  <si>
    <t>Corrective Coils (Dummy C.C. For G.B.L.M.)</t>
  </si>
  <si>
    <t>Tinning &amp; Shearing Lines Maintenance</t>
  </si>
  <si>
    <t>Galvanizing Lines Maintenance</t>
  </si>
  <si>
    <t>Coating Lines Maintenance</t>
  </si>
  <si>
    <t>Shearing Line of Coating</t>
  </si>
  <si>
    <t>Technical &amp; Administ. Services of CRM Area</t>
  </si>
  <si>
    <t>Maintenance Planning &amp; Control of CRM Area</t>
  </si>
  <si>
    <t>Cold Rolling Mill Central Maintenance</t>
  </si>
  <si>
    <t>Electric Power Production Maintenance</t>
  </si>
  <si>
    <t>Oxygen &amp; Hydrogen Plant Maintenance</t>
  </si>
  <si>
    <t>Industrial Water Production Maintenance</t>
  </si>
  <si>
    <t>Water &amp; Sewage Treatment Maintenance</t>
  </si>
  <si>
    <t>Electrical Power Distribution Maintenance</t>
  </si>
  <si>
    <t>Fluids Distribution Maintenance</t>
  </si>
  <si>
    <t>Oxygen Argon Nitrogen HNX Distribution</t>
  </si>
  <si>
    <t>Technical &amp; Administrative Services of ENF Area</t>
  </si>
  <si>
    <t>Maintenance Planning &amp; Control of ENF Area</t>
  </si>
  <si>
    <t>Technical &amp; Administrative Services of TRA Area</t>
  </si>
  <si>
    <t>Maintenance Planning &amp; Control of Calibration and Instrumentation</t>
  </si>
  <si>
    <t>Calibration and Instrumentation</t>
  </si>
  <si>
    <t>Electronic Maintenance</t>
  </si>
  <si>
    <t>Communication</t>
  </si>
  <si>
    <t>Rotary Machine &amp; Power Equipment Inspection</t>
  </si>
  <si>
    <t>Cranes &amp; Steel Structure Inspection</t>
  </si>
  <si>
    <t>Corrosion &amp; Material Inspection</t>
  </si>
  <si>
    <t>Maintenance &amp; Technical Office</t>
  </si>
  <si>
    <t>Dummy Cost Center (Administrative &amp; General Cost)</t>
  </si>
  <si>
    <t>Central Of Selection</t>
  </si>
  <si>
    <t>Administrative Offending’s Board</t>
  </si>
  <si>
    <t>Dummy Cost Center (Sales Cost)</t>
  </si>
  <si>
    <t>Safety And Fire Fighting</t>
  </si>
  <si>
    <t>Ecology</t>
  </si>
  <si>
    <t>Administrative Management</t>
  </si>
  <si>
    <t>Quality Control</t>
  </si>
  <si>
    <t>Research and Development</t>
  </si>
  <si>
    <t>Central Laboratory</t>
  </si>
  <si>
    <t>Iron Making Laboratory</t>
  </si>
  <si>
    <t>SMC Laboratory</t>
  </si>
  <si>
    <t>Product Laboratory</t>
  </si>
  <si>
    <t>Quality Assurance &amp; Excellence System</t>
  </si>
  <si>
    <t>Information Technology &amp; System</t>
  </si>
  <si>
    <t>Industrial Engineering</t>
  </si>
  <si>
    <t>Plant Engineering</t>
  </si>
  <si>
    <t>Digital Transformation Project Office</t>
  </si>
  <si>
    <t>Production Planning and Control</t>
  </si>
  <si>
    <t>Metallurgy And Production Techniques</t>
  </si>
  <si>
    <t>Iron Making Area Development</t>
  </si>
  <si>
    <t>Steel Making Area Development</t>
  </si>
  <si>
    <t>Hot Rolling Development</t>
  </si>
  <si>
    <t>Cold Rolling Mill Development</t>
  </si>
  <si>
    <t>Energy &amp; Fluids Development</t>
  </si>
  <si>
    <t>Projects Control &amp; Development Process</t>
  </si>
  <si>
    <t>Auxiliary &amp; Support Projects Fulfilment</t>
  </si>
  <si>
    <t>Investment &amp; Subsidiaries Affairs</t>
  </si>
  <si>
    <t>Mining Affairs</t>
  </si>
  <si>
    <t>(kgCO2/y)</t>
  </si>
  <si>
    <t>Electricity from grid (Net)</t>
  </si>
  <si>
    <t>MSC Production</t>
  </si>
  <si>
    <t>Transportation is accounted for separately</t>
  </si>
  <si>
    <t>00520</t>
  </si>
  <si>
    <t>International Air Travel Distances</t>
  </si>
  <si>
    <t>Domestic Distances from Isfahan (Rail and Road)</t>
  </si>
  <si>
    <t>Air (km)</t>
  </si>
  <si>
    <t>Reference for air:</t>
  </si>
  <si>
    <t>https://www.airmilescalculator.com</t>
  </si>
  <si>
    <t>Rail</t>
  </si>
  <si>
    <t>منبع: ترازنامه انرژی سال 1401، معاونت امور برق و انرژی، وزارت نیروی جمهوری اسلامی ایران.</t>
  </si>
  <si>
    <t>Electricity generated on-site 3</t>
  </si>
  <si>
    <t>Electricity generated on-site 2</t>
  </si>
  <si>
    <t>Electricity generated on-site 1</t>
  </si>
  <si>
    <t>ELEACT326</t>
  </si>
  <si>
    <t>PowerPlant 1</t>
  </si>
  <si>
    <t>PowerPlant 3</t>
  </si>
  <si>
    <t>PowerPlant 2</t>
  </si>
  <si>
    <t>Drinking Water</t>
  </si>
  <si>
    <t>Electricity 3</t>
  </si>
  <si>
    <t>IFN-IST</t>
  </si>
  <si>
    <t>IFN</t>
  </si>
  <si>
    <t>Origin-Destination</t>
  </si>
  <si>
    <t>اصفهان- استانبول</t>
  </si>
  <si>
    <t>استانبول- میلان</t>
  </si>
  <si>
    <t>اصفهان- دبی</t>
  </si>
  <si>
    <t>تهران- استانبول</t>
  </si>
  <si>
    <t>تهران - پکن</t>
  </si>
  <si>
    <t>دبی- بانکوک</t>
  </si>
  <si>
    <t>دبی- جاکارتا</t>
  </si>
  <si>
    <t xml:space="preserve">دبی- دهلی </t>
  </si>
  <si>
    <t>مادرید-سویا</t>
  </si>
  <si>
    <t>میلان - دوسلدورف</t>
  </si>
  <si>
    <t>میلان - مادرید</t>
  </si>
  <si>
    <t>استانبول - رم</t>
  </si>
  <si>
    <t>رم- وین</t>
  </si>
  <si>
    <t>میلان- مادرید</t>
  </si>
  <si>
    <t>تهران - دوبی</t>
  </si>
  <si>
    <t>دوبی- سئول</t>
  </si>
  <si>
    <t>استانبول - آمستردام</t>
  </si>
  <si>
    <t>تهران - اسلام آباد</t>
  </si>
  <si>
    <t>تهران - بغداد</t>
  </si>
  <si>
    <t>تهران - کابل</t>
  </si>
  <si>
    <t>تهران - مسقط</t>
  </si>
  <si>
    <t>تهران - مسکو</t>
  </si>
  <si>
    <t>میلان - وین</t>
  </si>
  <si>
    <t>MAD</t>
  </si>
  <si>
    <t>CGK</t>
  </si>
  <si>
    <t>ICN</t>
  </si>
  <si>
    <t>MCT</t>
  </si>
  <si>
    <t>KBL</t>
  </si>
  <si>
    <t>ISB</t>
  </si>
  <si>
    <t>AMS</t>
  </si>
  <si>
    <t>SVQ</t>
  </si>
  <si>
    <t>IFN-DXB</t>
  </si>
  <si>
    <t>DXB-CGK</t>
  </si>
  <si>
    <t>DXB-DEL</t>
  </si>
  <si>
    <t>MAD-FCO</t>
  </si>
  <si>
    <t>MXP-MAD</t>
  </si>
  <si>
    <t>Short Haul -  &lt; 300 miles</t>
  </si>
  <si>
    <t>Medium Haul - &gt;= 300 miles and &lt; 2300 miles</t>
  </si>
  <si>
    <t>Notes:</t>
  </si>
  <si>
    <t>Long Haul - &gt;= 2300 miles</t>
  </si>
  <si>
    <t>Reference: Calculating GHG Emissions from Mobile Combustion, V2.7, GHG Protocol, 2024.</t>
  </si>
  <si>
    <t>or</t>
  </si>
  <si>
    <t>Short Haul -  &lt; 482 km</t>
  </si>
  <si>
    <t>Medium Haul - &gt;= 482 km and &lt; 3701 km</t>
  </si>
  <si>
    <t>Long Haul - &gt;= 3701 km</t>
  </si>
  <si>
    <t>FCO-VIE</t>
  </si>
  <si>
    <t>MAD-SVQ</t>
  </si>
  <si>
    <t>DXB-ICN</t>
  </si>
  <si>
    <t>IST-AMS</t>
  </si>
  <si>
    <t>IKA-ISB</t>
  </si>
  <si>
    <t>IKA-KBL</t>
  </si>
  <si>
    <t>RO1</t>
  </si>
  <si>
    <t>RO2</t>
  </si>
  <si>
    <t>23190</t>
  </si>
  <si>
    <t>2-C-2</t>
  </si>
  <si>
    <t>3-C-3</t>
  </si>
  <si>
    <t>4-C-4</t>
  </si>
  <si>
    <t>5-C-5</t>
  </si>
  <si>
    <t>6-C-6</t>
  </si>
  <si>
    <t>7-C-7</t>
  </si>
  <si>
    <t>9-C-8</t>
  </si>
  <si>
    <t>Process emission (Vent)</t>
  </si>
  <si>
    <t>1-V-9</t>
  </si>
  <si>
    <t>2-V-10</t>
  </si>
  <si>
    <t>3-V-11</t>
  </si>
  <si>
    <t>4-V-12</t>
  </si>
  <si>
    <t>5-V-13</t>
  </si>
  <si>
    <t>6-V-14</t>
  </si>
  <si>
    <t>7-V-15</t>
  </si>
  <si>
    <t>9-V-16</t>
  </si>
  <si>
    <t>Fugitive (Non-Kyoto GHG)</t>
  </si>
  <si>
    <t>None</t>
  </si>
  <si>
    <t>Total Fugitive Emissions</t>
  </si>
  <si>
    <t>Methane Fugitive Emissions</t>
  </si>
  <si>
    <t>Methane fugitive emission</t>
  </si>
  <si>
    <t>5-F-25</t>
  </si>
  <si>
    <t>7-F-26</t>
  </si>
  <si>
    <t>1-F-17</t>
  </si>
  <si>
    <t>2-F-18</t>
  </si>
  <si>
    <t>3-F-19</t>
  </si>
  <si>
    <t>4-F-20</t>
  </si>
  <si>
    <t>5-F-21</t>
  </si>
  <si>
    <t>6-F-22</t>
  </si>
  <si>
    <t>7-F-23</t>
  </si>
  <si>
    <t>9-F-24</t>
  </si>
  <si>
    <t>3-F-29</t>
  </si>
  <si>
    <t>4-F-30</t>
  </si>
  <si>
    <t>5-F-31</t>
  </si>
  <si>
    <t>6-F-32</t>
  </si>
  <si>
    <t>7-F-33</t>
  </si>
  <si>
    <t>9-F-34</t>
  </si>
  <si>
    <t>1-F-35</t>
  </si>
  <si>
    <t>2-F-36</t>
  </si>
  <si>
    <t>3-F-37</t>
  </si>
  <si>
    <t>4-F-38</t>
  </si>
  <si>
    <t>5-F-39</t>
  </si>
  <si>
    <t>6-F-40</t>
  </si>
  <si>
    <t>7-F-41</t>
  </si>
  <si>
    <t>9-F-42</t>
  </si>
  <si>
    <t>1-E-43</t>
  </si>
  <si>
    <t>2-E-44</t>
  </si>
  <si>
    <t>3-E-45</t>
  </si>
  <si>
    <t>4-E-46</t>
  </si>
  <si>
    <t>5-E-47</t>
  </si>
  <si>
    <t>6-E-48</t>
  </si>
  <si>
    <t>7-E-49</t>
  </si>
  <si>
    <t>9-E-50</t>
  </si>
  <si>
    <t>1-M-51</t>
  </si>
  <si>
    <t>2-M-52</t>
  </si>
  <si>
    <t>3-M-53</t>
  </si>
  <si>
    <t>4-M-54</t>
  </si>
  <si>
    <t>5-M-55</t>
  </si>
  <si>
    <t>6-M-56</t>
  </si>
  <si>
    <t>7-M-57</t>
  </si>
  <si>
    <t>9-M-58</t>
  </si>
  <si>
    <t>1-T-59</t>
  </si>
  <si>
    <t>2-T-60</t>
  </si>
  <si>
    <t>3-T-61</t>
  </si>
  <si>
    <t>4-T-62</t>
  </si>
  <si>
    <t>5-T-63</t>
  </si>
  <si>
    <t>6-T-64</t>
  </si>
  <si>
    <t>7-T-65</t>
  </si>
  <si>
    <t>9-T-66</t>
  </si>
  <si>
    <t>1-D-67</t>
  </si>
  <si>
    <t>2-D-68</t>
  </si>
  <si>
    <t>3-D-69</t>
  </si>
  <si>
    <t>4-D-70</t>
  </si>
  <si>
    <t>5-D-71</t>
  </si>
  <si>
    <t>6-D-72</t>
  </si>
  <si>
    <t>7-D-73</t>
  </si>
  <si>
    <t>9-D-74</t>
  </si>
  <si>
    <t>1-P-75</t>
  </si>
  <si>
    <t>2-P-76</t>
  </si>
  <si>
    <t>3-P-77</t>
  </si>
  <si>
    <t>4-P-78</t>
  </si>
  <si>
    <t>5-P-79</t>
  </si>
  <si>
    <t>6-P-80</t>
  </si>
  <si>
    <t>7-P-81</t>
  </si>
  <si>
    <t>9-P-82</t>
  </si>
  <si>
    <t>1-B-83</t>
  </si>
  <si>
    <t>2-B-84</t>
  </si>
  <si>
    <t>3-B-85</t>
  </si>
  <si>
    <t>4-B-86</t>
  </si>
  <si>
    <t>5-B-87</t>
  </si>
  <si>
    <t>6-B-88</t>
  </si>
  <si>
    <t>7-B-89</t>
  </si>
  <si>
    <t>9-B-90</t>
  </si>
  <si>
    <t>1-R-91</t>
  </si>
  <si>
    <t>2-R-92</t>
  </si>
  <si>
    <t>3-R-93</t>
  </si>
  <si>
    <t>4-R-94</t>
  </si>
  <si>
    <t>5-R-95</t>
  </si>
  <si>
    <t>6-R-96</t>
  </si>
  <si>
    <t>7-R-97</t>
  </si>
  <si>
    <t>9-R-98</t>
  </si>
  <si>
    <t>1-L-99</t>
  </si>
  <si>
    <t>2-L-100</t>
  </si>
  <si>
    <t>3-L-101</t>
  </si>
  <si>
    <t>4-L-102</t>
  </si>
  <si>
    <t>5-L-103</t>
  </si>
  <si>
    <t>6-L-104</t>
  </si>
  <si>
    <t>7-L-105</t>
  </si>
  <si>
    <t>9-L-106</t>
  </si>
  <si>
    <t>1-X-107</t>
  </si>
  <si>
    <t>2-X-108</t>
  </si>
  <si>
    <t>3-X-109</t>
  </si>
  <si>
    <t>4-X-110</t>
  </si>
  <si>
    <t>5-X-111</t>
  </si>
  <si>
    <t>6-X-112</t>
  </si>
  <si>
    <t>7-X-113</t>
  </si>
  <si>
    <t>9-X-114</t>
  </si>
  <si>
    <t>1-W-115</t>
  </si>
  <si>
    <t>2-W-116</t>
  </si>
  <si>
    <t>3-W-117</t>
  </si>
  <si>
    <t>4-W-118</t>
  </si>
  <si>
    <t>5-W-119</t>
  </si>
  <si>
    <t>6-W-120</t>
  </si>
  <si>
    <t>7-W-121</t>
  </si>
  <si>
    <t>9-W-122</t>
  </si>
  <si>
    <t>1-Z-123</t>
  </si>
  <si>
    <t>2-Z-124</t>
  </si>
  <si>
    <t>3-Z-125</t>
  </si>
  <si>
    <t>4-Z-126</t>
  </si>
  <si>
    <t>5-Z-127</t>
  </si>
  <si>
    <t>6-Z-128</t>
  </si>
  <si>
    <t>7-Z-129</t>
  </si>
  <si>
    <t>9-Z-130</t>
  </si>
  <si>
    <t>1-Y-131</t>
  </si>
  <si>
    <t>2-Y-132</t>
  </si>
  <si>
    <t>3-Y-133</t>
  </si>
  <si>
    <t>4-Y-134</t>
  </si>
  <si>
    <t>5-Y-135</t>
  </si>
  <si>
    <t>6-Y-136</t>
  </si>
  <si>
    <t>7-Y-137</t>
  </si>
  <si>
    <t>9-Y-138</t>
  </si>
  <si>
    <t>5-N-139</t>
  </si>
  <si>
    <t>1-N-140</t>
  </si>
  <si>
    <t>2-N-141</t>
  </si>
  <si>
    <t>3-N-142</t>
  </si>
  <si>
    <t>4-N-143</t>
  </si>
  <si>
    <t>5-N-144</t>
  </si>
  <si>
    <t>6-N-145</t>
  </si>
  <si>
    <t>7-N-146</t>
  </si>
  <si>
    <t>9-N-147</t>
  </si>
  <si>
    <t>9-N-148</t>
  </si>
  <si>
    <t>1-N-149</t>
  </si>
  <si>
    <t>2-N-150</t>
  </si>
  <si>
    <t>3-N-151</t>
  </si>
  <si>
    <t>4-N-152</t>
  </si>
  <si>
    <t>5-N-153</t>
  </si>
  <si>
    <t>6-N-154</t>
  </si>
  <si>
    <t>7-N-155</t>
  </si>
  <si>
    <t>9-N-156</t>
  </si>
  <si>
    <t>1-N-157</t>
  </si>
  <si>
    <t>2-N-158</t>
  </si>
  <si>
    <t>3-N-159</t>
  </si>
  <si>
    <t>4-N-160</t>
  </si>
  <si>
    <t>5-N-161</t>
  </si>
  <si>
    <t>6-N-162</t>
  </si>
  <si>
    <t>7-N-163</t>
  </si>
  <si>
    <t>9-N-164</t>
  </si>
  <si>
    <t>9-N-165</t>
  </si>
  <si>
    <t>5-N-166</t>
  </si>
  <si>
    <t>1-N-167</t>
  </si>
  <si>
    <t>2-N-168</t>
  </si>
  <si>
    <t>3-N-169</t>
  </si>
  <si>
    <t>4-N-170</t>
  </si>
  <si>
    <t>5-N-171</t>
  </si>
  <si>
    <t>6-N-172</t>
  </si>
  <si>
    <t>7-N-173</t>
  </si>
  <si>
    <t>9-N-174</t>
  </si>
  <si>
    <t>01065</t>
  </si>
  <si>
    <t>01080</t>
  </si>
  <si>
    <t>02010</t>
  </si>
  <si>
    <t>01035</t>
  </si>
  <si>
    <t>01055</t>
  </si>
  <si>
    <t>00355</t>
  </si>
  <si>
    <t>05260</t>
  </si>
  <si>
    <t>03065</t>
  </si>
  <si>
    <t>05018</t>
  </si>
  <si>
    <t>05039</t>
  </si>
  <si>
    <t>07051</t>
  </si>
  <si>
    <t>07040</t>
  </si>
  <si>
    <t>08755</t>
  </si>
  <si>
    <t>سنگ آهک 0 تا 50 م م</t>
  </si>
  <si>
    <t xml:space="preserve"> کنستانتره سنگ آهن ریزدانه  چادر ملو (ناخالص)</t>
  </si>
  <si>
    <t xml:space="preserve"> کنستانتره  سنگ اهن زبره سایر منابع</t>
  </si>
  <si>
    <t xml:space="preserve"> کنستانتره سنگ آهن معدن میکس بافق</t>
  </si>
  <si>
    <t xml:space="preserve"> کنستانتره  سنگ اهن نرمه سایر منابع</t>
  </si>
  <si>
    <t xml:space="preserve"> کنستانتره سنگ آهن زبره گهر زمین</t>
  </si>
  <si>
    <t>یک تن آهک هیدراته تولید شده</t>
  </si>
  <si>
    <t>ضایعات آهن دار ( لجن و ریز دانه گندله)</t>
  </si>
  <si>
    <t>گندله خریداری از بافق</t>
  </si>
  <si>
    <t>گندله خریداری از سایر منابع ( داخلی)</t>
  </si>
  <si>
    <t>آهن اسفنجی بالای 50 م م</t>
  </si>
  <si>
    <t>گندله خریداری از سیرجان</t>
  </si>
  <si>
    <t>گندله خریداری از صبا نور</t>
  </si>
  <si>
    <t>کلوخه سنگ آهن هماتیت</t>
  </si>
  <si>
    <t>آب شیشه (بایندر مایع)</t>
  </si>
  <si>
    <t xml:space="preserve"> آلومینیوم نیم کروی</t>
  </si>
  <si>
    <t>یک تن پودر ریزدانه آهک</t>
  </si>
  <si>
    <t>قراضه سبک درجه یک خریداری شده</t>
  </si>
  <si>
    <t>فرو سیلیکو منگنز</t>
  </si>
  <si>
    <t>آلومینیوم مفتولی (فنری شکل )</t>
  </si>
  <si>
    <t>بوکسیت</t>
  </si>
  <si>
    <t>وایر کلسیم خالص</t>
  </si>
  <si>
    <t>یک تن تختال ( برای نورد)</t>
  </si>
  <si>
    <t>تختال خریداری</t>
  </si>
  <si>
    <t>یک تن کلاف گرم عریض</t>
  </si>
  <si>
    <t xml:space="preserve"> قلع</t>
  </si>
  <si>
    <t>یک تن کلاف گالوانیزه (فروش)</t>
  </si>
  <si>
    <t>گـرافیــت (کربن تزریقی)</t>
  </si>
  <si>
    <t>الکترود گرافیتی جهت کوره های ذوب (EAF)</t>
  </si>
  <si>
    <t>الکترود جهت کوره های پاتیلی (LF)</t>
  </si>
  <si>
    <t>10060</t>
  </si>
  <si>
    <t>10065</t>
  </si>
  <si>
    <t>Iron Ore Crude</t>
  </si>
  <si>
    <t>Steel</t>
  </si>
  <si>
    <t>Bauxite</t>
  </si>
  <si>
    <t>List of Unit Processes and Cost Centers</t>
  </si>
  <si>
    <t>Water Production (PU:55)</t>
  </si>
  <si>
    <t>2110, 2120, 2130, 2210, 2215</t>
  </si>
  <si>
    <t>2240, 2250, 2301</t>
  </si>
  <si>
    <t>3101, 3210, 3310</t>
  </si>
  <si>
    <t>4101, 4102, 4103, 4220, 4225, 4230, 4235</t>
  </si>
  <si>
    <t>Packaging</t>
  </si>
  <si>
    <t>1310, 1315, 1320, 1325</t>
  </si>
  <si>
    <t>Contract Electricity</t>
  </si>
  <si>
    <t>Hot Strip Mill Treatment</t>
  </si>
  <si>
    <t>Cold Roll Mill Treatment</t>
  </si>
  <si>
    <t>Chemical Infusion</t>
  </si>
  <si>
    <t>53080</t>
  </si>
  <si>
    <t>Sewage System</t>
  </si>
  <si>
    <t>Water Conditioning 2</t>
  </si>
  <si>
    <t>Services of HSM Area</t>
  </si>
  <si>
    <t>PRS1,2 - Pelletizing</t>
  </si>
  <si>
    <t>Facility - Unit Process</t>
  </si>
  <si>
    <t>PRS3 - Lime Making</t>
  </si>
  <si>
    <t>PRS4 - Direct Reduction</t>
  </si>
  <si>
    <t>Valve Station - Methane Distribution</t>
  </si>
  <si>
    <t>HoseinAbad Station - Methane Distribution</t>
  </si>
  <si>
    <t>Batching Point - Methane Distribution</t>
  </si>
  <si>
    <t>70000 Station - Methane Distribution</t>
  </si>
  <si>
    <t>200000 Station - Methane Distribution</t>
  </si>
  <si>
    <t>Reformers - Direct Reduction</t>
  </si>
  <si>
    <t>Turbines/Boilers - Boilers &amp; Turbines</t>
  </si>
  <si>
    <t>PRS22 - Waste 21 Unit</t>
  </si>
  <si>
    <t>PRS21 - Direct Reduction</t>
  </si>
  <si>
    <t>PRS5 - EAFs</t>
  </si>
  <si>
    <t xml:space="preserve"> PRS6,7 - Casting Machines</t>
  </si>
  <si>
    <t>PRS8 - Hot Rolling</t>
  </si>
  <si>
    <t xml:space="preserve"> PRS9,10 - Cold Rolling</t>
  </si>
  <si>
    <t>PRS11 - PowerPlant 1</t>
  </si>
  <si>
    <t>PRS12 - Industrial Water Production</t>
  </si>
  <si>
    <t>PRS13 - PowerPlant 2</t>
  </si>
  <si>
    <t>PRS14 - Fire Fighting</t>
  </si>
  <si>
    <t>PRS15 - Galvanizing Line</t>
  </si>
  <si>
    <t>PRS16 - ECL</t>
  </si>
  <si>
    <t>PRS17 - DM Water Production</t>
  </si>
  <si>
    <t>PRS18 - Dolomite Making</t>
  </si>
  <si>
    <t>PRS19 - Central Workshop</t>
  </si>
  <si>
    <t>PRS20 - Hot Rolling</t>
  </si>
  <si>
    <t>CH4</t>
  </si>
  <si>
    <t>Product (Farsi)</t>
  </si>
  <si>
    <t>Steel Slab</t>
  </si>
  <si>
    <t>BARS</t>
  </si>
  <si>
    <t>ورق سرد نورد شده</t>
  </si>
  <si>
    <t>ورق گرم نورد شده</t>
  </si>
  <si>
    <t>تختال نیمه نورد شده گرم (BARS)</t>
  </si>
  <si>
    <t>02960</t>
  </si>
  <si>
    <t>02060</t>
  </si>
  <si>
    <t>02250</t>
  </si>
  <si>
    <t>02115</t>
  </si>
  <si>
    <t>02260</t>
  </si>
  <si>
    <t>02270</t>
  </si>
  <si>
    <t>02300</t>
  </si>
  <si>
    <t>02310</t>
  </si>
  <si>
    <t>02330</t>
  </si>
  <si>
    <t>02340</t>
  </si>
  <si>
    <t>02360</t>
  </si>
  <si>
    <t>02320</t>
  </si>
  <si>
    <t>02350</t>
  </si>
  <si>
    <t>02325</t>
  </si>
  <si>
    <t>02329</t>
  </si>
  <si>
    <t>02313</t>
  </si>
  <si>
    <t>02314</t>
  </si>
  <si>
    <t>ضایعات فرایند - آهن سازی</t>
  </si>
  <si>
    <t>لجن (اسلاری)</t>
  </si>
  <si>
    <t>غبار کوره های قوس (بگ هوس و ستلینگ)</t>
  </si>
  <si>
    <t>اسکال ظرف سرباره</t>
  </si>
  <si>
    <t>ضایعات فلزی فرایند کوره های قوس الکتریکی</t>
  </si>
  <si>
    <t>ضایعات غیر فلزی کورهای قوس الکتریکی</t>
  </si>
  <si>
    <t>قراضه ناشی از پارگی شمش</t>
  </si>
  <si>
    <t>بازیافت اسکال پاتیل و فولاد مذاب</t>
  </si>
  <si>
    <t>بریده های تختال</t>
  </si>
  <si>
    <t>پوسته های ناشی از پیش گرم</t>
  </si>
  <si>
    <t>ضایعات نمونه گیری و برشهای سر و ته کلاف</t>
  </si>
  <si>
    <t>ورق قراضه شده COBBLES</t>
  </si>
  <si>
    <t>قراضه  سر و ته بار ( سر قیچی و قراضه تختال)</t>
  </si>
  <si>
    <t>قراضه بار ( رافینگ و فینیشینگ)</t>
  </si>
  <si>
    <t>بریده های کناری</t>
  </si>
  <si>
    <t>قراضه کلاف</t>
  </si>
  <si>
    <t>ضایعات فرایند کلاف (پودر اکسید اسید شویی)</t>
  </si>
  <si>
    <t>ضایعات ناشی از لبه بری ورق</t>
  </si>
  <si>
    <t>ضایعات رنگ</t>
  </si>
  <si>
    <t>ضایعات قلع ناشی ازخوردگی</t>
  </si>
  <si>
    <t>Solar Electricity</t>
  </si>
  <si>
    <t>Urban Wastewater</t>
  </si>
  <si>
    <t>1,4</t>
  </si>
  <si>
    <t>Reference 4:</t>
  </si>
  <si>
    <t>GHG Protocol, GHG Emissions from Iron and Steel Production, V2.0 (LHV of Brown coal briquettes)</t>
  </si>
  <si>
    <r>
      <t xml:space="preserve">خرید برق دوجانبه </t>
    </r>
    <r>
      <rPr>
        <vertAlign val="superscript"/>
        <sz val="11"/>
        <color theme="1"/>
        <rFont val="B Mitra"/>
        <charset val="178"/>
      </rPr>
      <t>1</t>
    </r>
  </si>
  <si>
    <r>
      <t xml:space="preserve">نیروگاه خورشیدی </t>
    </r>
    <r>
      <rPr>
        <vertAlign val="superscript"/>
        <sz val="11"/>
        <color theme="1"/>
        <rFont val="B Mitra"/>
        <charset val="178"/>
      </rPr>
      <t>2</t>
    </r>
  </si>
  <si>
    <r>
      <t>tCO2e/kNm</t>
    </r>
    <r>
      <rPr>
        <b/>
        <vertAlign val="superscript"/>
        <sz val="9"/>
        <color theme="1"/>
        <rFont val="Times New Roman"/>
        <family val="1"/>
      </rPr>
      <t>3</t>
    </r>
  </si>
  <si>
    <t>tCO2e/litre</t>
  </si>
  <si>
    <t>Total EF (tCO2e/t)</t>
  </si>
  <si>
    <t>EF: Electricity Generation (gr/kWh)</t>
  </si>
  <si>
    <t>2) Reference: ECOINVENT</t>
  </si>
  <si>
    <t>1) EF of Combined Cycle powerplant on private sector of Iran</t>
  </si>
  <si>
    <t>Upstream CF of Energy Careers</t>
  </si>
  <si>
    <t>Assumed like Natural Gas (converted per ton)</t>
  </si>
  <si>
    <t>Emissions of raw material extraction are included in the production stage.</t>
  </si>
  <si>
    <t>For main raw materials, upstream EFs are from "cradle-to-output-gate", as transportation emissions are accounted for separately. EFs for other materials are from "cradle-to-gate".</t>
  </si>
  <si>
    <t>Purchased Materials</t>
  </si>
  <si>
    <t>3. Ecoinvent DB - IPCC 2021 GWP 100a (Excl. CO2 uptake and biogenic CO2), AR6.</t>
  </si>
  <si>
    <t>2, 4</t>
  </si>
  <si>
    <t>4. IEA Life Cycle Upstream Emission Factors 2023 (Pilot Edition).</t>
  </si>
  <si>
    <t>Cumulative mass flow in area</t>
  </si>
  <si>
    <t>Mass Ratio to Area</t>
  </si>
  <si>
    <t>On-Site Transportation (Mobile Combustion)</t>
  </si>
  <si>
    <t>Grid Electrivity</t>
  </si>
  <si>
    <t>Direct Electricity</t>
  </si>
  <si>
    <t>Solar Plant</t>
  </si>
  <si>
    <t>Grid</t>
  </si>
  <si>
    <t>Oil/gas</t>
  </si>
  <si>
    <t>All Unit Processes</t>
  </si>
  <si>
    <t>HNX</t>
  </si>
  <si>
    <t>RO 2</t>
  </si>
  <si>
    <t>RO 1</t>
  </si>
  <si>
    <t>RO 3</t>
  </si>
  <si>
    <t>Cold Rolling Area</t>
  </si>
  <si>
    <t>Steel Making Area</t>
  </si>
  <si>
    <t>Cities</t>
  </si>
  <si>
    <t>River Water</t>
  </si>
  <si>
    <t>River</t>
  </si>
  <si>
    <t>Green Area</t>
  </si>
  <si>
    <t>Industrial Wastewater</t>
  </si>
  <si>
    <t>Sanitary Wastewater</t>
  </si>
  <si>
    <t xml:space="preserve">Industrial Water </t>
  </si>
  <si>
    <t>Slab (Unfinished)</t>
  </si>
  <si>
    <t>Iteration Tool for Utility Carbon footprints</t>
  </si>
  <si>
    <t>Annual Emission Inventory (tCO2e/yr)</t>
  </si>
  <si>
    <t>Carbon Footprint of Products (tCO2e/ton)</t>
  </si>
  <si>
    <t xml:space="preserve"> Comparison Tool for Inventory and CFPs</t>
  </si>
  <si>
    <t>Electricity from Solar Plant</t>
  </si>
  <si>
    <t>Annual Totoal Emission (tCO2e/yr) and Production (ton)</t>
  </si>
  <si>
    <t>Total Production</t>
  </si>
  <si>
    <t>Total Emission</t>
  </si>
  <si>
    <t>Total Sold</t>
  </si>
  <si>
    <t>Sale (not steel)</t>
  </si>
  <si>
    <t>"Total Production" is the sum of all final products which are sold or stored.</t>
  </si>
  <si>
    <t>Details of Steam Emission Calculations (Various Types)</t>
  </si>
  <si>
    <t>نیروگاه‏های برق مبارکه</t>
  </si>
  <si>
    <t>Contracts Consumptions</t>
  </si>
  <si>
    <t>Slag Contracts Consumptions</t>
  </si>
  <si>
    <t>Waste Processing</t>
  </si>
  <si>
    <r>
      <t xml:space="preserve">7. Notes:
</t>
    </r>
    <r>
      <rPr>
        <sz val="11"/>
        <color theme="1"/>
        <rFont val="Times New Roman"/>
        <family val="1"/>
      </rPr>
      <t xml:space="preserve">User can add notes here.
</t>
    </r>
  </si>
  <si>
    <t>Variation of Carbon Footprint of Products to Base Year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</si>
</sst>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64" formatCode="_(* #,##0.00_);_(* \(#,##0.00\);_(* &quot;-&quot;??_);_(@_)"/>
    <numFmt numFmtId="165" formatCode="_(* #,##0_);_(* \(#,##0\);_(* &quot;-&quot;??_);_(@_)"/>
    <numFmt numFmtId="166" formatCode="0.0000"/>
    <numFmt numFmtId="167" formatCode="_(* #,##0.0_);_(* \(#,##0.0\);_(* &quot;-&quot;??_);_(@_)"/>
    <numFmt numFmtId="168" formatCode="0.0"/>
    <numFmt numFmtId="169" formatCode="0.0%"/>
    <numFmt numFmtId="170" formatCode="0.000000000"/>
    <numFmt numFmtId="171" formatCode="_(* #,##0.000_);_(* \(#,##0.000\);_(* &quot;-&quot;??_);_(@_)"/>
    <numFmt numFmtId="172" formatCode="0.000"/>
    <numFmt numFmtId="173" formatCode="0.000%"/>
    <numFmt numFmtId="174" formatCode="_(* #,##0.00000_);_(* \(#,##0.00000\);_(* &quot;-&quot;??_);_(@_)"/>
    <numFmt numFmtId="175" formatCode="_(* #,##0.000000_);_(* \(#,##0.000000\);_(* &quot;-&quot;??_);_(@_)"/>
    <numFmt numFmtId="176" formatCode="_(* #,##0.00000000_);_(* \(#,##0.00000000\);_(* &quot;-&quot;??_);_(@_)"/>
    <numFmt numFmtId="177" formatCode="_(* #,##0.0000000_);_(* \(#,##0.0000000\);_(* &quot;-&quot;??_);_(@_)"/>
    <numFmt numFmtId="178" formatCode="_(* #,##0.0000_);_(* \(#,##0.0000\);_(* &quot;-&quot;??_);_(@_)"/>
    <numFmt numFmtId="179" formatCode="0.00000"/>
    <numFmt numFmtId="180" formatCode="0.00000000"/>
    <numFmt numFmtId="181" formatCode="0.0000000"/>
    <numFmt numFmtId="182" formatCode="0.00000E+00"/>
  </numFmts>
  <fonts count="57" x14ac:knownFonts="1">
    <font>
      <sz val="11"/>
      <color theme="1"/>
      <name val="Arial"/>
      <family val="2"/>
      <scheme val="minor"/>
    </font>
    <font>
      <sz val="11"/>
      <color theme="1"/>
      <name val="Arial"/>
      <family val="2"/>
      <scheme val="minor"/>
    </font>
    <font>
      <b/>
      <sz val="11"/>
      <color theme="1"/>
      <name val="Arial"/>
      <family val="2"/>
      <scheme val="minor"/>
    </font>
    <font>
      <sz val="11"/>
      <color theme="1"/>
      <name val="B Mitra"/>
      <charset val="178"/>
    </font>
    <font>
      <b/>
      <sz val="11"/>
      <color theme="1"/>
      <name val="B Mitra"/>
      <charset val="178"/>
    </font>
    <font>
      <sz val="11"/>
      <name val="Times New Roman"/>
      <family val="1"/>
    </font>
    <font>
      <b/>
      <sz val="14"/>
      <color theme="1"/>
      <name val="B Titr"/>
      <charset val="178"/>
    </font>
    <font>
      <b/>
      <sz val="11"/>
      <name val="B Mitra"/>
      <charset val="178"/>
    </font>
    <font>
      <sz val="14"/>
      <color theme="1"/>
      <name val="B Titr"/>
      <charset val="178"/>
    </font>
    <font>
      <i/>
      <sz val="11"/>
      <color theme="1"/>
      <name val="Arial"/>
      <family val="2"/>
      <scheme val="minor"/>
    </font>
    <font>
      <sz val="11"/>
      <color theme="1"/>
      <name val="B Titr"/>
      <charset val="178"/>
    </font>
    <font>
      <sz val="10"/>
      <color theme="1"/>
      <name val="Times New Roman"/>
      <family val="1"/>
    </font>
    <font>
      <b/>
      <sz val="11"/>
      <color theme="1"/>
      <name val="Times New Roman"/>
      <family val="1"/>
    </font>
    <font>
      <b/>
      <vertAlign val="subscript"/>
      <sz val="11"/>
      <color theme="1"/>
      <name val="Times New Roman"/>
      <family val="1"/>
    </font>
    <font>
      <sz val="11"/>
      <color theme="1"/>
      <name val="Times New Roman"/>
      <family val="1"/>
    </font>
    <font>
      <vertAlign val="subscript"/>
      <sz val="11"/>
      <color theme="1"/>
      <name val="Times New Roman"/>
      <family val="1"/>
    </font>
    <font>
      <b/>
      <sz val="10"/>
      <color theme="1"/>
      <name val="B Mitra"/>
      <charset val="178"/>
    </font>
    <font>
      <sz val="10"/>
      <color theme="1"/>
      <name val="Arial"/>
      <family val="2"/>
      <scheme val="minor"/>
    </font>
    <font>
      <sz val="10"/>
      <color theme="1"/>
      <name val="B Mitra"/>
      <charset val="178"/>
    </font>
    <font>
      <sz val="8"/>
      <name val="Arial"/>
      <family val="2"/>
      <scheme val="minor"/>
    </font>
    <font>
      <b/>
      <vertAlign val="superscript"/>
      <sz val="11"/>
      <color theme="1"/>
      <name val="Times New Roman"/>
      <family val="1"/>
    </font>
    <font>
      <vertAlign val="superscript"/>
      <sz val="11"/>
      <color theme="1"/>
      <name val="Times New Roman"/>
      <family val="1"/>
    </font>
    <font>
      <u/>
      <sz val="11"/>
      <color theme="10"/>
      <name val="Arial"/>
      <family val="2"/>
      <scheme val="minor"/>
    </font>
    <font>
      <sz val="9"/>
      <color theme="1"/>
      <name val="Times New Roman"/>
      <family val="1"/>
    </font>
    <font>
      <u/>
      <sz val="11"/>
      <color theme="10"/>
      <name val="B Mitra"/>
      <charset val="178"/>
    </font>
    <font>
      <vertAlign val="superscript"/>
      <sz val="10"/>
      <color theme="1"/>
      <name val="Times New Roman"/>
      <family val="1"/>
    </font>
    <font>
      <sz val="14"/>
      <color theme="1"/>
      <name val="Times New Roman"/>
      <family val="1"/>
    </font>
    <font>
      <b/>
      <sz val="12"/>
      <color theme="1"/>
      <name val="Times New Roman"/>
      <family val="1"/>
    </font>
    <font>
      <sz val="11"/>
      <color theme="1"/>
      <name val="Wingdings 2"/>
      <family val="1"/>
      <charset val="2"/>
    </font>
    <font>
      <b/>
      <sz val="14"/>
      <color theme="1"/>
      <name val="Times New Roman"/>
      <family val="1"/>
    </font>
    <font>
      <b/>
      <sz val="11"/>
      <name val="Times New Roman"/>
      <family val="1"/>
    </font>
    <font>
      <b/>
      <sz val="16"/>
      <color theme="1"/>
      <name val="Times New Roman"/>
      <family val="1"/>
    </font>
    <font>
      <b/>
      <sz val="10"/>
      <color theme="1"/>
      <name val="Times New Roman"/>
      <family val="1"/>
    </font>
    <font>
      <b/>
      <sz val="10"/>
      <name val="Times New Roman"/>
      <family val="1"/>
    </font>
    <font>
      <b/>
      <sz val="14"/>
      <color rgb="FFC00000"/>
      <name val="Times New Roman"/>
      <family val="1"/>
    </font>
    <font>
      <b/>
      <sz val="18"/>
      <color theme="1"/>
      <name val="Times New Roman"/>
      <family val="1"/>
    </font>
    <font>
      <b/>
      <sz val="11"/>
      <color rgb="FF002060"/>
      <name val="Times New Roman"/>
      <family val="1"/>
    </font>
    <font>
      <sz val="8"/>
      <color theme="1"/>
      <name val="Times New Roman"/>
      <family val="1"/>
    </font>
    <font>
      <sz val="10"/>
      <color rgb="FF404040"/>
      <name val="Times New Roman"/>
      <family val="1"/>
    </font>
    <font>
      <b/>
      <sz val="11"/>
      <color rgb="FF404040"/>
      <name val="Times New Roman"/>
      <family val="1"/>
    </font>
    <font>
      <u/>
      <sz val="11"/>
      <color theme="10"/>
      <name val="Times New Roman"/>
      <family val="1"/>
    </font>
    <font>
      <b/>
      <sz val="9"/>
      <color theme="1"/>
      <name val="Times New Roman"/>
      <family val="1"/>
    </font>
    <font>
      <sz val="14"/>
      <color theme="1"/>
      <name val="B Mitra"/>
      <charset val="178"/>
    </font>
    <font>
      <b/>
      <sz val="12"/>
      <color rgb="FF404040"/>
      <name val="Times New Roman"/>
      <family val="1"/>
    </font>
    <font>
      <b/>
      <sz val="12"/>
      <color theme="1"/>
      <name val="B Mitra"/>
      <charset val="178"/>
    </font>
    <font>
      <b/>
      <sz val="12"/>
      <name val="Times New Roman"/>
      <family val="1"/>
    </font>
    <font>
      <b/>
      <sz val="12"/>
      <color theme="10"/>
      <name val="Times New Roman"/>
      <family val="1"/>
    </font>
    <font>
      <b/>
      <vertAlign val="subscript"/>
      <sz val="14"/>
      <color theme="1"/>
      <name val="Times New Roman"/>
      <family val="1"/>
    </font>
    <font>
      <sz val="12"/>
      <color theme="1"/>
      <name val="Times New Roman"/>
      <family val="1"/>
    </font>
    <font>
      <b/>
      <i/>
      <sz val="11"/>
      <color theme="1"/>
      <name val="Times New Roman"/>
      <family val="1"/>
    </font>
    <font>
      <b/>
      <sz val="12"/>
      <name val="B Mitra"/>
      <charset val="178"/>
    </font>
    <font>
      <vertAlign val="subscript"/>
      <sz val="10"/>
      <color theme="1"/>
      <name val="Times New Roman"/>
      <family val="1"/>
    </font>
    <font>
      <sz val="11"/>
      <name val="B Mitra"/>
      <charset val="178"/>
    </font>
    <font>
      <sz val="11"/>
      <color rgb="FF000000"/>
      <name val="Times New Roman"/>
      <family val="1"/>
    </font>
    <font>
      <u/>
      <sz val="10"/>
      <color theme="10"/>
      <name val="Times New Roman"/>
      <family val="1"/>
    </font>
    <font>
      <vertAlign val="superscript"/>
      <sz val="11"/>
      <color theme="1"/>
      <name val="B Mitra"/>
      <charset val="178"/>
    </font>
    <font>
      <b/>
      <vertAlign val="superscript"/>
      <sz val="9"/>
      <color theme="1"/>
      <name val="Times New Roman"/>
      <family val="1"/>
    </font>
  </fonts>
  <fills count="32">
    <fill>
      <patternFill patternType="none"/>
    </fill>
    <fill>
      <patternFill patternType="gray125"/>
    </fill>
    <fill>
      <patternFill patternType="solid">
        <fgColor theme="8" tint="0.59999389629810485"/>
        <bgColor indexed="64"/>
      </patternFill>
    </fill>
    <fill>
      <patternFill patternType="solid">
        <fgColor theme="0"/>
        <bgColor indexed="64"/>
      </patternFill>
    </fill>
    <fill>
      <patternFill patternType="solid">
        <fgColor rgb="FFFFC000"/>
        <bgColor indexed="64"/>
      </patternFill>
    </fill>
    <fill>
      <patternFill patternType="solid">
        <fgColor rgb="FFFFFFCC"/>
      </patternFill>
    </fill>
    <fill>
      <patternFill patternType="solid">
        <fgColor rgb="FF92D050"/>
        <bgColor indexed="64"/>
      </patternFill>
    </fill>
    <fill>
      <patternFill patternType="solid">
        <fgColor rgb="FFFFCCFF"/>
        <bgColor indexed="64"/>
      </patternFill>
    </fill>
    <fill>
      <patternFill patternType="lightUp">
        <bgColor theme="0"/>
      </patternFill>
    </fill>
    <fill>
      <patternFill patternType="solid">
        <fgColor theme="9" tint="0.59999389629810485"/>
        <bgColor indexed="64"/>
      </patternFill>
    </fill>
    <fill>
      <patternFill patternType="solid">
        <fgColor theme="5" tint="0.59999389629810485"/>
        <bgColor indexed="64"/>
      </patternFill>
    </fill>
    <fill>
      <patternFill patternType="solid">
        <fgColor rgb="FF85E8FF"/>
        <bgColor indexed="64"/>
      </patternFill>
    </fill>
    <fill>
      <patternFill patternType="solid">
        <fgColor rgb="FFFF6699"/>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00FF99"/>
        <bgColor indexed="64"/>
      </patternFill>
    </fill>
    <fill>
      <patternFill patternType="solid">
        <fgColor rgb="FFCC99FF"/>
        <bgColor indexed="64"/>
      </patternFill>
    </fill>
    <fill>
      <patternFill patternType="solid">
        <fgColor rgb="FFFF5050"/>
        <bgColor indexed="64"/>
      </patternFill>
    </fill>
    <fill>
      <patternFill patternType="solid">
        <fgColor rgb="FFBDD6EE"/>
        <bgColor indexed="64"/>
      </patternFill>
    </fill>
    <fill>
      <patternFill patternType="solid">
        <fgColor theme="2" tint="-0.49998474074526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rgb="FF92D050"/>
        <bgColor rgb="FF000000"/>
      </patternFill>
    </fill>
  </fills>
  <borders count="3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5" borderId="4" applyNumberFormat="0" applyFont="0" applyAlignment="0" applyProtection="0"/>
    <xf numFmtId="0" fontId="1" fillId="0" borderId="0"/>
    <xf numFmtId="0" fontId="22" fillId="0" borderId="0" applyNumberFormat="0" applyFill="0" applyBorder="0" applyAlignment="0" applyProtection="0"/>
  </cellStyleXfs>
  <cellXfs count="1146">
    <xf numFmtId="0" fontId="0" fillId="0" borderId="0" xfId="0"/>
    <xf numFmtId="0" fontId="3" fillId="0" borderId="1" xfId="0" applyFont="1" applyBorder="1" applyAlignment="1">
      <alignment horizontal="center" vertical="center"/>
    </xf>
    <xf numFmtId="0" fontId="3" fillId="3" borderId="0" xfId="0" applyFont="1" applyFill="1" applyAlignment="1">
      <alignment horizontal="right"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0" fillId="3" borderId="0" xfId="0" applyFill="1"/>
    <xf numFmtId="0" fontId="4" fillId="3" borderId="11" xfId="0" applyFont="1" applyFill="1" applyBorder="1" applyAlignment="1">
      <alignment vertical="center" wrapText="1" readingOrder="2"/>
    </xf>
    <xf numFmtId="0" fontId="4" fillId="3" borderId="8" xfId="0" applyFont="1" applyFill="1" applyBorder="1" applyAlignment="1">
      <alignment vertical="center" wrapText="1" readingOrder="2"/>
    </xf>
    <xf numFmtId="0" fontId="0" fillId="3" borderId="6" xfId="0" applyFill="1" applyBorder="1"/>
    <xf numFmtId="0" fontId="10" fillId="3" borderId="0" xfId="0" applyFont="1" applyFill="1" applyAlignment="1">
      <alignment horizontal="right" vertical="center"/>
    </xf>
    <xf numFmtId="0" fontId="1" fillId="3" borderId="0" xfId="0" applyFont="1" applyFill="1" applyAlignment="1">
      <alignment horizontal="center" vertical="center"/>
    </xf>
    <xf numFmtId="0" fontId="4" fillId="4" borderId="1" xfId="0" applyFont="1" applyFill="1" applyBorder="1" applyAlignment="1">
      <alignment vertical="center" readingOrder="2"/>
    </xf>
    <xf numFmtId="0" fontId="14" fillId="2" borderId="1" xfId="0" applyFont="1" applyFill="1" applyBorder="1" applyAlignment="1">
      <alignment horizontal="center" vertical="center"/>
    </xf>
    <xf numFmtId="0" fontId="14" fillId="6" borderId="1" xfId="0" applyFont="1" applyFill="1" applyBorder="1" applyAlignment="1">
      <alignment horizontal="center" vertical="center"/>
    </xf>
    <xf numFmtId="165" fontId="12" fillId="2" borderId="1" xfId="0" applyNumberFormat="1" applyFont="1" applyFill="1" applyBorder="1" applyAlignment="1">
      <alignment horizontal="center" vertical="center"/>
    </xf>
    <xf numFmtId="0" fontId="4" fillId="6" borderId="1" xfId="0" applyFont="1" applyFill="1" applyBorder="1" applyAlignment="1">
      <alignment vertical="center" wrapText="1" readingOrder="2"/>
    </xf>
    <xf numFmtId="0" fontId="11" fillId="3" borderId="0" xfId="0" applyFont="1" applyFill="1" applyAlignment="1">
      <alignment vertical="center"/>
    </xf>
    <xf numFmtId="0" fontId="14" fillId="0" borderId="1" xfId="0" applyFont="1" applyBorder="1" applyAlignment="1">
      <alignment horizontal="center" vertical="center"/>
    </xf>
    <xf numFmtId="165" fontId="14" fillId="0" borderId="1" xfId="0" applyNumberFormat="1" applyFont="1" applyFill="1" applyBorder="1" applyAlignment="1" applyProtection="1">
      <alignment horizontal="center" vertical="center"/>
    </xf>
    <xf numFmtId="165" fontId="14" fillId="7" borderId="1" xfId="0" applyNumberFormat="1" applyFont="1" applyFill="1" applyBorder="1" applyAlignment="1" applyProtection="1">
      <alignment vertical="center"/>
    </xf>
    <xf numFmtId="165" fontId="5" fillId="7" borderId="1" xfId="1" applyNumberFormat="1" applyFont="1" applyFill="1" applyBorder="1" applyAlignment="1" applyProtection="1">
      <alignment horizontal="center" vertical="center"/>
    </xf>
    <xf numFmtId="165" fontId="14" fillId="7" borderId="1" xfId="1" applyNumberFormat="1" applyFont="1" applyFill="1" applyBorder="1" applyAlignment="1" applyProtection="1">
      <alignment horizontal="center" vertical="center"/>
    </xf>
    <xf numFmtId="0" fontId="3" fillId="3" borderId="0" xfId="0" applyFont="1" applyFill="1" applyAlignment="1">
      <alignment horizontal="center" vertical="center" readingOrder="2"/>
    </xf>
    <xf numFmtId="0" fontId="18" fillId="3" borderId="0" xfId="0" applyFont="1" applyFill="1" applyAlignment="1">
      <alignment horizontal="right" vertical="center"/>
    </xf>
    <xf numFmtId="0" fontId="14" fillId="3" borderId="0" xfId="0" applyFont="1" applyFill="1" applyAlignment="1">
      <alignment horizontal="center" vertical="center"/>
    </xf>
    <xf numFmtId="0" fontId="4" fillId="3" borderId="1" xfId="0" applyFont="1" applyFill="1" applyBorder="1" applyAlignment="1">
      <alignment horizontal="center" vertical="center" readingOrder="2"/>
    </xf>
    <xf numFmtId="0" fontId="3" fillId="3" borderId="1" xfId="0" applyFont="1" applyFill="1" applyBorder="1" applyAlignment="1">
      <alignment horizontal="center" vertical="center" readingOrder="2"/>
    </xf>
    <xf numFmtId="0" fontId="4" fillId="3" borderId="0" xfId="0" applyFont="1" applyFill="1" applyAlignment="1">
      <alignment horizontal="right" vertical="center"/>
    </xf>
    <xf numFmtId="0" fontId="3" fillId="3" borderId="24" xfId="0" applyFont="1" applyFill="1" applyBorder="1" applyAlignment="1">
      <alignment horizontal="center" vertical="center" readingOrder="2"/>
    </xf>
    <xf numFmtId="0" fontId="3" fillId="3" borderId="22" xfId="0" applyFont="1" applyFill="1" applyBorder="1" applyAlignment="1">
      <alignment vertical="center" readingOrder="2"/>
    </xf>
    <xf numFmtId="0" fontId="3" fillId="3" borderId="24" xfId="0" applyFont="1" applyFill="1" applyBorder="1" applyAlignment="1">
      <alignment vertical="center" readingOrder="2"/>
    </xf>
    <xf numFmtId="0" fontId="4" fillId="3" borderId="0" xfId="0" applyFont="1" applyFill="1" applyAlignment="1">
      <alignment horizontal="right" vertical="center" readingOrder="2"/>
    </xf>
    <xf numFmtId="0" fontId="3" fillId="3" borderId="0" xfId="0" applyFont="1" applyFill="1" applyAlignment="1">
      <alignment horizontal="right" vertical="center" readingOrder="2"/>
    </xf>
    <xf numFmtId="0" fontId="14" fillId="3" borderId="1" xfId="0" applyFont="1" applyFill="1" applyBorder="1" applyAlignment="1">
      <alignment horizontal="center" vertical="center" readingOrder="2"/>
    </xf>
    <xf numFmtId="0" fontId="3" fillId="3" borderId="0" xfId="0" applyFont="1" applyFill="1" applyBorder="1" applyAlignment="1">
      <alignment horizontal="center" vertical="center" readingOrder="2"/>
    </xf>
    <xf numFmtId="0" fontId="14" fillId="3" borderId="3" xfId="0" applyFont="1" applyFill="1" applyBorder="1" applyAlignment="1">
      <alignment horizontal="center" vertical="center" readingOrder="2"/>
    </xf>
    <xf numFmtId="0" fontId="4" fillId="3" borderId="0" xfId="0" applyFont="1" applyFill="1" applyBorder="1" applyAlignment="1">
      <alignment horizontal="center" vertical="center" readingOrder="2"/>
    </xf>
    <xf numFmtId="0" fontId="18" fillId="3" borderId="0" xfId="0" applyFont="1" applyFill="1" applyBorder="1" applyAlignment="1">
      <alignment horizontal="right" vertical="center" wrapText="1"/>
    </xf>
    <xf numFmtId="0" fontId="14" fillId="3" borderId="0" xfId="0" applyFont="1" applyFill="1" applyBorder="1" applyAlignment="1">
      <alignment horizontal="center" vertical="center" readingOrder="2"/>
    </xf>
    <xf numFmtId="0" fontId="18" fillId="3" borderId="0" xfId="0" applyFont="1" applyFill="1" applyBorder="1" applyAlignment="1">
      <alignment vertical="center" wrapText="1"/>
    </xf>
    <xf numFmtId="0" fontId="3" fillId="3" borderId="0" xfId="0" applyFont="1" applyFill="1" applyAlignment="1">
      <alignment vertical="center"/>
    </xf>
    <xf numFmtId="165" fontId="14" fillId="7" borderId="1" xfId="1" applyNumberFormat="1" applyFont="1" applyFill="1" applyBorder="1" applyAlignment="1" applyProtection="1">
      <alignment horizontal="right" vertical="center"/>
    </xf>
    <xf numFmtId="165" fontId="12" fillId="2" borderId="1" xfId="0" applyNumberFormat="1" applyFont="1" applyFill="1" applyBorder="1" applyAlignment="1" applyProtection="1">
      <alignment vertical="center"/>
    </xf>
    <xf numFmtId="0" fontId="6" fillId="3" borderId="0" xfId="0" applyFont="1" applyFill="1" applyBorder="1" applyAlignment="1">
      <alignment vertical="center"/>
    </xf>
    <xf numFmtId="165" fontId="3" fillId="3" borderId="0" xfId="0" applyNumberFormat="1" applyFont="1" applyFill="1" applyBorder="1" applyAlignment="1">
      <alignment horizontal="right" vertical="center"/>
    </xf>
    <xf numFmtId="0" fontId="12" fillId="3" borderId="0" xfId="0" applyFont="1" applyFill="1" applyBorder="1" applyAlignment="1">
      <alignment horizontal="center" vertical="center" readingOrder="2"/>
    </xf>
    <xf numFmtId="0" fontId="4" fillId="3" borderId="0" xfId="0" applyFont="1" applyFill="1" applyBorder="1" applyAlignment="1">
      <alignment horizontal="right" vertical="center"/>
    </xf>
    <xf numFmtId="0" fontId="14" fillId="6" borderId="1" xfId="0" applyFont="1" applyFill="1" applyBorder="1" applyAlignment="1">
      <alignment horizontal="center" vertical="center" readingOrder="2"/>
    </xf>
    <xf numFmtId="0" fontId="4" fillId="3" borderId="0" xfId="0" applyFont="1" applyFill="1" applyBorder="1" applyAlignment="1">
      <alignment vertical="center"/>
    </xf>
    <xf numFmtId="0" fontId="17" fillId="3" borderId="0" xfId="0" applyFont="1" applyFill="1" applyBorder="1" applyAlignment="1">
      <alignment horizontal="left" vertical="center" wrapText="1"/>
    </xf>
    <xf numFmtId="172" fontId="14" fillId="6" borderId="1" xfId="0" applyNumberFormat="1" applyFont="1" applyFill="1" applyBorder="1" applyAlignment="1">
      <alignment horizontal="center" vertical="center" readingOrder="2"/>
    </xf>
    <xf numFmtId="0" fontId="17" fillId="3" borderId="0" xfId="0" applyFont="1" applyFill="1" applyBorder="1" applyAlignment="1">
      <alignment vertical="center" wrapText="1"/>
    </xf>
    <xf numFmtId="0" fontId="14" fillId="6" borderId="24" xfId="0" applyFont="1" applyFill="1" applyBorder="1" applyAlignment="1">
      <alignment horizontal="center" vertical="center" readingOrder="2"/>
    </xf>
    <xf numFmtId="165" fontId="14" fillId="6" borderId="1" xfId="1" applyNumberFormat="1" applyFont="1" applyFill="1" applyBorder="1" applyAlignment="1">
      <alignment horizontal="center" vertical="center" readingOrder="2"/>
    </xf>
    <xf numFmtId="165" fontId="14" fillId="3" borderId="1" xfId="1" applyNumberFormat="1" applyFont="1" applyFill="1" applyBorder="1" applyAlignment="1">
      <alignment horizontal="center" vertical="center" readingOrder="2"/>
    </xf>
    <xf numFmtId="171" fontId="14" fillId="3" borderId="1" xfId="1" applyNumberFormat="1" applyFont="1" applyFill="1" applyBorder="1" applyAlignment="1">
      <alignment horizontal="center" vertical="center" readingOrder="2"/>
    </xf>
    <xf numFmtId="165" fontId="12" fillId="3" borderId="1" xfId="1" applyNumberFormat="1" applyFont="1" applyFill="1" applyBorder="1" applyAlignment="1">
      <alignment horizontal="center" vertical="center" readingOrder="2"/>
    </xf>
    <xf numFmtId="0" fontId="14" fillId="0" borderId="1" xfId="0" applyNumberFormat="1" applyFont="1" applyFill="1" applyBorder="1" applyAlignment="1">
      <alignment horizontal="center" vertical="center"/>
    </xf>
    <xf numFmtId="10" fontId="14" fillId="0" borderId="1" xfId="2" applyNumberFormat="1" applyFont="1" applyBorder="1" applyAlignment="1" applyProtection="1">
      <alignment horizontal="center" vertical="center"/>
    </xf>
    <xf numFmtId="169" fontId="14" fillId="0" borderId="1" xfId="2" applyNumberFormat="1" applyFont="1" applyBorder="1" applyAlignment="1" applyProtection="1">
      <alignment horizontal="center" vertical="center"/>
    </xf>
    <xf numFmtId="167" fontId="14" fillId="7" borderId="1" xfId="1" applyNumberFormat="1" applyFont="1" applyFill="1" applyBorder="1" applyAlignment="1" applyProtection="1">
      <alignment horizontal="right" vertical="center"/>
    </xf>
    <xf numFmtId="167" fontId="5" fillId="7" borderId="1" xfId="1" applyNumberFormat="1" applyFont="1" applyFill="1" applyBorder="1" applyAlignment="1" applyProtection="1">
      <alignment horizontal="center" vertical="center"/>
    </xf>
    <xf numFmtId="173" fontId="14" fillId="7" borderId="1" xfId="2" applyNumberFormat="1" applyFont="1" applyFill="1" applyBorder="1" applyAlignment="1" applyProtection="1">
      <alignment horizontal="center" vertical="center"/>
    </xf>
    <xf numFmtId="167" fontId="3" fillId="3" borderId="0" xfId="0" applyNumberFormat="1" applyFont="1" applyFill="1" applyAlignment="1">
      <alignment horizontal="center" vertical="center"/>
    </xf>
    <xf numFmtId="164" fontId="3" fillId="3" borderId="0" xfId="1" applyFont="1" applyFill="1" applyAlignment="1">
      <alignment horizontal="center" vertical="center"/>
    </xf>
    <xf numFmtId="165" fontId="14" fillId="7" borderId="1" xfId="0" applyNumberFormat="1" applyFont="1" applyFill="1" applyBorder="1" applyAlignment="1" applyProtection="1">
      <alignment horizontal="right" vertical="center"/>
    </xf>
    <xf numFmtId="165" fontId="12" fillId="2" borderId="1" xfId="0" applyNumberFormat="1" applyFont="1" applyFill="1" applyBorder="1" applyAlignment="1" applyProtection="1">
      <alignment horizontal="right" vertical="center"/>
    </xf>
    <xf numFmtId="165" fontId="14" fillId="0" borderId="24" xfId="1" applyNumberFormat="1" applyFont="1" applyBorder="1" applyAlignment="1" applyProtection="1">
      <alignment horizontal="center" vertical="center"/>
    </xf>
    <xf numFmtId="0" fontId="17" fillId="3" borderId="0" xfId="0" applyFont="1" applyFill="1" applyBorder="1" applyAlignment="1">
      <alignment vertical="top" wrapText="1"/>
    </xf>
    <xf numFmtId="3" fontId="14" fillId="6" borderId="1" xfId="0" applyNumberFormat="1" applyFont="1" applyFill="1" applyBorder="1" applyAlignment="1">
      <alignment horizontal="center" vertical="center"/>
    </xf>
    <xf numFmtId="10" fontId="14" fillId="6" borderId="1" xfId="2" applyNumberFormat="1" applyFont="1" applyFill="1" applyBorder="1" applyAlignment="1">
      <alignment horizontal="center" vertical="center"/>
    </xf>
    <xf numFmtId="0" fontId="12" fillId="3" borderId="1" xfId="0" applyFont="1" applyFill="1" applyBorder="1" applyAlignment="1">
      <alignment horizontal="center" vertical="center"/>
    </xf>
    <xf numFmtId="0" fontId="12" fillId="0" borderId="1" xfId="0" applyFont="1" applyBorder="1" applyAlignment="1">
      <alignment horizontal="center" vertical="center"/>
    </xf>
    <xf numFmtId="11" fontId="14" fillId="6" borderId="1" xfId="0" applyNumberFormat="1" applyFont="1" applyFill="1" applyBorder="1" applyAlignment="1">
      <alignment horizontal="center" vertical="center"/>
    </xf>
    <xf numFmtId="170" fontId="14" fillId="6" borderId="1" xfId="0" applyNumberFormat="1" applyFont="1" applyFill="1" applyBorder="1" applyAlignment="1">
      <alignment horizontal="center" vertical="center"/>
    </xf>
    <xf numFmtId="0" fontId="11" fillId="0" borderId="1" xfId="0" applyNumberFormat="1" applyFont="1" applyFill="1" applyBorder="1" applyAlignment="1">
      <alignment horizontal="center" vertical="center"/>
    </xf>
    <xf numFmtId="165" fontId="14" fillId="4" borderId="1" xfId="1" applyNumberFormat="1" applyFont="1" applyFill="1" applyBorder="1" applyAlignment="1" applyProtection="1">
      <alignment vertical="center"/>
    </xf>
    <xf numFmtId="0" fontId="14" fillId="3" borderId="1" xfId="0" applyFont="1" applyFill="1" applyBorder="1" applyAlignment="1">
      <alignment horizontal="center" vertical="center"/>
    </xf>
    <xf numFmtId="0" fontId="4" fillId="3" borderId="0" xfId="0" applyFont="1" applyFill="1" applyBorder="1" applyAlignment="1">
      <alignment horizontal="center" vertical="center"/>
    </xf>
    <xf numFmtId="0" fontId="3" fillId="3" borderId="0" xfId="0" applyFont="1" applyFill="1" applyBorder="1" applyAlignment="1">
      <alignment horizontal="center" vertical="center"/>
    </xf>
    <xf numFmtId="0" fontId="3" fillId="3" borderId="0" xfId="0" applyFont="1" applyFill="1" applyAlignment="1">
      <alignment horizontal="center" vertical="center" wrapText="1"/>
    </xf>
    <xf numFmtId="0" fontId="14" fillId="3" borderId="0" xfId="0" applyFont="1" applyFill="1" applyBorder="1" applyAlignment="1">
      <alignment horizontal="center" vertical="center"/>
    </xf>
    <xf numFmtId="166" fontId="14" fillId="3" borderId="1" xfId="0" applyNumberFormat="1" applyFont="1" applyFill="1" applyBorder="1" applyAlignment="1" applyProtection="1">
      <alignment horizontal="center" vertical="center"/>
    </xf>
    <xf numFmtId="11" fontId="14" fillId="3" borderId="1" xfId="0" applyNumberFormat="1" applyFont="1" applyFill="1" applyBorder="1" applyAlignment="1" applyProtection="1">
      <alignment horizontal="center" vertical="center"/>
    </xf>
    <xf numFmtId="0" fontId="14" fillId="3" borderId="3" xfId="0" applyFont="1" applyFill="1" applyBorder="1" applyAlignment="1" applyProtection="1">
      <alignment horizontal="center" vertical="center"/>
    </xf>
    <xf numFmtId="164" fontId="14" fillId="3" borderId="1" xfId="0" applyNumberFormat="1" applyFont="1" applyFill="1" applyBorder="1" applyAlignment="1" applyProtection="1">
      <alignment horizontal="center" vertical="center"/>
    </xf>
    <xf numFmtId="170" fontId="14" fillId="3" borderId="1" xfId="0"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7" fontId="14" fillId="7" borderId="1" xfId="0" applyNumberFormat="1" applyFont="1" applyFill="1" applyBorder="1" applyAlignment="1" applyProtection="1">
      <alignment horizontal="right" vertical="center"/>
    </xf>
    <xf numFmtId="170" fontId="14" fillId="3" borderId="24" xfId="0" applyNumberFormat="1" applyFont="1" applyFill="1" applyBorder="1" applyAlignment="1" applyProtection="1">
      <alignment horizontal="center" vertical="center"/>
    </xf>
    <xf numFmtId="165" fontId="14" fillId="7" borderId="1" xfId="0"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readingOrder="2"/>
    </xf>
    <xf numFmtId="165" fontId="14" fillId="0" borderId="1" xfId="0" applyNumberFormat="1" applyFont="1" applyBorder="1" applyAlignment="1" applyProtection="1">
      <alignment horizontal="right" vertical="center"/>
    </xf>
    <xf numFmtId="175" fontId="14" fillId="6" borderId="1" xfId="1" applyNumberFormat="1" applyFont="1" applyFill="1" applyBorder="1" applyAlignment="1">
      <alignment horizontal="center" vertical="center"/>
    </xf>
    <xf numFmtId="0" fontId="4" fillId="3" borderId="0" xfId="0" applyFont="1" applyFill="1" applyBorder="1" applyAlignment="1">
      <alignment horizontal="center" vertical="center" wrapText="1"/>
    </xf>
    <xf numFmtId="0" fontId="6" fillId="3" borderId="0" xfId="0" applyFont="1" applyFill="1" applyBorder="1" applyAlignment="1">
      <alignment horizontal="center" vertical="center"/>
    </xf>
    <xf numFmtId="0" fontId="12" fillId="3" borderId="0" xfId="0" applyFont="1" applyFill="1" applyBorder="1" applyAlignment="1">
      <alignment horizontal="center" vertical="center"/>
    </xf>
    <xf numFmtId="165" fontId="14" fillId="3" borderId="0" xfId="1" applyNumberFormat="1" applyFont="1" applyFill="1" applyBorder="1" applyAlignment="1" applyProtection="1">
      <alignment horizontal="center" vertical="center"/>
    </xf>
    <xf numFmtId="165" fontId="12" fillId="3" borderId="0" xfId="0" applyNumberFormat="1" applyFont="1" applyFill="1" applyBorder="1" applyAlignment="1">
      <alignment horizontal="center" vertical="center"/>
    </xf>
    <xf numFmtId="165" fontId="14" fillId="3" borderId="1" xfId="0" applyNumberFormat="1" applyFont="1" applyFill="1" applyBorder="1" applyAlignment="1" applyProtection="1">
      <alignment vertical="center"/>
    </xf>
    <xf numFmtId="0" fontId="4" fillId="2" borderId="26" xfId="0" applyFont="1" applyFill="1" applyBorder="1" applyAlignment="1">
      <alignment horizontal="center" vertical="center"/>
    </xf>
    <xf numFmtId="0" fontId="3" fillId="4" borderId="0" xfId="0" applyFont="1" applyFill="1" applyAlignment="1">
      <alignment horizontal="center" vertical="center"/>
    </xf>
    <xf numFmtId="0" fontId="3" fillId="4" borderId="0" xfId="0" applyFont="1" applyFill="1" applyAlignment="1">
      <alignment horizontal="right" vertical="center"/>
    </xf>
    <xf numFmtId="0" fontId="8" fillId="4" borderId="0" xfId="0" applyFont="1" applyFill="1" applyAlignment="1">
      <alignment horizontal="center" vertical="center"/>
    </xf>
    <xf numFmtId="49" fontId="8" fillId="4" borderId="0" xfId="0" applyNumberFormat="1" applyFont="1" applyFill="1" applyAlignment="1">
      <alignment horizontal="center" vertical="center" readingOrder="2"/>
    </xf>
    <xf numFmtId="0" fontId="3" fillId="3" borderId="0" xfId="0" applyFont="1" applyFill="1" applyBorder="1" applyAlignment="1">
      <alignment vertical="center" readingOrder="2"/>
    </xf>
    <xf numFmtId="0" fontId="11" fillId="3" borderId="0" xfId="0" applyFont="1" applyFill="1" applyBorder="1" applyAlignment="1">
      <alignment vertical="center"/>
    </xf>
    <xf numFmtId="0" fontId="4" fillId="3" borderId="0" xfId="0" applyFont="1" applyFill="1" applyBorder="1" applyAlignment="1">
      <alignment vertical="center" readingOrder="2"/>
    </xf>
    <xf numFmtId="0" fontId="24" fillId="3" borderId="0" xfId="5" applyFont="1" applyFill="1" applyAlignment="1">
      <alignment horizontal="right" vertical="center"/>
    </xf>
    <xf numFmtId="0" fontId="4" fillId="3" borderId="0" xfId="0" applyFont="1" applyFill="1" applyAlignment="1">
      <alignment horizontal="right" vertical="center" readingOrder="2"/>
    </xf>
    <xf numFmtId="164" fontId="14" fillId="3" borderId="1" xfId="1" applyFont="1" applyFill="1" applyBorder="1" applyAlignment="1" applyProtection="1">
      <alignment horizontal="center" vertical="center"/>
    </xf>
    <xf numFmtId="0" fontId="11" fillId="3" borderId="0" xfId="0" applyFont="1" applyFill="1" applyAlignment="1">
      <alignment horizontal="center" vertical="center"/>
    </xf>
    <xf numFmtId="0" fontId="11" fillId="3" borderId="1" xfId="0" applyFont="1" applyFill="1" applyBorder="1" applyAlignment="1">
      <alignment horizontal="center" vertical="center"/>
    </xf>
    <xf numFmtId="0" fontId="8" fillId="3" borderId="0" xfId="0" applyFont="1" applyFill="1" applyBorder="1" applyAlignment="1">
      <alignment vertical="center"/>
    </xf>
    <xf numFmtId="0" fontId="3" fillId="3" borderId="0" xfId="0" applyFont="1" applyFill="1" applyBorder="1" applyAlignment="1">
      <alignment vertical="center"/>
    </xf>
    <xf numFmtId="165" fontId="14" fillId="3" borderId="1" xfId="1" applyNumberFormat="1" applyFont="1" applyFill="1" applyBorder="1" applyAlignment="1" applyProtection="1">
      <alignment horizontal="center" vertical="center"/>
    </xf>
    <xf numFmtId="164" fontId="5" fillId="0" borderId="1" xfId="1" applyFont="1" applyBorder="1" applyAlignment="1" applyProtection="1">
      <alignment horizontal="center" vertical="center"/>
    </xf>
    <xf numFmtId="177" fontId="14" fillId="7" borderId="1" xfId="1" applyNumberFormat="1" applyFont="1" applyFill="1" applyBorder="1" applyAlignment="1" applyProtection="1">
      <alignment horizontal="center" vertical="center"/>
    </xf>
    <xf numFmtId="165" fontId="23" fillId="3" borderId="1" xfId="1" applyNumberFormat="1" applyFont="1" applyFill="1" applyBorder="1" applyAlignment="1" applyProtection="1">
      <alignment vertical="center"/>
    </xf>
    <xf numFmtId="0" fontId="4" fillId="2" borderId="26" xfId="0" applyFont="1" applyFill="1" applyBorder="1" applyAlignment="1">
      <alignment horizontal="center" vertical="center"/>
    </xf>
    <xf numFmtId="165" fontId="14" fillId="7" borderId="3" xfId="1" applyNumberFormat="1" applyFont="1" applyFill="1" applyBorder="1" applyAlignment="1" applyProtection="1">
      <alignment horizontal="right" vertical="center"/>
    </xf>
    <xf numFmtId="0" fontId="18" fillId="3" borderId="0" xfId="0" applyFont="1" applyFill="1" applyBorder="1" applyAlignment="1">
      <alignment horizontal="right" vertical="center" wrapText="1"/>
    </xf>
    <xf numFmtId="0" fontId="4" fillId="3" borderId="0" xfId="0" applyFont="1" applyFill="1" applyBorder="1" applyAlignment="1">
      <alignment horizontal="center" vertical="center"/>
    </xf>
    <xf numFmtId="0" fontId="3" fillId="3" borderId="1" xfId="0" applyFont="1" applyFill="1" applyBorder="1" applyAlignment="1">
      <alignment horizontal="center" vertical="center"/>
    </xf>
    <xf numFmtId="0" fontId="26" fillId="4" borderId="1" xfId="0" applyFont="1" applyFill="1" applyBorder="1" applyAlignment="1">
      <alignment horizontal="center" vertical="center"/>
    </xf>
    <xf numFmtId="10" fontId="4" fillId="3" borderId="0" xfId="1" applyNumberFormat="1" applyFont="1" applyFill="1" applyBorder="1" applyAlignment="1">
      <alignment horizontal="center" vertical="center" wrapText="1"/>
    </xf>
    <xf numFmtId="9" fontId="12" fillId="3" borderId="0" xfId="2" applyNumberFormat="1" applyFont="1" applyFill="1" applyBorder="1" applyAlignment="1">
      <alignment horizontal="center" vertical="center"/>
    </xf>
    <xf numFmtId="10" fontId="14" fillId="3" borderId="0" xfId="2" applyNumberFormat="1" applyFont="1" applyFill="1" applyBorder="1" applyAlignment="1" applyProtection="1">
      <alignment horizontal="center" vertical="center"/>
    </xf>
    <xf numFmtId="0" fontId="27" fillId="2" borderId="1" xfId="0" applyFont="1" applyFill="1" applyBorder="1" applyAlignment="1">
      <alignment horizontal="center" vertical="center"/>
    </xf>
    <xf numFmtId="0" fontId="0" fillId="3" borderId="1" xfId="0" applyFill="1" applyBorder="1" applyAlignment="1">
      <alignment horizontal="center"/>
    </xf>
    <xf numFmtId="0" fontId="28" fillId="3" borderId="1" xfId="0" applyFont="1" applyFill="1" applyBorder="1" applyAlignment="1">
      <alignment horizontal="center" vertical="center"/>
    </xf>
    <xf numFmtId="0" fontId="14" fillId="3" borderId="1" xfId="0" applyFont="1" applyFill="1" applyBorder="1" applyAlignment="1">
      <alignment horizontal="left" vertical="center"/>
    </xf>
    <xf numFmtId="0" fontId="14" fillId="3" borderId="1" xfId="0" applyFont="1" applyFill="1" applyBorder="1" applyAlignment="1">
      <alignment horizontal="left"/>
    </xf>
    <xf numFmtId="165" fontId="14" fillId="4" borderId="1" xfId="1" applyNumberFormat="1" applyFont="1" applyFill="1" applyBorder="1" applyAlignment="1" applyProtection="1">
      <alignment horizontal="center" vertical="center"/>
    </xf>
    <xf numFmtId="165" fontId="14" fillId="0" borderId="26" xfId="1" applyNumberFormat="1" applyFont="1" applyFill="1" applyBorder="1" applyAlignment="1" applyProtection="1">
      <alignment horizontal="center" vertical="center"/>
    </xf>
    <xf numFmtId="165" fontId="12" fillId="2" borderId="1" xfId="1" applyNumberFormat="1" applyFont="1" applyFill="1" applyBorder="1" applyAlignment="1" applyProtection="1">
      <alignment horizontal="center" vertical="center"/>
    </xf>
    <xf numFmtId="174" fontId="12" fillId="2" borderId="1" xfId="1" applyNumberFormat="1" applyFont="1" applyFill="1" applyBorder="1" applyAlignment="1" applyProtection="1">
      <alignment horizontal="center" vertical="center"/>
    </xf>
    <xf numFmtId="174" fontId="14" fillId="3" borderId="1" xfId="1" applyNumberFormat="1" applyFont="1" applyFill="1" applyBorder="1" applyAlignment="1" applyProtection="1">
      <alignment horizontal="center" vertical="center"/>
    </xf>
    <xf numFmtId="0" fontId="12" fillId="2" borderId="1" xfId="0" applyFont="1" applyFill="1" applyBorder="1" applyAlignment="1">
      <alignment horizontal="center" vertical="center"/>
    </xf>
    <xf numFmtId="0" fontId="30" fillId="3" borderId="0" xfId="0" applyFont="1" applyFill="1" applyAlignment="1">
      <alignment horizontal="center" vertical="center"/>
    </xf>
    <xf numFmtId="0" fontId="12" fillId="2" borderId="26" xfId="0" applyFont="1" applyFill="1" applyBorder="1" applyAlignment="1">
      <alignment horizontal="center" vertical="center"/>
    </xf>
    <xf numFmtId="0" fontId="14" fillId="0" borderId="1" xfId="0" applyFont="1" applyBorder="1" applyAlignment="1">
      <alignment horizontal="center" vertical="center" readingOrder="2"/>
    </xf>
    <xf numFmtId="0" fontId="12" fillId="2" borderId="1" xfId="0" applyFont="1" applyFill="1" applyBorder="1" applyAlignment="1">
      <alignment horizontal="center" vertical="center"/>
    </xf>
    <xf numFmtId="0" fontId="12" fillId="9" borderId="1" xfId="0" applyFont="1" applyFill="1" applyBorder="1" applyAlignment="1">
      <alignment horizontal="center" vertical="center" wrapText="1"/>
    </xf>
    <xf numFmtId="0" fontId="12" fillId="3" borderId="0" xfId="0" applyFont="1" applyFill="1" applyAlignment="1">
      <alignment horizontal="center" vertical="center"/>
    </xf>
    <xf numFmtId="0" fontId="14" fillId="3" borderId="0" xfId="0" applyFont="1" applyFill="1" applyAlignment="1">
      <alignment horizontal="right" vertical="center"/>
    </xf>
    <xf numFmtId="0" fontId="12" fillId="3" borderId="1" xfId="0" applyFont="1" applyFill="1" applyBorder="1" applyAlignment="1">
      <alignment horizontal="center" vertical="center" readingOrder="2"/>
    </xf>
    <xf numFmtId="0" fontId="5" fillId="0" borderId="1" xfId="0" applyFont="1" applyBorder="1" applyAlignment="1">
      <alignment horizontal="center" vertical="center"/>
    </xf>
    <xf numFmtId="0" fontId="14" fillId="3" borderId="0" xfId="0" applyFont="1" applyFill="1"/>
    <xf numFmtId="0" fontId="14" fillId="15" borderId="1" xfId="0" applyFont="1" applyFill="1" applyBorder="1" applyAlignment="1">
      <alignment horizontal="center" vertical="center"/>
    </xf>
    <xf numFmtId="0" fontId="14" fillId="14" borderId="1" xfId="0" applyFont="1" applyFill="1" applyBorder="1" applyAlignment="1">
      <alignment horizontal="center" vertical="center"/>
    </xf>
    <xf numFmtId="0" fontId="14" fillId="13" borderId="1" xfId="0" applyFont="1" applyFill="1" applyBorder="1" applyAlignment="1">
      <alignment horizontal="center" vertical="center"/>
    </xf>
    <xf numFmtId="0" fontId="14" fillId="16" borderId="1" xfId="0" applyFont="1" applyFill="1" applyBorder="1" applyAlignment="1">
      <alignment horizontal="center" vertical="center"/>
    </xf>
    <xf numFmtId="0" fontId="14" fillId="17" borderId="1" xfId="0" applyFont="1" applyFill="1" applyBorder="1" applyAlignment="1">
      <alignment horizontal="center" vertical="center"/>
    </xf>
    <xf numFmtId="0" fontId="33"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34" fillId="3" borderId="0" xfId="0" applyFont="1" applyFill="1" applyAlignment="1">
      <alignment horizontal="right" vertical="center"/>
    </xf>
    <xf numFmtId="0" fontId="12" fillId="3" borderId="24" xfId="0" applyFont="1" applyFill="1" applyBorder="1" applyAlignment="1">
      <alignment horizontal="center" vertical="center" readingOrder="2"/>
    </xf>
    <xf numFmtId="49" fontId="35" fillId="4" borderId="0" xfId="0" applyNumberFormat="1" applyFont="1" applyFill="1" applyAlignment="1">
      <alignment horizontal="center" vertical="center" readingOrder="2"/>
    </xf>
    <xf numFmtId="0" fontId="35" fillId="4" borderId="0" xfId="0" applyFont="1" applyFill="1" applyAlignment="1">
      <alignment horizontal="center" vertical="center"/>
    </xf>
    <xf numFmtId="164" fontId="12" fillId="2" borderId="1" xfId="1" applyFont="1" applyFill="1" applyBorder="1" applyAlignment="1">
      <alignment horizontal="center" vertical="center" wrapText="1"/>
    </xf>
    <xf numFmtId="10" fontId="12" fillId="2" borderId="1" xfId="1" applyNumberFormat="1" applyFont="1" applyFill="1" applyBorder="1" applyAlignment="1">
      <alignment horizontal="center" vertical="center" wrapText="1"/>
    </xf>
    <xf numFmtId="0" fontId="14" fillId="12" borderId="1" xfId="0" applyFont="1" applyFill="1" applyBorder="1" applyAlignment="1">
      <alignment horizontal="center" vertical="center"/>
    </xf>
    <xf numFmtId="0" fontId="12" fillId="3" borderId="0" xfId="0" applyFont="1" applyFill="1" applyAlignment="1">
      <alignment horizontal="left" vertical="center"/>
    </xf>
    <xf numFmtId="0" fontId="14" fillId="0" borderId="3" xfId="0" applyFont="1" applyBorder="1" applyAlignment="1">
      <alignment horizontal="center" vertical="center" readingOrder="2"/>
    </xf>
    <xf numFmtId="177" fontId="14" fillId="3" borderId="1" xfId="1" applyNumberFormat="1" applyFont="1" applyFill="1" applyBorder="1" applyAlignment="1" applyProtection="1">
      <alignment horizontal="center" vertical="center"/>
    </xf>
    <xf numFmtId="176" fontId="14" fillId="3" borderId="1" xfId="1" applyNumberFormat="1" applyFont="1" applyFill="1" applyBorder="1" applyAlignment="1" applyProtection="1">
      <alignment horizontal="center" vertical="center"/>
    </xf>
    <xf numFmtId="0" fontId="3" fillId="3" borderId="0" xfId="0" applyFont="1" applyFill="1" applyAlignment="1">
      <alignment horizontal="left" vertical="center" readingOrder="2"/>
    </xf>
    <xf numFmtId="0" fontId="18" fillId="3" borderId="0" xfId="0" applyFont="1" applyFill="1" applyBorder="1" applyAlignment="1">
      <alignment horizontal="left" vertical="center" wrapText="1"/>
    </xf>
    <xf numFmtId="0" fontId="18" fillId="3" borderId="18" xfId="0" applyFont="1" applyFill="1" applyBorder="1" applyAlignment="1">
      <alignment vertical="center" wrapText="1"/>
    </xf>
    <xf numFmtId="0" fontId="14" fillId="3" borderId="0" xfId="0" applyFont="1" applyFill="1" applyAlignment="1">
      <alignment horizontal="left" vertical="center" readingOrder="1"/>
    </xf>
    <xf numFmtId="0" fontId="14" fillId="3" borderId="0" xfId="0" applyFont="1" applyFill="1" applyAlignment="1">
      <alignment horizontal="left" vertical="center"/>
    </xf>
    <xf numFmtId="165" fontId="14" fillId="4" borderId="26" xfId="1" applyNumberFormat="1" applyFont="1" applyFill="1" applyBorder="1" applyAlignment="1" applyProtection="1">
      <alignment horizontal="center" vertical="center"/>
    </xf>
    <xf numFmtId="0" fontId="12" fillId="2" borderId="1" xfId="0" applyFont="1" applyFill="1" applyBorder="1" applyAlignment="1">
      <alignment horizontal="center" vertical="center"/>
    </xf>
    <xf numFmtId="165" fontId="14" fillId="18" borderId="1" xfId="1" applyNumberFormat="1" applyFont="1" applyFill="1" applyBorder="1" applyAlignment="1" applyProtection="1">
      <alignment horizontal="center" vertical="center"/>
    </xf>
    <xf numFmtId="0" fontId="22" fillId="3" borderId="0" xfId="5" applyFill="1" applyAlignment="1">
      <alignment horizontal="left" vertical="center" readingOrder="2"/>
    </xf>
    <xf numFmtId="0" fontId="12" fillId="2" borderId="1" xfId="0" applyFont="1" applyFill="1" applyBorder="1" applyAlignment="1">
      <alignment horizontal="center" vertical="center"/>
    </xf>
    <xf numFmtId="171" fontId="5" fillId="7" borderId="1" xfId="1" applyNumberFormat="1" applyFont="1" applyFill="1" applyBorder="1" applyAlignment="1" applyProtection="1">
      <alignment horizontal="center" vertical="center"/>
    </xf>
    <xf numFmtId="0" fontId="22" fillId="3" borderId="18" xfId="5" applyFill="1" applyBorder="1" applyAlignment="1">
      <alignment vertical="center"/>
    </xf>
    <xf numFmtId="165" fontId="37" fillId="3" borderId="1" xfId="0" applyNumberFormat="1" applyFont="1" applyFill="1" applyBorder="1" applyAlignment="1" applyProtection="1">
      <alignment horizontal="center" vertical="center"/>
    </xf>
    <xf numFmtId="0" fontId="14" fillId="3" borderId="0" xfId="0" applyFont="1" applyFill="1" applyAlignment="1">
      <alignment horizontal="left" vertical="center" wrapText="1" readingOrder="1"/>
    </xf>
    <xf numFmtId="166" fontId="14" fillId="6" borderId="1" xfId="0" applyNumberFormat="1" applyFont="1" applyFill="1" applyBorder="1" applyAlignment="1">
      <alignment horizontal="center" vertical="center"/>
    </xf>
    <xf numFmtId="0" fontId="30" fillId="14" borderId="3" xfId="5" applyFont="1" applyFill="1" applyBorder="1" applyAlignment="1">
      <alignment horizontal="center" vertical="center"/>
    </xf>
    <xf numFmtId="0" fontId="14" fillId="3" borderId="1" xfId="0" applyFont="1" applyFill="1" applyBorder="1" applyAlignment="1">
      <alignment horizontal="center" vertical="center"/>
    </xf>
    <xf numFmtId="0" fontId="14" fillId="19" borderId="1" xfId="0" applyFont="1" applyFill="1" applyBorder="1" applyAlignment="1">
      <alignment horizontal="center" vertical="center" readingOrder="2"/>
    </xf>
    <xf numFmtId="0" fontId="14" fillId="20" borderId="1" xfId="0" applyFont="1" applyFill="1" applyBorder="1" applyAlignment="1">
      <alignment horizontal="center" vertical="center" readingOrder="2"/>
    </xf>
    <xf numFmtId="0" fontId="14" fillId="21" borderId="1" xfId="0" applyFont="1" applyFill="1" applyBorder="1" applyAlignment="1">
      <alignment horizontal="center" vertical="center" readingOrder="2"/>
    </xf>
    <xf numFmtId="0" fontId="14" fillId="22" borderId="1" xfId="0" applyFont="1" applyFill="1" applyBorder="1" applyAlignment="1">
      <alignment horizontal="center" vertical="center" readingOrder="2"/>
    </xf>
    <xf numFmtId="0" fontId="12" fillId="0" borderId="1" xfId="0" applyFont="1" applyBorder="1" applyAlignment="1">
      <alignment horizontal="center" vertical="center" wrapText="1"/>
    </xf>
    <xf numFmtId="0" fontId="38" fillId="19" borderId="1" xfId="0" applyFont="1" applyFill="1" applyBorder="1" applyAlignment="1">
      <alignment horizontal="left" vertical="center" wrapText="1"/>
    </xf>
    <xf numFmtId="0" fontId="38" fillId="22" borderId="1" xfId="0" applyFont="1" applyFill="1" applyBorder="1" applyAlignment="1">
      <alignment horizontal="left" vertical="center" wrapText="1"/>
    </xf>
    <xf numFmtId="0" fontId="38" fillId="21" borderId="1" xfId="0" applyFont="1" applyFill="1" applyBorder="1" applyAlignment="1">
      <alignment horizontal="left" vertical="center" wrapText="1"/>
    </xf>
    <xf numFmtId="0" fontId="38" fillId="20" borderId="1" xfId="0" applyFont="1" applyFill="1" applyBorder="1" applyAlignment="1">
      <alignment horizontal="left" vertical="center" wrapText="1"/>
    </xf>
    <xf numFmtId="0" fontId="39" fillId="0" borderId="1" xfId="0" applyFont="1" applyBorder="1" applyAlignment="1">
      <alignment horizontal="center" vertical="center" wrapText="1"/>
    </xf>
    <xf numFmtId="0" fontId="22" fillId="3" borderId="0" xfId="5" applyFill="1" applyBorder="1" applyAlignment="1">
      <alignment vertical="center" wrapText="1"/>
    </xf>
    <xf numFmtId="0" fontId="14" fillId="3" borderId="1" xfId="0" applyFont="1" applyFill="1" applyBorder="1" applyAlignment="1">
      <alignment horizontal="center" vertical="center" readingOrder="2"/>
    </xf>
    <xf numFmtId="0" fontId="14" fillId="23" borderId="1" xfId="0" applyFont="1" applyFill="1" applyBorder="1" applyAlignment="1">
      <alignment horizontal="center" vertical="center" readingOrder="2"/>
    </xf>
    <xf numFmtId="0" fontId="14" fillId="24" borderId="1" xfId="0" applyFont="1" applyFill="1" applyBorder="1" applyAlignment="1">
      <alignment horizontal="center" vertical="center" readingOrder="2"/>
    </xf>
    <xf numFmtId="0" fontId="14" fillId="25" borderId="1" xfId="0" applyFont="1" applyFill="1" applyBorder="1" applyAlignment="1">
      <alignment horizontal="center" vertical="center" readingOrder="2"/>
    </xf>
    <xf numFmtId="14" fontId="14" fillId="3" borderId="1" xfId="0" applyNumberFormat="1" applyFont="1" applyFill="1" applyBorder="1" applyAlignment="1">
      <alignment horizontal="center" vertical="center" readingOrder="2"/>
    </xf>
    <xf numFmtId="0" fontId="4" fillId="7" borderId="1" xfId="0" applyFont="1" applyFill="1" applyBorder="1" applyAlignment="1">
      <alignment vertical="center" wrapText="1" readingOrder="2"/>
    </xf>
    <xf numFmtId="0" fontId="4" fillId="18" borderId="13" xfId="0" applyFont="1" applyFill="1" applyBorder="1" applyAlignment="1">
      <alignment vertical="center" wrapText="1" readingOrder="2"/>
    </xf>
    <xf numFmtId="0" fontId="14" fillId="14" borderId="1" xfId="0" applyFont="1" applyFill="1" applyBorder="1" applyAlignment="1">
      <alignment vertical="center"/>
    </xf>
    <xf numFmtId="0" fontId="14" fillId="14" borderId="1" xfId="0" applyFont="1" applyFill="1" applyBorder="1" applyAlignment="1">
      <alignment horizontal="left" vertical="center"/>
    </xf>
    <xf numFmtId="0" fontId="40" fillId="14" borderId="1" xfId="5" applyFont="1" applyFill="1" applyBorder="1" applyAlignment="1">
      <alignment horizontal="center" vertical="center"/>
    </xf>
    <xf numFmtId="0" fontId="14" fillId="3" borderId="1" xfId="0" applyFont="1" applyFill="1" applyBorder="1" applyAlignment="1">
      <alignment horizontal="center" vertical="center" readingOrder="2"/>
    </xf>
    <xf numFmtId="171" fontId="14" fillId="3" borderId="0" xfId="1" applyNumberFormat="1" applyFont="1" applyFill="1" applyAlignment="1">
      <alignment horizontal="center" vertical="center"/>
    </xf>
    <xf numFmtId="165" fontId="14" fillId="3" borderId="0" xfId="1" applyNumberFormat="1" applyFont="1" applyFill="1" applyAlignment="1">
      <alignment horizontal="center" vertical="center"/>
    </xf>
    <xf numFmtId="0" fontId="14" fillId="3" borderId="1" xfId="0" applyFont="1" applyFill="1" applyBorder="1" applyAlignment="1">
      <alignment horizontal="center" vertical="center"/>
    </xf>
    <xf numFmtId="0" fontId="3" fillId="3" borderId="1" xfId="0" applyFont="1" applyFill="1" applyBorder="1" applyAlignment="1">
      <alignment horizontal="center" vertical="center"/>
    </xf>
    <xf numFmtId="0" fontId="12" fillId="0" borderId="1" xfId="0" applyFont="1" applyBorder="1" applyAlignment="1">
      <alignment horizontal="center" vertical="center" wrapText="1"/>
    </xf>
    <xf numFmtId="0" fontId="12" fillId="0" borderId="1" xfId="0" applyFont="1" applyBorder="1" applyAlignment="1">
      <alignment horizontal="center" vertical="center"/>
    </xf>
    <xf numFmtId="0" fontId="14" fillId="3" borderId="1" xfId="0" applyFont="1" applyFill="1" applyBorder="1" applyAlignment="1">
      <alignment horizontal="center" vertical="center" readingOrder="2"/>
    </xf>
    <xf numFmtId="0" fontId="14" fillId="3" borderId="1" xfId="0" applyFont="1" applyFill="1" applyBorder="1" applyAlignment="1">
      <alignment horizontal="center" vertical="center"/>
    </xf>
    <xf numFmtId="176" fontId="14" fillId="3" borderId="1" xfId="1" applyNumberFormat="1" applyFont="1" applyFill="1" applyBorder="1" applyAlignment="1">
      <alignment horizontal="center" vertical="center" readingOrder="2"/>
    </xf>
    <xf numFmtId="0" fontId="14" fillId="3" borderId="1" xfId="0" applyFont="1" applyFill="1" applyBorder="1" applyAlignment="1">
      <alignment horizontal="center" vertical="center" readingOrder="2"/>
    </xf>
    <xf numFmtId="180" fontId="14" fillId="6" borderId="1" xfId="0" applyNumberFormat="1" applyFont="1" applyFill="1" applyBorder="1" applyAlignment="1">
      <alignment horizontal="center" vertical="center"/>
    </xf>
    <xf numFmtId="0" fontId="27" fillId="3" borderId="1" xfId="0" applyFont="1" applyFill="1" applyBorder="1" applyAlignment="1">
      <alignment horizontal="center" vertical="center"/>
    </xf>
    <xf numFmtId="164" fontId="3" fillId="3" borderId="0" xfId="0" applyNumberFormat="1" applyFont="1" applyFill="1" applyAlignment="1">
      <alignment horizontal="center" vertical="center" readingOrder="2"/>
    </xf>
    <xf numFmtId="11" fontId="14" fillId="3" borderId="24" xfId="0" applyNumberFormat="1" applyFont="1" applyFill="1" applyBorder="1" applyAlignment="1" applyProtection="1">
      <alignment horizontal="center" vertical="center"/>
    </xf>
    <xf numFmtId="0" fontId="14" fillId="3" borderId="18" xfId="0" applyFont="1" applyFill="1" applyBorder="1" applyAlignment="1">
      <alignment vertical="center" readingOrder="1"/>
    </xf>
    <xf numFmtId="0" fontId="14" fillId="3" borderId="0" xfId="0" applyFont="1" applyFill="1" applyBorder="1" applyAlignment="1">
      <alignment vertical="center" readingOrder="1"/>
    </xf>
    <xf numFmtId="0" fontId="14" fillId="3" borderId="1" xfId="0" applyFont="1" applyFill="1" applyBorder="1" applyAlignment="1">
      <alignment horizontal="center" vertical="center" readingOrder="2"/>
    </xf>
    <xf numFmtId="0" fontId="12" fillId="3" borderId="1" xfId="0" applyFont="1" applyFill="1" applyBorder="1" applyAlignment="1">
      <alignment horizontal="center" vertical="center" readingOrder="2"/>
    </xf>
    <xf numFmtId="0" fontId="14" fillId="3" borderId="1" xfId="0" applyFont="1" applyFill="1" applyBorder="1" applyAlignment="1">
      <alignment horizontal="center" vertical="center"/>
    </xf>
    <xf numFmtId="0" fontId="37" fillId="0" borderId="1" xfId="0" applyNumberFormat="1" applyFont="1" applyFill="1" applyBorder="1" applyAlignment="1">
      <alignment horizontal="center" vertical="center"/>
    </xf>
    <xf numFmtId="0" fontId="12" fillId="0" borderId="1" xfId="0" applyFont="1" applyBorder="1" applyAlignment="1">
      <alignment horizontal="center" vertical="center" wrapText="1"/>
    </xf>
    <xf numFmtId="0" fontId="12" fillId="3" borderId="1" xfId="0" applyFont="1" applyFill="1" applyBorder="1" applyAlignment="1">
      <alignment horizontal="center" vertical="center" readingOrder="2"/>
    </xf>
    <xf numFmtId="0" fontId="14" fillId="3" borderId="1" xfId="0" applyFont="1" applyFill="1" applyBorder="1" applyAlignment="1">
      <alignment horizontal="center" vertical="center" readingOrder="2"/>
    </xf>
    <xf numFmtId="177" fontId="14" fillId="6" borderId="1" xfId="1" applyNumberFormat="1" applyFont="1" applyFill="1" applyBorder="1" applyAlignment="1">
      <alignment horizontal="center" vertical="center" readingOrder="2"/>
    </xf>
    <xf numFmtId="0" fontId="14" fillId="3" borderId="1" xfId="0" applyFont="1" applyFill="1" applyBorder="1" applyAlignment="1">
      <alignment horizontal="center" vertical="center"/>
    </xf>
    <xf numFmtId="0" fontId="14" fillId="18" borderId="19" xfId="0" applyFont="1" applyFill="1" applyBorder="1" applyAlignment="1">
      <alignment horizontal="left" vertical="center" readingOrder="1"/>
    </xf>
    <xf numFmtId="0" fontId="12" fillId="18" borderId="27" xfId="0" applyFont="1" applyFill="1" applyBorder="1" applyAlignment="1">
      <alignment horizontal="left" vertical="center" readingOrder="1"/>
    </xf>
    <xf numFmtId="0" fontId="14" fillId="18" borderId="27" xfId="0" applyFont="1" applyFill="1" applyBorder="1" applyAlignment="1">
      <alignment horizontal="left" vertical="center" readingOrder="1"/>
    </xf>
    <xf numFmtId="0" fontId="14" fillId="18" borderId="21" xfId="0" applyFont="1" applyFill="1" applyBorder="1" applyAlignment="1">
      <alignment horizontal="left" vertical="center" readingOrder="1"/>
    </xf>
    <xf numFmtId="0" fontId="3" fillId="18" borderId="18" xfId="0" applyFont="1" applyFill="1" applyBorder="1" applyAlignment="1">
      <alignment horizontal="center" vertical="center"/>
    </xf>
    <xf numFmtId="0" fontId="14" fillId="18" borderId="16" xfId="0" applyFont="1" applyFill="1" applyBorder="1" applyAlignment="1">
      <alignment horizontal="center" vertical="center"/>
    </xf>
    <xf numFmtId="0" fontId="14" fillId="18" borderId="0" xfId="0" applyFont="1" applyFill="1" applyBorder="1" applyAlignment="1">
      <alignment horizontal="center" vertical="center"/>
    </xf>
    <xf numFmtId="0" fontId="3" fillId="18" borderId="0" xfId="0" applyFont="1" applyFill="1" applyBorder="1" applyAlignment="1">
      <alignment horizontal="center" vertical="center"/>
    </xf>
    <xf numFmtId="0" fontId="14" fillId="18" borderId="0" xfId="0" applyFont="1" applyFill="1" applyBorder="1" applyAlignment="1">
      <alignment horizontal="left" vertical="center"/>
    </xf>
    <xf numFmtId="49" fontId="14" fillId="18" borderId="27" xfId="0" applyNumberFormat="1" applyFont="1" applyFill="1" applyBorder="1" applyAlignment="1">
      <alignment horizontal="center" vertical="center"/>
    </xf>
    <xf numFmtId="0" fontId="3" fillId="18" borderId="16" xfId="0" applyFont="1" applyFill="1" applyBorder="1" applyAlignment="1">
      <alignment horizontal="center" vertical="center"/>
    </xf>
    <xf numFmtId="0" fontId="3" fillId="18" borderId="2" xfId="0" applyFont="1" applyFill="1" applyBorder="1" applyAlignment="1">
      <alignment horizontal="center" vertical="center"/>
    </xf>
    <xf numFmtId="0" fontId="14" fillId="18" borderId="18" xfId="0" applyFont="1" applyFill="1" applyBorder="1" applyAlignment="1">
      <alignment horizontal="center" vertical="center"/>
    </xf>
    <xf numFmtId="0" fontId="14" fillId="18" borderId="20" xfId="0" applyFont="1" applyFill="1" applyBorder="1" applyAlignment="1">
      <alignment horizontal="center" vertical="center"/>
    </xf>
    <xf numFmtId="0" fontId="14" fillId="18" borderId="2" xfId="0" applyFont="1" applyFill="1" applyBorder="1" applyAlignment="1">
      <alignment horizontal="center" vertical="center"/>
    </xf>
    <xf numFmtId="0" fontId="14" fillId="18" borderId="2" xfId="0" applyFont="1" applyFill="1" applyBorder="1" applyAlignment="1">
      <alignment horizontal="left" vertical="center"/>
    </xf>
    <xf numFmtId="49" fontId="14" fillId="18" borderId="21" xfId="0" applyNumberFormat="1" applyFont="1" applyFill="1" applyBorder="1" applyAlignment="1">
      <alignment horizontal="center" vertical="center"/>
    </xf>
    <xf numFmtId="0" fontId="3" fillId="18" borderId="17" xfId="0" applyFont="1" applyFill="1" applyBorder="1" applyAlignment="1">
      <alignment horizontal="center" vertical="center"/>
    </xf>
    <xf numFmtId="0" fontId="14" fillId="18" borderId="27" xfId="0" applyFont="1" applyFill="1" applyBorder="1" applyAlignment="1">
      <alignment horizontal="left" vertical="center"/>
    </xf>
    <xf numFmtId="0" fontId="14" fillId="18" borderId="21" xfId="0" applyFont="1" applyFill="1" applyBorder="1" applyAlignment="1">
      <alignment horizontal="left" vertical="center"/>
    </xf>
    <xf numFmtId="0" fontId="12" fillId="18" borderId="19" xfId="0" applyFont="1" applyFill="1" applyBorder="1" applyAlignment="1">
      <alignment horizontal="left" vertical="center"/>
    </xf>
    <xf numFmtId="0" fontId="12" fillId="3" borderId="0" xfId="0" applyFont="1" applyFill="1" applyBorder="1" applyAlignment="1">
      <alignment horizontal="right" vertical="center" readingOrder="2"/>
    </xf>
    <xf numFmtId="0" fontId="14" fillId="18" borderId="0" xfId="0" applyFont="1" applyFill="1" applyBorder="1" applyAlignment="1">
      <alignment vertical="center"/>
    </xf>
    <xf numFmtId="0" fontId="12" fillId="18" borderId="19" xfId="0" applyFont="1" applyFill="1" applyBorder="1" applyAlignment="1">
      <alignment horizontal="left" vertical="center" readingOrder="1"/>
    </xf>
    <xf numFmtId="0" fontId="14" fillId="18" borderId="16" xfId="0" applyFont="1" applyFill="1" applyBorder="1" applyAlignment="1">
      <alignment vertical="center"/>
    </xf>
    <xf numFmtId="0" fontId="14" fillId="18" borderId="27" xfId="0" applyFont="1" applyFill="1" applyBorder="1" applyAlignment="1">
      <alignment vertical="center"/>
    </xf>
    <xf numFmtId="49" fontId="14" fillId="3" borderId="1" xfId="1" applyNumberFormat="1" applyFont="1" applyFill="1" applyBorder="1" applyAlignment="1" applyProtection="1">
      <alignment horizontal="center" vertical="center" readingOrder="1"/>
    </xf>
    <xf numFmtId="0" fontId="4" fillId="18" borderId="17" xfId="0" applyFont="1" applyFill="1" applyBorder="1" applyAlignment="1">
      <alignment horizontal="right" vertical="center"/>
    </xf>
    <xf numFmtId="0" fontId="14" fillId="3" borderId="0" xfId="0" applyFont="1" applyFill="1" applyAlignment="1">
      <alignment horizontal="center" vertical="center" readingOrder="1"/>
    </xf>
    <xf numFmtId="0" fontId="12" fillId="3" borderId="0" xfId="0" applyFont="1" applyFill="1" applyAlignment="1">
      <alignment horizontal="center" vertical="center" readingOrder="1"/>
    </xf>
    <xf numFmtId="0" fontId="14" fillId="18" borderId="17" xfId="0" applyFont="1" applyFill="1" applyBorder="1" applyAlignment="1">
      <alignment horizontal="center" vertical="center" readingOrder="1"/>
    </xf>
    <xf numFmtId="0" fontId="14" fillId="18" borderId="18" xfId="0" applyFont="1" applyFill="1" applyBorder="1" applyAlignment="1">
      <alignment horizontal="center" vertical="center" readingOrder="1"/>
    </xf>
    <xf numFmtId="0" fontId="14" fillId="18" borderId="19" xfId="0" applyFont="1" applyFill="1" applyBorder="1" applyAlignment="1">
      <alignment horizontal="center" vertical="center" readingOrder="1"/>
    </xf>
    <xf numFmtId="0" fontId="14" fillId="18" borderId="16" xfId="0" applyFont="1" applyFill="1" applyBorder="1" applyAlignment="1">
      <alignment horizontal="center" vertical="center" readingOrder="1"/>
    </xf>
    <xf numFmtId="0" fontId="14" fillId="18" borderId="0" xfId="0" applyFont="1" applyFill="1" applyBorder="1" applyAlignment="1">
      <alignment horizontal="center" vertical="center" readingOrder="1"/>
    </xf>
    <xf numFmtId="0" fontId="14" fillId="18" borderId="20" xfId="0" applyFont="1" applyFill="1" applyBorder="1" applyAlignment="1">
      <alignment horizontal="center" vertical="center" readingOrder="1"/>
    </xf>
    <xf numFmtId="0" fontId="14" fillId="18" borderId="2" xfId="0" applyFont="1" applyFill="1" applyBorder="1" applyAlignment="1">
      <alignment horizontal="center" vertical="center" readingOrder="1"/>
    </xf>
    <xf numFmtId="0" fontId="14" fillId="18" borderId="21" xfId="0" applyFont="1" applyFill="1" applyBorder="1" applyAlignment="1">
      <alignment horizontal="center" vertical="center" readingOrder="1"/>
    </xf>
    <xf numFmtId="0" fontId="12" fillId="18" borderId="27" xfId="0" applyFont="1" applyFill="1" applyBorder="1" applyAlignment="1">
      <alignment horizontal="left"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readingOrder="2"/>
    </xf>
    <xf numFmtId="0" fontId="14" fillId="3" borderId="0" xfId="0" applyFont="1" applyFill="1" applyAlignment="1">
      <alignment horizontal="left" vertical="center" readingOrder="1"/>
    </xf>
    <xf numFmtId="0" fontId="14" fillId="3" borderId="3" xfId="0" applyFont="1" applyFill="1" applyBorder="1" applyAlignment="1">
      <alignment horizontal="center" vertical="center"/>
    </xf>
    <xf numFmtId="0" fontId="12" fillId="18" borderId="19" xfId="0" applyFont="1" applyFill="1" applyBorder="1" applyAlignment="1">
      <alignment horizontal="left" vertical="center"/>
    </xf>
    <xf numFmtId="0" fontId="29" fillId="2" borderId="18" xfId="0" applyFont="1" applyFill="1" applyBorder="1" applyAlignment="1">
      <alignment horizontal="centerContinuous" vertical="center"/>
    </xf>
    <xf numFmtId="0" fontId="29" fillId="2" borderId="17" xfId="0" applyFont="1" applyFill="1" applyBorder="1" applyAlignment="1">
      <alignment horizontal="centerContinuous" vertical="center"/>
    </xf>
    <xf numFmtId="0" fontId="29" fillId="2" borderId="19" xfId="0" applyFont="1" applyFill="1" applyBorder="1" applyAlignment="1">
      <alignment horizontal="centerContinuous" vertical="center"/>
    </xf>
    <xf numFmtId="0" fontId="42" fillId="3" borderId="0" xfId="0" applyFont="1" applyFill="1" applyAlignment="1">
      <alignment horizontal="center" vertical="center"/>
    </xf>
    <xf numFmtId="0" fontId="26" fillId="3" borderId="0" xfId="0" applyFont="1" applyFill="1" applyAlignment="1">
      <alignment horizontal="center" vertical="center"/>
    </xf>
    <xf numFmtId="0" fontId="29" fillId="2" borderId="1" xfId="0" applyFont="1" applyFill="1" applyBorder="1" applyAlignment="1">
      <alignment horizontal="centerContinuous" vertical="center"/>
    </xf>
    <xf numFmtId="0" fontId="26" fillId="3" borderId="0" xfId="0" applyFont="1" applyFill="1" applyAlignment="1">
      <alignment horizontal="center" vertical="center" readingOrder="1"/>
    </xf>
    <xf numFmtId="165" fontId="14" fillId="7" borderId="26" xfId="1" applyNumberFormat="1" applyFont="1" applyFill="1" applyBorder="1" applyAlignment="1" applyProtection="1">
      <alignment horizontal="right" vertical="center"/>
    </xf>
    <xf numFmtId="0" fontId="14" fillId="3" borderId="1" xfId="0" applyFont="1" applyFill="1" applyBorder="1" applyAlignment="1">
      <alignment horizontal="center" vertical="center"/>
    </xf>
    <xf numFmtId="0" fontId="12" fillId="2" borderId="1" xfId="0" applyFont="1" applyFill="1" applyBorder="1" applyAlignment="1">
      <alignment horizontal="center" vertical="center"/>
    </xf>
    <xf numFmtId="0" fontId="4" fillId="3" borderId="0" xfId="0" applyFont="1" applyFill="1" applyAlignment="1">
      <alignment horizontal="center" vertical="center" readingOrder="2"/>
    </xf>
    <xf numFmtId="0" fontId="12" fillId="3" borderId="1" xfId="0" applyFont="1" applyFill="1" applyBorder="1" applyAlignment="1">
      <alignment horizontal="center" vertical="center" readingOrder="1"/>
    </xf>
    <xf numFmtId="0" fontId="14" fillId="3" borderId="1" xfId="0" applyFont="1" applyFill="1" applyBorder="1" applyAlignment="1">
      <alignment vertical="center" readingOrder="1"/>
    </xf>
    <xf numFmtId="0" fontId="22" fillId="3" borderId="0" xfId="5" applyFill="1" applyAlignment="1">
      <alignment horizontal="left" vertical="center" readingOrder="1"/>
    </xf>
    <xf numFmtId="0" fontId="24" fillId="3" borderId="0" xfId="5" applyFont="1" applyFill="1" applyAlignment="1">
      <alignment horizontal="left" vertical="center" readingOrder="2"/>
    </xf>
    <xf numFmtId="0" fontId="14" fillId="6" borderId="1" xfId="0" applyFont="1" applyFill="1" applyBorder="1" applyAlignment="1">
      <alignment horizontal="center" vertical="center" readingOrder="1"/>
    </xf>
    <xf numFmtId="0" fontId="14" fillId="18" borderId="19" xfId="0" applyFont="1" applyFill="1" applyBorder="1" applyAlignment="1">
      <alignment horizontal="left" vertical="center" wrapText="1"/>
    </xf>
    <xf numFmtId="0" fontId="12" fillId="2" borderId="22" xfId="0" applyFont="1" applyFill="1" applyBorder="1" applyAlignment="1">
      <alignment horizontal="centerContinuous" vertical="center"/>
    </xf>
    <xf numFmtId="0" fontId="12" fillId="2" borderId="24" xfId="0" applyFont="1" applyFill="1" applyBorder="1" applyAlignment="1">
      <alignment horizontal="centerContinuous" vertical="center"/>
    </xf>
    <xf numFmtId="0" fontId="43" fillId="7" borderId="1" xfId="0" applyFont="1" applyFill="1" applyBorder="1" applyAlignment="1">
      <alignment horizontal="centerContinuous" vertical="center" wrapText="1"/>
    </xf>
    <xf numFmtId="177" fontId="14" fillId="3" borderId="1" xfId="0" applyNumberFormat="1" applyFont="1" applyFill="1" applyBorder="1" applyAlignment="1">
      <alignment horizontal="center" vertical="center"/>
    </xf>
    <xf numFmtId="177" fontId="14" fillId="3" borderId="0" xfId="1" applyNumberFormat="1" applyFont="1" applyFill="1" applyAlignment="1">
      <alignment horizontal="center" vertical="center" readingOrder="2"/>
    </xf>
    <xf numFmtId="178" fontId="14" fillId="7" borderId="1" xfId="1" applyNumberFormat="1" applyFont="1" applyFill="1" applyBorder="1" applyAlignment="1" applyProtection="1">
      <alignment horizontal="center" vertical="center"/>
    </xf>
    <xf numFmtId="0" fontId="12" fillId="2" borderId="1" xfId="0" applyFont="1" applyFill="1" applyBorder="1" applyAlignment="1">
      <alignment horizontal="center" vertical="center" wrapText="1"/>
    </xf>
    <xf numFmtId="0" fontId="12" fillId="2" borderId="1" xfId="0" applyFont="1" applyFill="1" applyBorder="1" applyAlignment="1">
      <alignment horizontal="center" vertical="center"/>
    </xf>
    <xf numFmtId="0" fontId="12" fillId="2" borderId="3" xfId="0" applyFont="1" applyFill="1" applyBorder="1" applyAlignment="1">
      <alignment horizontal="center" vertical="center" wrapText="1"/>
    </xf>
    <xf numFmtId="0" fontId="14" fillId="0" borderId="1" xfId="0" applyFont="1" applyBorder="1" applyAlignment="1">
      <alignment horizontal="center" vertical="center"/>
    </xf>
    <xf numFmtId="0" fontId="44" fillId="3" borderId="0" xfId="0" applyFont="1" applyFill="1" applyAlignment="1">
      <alignment horizontal="center" vertical="center"/>
    </xf>
    <xf numFmtId="0" fontId="27" fillId="3" borderId="0" xfId="0" applyFont="1" applyFill="1" applyAlignment="1">
      <alignment horizontal="center" vertical="center"/>
    </xf>
    <xf numFmtId="0" fontId="45" fillId="3" borderId="0" xfId="0" applyFont="1" applyFill="1" applyAlignment="1">
      <alignment horizontal="center" vertical="center"/>
    </xf>
    <xf numFmtId="0" fontId="14" fillId="2" borderId="1" xfId="0" applyFont="1" applyFill="1" applyBorder="1" applyAlignment="1">
      <alignment horizontal="centerContinuous" vertical="center"/>
    </xf>
    <xf numFmtId="0" fontId="14" fillId="28" borderId="1" xfId="0" applyFont="1" applyFill="1" applyBorder="1" applyAlignment="1">
      <alignment horizontal="center" vertical="center"/>
    </xf>
    <xf numFmtId="0" fontId="14" fillId="0" borderId="1" xfId="0" applyFont="1" applyBorder="1" applyAlignment="1">
      <alignment horizontal="center"/>
    </xf>
    <xf numFmtId="0" fontId="14" fillId="9" borderId="1" xfId="0" applyFont="1" applyFill="1" applyBorder="1" applyAlignment="1">
      <alignment horizontal="center" vertical="center"/>
    </xf>
    <xf numFmtId="165" fontId="14" fillId="9" borderId="1" xfId="1" applyNumberFormat="1" applyFont="1" applyFill="1" applyBorder="1" applyAlignment="1">
      <alignment horizontal="center" vertical="center"/>
    </xf>
    <xf numFmtId="0" fontId="14" fillId="9" borderId="1" xfId="0" applyFont="1" applyFill="1" applyBorder="1" applyAlignment="1">
      <alignment horizontal="center" vertical="center" wrapText="1"/>
    </xf>
    <xf numFmtId="0" fontId="14" fillId="28" borderId="1" xfId="0" applyFont="1" applyFill="1" applyBorder="1" applyAlignment="1">
      <alignment horizontal="center" vertical="center" wrapText="1"/>
    </xf>
    <xf numFmtId="0" fontId="12" fillId="28" borderId="1" xfId="0" applyFont="1" applyFill="1" applyBorder="1" applyAlignment="1">
      <alignment horizontal="center" vertical="center" wrapText="1"/>
    </xf>
    <xf numFmtId="0" fontId="12" fillId="7" borderId="1" xfId="0" applyFont="1" applyFill="1" applyBorder="1" applyAlignment="1">
      <alignment horizontal="center" vertical="center"/>
    </xf>
    <xf numFmtId="178" fontId="14" fillId="9" borderId="1" xfId="1" applyNumberFormat="1" applyFont="1" applyFill="1" applyBorder="1" applyAlignment="1">
      <alignment horizontal="center" vertical="center"/>
    </xf>
    <xf numFmtId="165" fontId="14" fillId="29" borderId="1" xfId="1" applyNumberFormat="1" applyFont="1" applyFill="1" applyBorder="1" applyAlignment="1">
      <alignment horizontal="center" vertical="center"/>
    </xf>
    <xf numFmtId="178" fontId="14" fillId="29" borderId="1" xfId="1" applyNumberFormat="1" applyFont="1" applyFill="1" applyBorder="1" applyAlignment="1">
      <alignment horizontal="center" vertical="center"/>
    </xf>
    <xf numFmtId="0" fontId="14" fillId="29" borderId="1" xfId="0" applyFont="1" applyFill="1" applyBorder="1" applyAlignment="1">
      <alignment horizontal="center" vertical="center"/>
    </xf>
    <xf numFmtId="10" fontId="14" fillId="9" borderId="1" xfId="2" applyNumberFormat="1" applyFont="1" applyFill="1" applyBorder="1" applyAlignment="1">
      <alignment horizontal="center" vertical="center"/>
    </xf>
    <xf numFmtId="10" fontId="14" fillId="29" borderId="1" xfId="2" applyNumberFormat="1" applyFont="1" applyFill="1" applyBorder="1" applyAlignment="1">
      <alignment horizontal="center" vertical="center"/>
    </xf>
    <xf numFmtId="164" fontId="14" fillId="7" borderId="1" xfId="0" applyNumberFormat="1" applyFont="1" applyFill="1" applyBorder="1" applyAlignment="1" applyProtection="1">
      <alignment horizontal="right" vertical="center"/>
    </xf>
    <xf numFmtId="0" fontId="12" fillId="0" borderId="1" xfId="0" applyFont="1" applyBorder="1" applyAlignment="1">
      <alignment horizontal="center" vertical="center" wrapText="1"/>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readingOrder="2"/>
    </xf>
    <xf numFmtId="0" fontId="12" fillId="3" borderId="1" xfId="0" applyFont="1" applyFill="1" applyBorder="1" applyAlignment="1">
      <alignment horizontal="center" vertical="center"/>
    </xf>
    <xf numFmtId="0" fontId="3" fillId="3" borderId="1" xfId="0" applyFont="1" applyFill="1" applyBorder="1" applyAlignment="1">
      <alignment horizontal="center" vertical="center" readingOrder="2"/>
    </xf>
    <xf numFmtId="0" fontId="14" fillId="18" borderId="17" xfId="0" applyFont="1" applyFill="1" applyBorder="1" applyAlignment="1">
      <alignment horizontal="center" vertical="center"/>
    </xf>
    <xf numFmtId="0" fontId="14" fillId="18" borderId="17" xfId="0" applyFont="1" applyFill="1" applyBorder="1" applyAlignment="1">
      <alignment horizontal="right" vertical="center"/>
    </xf>
    <xf numFmtId="0" fontId="4" fillId="3" borderId="5" xfId="0" applyFont="1" applyFill="1" applyBorder="1" applyAlignment="1">
      <alignment vertical="center" wrapText="1" readingOrder="2"/>
    </xf>
    <xf numFmtId="0" fontId="4" fillId="3" borderId="6" xfId="0" applyFont="1" applyFill="1" applyBorder="1" applyAlignment="1">
      <alignment vertical="center" wrapText="1" readingOrder="2"/>
    </xf>
    <xf numFmtId="0" fontId="4" fillId="3" borderId="6" xfId="0" applyFont="1" applyFill="1" applyBorder="1" applyAlignment="1">
      <alignment horizontal="right" vertical="center" wrapText="1" readingOrder="2"/>
    </xf>
    <xf numFmtId="0" fontId="12" fillId="11" borderId="1" xfId="0" applyFont="1" applyFill="1" applyBorder="1" applyAlignment="1">
      <alignment horizontal="center" vertical="center"/>
    </xf>
    <xf numFmtId="0" fontId="12" fillId="12" borderId="1" xfId="0" applyFont="1" applyFill="1" applyBorder="1" applyAlignment="1">
      <alignment horizontal="center" vertical="center"/>
    </xf>
    <xf numFmtId="0" fontId="36" fillId="3" borderId="0" xfId="3" applyFont="1" applyFill="1" applyBorder="1" applyAlignment="1">
      <alignment horizontal="left" vertical="center"/>
    </xf>
    <xf numFmtId="0" fontId="12" fillId="3" borderId="0" xfId="0" applyFont="1" applyFill="1" applyAlignment="1">
      <alignment horizontal="right" vertical="center"/>
    </xf>
    <xf numFmtId="0" fontId="48" fillId="3" borderId="0" xfId="0" applyFont="1" applyFill="1" applyAlignment="1">
      <alignment horizontal="center" vertical="center"/>
    </xf>
    <xf numFmtId="0" fontId="14" fillId="3" borderId="0" xfId="0" applyFont="1" applyFill="1" applyAlignment="1">
      <alignment vertical="center"/>
    </xf>
    <xf numFmtId="0" fontId="14" fillId="3" borderId="0" xfId="0" applyFont="1" applyFill="1" applyAlignment="1">
      <alignment horizontal="left" vertical="center" readingOrder="1"/>
    </xf>
    <xf numFmtId="0" fontId="40" fillId="3" borderId="0" xfId="5" applyFont="1" applyFill="1" applyBorder="1" applyAlignment="1">
      <alignment horizontal="left" vertical="center"/>
    </xf>
    <xf numFmtId="0" fontId="3" fillId="3" borderId="0" xfId="0" applyFont="1" applyFill="1" applyAlignment="1">
      <alignment horizontal="center" vertical="center" readingOrder="1"/>
    </xf>
    <xf numFmtId="0" fontId="14" fillId="3" borderId="0" xfId="0" applyFont="1" applyFill="1" applyAlignment="1">
      <alignment horizontal="center" vertical="center" readingOrder="2"/>
    </xf>
    <xf numFmtId="0" fontId="40" fillId="3" borderId="0" xfId="5" applyFont="1" applyFill="1" applyAlignment="1">
      <alignment horizontal="left" vertical="center" readingOrder="1"/>
    </xf>
    <xf numFmtId="0" fontId="14" fillId="3" borderId="1" xfId="0" applyFont="1" applyFill="1" applyBorder="1" applyAlignment="1">
      <alignment horizontal="center" vertical="center"/>
    </xf>
    <xf numFmtId="0" fontId="14" fillId="0" borderId="1" xfId="0" applyFont="1" applyBorder="1" applyAlignment="1">
      <alignment horizontal="center" vertical="center"/>
    </xf>
    <xf numFmtId="0" fontId="14" fillId="3" borderId="1" xfId="0" applyFont="1" applyFill="1" applyBorder="1" applyAlignment="1">
      <alignment horizontal="center" vertical="center"/>
    </xf>
    <xf numFmtId="165" fontId="14" fillId="0" borderId="1" xfId="1" applyNumberFormat="1" applyFont="1" applyBorder="1" applyAlignment="1" applyProtection="1">
      <alignment horizontal="center" vertical="center"/>
    </xf>
    <xf numFmtId="9" fontId="12" fillId="2" borderId="1" xfId="2" applyFont="1" applyFill="1" applyBorder="1" applyAlignment="1" applyProtection="1">
      <alignment horizontal="center" vertical="center"/>
    </xf>
    <xf numFmtId="165" fontId="23" fillId="3" borderId="1" xfId="1" applyNumberFormat="1" applyFont="1" applyFill="1" applyBorder="1" applyAlignment="1" applyProtection="1">
      <alignment horizontal="center" vertical="center"/>
    </xf>
    <xf numFmtId="0" fontId="14" fillId="3" borderId="1" xfId="0" applyFont="1" applyFill="1" applyBorder="1" applyAlignment="1" applyProtection="1">
      <alignment horizontal="center"/>
    </xf>
    <xf numFmtId="165" fontId="12" fillId="7" borderId="1" xfId="1" applyNumberFormat="1" applyFont="1" applyFill="1" applyBorder="1" applyAlignment="1" applyProtection="1">
      <alignment horizontal="center" vertical="center"/>
    </xf>
    <xf numFmtId="169" fontId="12" fillId="7" borderId="1" xfId="2" applyNumberFormat="1" applyFont="1" applyFill="1" applyBorder="1" applyAlignment="1" applyProtection="1">
      <alignment horizontal="center" vertical="center"/>
    </xf>
    <xf numFmtId="178" fontId="12" fillId="7" borderId="1" xfId="1" applyNumberFormat="1"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14" fillId="0" borderId="1" xfId="0" applyFont="1" applyBorder="1" applyAlignment="1" applyProtection="1">
      <alignment horizontal="center" vertical="center"/>
    </xf>
    <xf numFmtId="0" fontId="12" fillId="2" borderId="1" xfId="0" applyFont="1" applyFill="1" applyBorder="1" applyAlignment="1" applyProtection="1">
      <alignment horizontal="center" vertical="center"/>
    </xf>
    <xf numFmtId="0" fontId="14" fillId="0" borderId="1" xfId="0" applyFont="1" applyBorder="1" applyAlignment="1" applyProtection="1">
      <alignment horizontal="center" vertical="center" readingOrder="2"/>
    </xf>
    <xf numFmtId="0" fontId="27" fillId="3" borderId="0" xfId="0" applyFont="1" applyFill="1" applyAlignment="1" applyProtection="1">
      <alignment horizontal="center" vertical="center"/>
    </xf>
    <xf numFmtId="0" fontId="45" fillId="3" borderId="0" xfId="0" applyFont="1" applyFill="1" applyAlignment="1" applyProtection="1">
      <alignment horizontal="center" vertical="center"/>
    </xf>
    <xf numFmtId="0" fontId="44" fillId="3" borderId="0" xfId="0" applyFont="1" applyFill="1" applyAlignment="1" applyProtection="1">
      <alignment horizontal="center" vertical="center"/>
    </xf>
    <xf numFmtId="9" fontId="12" fillId="2" borderId="1" xfId="2" applyNumberFormat="1" applyFont="1" applyFill="1" applyBorder="1" applyAlignment="1" applyProtection="1">
      <alignment horizontal="center" vertical="center"/>
    </xf>
    <xf numFmtId="0" fontId="14" fillId="0" borderId="1" xfId="0" applyNumberFormat="1" applyFont="1" applyFill="1" applyBorder="1" applyAlignment="1" applyProtection="1">
      <alignment horizontal="center" vertical="center"/>
    </xf>
    <xf numFmtId="0" fontId="4" fillId="2" borderId="26" xfId="0" applyFont="1" applyFill="1" applyBorder="1" applyAlignment="1" applyProtection="1">
      <alignment horizontal="center" vertical="center"/>
    </xf>
    <xf numFmtId="165" fontId="12" fillId="2" borderId="24" xfId="1" applyNumberFormat="1" applyFont="1" applyFill="1" applyBorder="1" applyAlignment="1" applyProtection="1">
      <alignment horizontal="center" vertical="center"/>
    </xf>
    <xf numFmtId="165" fontId="12" fillId="3" borderId="1" xfId="0" applyNumberFormat="1" applyFont="1" applyFill="1" applyBorder="1" applyAlignment="1" applyProtection="1">
      <alignment horizontal="center" vertical="center"/>
    </xf>
    <xf numFmtId="165" fontId="12" fillId="3" borderId="1" xfId="1" applyNumberFormat="1" applyFont="1" applyFill="1" applyBorder="1" applyAlignment="1" applyProtection="1">
      <alignment horizontal="center" vertical="center"/>
    </xf>
    <xf numFmtId="9" fontId="14" fillId="3" borderId="1" xfId="2" applyFont="1" applyFill="1" applyBorder="1" applyAlignment="1" applyProtection="1">
      <alignment horizontal="center" vertical="center"/>
    </xf>
    <xf numFmtId="0" fontId="3" fillId="3" borderId="0" xfId="0" applyFont="1" applyFill="1" applyAlignment="1" applyProtection="1">
      <alignment horizontal="center" vertical="center"/>
    </xf>
    <xf numFmtId="166" fontId="27" fillId="7" borderId="1" xfId="0" applyNumberFormat="1" applyFont="1" applyFill="1" applyBorder="1" applyAlignment="1" applyProtection="1">
      <alignment horizontal="center" vertical="center"/>
    </xf>
    <xf numFmtId="10" fontId="14" fillId="7" borderId="1" xfId="2" applyNumberFormat="1" applyFont="1" applyFill="1" applyBorder="1" applyAlignment="1" applyProtection="1">
      <alignment horizontal="center" vertical="center"/>
    </xf>
    <xf numFmtId="0" fontId="29" fillId="2" borderId="17" xfId="0" applyFont="1" applyFill="1" applyBorder="1" applyAlignment="1" applyProtection="1">
      <alignment horizontal="centerContinuous" vertical="center"/>
    </xf>
    <xf numFmtId="0" fontId="29" fillId="2" borderId="18" xfId="0" applyFont="1" applyFill="1" applyBorder="1" applyAlignment="1" applyProtection="1">
      <alignment horizontal="centerContinuous" vertical="center"/>
    </xf>
    <xf numFmtId="0" fontId="29" fillId="2" borderId="19" xfId="0" applyFont="1" applyFill="1" applyBorder="1" applyAlignment="1" applyProtection="1">
      <alignment horizontal="centerContinuous" vertical="center"/>
    </xf>
    <xf numFmtId="0" fontId="14" fillId="2" borderId="1" xfId="0" applyFont="1" applyFill="1" applyBorder="1" applyAlignment="1" applyProtection="1">
      <alignment horizontal="center" vertical="center"/>
    </xf>
    <xf numFmtId="0" fontId="12" fillId="2" borderId="1" xfId="0" applyFont="1" applyFill="1" applyBorder="1" applyAlignment="1" applyProtection="1">
      <alignment horizontal="center" vertical="center" wrapText="1"/>
    </xf>
    <xf numFmtId="165" fontId="14" fillId="4" borderId="24" xfId="1" applyNumberFormat="1" applyFont="1" applyFill="1" applyBorder="1" applyAlignment="1" applyProtection="1">
      <alignment horizontal="center" vertical="center"/>
    </xf>
    <xf numFmtId="0" fontId="14" fillId="6" borderId="1" xfId="0" applyFont="1" applyFill="1" applyBorder="1" applyAlignment="1" applyProtection="1">
      <alignment horizontal="center" vertical="center"/>
    </xf>
    <xf numFmtId="0" fontId="14" fillId="0" borderId="1" xfId="0" applyFont="1" applyBorder="1" applyAlignment="1" applyProtection="1">
      <alignment horizontal="center" vertical="center" readingOrder="1"/>
    </xf>
    <xf numFmtId="0" fontId="4" fillId="2" borderId="1" xfId="0" applyFont="1" applyFill="1" applyBorder="1" applyAlignment="1" applyProtection="1">
      <alignment horizontal="center" vertical="center"/>
    </xf>
    <xf numFmtId="0" fontId="12" fillId="2" borderId="1" xfId="0" applyFont="1" applyFill="1" applyBorder="1" applyAlignment="1" applyProtection="1">
      <alignment vertical="center"/>
    </xf>
    <xf numFmtId="167" fontId="12" fillId="2" borderId="1" xfId="1" applyNumberFormat="1" applyFont="1" applyFill="1" applyBorder="1" applyAlignment="1" applyProtection="1">
      <alignment horizontal="center" vertical="center"/>
    </xf>
    <xf numFmtId="0" fontId="29" fillId="2" borderId="1" xfId="0" applyFont="1" applyFill="1" applyBorder="1" applyAlignment="1" applyProtection="1">
      <alignment horizontal="centerContinuous" vertical="center"/>
    </xf>
    <xf numFmtId="0" fontId="12" fillId="2" borderId="25" xfId="0" applyFont="1" applyFill="1" applyBorder="1" applyAlignment="1" applyProtection="1">
      <alignment horizontal="center" vertical="center" wrapText="1"/>
    </xf>
    <xf numFmtId="179" fontId="14" fillId="6" borderId="1" xfId="0" applyNumberFormat="1" applyFont="1" applyFill="1" applyBorder="1" applyAlignment="1" applyProtection="1">
      <alignment horizontal="center" vertical="center"/>
    </xf>
    <xf numFmtId="165" fontId="14" fillId="8" borderId="1" xfId="1" applyNumberFormat="1" applyFont="1" applyFill="1" applyBorder="1" applyAlignment="1" applyProtection="1">
      <alignment horizontal="center" vertical="center"/>
    </xf>
    <xf numFmtId="0" fontId="14" fillId="18" borderId="1" xfId="0" applyFont="1" applyFill="1" applyBorder="1" applyAlignment="1" applyProtection="1">
      <alignment horizontal="center" vertical="center"/>
    </xf>
    <xf numFmtId="165" fontId="14" fillId="4" borderId="21" xfId="1" applyNumberFormat="1" applyFont="1" applyFill="1" applyBorder="1" applyAlignment="1" applyProtection="1">
      <alignment horizontal="center" vertical="center"/>
    </xf>
    <xf numFmtId="0" fontId="3" fillId="0" borderId="1" xfId="0" applyFont="1" applyBorder="1" applyAlignment="1" applyProtection="1">
      <alignment horizontal="center" vertical="center" readingOrder="2"/>
    </xf>
    <xf numFmtId="0" fontId="3" fillId="0" borderId="1" xfId="0" applyFont="1" applyBorder="1" applyAlignment="1" applyProtection="1">
      <alignment horizontal="center" vertical="center"/>
    </xf>
    <xf numFmtId="0" fontId="3" fillId="3" borderId="1" xfId="0" applyFont="1" applyFill="1" applyBorder="1" applyAlignment="1" applyProtection="1">
      <alignment horizontal="center" vertical="center"/>
    </xf>
    <xf numFmtId="2" fontId="14" fillId="0" borderId="1" xfId="0" applyNumberFormat="1" applyFont="1" applyFill="1" applyBorder="1" applyAlignment="1" applyProtection="1">
      <alignment horizontal="center" vertical="center"/>
    </xf>
    <xf numFmtId="0" fontId="4" fillId="2" borderId="22" xfId="0" applyFont="1" applyFill="1" applyBorder="1" applyAlignment="1" applyProtection="1">
      <alignment horizontal="center" vertical="center"/>
    </xf>
    <xf numFmtId="0" fontId="2" fillId="2" borderId="1" xfId="0" applyFont="1" applyFill="1" applyBorder="1" applyAlignment="1" applyProtection="1">
      <alignment vertical="center"/>
    </xf>
    <xf numFmtId="0" fontId="2" fillId="2" borderId="24" xfId="0" applyFont="1" applyFill="1" applyBorder="1" applyAlignment="1" applyProtection="1">
      <alignment vertical="center"/>
    </xf>
    <xf numFmtId="165" fontId="12" fillId="2" borderId="1" xfId="0" applyNumberFormat="1" applyFont="1" applyFill="1" applyBorder="1" applyAlignment="1" applyProtection="1">
      <alignment horizontal="center" vertical="center"/>
    </xf>
    <xf numFmtId="0" fontId="1" fillId="2" borderId="1" xfId="0" applyFont="1" applyFill="1" applyBorder="1" applyAlignment="1" applyProtection="1">
      <alignment horizontal="center" vertical="center"/>
    </xf>
    <xf numFmtId="0" fontId="12" fillId="2" borderId="1" xfId="0" applyFont="1" applyFill="1" applyBorder="1" applyAlignment="1" applyProtection="1">
      <alignment horizontal="center" vertical="center" readingOrder="2"/>
    </xf>
    <xf numFmtId="164" fontId="14" fillId="7" borderId="1" xfId="0" applyNumberFormat="1" applyFont="1" applyFill="1" applyBorder="1" applyAlignment="1" applyProtection="1">
      <alignment horizontal="center" vertical="center"/>
    </xf>
    <xf numFmtId="0" fontId="3" fillId="2" borderId="1" xfId="0" applyFont="1" applyFill="1" applyBorder="1" applyAlignment="1" applyProtection="1">
      <alignment horizontal="center" vertical="center"/>
    </xf>
    <xf numFmtId="0" fontId="14" fillId="0" borderId="3" xfId="0" applyFont="1" applyBorder="1" applyAlignment="1" applyProtection="1">
      <alignment horizontal="center" vertical="center" readingOrder="2"/>
    </xf>
    <xf numFmtId="165" fontId="14" fillId="3" borderId="24" xfId="1" applyNumberFormat="1" applyFont="1" applyFill="1" applyBorder="1" applyAlignment="1" applyProtection="1">
      <alignment vertical="center"/>
    </xf>
    <xf numFmtId="171" fontId="14" fillId="7" borderId="1" xfId="0" applyNumberFormat="1" applyFont="1" applyFill="1" applyBorder="1" applyAlignment="1" applyProtection="1">
      <alignment vertical="center"/>
    </xf>
    <xf numFmtId="0" fontId="12" fillId="2" borderId="24" xfId="0" applyFont="1" applyFill="1" applyBorder="1" applyAlignment="1" applyProtection="1">
      <alignment vertical="center"/>
    </xf>
    <xf numFmtId="0" fontId="5" fillId="4" borderId="1" xfId="0" applyFont="1" applyFill="1" applyBorder="1" applyAlignment="1" applyProtection="1">
      <alignment horizontal="center" vertical="center"/>
    </xf>
    <xf numFmtId="164" fontId="5" fillId="3" borderId="1" xfId="1" applyFont="1" applyFill="1" applyBorder="1" applyAlignment="1" applyProtection="1">
      <alignment horizontal="center" vertical="center"/>
    </xf>
    <xf numFmtId="9" fontId="14" fillId="4" borderId="1" xfId="2" applyFont="1" applyFill="1" applyBorder="1" applyAlignment="1" applyProtection="1">
      <alignment horizontal="center" vertical="center"/>
    </xf>
    <xf numFmtId="0" fontId="14" fillId="4"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readingOrder="2"/>
    </xf>
    <xf numFmtId="165" fontId="4" fillId="2" borderId="1" xfId="0" applyNumberFormat="1" applyFont="1" applyFill="1" applyBorder="1" applyAlignment="1" applyProtection="1">
      <alignment horizontal="center" vertical="center"/>
    </xf>
    <xf numFmtId="0" fontId="3" fillId="3" borderId="0" xfId="0" applyFont="1" applyFill="1" applyAlignment="1" applyProtection="1">
      <alignment horizontal="right" vertical="center"/>
    </xf>
    <xf numFmtId="0" fontId="11" fillId="3" borderId="0" xfId="0" applyFont="1" applyFill="1" applyAlignment="1" applyProtection="1">
      <alignment vertical="center"/>
    </xf>
    <xf numFmtId="171" fontId="14" fillId="3" borderId="0" xfId="1" applyNumberFormat="1" applyFont="1" applyFill="1" applyAlignment="1" applyProtection="1">
      <alignment horizontal="center" vertical="center"/>
    </xf>
    <xf numFmtId="0" fontId="3" fillId="3" borderId="0" xfId="0" applyFont="1" applyFill="1" applyAlignment="1" applyProtection="1">
      <alignment vertical="center"/>
    </xf>
    <xf numFmtId="0" fontId="14" fillId="7" borderId="1" xfId="0" applyFont="1" applyFill="1" applyBorder="1" applyAlignment="1" applyProtection="1">
      <alignment horizontal="center" vertical="center"/>
    </xf>
    <xf numFmtId="0" fontId="14" fillId="6" borderId="1" xfId="0" applyFont="1" applyFill="1" applyBorder="1" applyAlignment="1" applyProtection="1">
      <alignment horizontal="center" vertical="center" readingOrder="2"/>
    </xf>
    <xf numFmtId="0" fontId="14" fillId="3" borderId="3" xfId="0" applyFont="1" applyFill="1" applyBorder="1" applyAlignment="1" applyProtection="1">
      <alignment horizontal="center" vertical="center" readingOrder="2"/>
    </xf>
    <xf numFmtId="165" fontId="14" fillId="4" borderId="1" xfId="0" applyNumberFormat="1" applyFont="1" applyFill="1" applyBorder="1" applyAlignment="1" applyProtection="1">
      <alignment horizontal="right" vertical="center"/>
    </xf>
    <xf numFmtId="167" fontId="14" fillId="0" borderId="1" xfId="0" applyNumberFormat="1" applyFont="1" applyBorder="1" applyAlignment="1" applyProtection="1">
      <alignment horizontal="right" vertical="center"/>
    </xf>
    <xf numFmtId="0" fontId="2" fillId="2" borderId="1" xfId="0" applyFont="1" applyFill="1" applyBorder="1" applyAlignment="1" applyProtection="1">
      <alignment horizontal="center" vertical="center"/>
    </xf>
    <xf numFmtId="0" fontId="12" fillId="2" borderId="26" xfId="0" applyFont="1" applyFill="1" applyBorder="1" applyAlignment="1" applyProtection="1">
      <alignment horizontal="center" vertical="center"/>
    </xf>
    <xf numFmtId="0" fontId="4" fillId="2" borderId="22" xfId="0" applyFont="1" applyFill="1" applyBorder="1" applyAlignment="1" applyProtection="1">
      <alignment horizontal="center" vertical="center" readingOrder="2"/>
    </xf>
    <xf numFmtId="0" fontId="31" fillId="2" borderId="17" xfId="0" applyFont="1" applyFill="1" applyBorder="1" applyAlignment="1" applyProtection="1">
      <alignment horizontal="centerContinuous" vertical="center"/>
    </xf>
    <xf numFmtId="0" fontId="31" fillId="2" borderId="18" xfId="0" applyFont="1" applyFill="1" applyBorder="1" applyAlignment="1" applyProtection="1">
      <alignment horizontal="centerContinuous" vertical="center"/>
    </xf>
    <xf numFmtId="0" fontId="31" fillId="2" borderId="19" xfId="0" applyFont="1" applyFill="1" applyBorder="1" applyAlignment="1" applyProtection="1">
      <alignment horizontal="centerContinuous" vertical="center"/>
    </xf>
    <xf numFmtId="175" fontId="12" fillId="7" borderId="1" xfId="1" applyNumberFormat="1" applyFont="1" applyFill="1" applyBorder="1" applyAlignment="1" applyProtection="1">
      <alignment horizontal="center" vertical="center"/>
    </xf>
    <xf numFmtId="0" fontId="3" fillId="4" borderId="1" xfId="0" applyFont="1" applyFill="1" applyBorder="1" applyAlignment="1" applyProtection="1">
      <alignment horizontal="center" vertical="center" readingOrder="2"/>
    </xf>
    <xf numFmtId="0" fontId="14" fillId="4" borderId="1" xfId="0" applyFont="1" applyFill="1" applyBorder="1" applyAlignment="1" applyProtection="1">
      <alignment horizontal="right" vertical="center"/>
    </xf>
    <xf numFmtId="0" fontId="3" fillId="4" borderId="3" xfId="0" applyFont="1" applyFill="1" applyBorder="1" applyAlignment="1" applyProtection="1">
      <alignment horizontal="center" vertical="center" readingOrder="2"/>
    </xf>
    <xf numFmtId="165" fontId="14" fillId="4" borderId="1" xfId="0" applyNumberFormat="1" applyFont="1" applyFill="1" applyBorder="1" applyAlignment="1" applyProtection="1">
      <alignment horizontal="center" vertical="center"/>
    </xf>
    <xf numFmtId="165" fontId="14" fillId="4" borderId="1" xfId="0" applyNumberFormat="1" applyFont="1" applyFill="1" applyBorder="1" applyAlignment="1" applyProtection="1">
      <alignment horizontal="center" vertical="center" readingOrder="2"/>
    </xf>
    <xf numFmtId="165" fontId="12" fillId="2" borderId="22" xfId="0" applyNumberFormat="1" applyFont="1" applyFill="1" applyBorder="1" applyAlignment="1" applyProtection="1">
      <alignment horizontal="center" vertical="center"/>
    </xf>
    <xf numFmtId="0" fontId="14" fillId="6" borderId="3" xfId="0" applyFont="1" applyFill="1" applyBorder="1" applyAlignment="1" applyProtection="1">
      <alignment horizontal="center" vertical="center" readingOrder="2"/>
    </xf>
    <xf numFmtId="165" fontId="14" fillId="4" borderId="1" xfId="1" applyNumberFormat="1" applyFont="1" applyFill="1" applyBorder="1" applyAlignment="1" applyProtection="1">
      <alignment horizontal="right" vertical="center"/>
    </xf>
    <xf numFmtId="0" fontId="2" fillId="2" borderId="23" xfId="0" applyFont="1" applyFill="1" applyBorder="1" applyAlignment="1" applyProtection="1">
      <alignment horizontal="center" vertical="center"/>
    </xf>
    <xf numFmtId="165" fontId="14" fillId="0" borderId="1" xfId="1" applyNumberFormat="1" applyFont="1" applyFill="1" applyBorder="1" applyAlignment="1" applyProtection="1">
      <alignment horizontal="center" vertical="center"/>
    </xf>
    <xf numFmtId="164" fontId="14" fillId="0" borderId="1" xfId="1" applyNumberFormat="1" applyFont="1" applyFill="1" applyBorder="1" applyAlignment="1" applyProtection="1">
      <alignment horizontal="center" vertical="center"/>
    </xf>
    <xf numFmtId="167" fontId="14" fillId="3" borderId="1" xfId="1" applyNumberFormat="1" applyFont="1" applyFill="1" applyBorder="1" applyAlignment="1" applyProtection="1">
      <alignment horizontal="center" vertical="center"/>
    </xf>
    <xf numFmtId="165" fontId="14" fillId="7" borderId="24" xfId="0" applyNumberFormat="1" applyFont="1" applyFill="1" applyBorder="1" applyAlignment="1" applyProtection="1">
      <alignment horizontal="center" vertical="center" wrapText="1"/>
    </xf>
    <xf numFmtId="0" fontId="4" fillId="2" borderId="1" xfId="0" applyFont="1" applyFill="1" applyBorder="1" applyAlignment="1" applyProtection="1">
      <alignment horizontal="center" vertical="center" readingOrder="2"/>
    </xf>
    <xf numFmtId="167" fontId="12" fillId="2" borderId="1" xfId="0" applyNumberFormat="1" applyFont="1" applyFill="1" applyBorder="1" applyAlignment="1" applyProtection="1">
      <alignment horizontal="center" vertical="center"/>
    </xf>
    <xf numFmtId="0" fontId="14" fillId="3" borderId="23" xfId="0" applyFont="1" applyFill="1" applyBorder="1" applyAlignment="1" applyProtection="1">
      <alignment vertical="center"/>
    </xf>
    <xf numFmtId="0" fontId="14" fillId="4" borderId="1" xfId="0" applyFont="1" applyFill="1" applyBorder="1" applyAlignment="1" applyProtection="1">
      <alignment horizontal="center" vertical="center" readingOrder="2"/>
    </xf>
    <xf numFmtId="0" fontId="14" fillId="0" borderId="26" xfId="0" applyFont="1" applyBorder="1" applyAlignment="1" applyProtection="1">
      <alignment horizontal="center" vertical="center" readingOrder="2"/>
    </xf>
    <xf numFmtId="0" fontId="14" fillId="0" borderId="26" xfId="0" applyFont="1" applyBorder="1" applyAlignment="1" applyProtection="1">
      <alignment horizontal="center" vertical="center"/>
    </xf>
    <xf numFmtId="0" fontId="14" fillId="6" borderId="26" xfId="0" applyFont="1" applyFill="1" applyBorder="1" applyAlignment="1" applyProtection="1">
      <alignment horizontal="center" vertical="center"/>
    </xf>
    <xf numFmtId="0" fontId="14" fillId="18" borderId="26" xfId="0" applyFont="1" applyFill="1" applyBorder="1" applyAlignment="1" applyProtection="1">
      <alignment horizontal="center" vertical="center"/>
    </xf>
    <xf numFmtId="49" fontId="14" fillId="0" borderId="1" xfId="0" applyNumberFormat="1" applyFont="1" applyBorder="1" applyAlignment="1" applyProtection="1">
      <alignment horizontal="center" vertical="center"/>
    </xf>
    <xf numFmtId="0" fontId="14" fillId="3" borderId="1" xfId="0" applyFont="1" applyFill="1" applyBorder="1" applyAlignment="1" applyProtection="1">
      <alignment horizontal="center" vertical="center" wrapText="1"/>
    </xf>
    <xf numFmtId="165" fontId="12" fillId="2" borderId="1" xfId="1" applyNumberFormat="1" applyFont="1" applyFill="1" applyBorder="1" applyAlignment="1" applyProtection="1">
      <alignment horizontal="right" vertical="center"/>
    </xf>
    <xf numFmtId="164" fontId="14" fillId="6" borderId="1" xfId="1" applyFont="1" applyFill="1" applyBorder="1" applyAlignment="1" applyProtection="1">
      <alignment horizontal="center" vertical="center"/>
    </xf>
    <xf numFmtId="171" fontId="14" fillId="6" borderId="1" xfId="1" applyNumberFormat="1" applyFont="1" applyFill="1" applyBorder="1" applyAlignment="1" applyProtection="1">
      <alignment horizontal="center" vertical="center"/>
    </xf>
    <xf numFmtId="164" fontId="14" fillId="6" borderId="26" xfId="1" applyFont="1" applyFill="1" applyBorder="1" applyAlignment="1" applyProtection="1">
      <alignment horizontal="center" vertical="center"/>
    </xf>
    <xf numFmtId="164" fontId="3" fillId="6" borderId="1" xfId="1" applyFont="1" applyFill="1" applyBorder="1" applyAlignment="1" applyProtection="1">
      <alignment horizontal="center" vertical="center"/>
    </xf>
    <xf numFmtId="0" fontId="14" fillId="0" borderId="1" xfId="0" applyNumberFormat="1" applyFont="1" applyBorder="1" applyAlignment="1" applyProtection="1">
      <alignment horizontal="center" vertical="center"/>
    </xf>
    <xf numFmtId="11" fontId="14" fillId="0" borderId="1" xfId="1" applyNumberFormat="1" applyFont="1" applyFill="1" applyBorder="1" applyAlignment="1" applyProtection="1">
      <alignment horizontal="center" vertical="center"/>
    </xf>
    <xf numFmtId="11" fontId="14" fillId="0" borderId="1" xfId="0" applyNumberFormat="1" applyFont="1" applyFill="1" applyBorder="1" applyAlignment="1" applyProtection="1">
      <alignment horizontal="center" vertical="center"/>
    </xf>
    <xf numFmtId="165" fontId="14" fillId="7" borderId="1" xfId="1" applyNumberFormat="1" applyFont="1" applyFill="1" applyBorder="1" applyAlignment="1" applyProtection="1">
      <alignment horizontal="center" vertical="center" readingOrder="1"/>
    </xf>
    <xf numFmtId="0" fontId="29" fillId="2" borderId="17" xfId="0" applyFont="1" applyFill="1" applyBorder="1" applyAlignment="1" applyProtection="1">
      <alignment horizontal="centerContinuous" vertical="center" readingOrder="1"/>
    </xf>
    <xf numFmtId="0" fontId="29" fillId="2" borderId="18" xfId="0" applyFont="1" applyFill="1" applyBorder="1" applyAlignment="1" applyProtection="1">
      <alignment horizontal="centerContinuous" vertical="center" readingOrder="1"/>
    </xf>
    <xf numFmtId="0" fontId="29" fillId="2" borderId="19" xfId="0" applyFont="1" applyFill="1" applyBorder="1" applyAlignment="1" applyProtection="1">
      <alignment horizontal="centerContinuous" vertical="center" readingOrder="1"/>
    </xf>
    <xf numFmtId="0" fontId="12" fillId="2" borderId="1" xfId="0" applyFont="1" applyFill="1" applyBorder="1" applyAlignment="1" applyProtection="1">
      <alignment horizontal="center" vertical="center" readingOrder="1"/>
    </xf>
    <xf numFmtId="174" fontId="14" fillId="7" borderId="24" xfId="1" applyNumberFormat="1" applyFont="1" applyFill="1" applyBorder="1" applyAlignment="1" applyProtection="1">
      <alignment horizontal="center" vertical="center"/>
    </xf>
    <xf numFmtId="164" fontId="14" fillId="7" borderId="1" xfId="1" applyFont="1" applyFill="1" applyBorder="1" applyAlignment="1" applyProtection="1">
      <alignment horizontal="center" vertical="center" readingOrder="1"/>
    </xf>
    <xf numFmtId="165" fontId="14" fillId="4" borderId="1" xfId="1" applyNumberFormat="1" applyFont="1" applyFill="1" applyBorder="1" applyAlignment="1" applyProtection="1">
      <alignment horizontal="center" vertical="center" readingOrder="1"/>
    </xf>
    <xf numFmtId="174" fontId="14" fillId="4" borderId="1" xfId="1" applyNumberFormat="1" applyFont="1" applyFill="1" applyBorder="1" applyAlignment="1" applyProtection="1">
      <alignment horizontal="center" vertical="center" readingOrder="1"/>
    </xf>
    <xf numFmtId="165" fontId="14" fillId="3" borderId="1" xfId="1" applyNumberFormat="1" applyFont="1" applyFill="1" applyBorder="1" applyAlignment="1" applyProtection="1">
      <alignment horizontal="center" vertical="center" readingOrder="1"/>
    </xf>
    <xf numFmtId="164" fontId="14" fillId="3" borderId="1" xfId="1" applyFont="1" applyFill="1" applyBorder="1" applyAlignment="1" applyProtection="1">
      <alignment horizontal="center" vertical="center" readingOrder="1"/>
    </xf>
    <xf numFmtId="0" fontId="14" fillId="18" borderId="1" xfId="0" applyFont="1" applyFill="1" applyBorder="1" applyAlignment="1" applyProtection="1">
      <alignment horizontal="center" vertical="center" readingOrder="1"/>
    </xf>
    <xf numFmtId="165" fontId="12" fillId="2" borderId="1" xfId="1" applyNumberFormat="1" applyFont="1" applyFill="1" applyBorder="1" applyAlignment="1" applyProtection="1">
      <alignment horizontal="center" vertical="center" readingOrder="1"/>
    </xf>
    <xf numFmtId="0" fontId="14" fillId="27" borderId="23" xfId="0" applyFont="1" applyFill="1" applyBorder="1" applyAlignment="1" applyProtection="1">
      <alignment horizontal="center" vertical="center" readingOrder="1"/>
    </xf>
    <xf numFmtId="0" fontId="14" fillId="27" borderId="24" xfId="0" applyFont="1" applyFill="1" applyBorder="1" applyAlignment="1" applyProtection="1">
      <alignment horizontal="center" vertical="center" readingOrder="1"/>
    </xf>
    <xf numFmtId="0" fontId="12" fillId="2" borderId="22" xfId="0" applyFont="1" applyFill="1" applyBorder="1" applyAlignment="1" applyProtection="1">
      <alignment horizontal="center" vertical="center" readingOrder="1"/>
    </xf>
    <xf numFmtId="0" fontId="14" fillId="3" borderId="1" xfId="0" applyNumberFormat="1" applyFont="1" applyFill="1" applyBorder="1" applyAlignment="1" applyProtection="1">
      <alignment horizontal="center" vertical="center" readingOrder="1"/>
    </xf>
    <xf numFmtId="165" fontId="14" fillId="3" borderId="1" xfId="0" applyNumberFormat="1" applyFont="1" applyFill="1" applyBorder="1" applyAlignment="1" applyProtection="1">
      <alignment horizontal="center" vertical="center" readingOrder="1"/>
    </xf>
    <xf numFmtId="165" fontId="14" fillId="7" borderId="1" xfId="0" applyNumberFormat="1" applyFont="1" applyFill="1" applyBorder="1" applyAlignment="1" applyProtection="1">
      <alignment horizontal="center" vertical="center" readingOrder="1"/>
    </xf>
    <xf numFmtId="175" fontId="14" fillId="7" borderId="1" xfId="1" applyNumberFormat="1" applyFont="1" applyFill="1" applyBorder="1" applyAlignment="1" applyProtection="1">
      <alignment horizontal="center" vertical="center" readingOrder="1"/>
    </xf>
    <xf numFmtId="0" fontId="12" fillId="2" borderId="22" xfId="0" applyFont="1" applyFill="1" applyBorder="1" applyAlignment="1" applyProtection="1">
      <alignment horizontal="center" vertical="center" readingOrder="2"/>
    </xf>
    <xf numFmtId="165" fontId="14" fillId="0" borderId="24" xfId="1" applyNumberFormat="1" applyFont="1" applyFill="1" applyBorder="1" applyAlignment="1" applyProtection="1">
      <alignment horizontal="center" vertical="center"/>
    </xf>
    <xf numFmtId="0" fontId="5" fillId="0" borderId="1" xfId="0" applyFont="1" applyFill="1" applyBorder="1" applyAlignment="1" applyProtection="1">
      <alignment horizontal="center" vertical="center"/>
    </xf>
    <xf numFmtId="0" fontId="11" fillId="3" borderId="1" xfId="0" applyFont="1" applyFill="1" applyBorder="1" applyAlignment="1" applyProtection="1">
      <alignment horizontal="center" vertical="center"/>
    </xf>
    <xf numFmtId="177" fontId="11" fillId="3" borderId="1" xfId="0" applyNumberFormat="1" applyFont="1" applyFill="1" applyBorder="1" applyAlignment="1" applyProtection="1">
      <alignment horizontal="center" vertical="center"/>
    </xf>
    <xf numFmtId="0" fontId="11" fillId="0" borderId="1" xfId="0" applyFont="1" applyFill="1" applyBorder="1" applyAlignment="1" applyProtection="1">
      <alignment horizontal="center" vertical="center"/>
    </xf>
    <xf numFmtId="177" fontId="11" fillId="7" borderId="1" xfId="0" applyNumberFormat="1" applyFont="1" applyFill="1" applyBorder="1" applyAlignment="1" applyProtection="1">
      <alignment horizontal="center" vertical="center"/>
    </xf>
    <xf numFmtId="177" fontId="11" fillId="0" borderId="1" xfId="0" applyNumberFormat="1" applyFont="1" applyFill="1" applyBorder="1" applyAlignment="1" applyProtection="1">
      <alignment horizontal="center" vertical="center"/>
    </xf>
    <xf numFmtId="0" fontId="29" fillId="2" borderId="1" xfId="0" applyFont="1" applyFill="1" applyBorder="1" applyAlignment="1" applyProtection="1">
      <alignment horizontal="centerContinuous" vertical="center" wrapText="1"/>
    </xf>
    <xf numFmtId="0" fontId="12" fillId="9" borderId="1" xfId="0" applyFont="1" applyFill="1" applyBorder="1" applyAlignment="1" applyProtection="1">
      <alignment horizontal="center" vertical="center" wrapText="1"/>
    </xf>
    <xf numFmtId="0" fontId="32" fillId="9" borderId="1" xfId="0" applyFont="1" applyFill="1" applyBorder="1" applyAlignment="1" applyProtection="1">
      <alignment horizontal="center" vertical="center" wrapText="1"/>
    </xf>
    <xf numFmtId="0" fontId="32" fillId="10" borderId="1" xfId="0" applyFont="1" applyFill="1" applyBorder="1" applyAlignment="1" applyProtection="1">
      <alignment horizontal="center" vertical="center"/>
    </xf>
    <xf numFmtId="177" fontId="32" fillId="9" borderId="1" xfId="1" applyNumberFormat="1" applyFont="1" applyFill="1" applyBorder="1" applyAlignment="1" applyProtection="1">
      <alignment horizontal="center" vertical="center"/>
    </xf>
    <xf numFmtId="0" fontId="5" fillId="0" borderId="1" xfId="0" applyFont="1" applyBorder="1" applyAlignment="1" applyProtection="1">
      <alignment horizontal="center" vertical="center"/>
    </xf>
    <xf numFmtId="165" fontId="14" fillId="4" borderId="22" xfId="1" applyNumberFormat="1" applyFont="1" applyFill="1" applyBorder="1" applyAlignment="1" applyProtection="1">
      <alignment vertical="center"/>
    </xf>
    <xf numFmtId="9" fontId="14" fillId="3" borderId="1" xfId="0" applyNumberFormat="1" applyFont="1" applyFill="1" applyBorder="1" applyAlignment="1" applyProtection="1">
      <alignment horizontal="center" vertical="center"/>
    </xf>
    <xf numFmtId="178" fontId="11" fillId="3" borderId="1" xfId="0" applyNumberFormat="1" applyFont="1" applyFill="1" applyBorder="1" applyAlignment="1" applyProtection="1">
      <alignment horizontal="center" vertical="center"/>
    </xf>
    <xf numFmtId="178" fontId="11" fillId="7" borderId="1" xfId="0" applyNumberFormat="1" applyFont="1" applyFill="1" applyBorder="1" applyAlignment="1" applyProtection="1">
      <alignment horizontal="center" vertical="center"/>
    </xf>
    <xf numFmtId="0" fontId="32" fillId="10" borderId="1" xfId="0" applyFont="1" applyFill="1" applyBorder="1" applyAlignment="1" applyProtection="1">
      <alignment horizontal="center" vertical="center" wrapText="1"/>
    </xf>
    <xf numFmtId="9" fontId="5" fillId="0" borderId="1" xfId="2" applyFont="1" applyBorder="1" applyAlignment="1" applyProtection="1">
      <alignment horizontal="center" vertical="center"/>
    </xf>
    <xf numFmtId="3" fontId="14" fillId="3" borderId="1" xfId="0" applyNumberFormat="1" applyFont="1" applyFill="1" applyBorder="1" applyAlignment="1" applyProtection="1">
      <alignment horizontal="center" vertical="center" wrapText="1"/>
    </xf>
    <xf numFmtId="0" fontId="14" fillId="3" borderId="0" xfId="0" applyFont="1" applyFill="1" applyAlignment="1" applyProtection="1">
      <alignment horizontal="center" vertical="center"/>
    </xf>
    <xf numFmtId="0" fontId="14" fillId="3" borderId="0" xfId="0" applyFont="1" applyFill="1" applyAlignment="1" applyProtection="1">
      <alignment horizontal="right" vertical="center"/>
    </xf>
    <xf numFmtId="0" fontId="14" fillId="3" borderId="1" xfId="0" applyFont="1" applyFill="1" applyBorder="1" applyAlignment="1">
      <alignment horizontal="center" vertical="center"/>
    </xf>
    <xf numFmtId="0" fontId="14" fillId="3" borderId="22" xfId="0"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0" fontId="14" fillId="3" borderId="3" xfId="0" applyFont="1" applyFill="1" applyBorder="1" applyAlignment="1" applyProtection="1">
      <alignment horizontal="center" vertical="center"/>
    </xf>
    <xf numFmtId="0" fontId="14" fillId="3" borderId="3" xfId="0" applyFont="1" applyFill="1" applyBorder="1" applyAlignment="1" applyProtection="1">
      <alignment horizontal="center" vertical="center" wrapText="1"/>
    </xf>
    <xf numFmtId="0" fontId="12" fillId="2" borderId="1" xfId="0"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0" fontId="14" fillId="16" borderId="1" xfId="0" applyFont="1" applyFill="1" applyBorder="1" applyAlignment="1" applyProtection="1">
      <alignment horizontal="center" vertical="center"/>
    </xf>
    <xf numFmtId="0" fontId="14" fillId="13" borderId="1" xfId="0" applyFont="1" applyFill="1" applyBorder="1" applyAlignment="1" applyProtection="1">
      <alignment horizontal="center" vertical="center"/>
    </xf>
    <xf numFmtId="0" fontId="42" fillId="3" borderId="0" xfId="0" applyFont="1" applyFill="1" applyAlignment="1" applyProtection="1">
      <alignment horizontal="center" vertical="center"/>
    </xf>
    <xf numFmtId="0" fontId="14" fillId="15" borderId="1" xfId="0" applyFont="1" applyFill="1" applyBorder="1" applyAlignment="1" applyProtection="1">
      <alignment horizontal="center" vertical="center"/>
    </xf>
    <xf numFmtId="0" fontId="14" fillId="17" borderId="1" xfId="0" applyFont="1" applyFill="1" applyBorder="1" applyAlignment="1" applyProtection="1">
      <alignment horizontal="center" vertical="center"/>
    </xf>
    <xf numFmtId="0" fontId="14" fillId="17" borderId="3" xfId="0" applyFont="1" applyFill="1" applyBorder="1" applyAlignment="1" applyProtection="1">
      <alignment horizontal="center" vertical="center"/>
    </xf>
    <xf numFmtId="0" fontId="8" fillId="3" borderId="0" xfId="0" applyFont="1" applyFill="1" applyBorder="1" applyAlignment="1" applyProtection="1">
      <alignment vertical="center"/>
    </xf>
    <xf numFmtId="0" fontId="4" fillId="18" borderId="17" xfId="0" applyFont="1" applyFill="1" applyBorder="1" applyAlignment="1" applyProtection="1">
      <alignment horizontal="right" vertical="center"/>
    </xf>
    <xf numFmtId="0" fontId="3" fillId="18" borderId="18" xfId="0" applyFont="1" applyFill="1" applyBorder="1" applyAlignment="1" applyProtection="1">
      <alignment horizontal="center" vertical="center"/>
    </xf>
    <xf numFmtId="0" fontId="12" fillId="18" borderId="19" xfId="0" applyFont="1" applyFill="1" applyBorder="1" applyAlignment="1" applyProtection="1">
      <alignment horizontal="left" vertical="center" readingOrder="1"/>
    </xf>
    <xf numFmtId="0" fontId="14" fillId="0" borderId="1" xfId="0" applyFont="1" applyBorder="1" applyAlignment="1" applyProtection="1">
      <alignment horizontal="center" vertical="center" wrapText="1" readingOrder="2"/>
    </xf>
    <xf numFmtId="0" fontId="14" fillId="3" borderId="22" xfId="0" applyFont="1" applyFill="1" applyBorder="1" applyAlignment="1" applyProtection="1">
      <alignment horizontal="center" vertical="center" wrapText="1"/>
    </xf>
    <xf numFmtId="0" fontId="5" fillId="0" borderId="22" xfId="0" applyFont="1" applyBorder="1" applyAlignment="1" applyProtection="1">
      <alignment horizontal="center" vertical="center" wrapText="1"/>
    </xf>
    <xf numFmtId="0" fontId="5" fillId="0" borderId="1" xfId="0" applyFont="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178" fontId="14" fillId="3" borderId="1" xfId="1" applyNumberFormat="1" applyFont="1" applyFill="1" applyBorder="1" applyAlignment="1" applyProtection="1">
      <alignment horizontal="center" vertical="center"/>
    </xf>
    <xf numFmtId="0" fontId="12" fillId="2" borderId="1" xfId="0" applyFont="1" applyFill="1" applyBorder="1" applyAlignment="1" applyProtection="1">
      <alignment horizontal="center" vertical="center" wrapText="1"/>
    </xf>
    <xf numFmtId="0" fontId="12" fillId="2" borderId="1" xfId="0" applyFont="1" applyFill="1" applyBorder="1" applyAlignment="1" applyProtection="1">
      <alignment horizontal="center" vertical="center"/>
    </xf>
    <xf numFmtId="0" fontId="12" fillId="2" borderId="25" xfId="0" applyFont="1" applyFill="1" applyBorder="1" applyAlignment="1" applyProtection="1">
      <alignment horizontal="center" vertical="center"/>
    </xf>
    <xf numFmtId="0" fontId="12" fillId="2" borderId="26" xfId="0" applyFont="1" applyFill="1" applyBorder="1" applyAlignment="1" applyProtection="1">
      <alignment horizontal="center" vertical="center"/>
    </xf>
    <xf numFmtId="178" fontId="12" fillId="2" borderId="1" xfId="1" applyNumberFormat="1" applyFont="1" applyFill="1" applyBorder="1" applyAlignment="1" applyProtection="1">
      <alignment horizontal="center" vertical="center"/>
    </xf>
    <xf numFmtId="9" fontId="12" fillId="2" borderId="1" xfId="2" applyFont="1" applyFill="1" applyBorder="1" applyAlignment="1" applyProtection="1">
      <alignment horizontal="center" vertical="center"/>
    </xf>
    <xf numFmtId="0" fontId="29" fillId="2" borderId="1" xfId="0" applyFont="1" applyFill="1" applyBorder="1" applyAlignment="1" applyProtection="1">
      <alignment horizontal="center" vertical="center"/>
    </xf>
    <xf numFmtId="0" fontId="3" fillId="3" borderId="0" xfId="0" applyFont="1" applyFill="1" applyBorder="1" applyAlignment="1" applyProtection="1">
      <alignment horizontal="center" vertical="center"/>
    </xf>
    <xf numFmtId="0" fontId="4" fillId="3" borderId="0" xfId="0" applyFont="1" applyFill="1" applyBorder="1" applyAlignment="1" applyProtection="1">
      <alignment horizontal="left" vertical="center"/>
    </xf>
    <xf numFmtId="49" fontId="8" fillId="4" borderId="0" xfId="0" applyNumberFormat="1" applyFont="1" applyFill="1" applyAlignment="1" applyProtection="1">
      <alignment horizontal="center" vertical="center" readingOrder="2"/>
    </xf>
    <xf numFmtId="0" fontId="35" fillId="4" borderId="0" xfId="0" applyFont="1" applyFill="1" applyAlignment="1" applyProtection="1">
      <alignment horizontal="right" vertical="center"/>
    </xf>
    <xf numFmtId="0" fontId="3" fillId="4" borderId="0" xfId="0" applyFont="1" applyFill="1" applyAlignment="1" applyProtection="1">
      <alignment horizontal="center" vertical="center"/>
    </xf>
    <xf numFmtId="0" fontId="8" fillId="4" borderId="0" xfId="0" applyFont="1" applyFill="1" applyAlignment="1" applyProtection="1">
      <alignment horizontal="right" vertical="center"/>
    </xf>
    <xf numFmtId="0" fontId="3" fillId="4" borderId="0" xfId="0" applyFont="1" applyFill="1" applyAlignment="1" applyProtection="1">
      <alignment horizontal="right" vertical="center"/>
    </xf>
    <xf numFmtId="0" fontId="29" fillId="2" borderId="1" xfId="0" applyFont="1" applyFill="1" applyBorder="1" applyAlignment="1" applyProtection="1">
      <alignment horizontal="center" vertical="center" wrapText="1"/>
    </xf>
    <xf numFmtId="0" fontId="27" fillId="3" borderId="1" xfId="0" applyFont="1" applyFill="1" applyBorder="1" applyAlignment="1" applyProtection="1">
      <alignment horizontal="center" vertical="center"/>
    </xf>
    <xf numFmtId="0" fontId="44" fillId="3" borderId="1" xfId="0" applyFont="1" applyFill="1" applyBorder="1" applyAlignment="1" applyProtection="1">
      <alignment horizontal="center" vertical="center"/>
    </xf>
    <xf numFmtId="165" fontId="27" fillId="3" borderId="1" xfId="1" applyNumberFormat="1" applyFont="1" applyFill="1" applyBorder="1" applyAlignment="1" applyProtection="1">
      <alignment horizontal="center" vertical="center"/>
    </xf>
    <xf numFmtId="165" fontId="44" fillId="3" borderId="1" xfId="1" applyNumberFormat="1" applyFont="1" applyFill="1" applyBorder="1" applyAlignment="1" applyProtection="1">
      <alignment horizontal="center" vertical="center"/>
    </xf>
    <xf numFmtId="0" fontId="50" fillId="3" borderId="1" xfId="0" applyFont="1" applyFill="1" applyBorder="1" applyAlignment="1" applyProtection="1">
      <alignment horizontal="center" vertical="center"/>
    </xf>
    <xf numFmtId="0" fontId="44" fillId="3" borderId="0" xfId="0" applyFont="1" applyFill="1" applyAlignment="1" applyProtection="1">
      <alignment horizontal="right" vertical="center"/>
    </xf>
    <xf numFmtId="0" fontId="4" fillId="3" borderId="0" xfId="0" applyFont="1" applyFill="1" applyBorder="1" applyAlignment="1" applyProtection="1">
      <alignment horizontal="center" vertical="center"/>
    </xf>
    <xf numFmtId="0" fontId="4" fillId="3" borderId="0" xfId="0" applyFont="1" applyFill="1" applyAlignment="1" applyProtection="1">
      <alignment horizontal="left" vertical="center"/>
    </xf>
    <xf numFmtId="0" fontId="12" fillId="3" borderId="0" xfId="0" applyFont="1" applyFill="1" applyAlignment="1" applyProtection="1">
      <alignment horizontal="left" vertical="center"/>
    </xf>
    <xf numFmtId="0" fontId="12" fillId="13" borderId="1" xfId="0" applyFont="1" applyFill="1" applyBorder="1" applyAlignment="1" applyProtection="1">
      <alignment horizontal="center" vertical="center" wrapText="1"/>
    </xf>
    <xf numFmtId="0" fontId="12" fillId="13" borderId="1" xfId="0" applyFont="1" applyFill="1" applyBorder="1" applyAlignment="1" applyProtection="1">
      <alignment horizontal="center" vertical="center"/>
    </xf>
    <xf numFmtId="0" fontId="14" fillId="11" borderId="1" xfId="0" applyFont="1" applyFill="1" applyBorder="1" applyAlignment="1" applyProtection="1">
      <alignment horizontal="center" vertical="center"/>
    </xf>
    <xf numFmtId="176" fontId="3" fillId="3" borderId="0" xfId="1" applyNumberFormat="1" applyFont="1" applyFill="1" applyBorder="1" applyAlignment="1" applyProtection="1">
      <alignment horizontal="center" vertical="center"/>
    </xf>
    <xf numFmtId="10" fontId="14" fillId="3" borderId="1" xfId="2" applyNumberFormat="1" applyFont="1" applyFill="1" applyBorder="1" applyAlignment="1" applyProtection="1">
      <alignment horizontal="center" vertical="center"/>
    </xf>
    <xf numFmtId="0" fontId="4" fillId="3" borderId="0" xfId="0" applyFont="1" applyFill="1" applyAlignment="1" applyProtection="1">
      <alignment horizontal="right" vertical="center"/>
    </xf>
    <xf numFmtId="0" fontId="4" fillId="3" borderId="0" xfId="0" applyFont="1" applyFill="1" applyAlignment="1" applyProtection="1">
      <alignment horizontal="center" vertical="center"/>
    </xf>
    <xf numFmtId="0" fontId="45" fillId="3" borderId="0" xfId="0" applyFont="1" applyFill="1" applyAlignment="1" applyProtection="1">
      <alignment horizontal="left" vertical="center"/>
    </xf>
    <xf numFmtId="0" fontId="12" fillId="2" borderId="1" xfId="0" applyFont="1" applyFill="1" applyBorder="1" applyAlignment="1" applyProtection="1">
      <alignment horizontal="center" vertical="center"/>
    </xf>
    <xf numFmtId="0" fontId="12" fillId="30" borderId="1" xfId="0" applyFont="1" applyFill="1" applyBorder="1" applyAlignment="1" applyProtection="1">
      <alignment horizontal="center" vertical="center" wrapText="1"/>
    </xf>
    <xf numFmtId="0" fontId="32" fillId="30" borderId="1" xfId="0" applyFont="1" applyFill="1" applyBorder="1" applyAlignment="1" applyProtection="1">
      <alignment horizontal="center" vertical="center"/>
    </xf>
    <xf numFmtId="165" fontId="14" fillId="9" borderId="1" xfId="1" applyNumberFormat="1" applyFont="1" applyFill="1" applyBorder="1" applyAlignment="1" applyProtection="1">
      <alignment horizontal="center" vertical="center"/>
    </xf>
    <xf numFmtId="165" fontId="14" fillId="10" borderId="1" xfId="1" applyNumberFormat="1" applyFont="1" applyFill="1" applyBorder="1" applyAlignment="1" applyProtection="1">
      <alignment horizontal="center" vertical="center"/>
    </xf>
    <xf numFmtId="165" fontId="14" fillId="30" borderId="1" xfId="1" applyNumberFormat="1" applyFont="1" applyFill="1" applyBorder="1" applyAlignment="1" applyProtection="1">
      <alignment horizontal="center" vertical="center"/>
    </xf>
    <xf numFmtId="0" fontId="12" fillId="3" borderId="0" xfId="0" applyFont="1" applyFill="1" applyAlignment="1" applyProtection="1">
      <alignment horizontal="right" vertical="center"/>
    </xf>
    <xf numFmtId="178" fontId="14" fillId="3" borderId="0" xfId="0" applyNumberFormat="1" applyFont="1" applyFill="1" applyAlignment="1" applyProtection="1">
      <alignment horizontal="center" vertical="center"/>
    </xf>
    <xf numFmtId="0" fontId="52" fillId="3" borderId="1" xfId="0" applyFont="1" applyFill="1" applyBorder="1" applyAlignment="1">
      <alignment horizontal="center" vertical="center"/>
    </xf>
    <xf numFmtId="165" fontId="3" fillId="3" borderId="1" xfId="1" applyNumberFormat="1" applyFont="1" applyFill="1" applyBorder="1" applyAlignment="1">
      <alignment horizontal="center" vertical="center"/>
    </xf>
    <xf numFmtId="0" fontId="8" fillId="2" borderId="1" xfId="0" applyFont="1" applyFill="1" applyBorder="1" applyAlignment="1" applyProtection="1">
      <alignment horizontal="centerContinuous" vertical="center"/>
    </xf>
    <xf numFmtId="0" fontId="12" fillId="2" borderId="26" xfId="0" applyFont="1" applyFill="1" applyBorder="1" applyAlignment="1">
      <alignment horizontal="center" vertical="center"/>
    </xf>
    <xf numFmtId="0" fontId="14" fillId="3" borderId="24" xfId="0" applyFont="1" applyFill="1" applyBorder="1" applyAlignment="1" applyProtection="1">
      <alignment horizontal="center" vertical="center"/>
    </xf>
    <xf numFmtId="0" fontId="14" fillId="3" borderId="22" xfId="0" applyFont="1" applyFill="1" applyBorder="1" applyAlignment="1" applyProtection="1">
      <alignment horizontal="center" vertical="center"/>
    </xf>
    <xf numFmtId="165" fontId="14" fillId="4" borderId="22" xfId="1" applyNumberFormat="1" applyFont="1" applyFill="1" applyBorder="1" applyAlignment="1" applyProtection="1">
      <alignment horizontal="center" vertical="center"/>
    </xf>
    <xf numFmtId="165" fontId="14" fillId="4" borderId="24" xfId="1"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0" fontId="14" fillId="15" borderId="26" xfId="0" applyFont="1" applyFill="1" applyBorder="1" applyAlignment="1">
      <alignment horizontal="center" vertical="center"/>
    </xf>
    <xf numFmtId="0" fontId="14" fillId="15" borderId="1" xfId="0" applyFont="1" applyFill="1" applyBorder="1" applyAlignment="1">
      <alignment horizontal="center" vertical="center" wrapText="1"/>
    </xf>
    <xf numFmtId="0" fontId="14" fillId="3" borderId="3" xfId="0" applyFont="1" applyFill="1" applyBorder="1" applyAlignment="1" applyProtection="1">
      <alignment horizontal="center" vertical="center"/>
    </xf>
    <xf numFmtId="0" fontId="14" fillId="0" borderId="1" xfId="0" applyFont="1" applyBorder="1" applyAlignment="1">
      <alignment horizontal="center" vertical="center"/>
    </xf>
    <xf numFmtId="165" fontId="14" fillId="4" borderId="24" xfId="1"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5" fontId="14" fillId="3" borderId="26" xfId="1" applyNumberFormat="1" applyFont="1" applyFill="1" applyBorder="1" applyAlignment="1" applyProtection="1">
      <alignment vertical="center"/>
    </xf>
    <xf numFmtId="165" fontId="14" fillId="3" borderId="1" xfId="0" applyNumberFormat="1" applyFont="1" applyFill="1" applyBorder="1" applyAlignment="1" applyProtection="1">
      <alignment horizontal="center" vertical="center"/>
    </xf>
    <xf numFmtId="0" fontId="14" fillId="0" borderId="1" xfId="0" applyFont="1" applyBorder="1" applyAlignment="1">
      <alignment horizontal="center" vertical="center"/>
    </xf>
    <xf numFmtId="0" fontId="12" fillId="3" borderId="1" xfId="0" applyFont="1" applyFill="1" applyBorder="1" applyAlignment="1">
      <alignment horizontal="center" vertical="center" readingOrder="2"/>
    </xf>
    <xf numFmtId="0" fontId="14" fillId="3" borderId="1" xfId="0" applyFont="1" applyFill="1" applyBorder="1" applyAlignment="1">
      <alignment horizontal="center" vertical="center" readingOrder="2"/>
    </xf>
    <xf numFmtId="0" fontId="14" fillId="3" borderId="0" xfId="0" applyFont="1" applyFill="1" applyAlignment="1">
      <alignment horizontal="left" vertical="center" readingOrder="1"/>
    </xf>
    <xf numFmtId="180" fontId="14" fillId="3" borderId="1" xfId="0" applyNumberFormat="1" applyFont="1" applyFill="1" applyBorder="1" applyAlignment="1" applyProtection="1">
      <alignment horizontal="center" vertical="center"/>
    </xf>
    <xf numFmtId="168" fontId="14" fillId="6" borderId="1" xfId="0" applyNumberFormat="1" applyFont="1" applyFill="1" applyBorder="1" applyAlignment="1">
      <alignment horizontal="center" vertical="center" readingOrder="2"/>
    </xf>
    <xf numFmtId="165" fontId="14" fillId="4" borderId="24" xfId="1" applyNumberFormat="1" applyFont="1" applyFill="1" applyBorder="1" applyAlignment="1" applyProtection="1">
      <alignment horizontal="center" vertical="center"/>
    </xf>
    <xf numFmtId="0" fontId="14" fillId="3" borderId="1" xfId="0" applyFont="1" applyFill="1" applyBorder="1" applyAlignment="1">
      <alignment horizontal="center" vertical="center" readingOrder="2"/>
    </xf>
    <xf numFmtId="0" fontId="14" fillId="3" borderId="0" xfId="0" applyFont="1" applyFill="1" applyAlignment="1">
      <alignment horizontal="left" vertical="center" readingOrder="1"/>
    </xf>
    <xf numFmtId="165" fontId="14" fillId="0" borderId="1" xfId="1" applyNumberFormat="1" applyFont="1" applyBorder="1" applyAlignment="1" applyProtection="1">
      <alignment horizontal="center" vertical="center"/>
    </xf>
    <xf numFmtId="0" fontId="14" fillId="3" borderId="1" xfId="0" applyFont="1" applyFill="1" applyBorder="1" applyAlignment="1" applyProtection="1">
      <alignment horizontal="center" vertical="center"/>
    </xf>
    <xf numFmtId="165" fontId="23" fillId="3" borderId="1" xfId="1" applyNumberFormat="1" applyFont="1" applyFill="1" applyBorder="1" applyAlignment="1" applyProtection="1">
      <alignment horizontal="center" vertical="center"/>
    </xf>
    <xf numFmtId="0" fontId="14" fillId="2" borderId="23" xfId="0" applyFont="1" applyFill="1" applyBorder="1" applyAlignment="1" applyProtection="1">
      <alignment vertical="center"/>
    </xf>
    <xf numFmtId="0" fontId="14" fillId="2" borderId="24" xfId="0" applyFont="1" applyFill="1" applyBorder="1" applyAlignment="1" applyProtection="1">
      <alignment vertical="center"/>
    </xf>
    <xf numFmtId="0" fontId="14" fillId="3" borderId="2" xfId="0" applyFont="1" applyFill="1" applyBorder="1" applyAlignment="1">
      <alignment horizontal="left" vertical="center" readingOrder="1"/>
    </xf>
    <xf numFmtId="0" fontId="54" fillId="3" borderId="0" xfId="5" applyFont="1" applyFill="1" applyBorder="1" applyAlignment="1">
      <alignment vertical="center" wrapText="1"/>
    </xf>
    <xf numFmtId="0" fontId="40" fillId="3" borderId="0" xfId="5" applyFont="1" applyFill="1" applyBorder="1" applyAlignment="1">
      <alignment vertical="center" wrapText="1"/>
    </xf>
    <xf numFmtId="0" fontId="14" fillId="3" borderId="1" xfId="0" applyFont="1" applyFill="1" applyBorder="1" applyAlignment="1">
      <alignment horizontal="center" vertical="center" readingOrder="1"/>
    </xf>
    <xf numFmtId="0" fontId="14" fillId="0" borderId="1" xfId="0" applyFont="1" applyBorder="1" applyAlignment="1">
      <alignment horizontal="center" vertical="center"/>
    </xf>
    <xf numFmtId="0" fontId="14" fillId="3" borderId="1" xfId="0" applyFont="1" applyFill="1" applyBorder="1" applyAlignment="1">
      <alignment horizontal="center" vertical="center"/>
    </xf>
    <xf numFmtId="0" fontId="14" fillId="3" borderId="1" xfId="0" applyFont="1" applyFill="1" applyBorder="1" applyAlignment="1">
      <alignment horizontal="center" vertical="center" readingOrder="2"/>
    </xf>
    <xf numFmtId="0" fontId="12" fillId="2" borderId="1" xfId="0" applyFont="1" applyFill="1" applyBorder="1" applyAlignment="1">
      <alignment horizontal="center" vertical="center"/>
    </xf>
    <xf numFmtId="0" fontId="12" fillId="2" borderId="1" xfId="0" applyFont="1" applyFill="1" applyBorder="1" applyAlignment="1" applyProtection="1">
      <alignment horizontal="center" vertical="center"/>
    </xf>
    <xf numFmtId="0" fontId="12" fillId="2" borderId="26" xfId="0" applyFont="1" applyFill="1" applyBorder="1" applyAlignment="1" applyProtection="1">
      <alignment horizontal="center" vertical="center" wrapText="1"/>
    </xf>
    <xf numFmtId="0" fontId="12" fillId="2" borderId="1" xfId="0" applyFont="1" applyFill="1" applyBorder="1" applyAlignment="1" applyProtection="1">
      <alignment horizontal="center" vertical="center" wrapText="1"/>
    </xf>
    <xf numFmtId="0" fontId="12" fillId="2" borderId="3" xfId="0" applyFont="1" applyFill="1" applyBorder="1" applyAlignment="1" applyProtection="1">
      <alignment horizontal="center" vertical="center"/>
    </xf>
    <xf numFmtId="0" fontId="12" fillId="2" borderId="1" xfId="0" applyFont="1" applyFill="1" applyBorder="1" applyAlignment="1" applyProtection="1">
      <alignment horizontal="center" vertical="center" readingOrder="2"/>
    </xf>
    <xf numFmtId="0" fontId="14" fillId="3" borderId="1" xfId="0" applyFont="1" applyFill="1" applyBorder="1" applyAlignment="1" applyProtection="1">
      <alignment horizontal="center" vertical="center"/>
    </xf>
    <xf numFmtId="165" fontId="14" fillId="4" borderId="24" xfId="1" applyNumberFormat="1" applyFont="1" applyFill="1" applyBorder="1" applyAlignment="1" applyProtection="1">
      <alignment horizontal="center" vertical="center"/>
    </xf>
    <xf numFmtId="0" fontId="12" fillId="3" borderId="1" xfId="0" applyFont="1" applyFill="1" applyBorder="1" applyAlignment="1">
      <alignment horizontal="center" vertical="center" readingOrder="2"/>
    </xf>
    <xf numFmtId="0" fontId="14" fillId="3" borderId="1" xfId="0" applyFont="1" applyFill="1" applyBorder="1" applyAlignment="1">
      <alignment horizontal="center" vertical="center"/>
    </xf>
    <xf numFmtId="0" fontId="14" fillId="0" borderId="1" xfId="0" applyFont="1" applyBorder="1" applyAlignment="1">
      <alignment horizontal="center" vertical="center"/>
    </xf>
    <xf numFmtId="0" fontId="14" fillId="3" borderId="1" xfId="0" applyFont="1" applyFill="1" applyBorder="1" applyAlignment="1" applyProtection="1">
      <alignment horizontal="center" vertical="center"/>
    </xf>
    <xf numFmtId="0" fontId="14" fillId="3" borderId="22" xfId="0" applyFont="1" applyFill="1" applyBorder="1" applyAlignment="1" applyProtection="1">
      <alignment horizontal="center" vertical="center" readingOrder="1"/>
    </xf>
    <xf numFmtId="0" fontId="14" fillId="3" borderId="3" xfId="0" applyFont="1" applyFill="1" applyBorder="1" applyAlignment="1" applyProtection="1">
      <alignment horizontal="center" vertical="center"/>
    </xf>
    <xf numFmtId="0" fontId="29" fillId="2" borderId="23" xfId="0" applyFont="1" applyFill="1" applyBorder="1" applyAlignment="1" applyProtection="1">
      <alignment horizontal="centerContinuous" vertical="center"/>
    </xf>
    <xf numFmtId="0" fontId="29" fillId="2" borderId="24" xfId="0" applyFont="1" applyFill="1" applyBorder="1" applyAlignment="1" applyProtection="1">
      <alignment horizontal="centerContinuous" vertical="center"/>
    </xf>
    <xf numFmtId="0" fontId="29" fillId="2" borderId="22" xfId="0" applyFont="1" applyFill="1" applyBorder="1" applyAlignment="1" applyProtection="1">
      <alignment horizontal="centerContinuous" vertical="center"/>
    </xf>
    <xf numFmtId="0" fontId="3" fillId="2" borderId="23" xfId="0" applyFont="1" applyFill="1" applyBorder="1" applyAlignment="1">
      <alignment horizontal="centerContinuous" vertical="center"/>
    </xf>
    <xf numFmtId="0" fontId="29" fillId="2" borderId="22" xfId="0" applyFont="1" applyFill="1" applyBorder="1" applyAlignment="1">
      <alignment horizontal="centerContinuous" vertical="center"/>
    </xf>
    <xf numFmtId="0" fontId="29" fillId="2" borderId="23" xfId="0" applyFont="1" applyFill="1" applyBorder="1" applyAlignment="1">
      <alignment horizontal="centerContinuous" vertical="center"/>
    </xf>
    <xf numFmtId="0" fontId="12" fillId="2" borderId="26" xfId="0" applyFont="1" applyFill="1" applyBorder="1" applyAlignment="1" applyProtection="1">
      <alignment horizontal="centerContinuous" vertical="center" wrapText="1"/>
    </xf>
    <xf numFmtId="0" fontId="12" fillId="2" borderId="1" xfId="0" applyFont="1" applyFill="1" applyBorder="1" applyAlignment="1" applyProtection="1">
      <alignment horizontal="centerContinuous" vertical="center"/>
    </xf>
    <xf numFmtId="167" fontId="14" fillId="7" borderId="1" xfId="1" applyNumberFormat="1" applyFont="1" applyFill="1" applyBorder="1" applyAlignment="1">
      <alignment horizontal="center" vertical="center"/>
    </xf>
    <xf numFmtId="165" fontId="14" fillId="7" borderId="1" xfId="1" applyNumberFormat="1" applyFont="1" applyFill="1" applyBorder="1" applyAlignment="1">
      <alignment horizontal="center" vertical="center"/>
    </xf>
    <xf numFmtId="167" fontId="14" fillId="7" borderId="1" xfId="1" applyNumberFormat="1" applyFont="1" applyFill="1" applyBorder="1" applyAlignment="1" applyProtection="1">
      <alignment vertical="center" readingOrder="2"/>
    </xf>
    <xf numFmtId="0" fontId="12" fillId="18" borderId="17" xfId="0" applyFont="1" applyFill="1" applyBorder="1" applyAlignment="1">
      <alignment vertical="center"/>
    </xf>
    <xf numFmtId="0" fontId="12" fillId="18" borderId="18" xfId="0" applyFont="1" applyFill="1" applyBorder="1" applyAlignment="1">
      <alignment vertical="center"/>
    </xf>
    <xf numFmtId="0" fontId="12" fillId="18" borderId="19" xfId="0" applyFont="1" applyFill="1" applyBorder="1" applyAlignment="1">
      <alignment vertical="center"/>
    </xf>
    <xf numFmtId="0" fontId="11" fillId="18" borderId="20" xfId="0" applyFont="1" applyFill="1" applyBorder="1" applyAlignment="1">
      <alignment vertical="center"/>
    </xf>
    <xf numFmtId="0" fontId="11" fillId="18" borderId="2" xfId="0" applyFont="1" applyFill="1" applyBorder="1" applyAlignment="1">
      <alignment vertical="center"/>
    </xf>
    <xf numFmtId="0" fontId="11" fillId="18" borderId="16" xfId="0" applyFont="1" applyFill="1" applyBorder="1" applyAlignment="1">
      <alignment vertical="center"/>
    </xf>
    <xf numFmtId="0" fontId="11" fillId="18" borderId="0" xfId="0" applyFont="1" applyFill="1" applyBorder="1" applyAlignment="1">
      <alignment vertical="center"/>
    </xf>
    <xf numFmtId="165" fontId="14" fillId="3" borderId="1" xfId="1" applyNumberFormat="1" applyFont="1" applyFill="1" applyBorder="1" applyAlignment="1" applyProtection="1">
      <alignment vertical="center"/>
    </xf>
    <xf numFmtId="0" fontId="3" fillId="2" borderId="24" xfId="0" applyFont="1" applyFill="1" applyBorder="1" applyAlignment="1">
      <alignment horizontal="centerContinuous" vertical="center"/>
    </xf>
    <xf numFmtId="0" fontId="14" fillId="3" borderId="23" xfId="0" applyFont="1" applyFill="1" applyBorder="1" applyAlignment="1" applyProtection="1">
      <alignment horizontal="center" vertical="center" readingOrder="2"/>
    </xf>
    <xf numFmtId="165" fontId="12" fillId="2" borderId="1" xfId="1" applyNumberFormat="1" applyFont="1" applyFill="1" applyBorder="1" applyAlignment="1">
      <alignment horizontal="center" vertical="center"/>
    </xf>
    <xf numFmtId="165" fontId="3" fillId="2" borderId="23" xfId="0" applyNumberFormat="1" applyFont="1" applyFill="1" applyBorder="1" applyAlignment="1">
      <alignment horizontal="centerContinuous" vertical="center"/>
    </xf>
    <xf numFmtId="165" fontId="14" fillId="4" borderId="24" xfId="1"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5" fontId="12" fillId="2" borderId="24" xfId="1" applyNumberFormat="1" applyFont="1" applyFill="1" applyBorder="1" applyAlignment="1" applyProtection="1">
      <alignment horizontal="center" vertical="center" readingOrder="1"/>
    </xf>
    <xf numFmtId="0" fontId="14" fillId="27" borderId="1" xfId="0" applyFont="1" applyFill="1" applyBorder="1" applyAlignment="1" applyProtection="1">
      <alignment horizontal="center" vertical="center" readingOrder="1"/>
    </xf>
    <xf numFmtId="165" fontId="14" fillId="3" borderId="1" xfId="0" applyNumberFormat="1" applyFont="1" applyFill="1" applyBorder="1" applyAlignment="1" applyProtection="1">
      <alignment vertical="center" readingOrder="1"/>
    </xf>
    <xf numFmtId="0" fontId="12" fillId="2" borderId="22" xfId="0" applyFont="1" applyFill="1" applyBorder="1" applyAlignment="1" applyProtection="1">
      <alignment horizontal="center" vertical="center"/>
    </xf>
    <xf numFmtId="0" fontId="12" fillId="2" borderId="1" xfId="0" applyFont="1" applyFill="1" applyBorder="1" applyAlignment="1" applyProtection="1">
      <alignment horizontal="center" vertical="center"/>
    </xf>
    <xf numFmtId="0" fontId="14" fillId="3" borderId="22" xfId="0"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5" fontId="14" fillId="4" borderId="1" xfId="1" applyNumberFormat="1" applyFont="1" applyFill="1" applyBorder="1" applyAlignment="1" applyProtection="1">
      <alignment horizontal="center" vertical="center"/>
    </xf>
    <xf numFmtId="0" fontId="14" fillId="3" borderId="3" xfId="0" applyFont="1" applyFill="1" applyBorder="1" applyAlignment="1" applyProtection="1">
      <alignment horizontal="center" vertical="center"/>
    </xf>
    <xf numFmtId="165" fontId="14" fillId="0" borderId="1" xfId="1" applyNumberFormat="1" applyFont="1" applyBorder="1" applyAlignment="1" applyProtection="1">
      <alignment horizontal="center" vertical="center"/>
    </xf>
    <xf numFmtId="0" fontId="12" fillId="2" borderId="1" xfId="0" applyFont="1" applyFill="1" applyBorder="1" applyAlignment="1" applyProtection="1">
      <alignment horizontal="center" vertical="center" wrapText="1"/>
    </xf>
    <xf numFmtId="165" fontId="14" fillId="4" borderId="24" xfId="1"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5" fontId="14" fillId="4" borderId="1" xfId="1" applyNumberFormat="1" applyFont="1" applyFill="1" applyBorder="1" applyAlignment="1" applyProtection="1">
      <alignment horizontal="center" vertical="center"/>
    </xf>
    <xf numFmtId="0" fontId="14" fillId="3" borderId="3" xfId="0" applyFont="1" applyFill="1" applyBorder="1" applyAlignment="1" applyProtection="1">
      <alignment horizontal="center" vertical="center"/>
    </xf>
    <xf numFmtId="177" fontId="32" fillId="9" borderId="17" xfId="1" applyNumberFormat="1" applyFont="1" applyFill="1" applyBorder="1" applyAlignment="1" applyProtection="1">
      <alignment horizontal="center" vertical="center"/>
    </xf>
    <xf numFmtId="165" fontId="23" fillId="3" borderId="1" xfId="1" applyNumberFormat="1" applyFont="1" applyFill="1" applyBorder="1" applyAlignment="1" applyProtection="1">
      <alignment horizontal="center" vertical="center"/>
    </xf>
    <xf numFmtId="0" fontId="14" fillId="3" borderId="3" xfId="0" applyFont="1" applyFill="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0" fontId="3" fillId="0" borderId="3" xfId="0" applyFont="1" applyBorder="1" applyAlignment="1" applyProtection="1">
      <alignment horizontal="center" vertical="center" readingOrder="1"/>
    </xf>
    <xf numFmtId="0" fontId="14" fillId="3" borderId="1" xfId="0" applyFont="1" applyFill="1" applyBorder="1" applyAlignment="1" applyProtection="1">
      <alignment horizontal="center" vertical="center" readingOrder="1"/>
    </xf>
    <xf numFmtId="0" fontId="14" fillId="3" borderId="3" xfId="0" applyFont="1" applyFill="1" applyBorder="1" applyAlignment="1" applyProtection="1">
      <alignment horizontal="center" vertical="center" readingOrder="1"/>
    </xf>
    <xf numFmtId="0" fontId="3" fillId="3" borderId="3" xfId="0" applyFont="1" applyFill="1" applyBorder="1" applyAlignment="1" applyProtection="1">
      <alignment horizontal="center" vertical="center" readingOrder="1"/>
    </xf>
    <xf numFmtId="165" fontId="14" fillId="8" borderId="21" xfId="1" applyNumberFormat="1" applyFont="1" applyFill="1" applyBorder="1" applyAlignment="1" applyProtection="1">
      <alignment horizontal="center" vertical="center"/>
    </xf>
    <xf numFmtId="0" fontId="12" fillId="3" borderId="22" xfId="0" applyFont="1" applyFill="1" applyBorder="1" applyAlignment="1">
      <alignment horizontal="centerContinuous" vertical="center" readingOrder="2"/>
    </xf>
    <xf numFmtId="0" fontId="12" fillId="3" borderId="24" xfId="0" applyFont="1" applyFill="1" applyBorder="1" applyAlignment="1">
      <alignment horizontal="centerContinuous" vertical="center" readingOrder="2"/>
    </xf>
    <xf numFmtId="0" fontId="12" fillId="3" borderId="22" xfId="0" applyFont="1" applyFill="1" applyBorder="1" applyAlignment="1">
      <alignment horizontal="centerContinuous" vertical="center" readingOrder="1"/>
    </xf>
    <xf numFmtId="0" fontId="3" fillId="3" borderId="24" xfId="0" applyFont="1" applyFill="1" applyBorder="1" applyAlignment="1">
      <alignment horizontal="centerContinuous" vertical="center" readingOrder="2"/>
    </xf>
    <xf numFmtId="0" fontId="14" fillId="3" borderId="22" xfId="0" applyFont="1" applyFill="1" applyBorder="1" applyAlignment="1">
      <alignment vertical="center" readingOrder="2"/>
    </xf>
    <xf numFmtId="0" fontId="14" fillId="3" borderId="22" xfId="0" applyFont="1" applyFill="1" applyBorder="1" applyAlignment="1">
      <alignment horizontal="left" vertical="center"/>
    </xf>
    <xf numFmtId="0" fontId="14" fillId="3" borderId="22" xfId="0" applyFont="1" applyFill="1" applyBorder="1" applyAlignment="1">
      <alignment horizontal="left" vertical="center" readingOrder="2"/>
    </xf>
    <xf numFmtId="0" fontId="3" fillId="6" borderId="3" xfId="0" applyFont="1" applyFill="1" applyBorder="1" applyAlignment="1" applyProtection="1">
      <alignment horizontal="center" vertical="center" readingOrder="2"/>
    </xf>
    <xf numFmtId="0" fontId="3" fillId="6" borderId="1" xfId="0" applyFont="1" applyFill="1" applyBorder="1" applyAlignment="1" applyProtection="1">
      <alignment horizontal="center" vertical="center" readingOrder="2"/>
    </xf>
    <xf numFmtId="0" fontId="14" fillId="3" borderId="20" xfId="0" applyFont="1" applyFill="1" applyBorder="1" applyAlignment="1" applyProtection="1">
      <alignment horizontal="center" vertical="center"/>
    </xf>
    <xf numFmtId="0" fontId="14" fillId="3" borderId="2" xfId="0" applyFont="1" applyFill="1" applyBorder="1" applyAlignment="1" applyProtection="1">
      <alignment vertical="center"/>
    </xf>
    <xf numFmtId="0" fontId="14" fillId="3" borderId="21" xfId="0" applyFont="1" applyFill="1" applyBorder="1" applyAlignment="1" applyProtection="1">
      <alignment vertical="center"/>
    </xf>
    <xf numFmtId="0" fontId="14" fillId="3" borderId="1" xfId="0" applyFont="1" applyFill="1" applyBorder="1" applyAlignment="1">
      <alignment horizontal="center" vertical="center" readingOrder="1"/>
    </xf>
    <xf numFmtId="0" fontId="14" fillId="3" borderId="22" xfId="0" applyFont="1" applyFill="1" applyBorder="1" applyAlignment="1">
      <alignment horizontal="center" vertical="center" readingOrder="2"/>
    </xf>
    <xf numFmtId="0" fontId="14" fillId="3" borderId="0" xfId="0" applyFont="1" applyFill="1" applyAlignment="1">
      <alignment horizontal="left" vertical="center" readingOrder="1"/>
    </xf>
    <xf numFmtId="0" fontId="14" fillId="3" borderId="0" xfId="0" applyFont="1" applyFill="1" applyAlignment="1">
      <alignment horizontal="left" vertical="center" wrapText="1" readingOrder="1"/>
    </xf>
    <xf numFmtId="0" fontId="14" fillId="3" borderId="1" xfId="0" applyFont="1" applyFill="1" applyBorder="1" applyAlignment="1">
      <alignment horizontal="center" vertical="center"/>
    </xf>
    <xf numFmtId="0" fontId="14" fillId="0" borderId="1" xfId="0" applyFont="1" applyBorder="1" applyAlignment="1">
      <alignment horizontal="center" vertical="center"/>
    </xf>
    <xf numFmtId="0" fontId="12" fillId="3" borderId="1" xfId="0" applyFont="1" applyFill="1" applyBorder="1" applyAlignment="1">
      <alignment horizontal="center" vertical="center" readingOrder="1"/>
    </xf>
    <xf numFmtId="0" fontId="14" fillId="3" borderId="1" xfId="0" applyFont="1" applyFill="1" applyBorder="1" applyAlignment="1" applyProtection="1">
      <alignment horizontal="center" vertical="center"/>
    </xf>
    <xf numFmtId="165" fontId="23" fillId="3" borderId="1" xfId="1" applyNumberFormat="1" applyFont="1" applyFill="1" applyBorder="1" applyAlignment="1" applyProtection="1">
      <alignment horizontal="center" vertical="center"/>
    </xf>
    <xf numFmtId="167" fontId="14" fillId="4" borderId="24" xfId="1" applyNumberFormat="1" applyFont="1" applyFill="1" applyBorder="1" applyAlignment="1" applyProtection="1">
      <alignment horizontal="center" vertical="center"/>
    </xf>
    <xf numFmtId="169" fontId="14" fillId="3" borderId="1" xfId="0" applyNumberFormat="1" applyFont="1" applyFill="1" applyBorder="1" applyAlignment="1" applyProtection="1">
      <alignment horizontal="center" vertical="center"/>
    </xf>
    <xf numFmtId="0" fontId="11" fillId="2" borderId="1" xfId="0" applyFont="1" applyFill="1" applyBorder="1" applyAlignment="1" applyProtection="1">
      <alignment horizontal="center" vertical="center"/>
    </xf>
    <xf numFmtId="177" fontId="14" fillId="0" borderId="1" xfId="1" applyNumberFormat="1" applyFont="1" applyFill="1" applyBorder="1" applyAlignment="1" applyProtection="1">
      <alignment horizontal="center" vertical="center"/>
    </xf>
    <xf numFmtId="0" fontId="3" fillId="18" borderId="20" xfId="0" applyFont="1" applyFill="1" applyBorder="1" applyAlignment="1">
      <alignment horizontal="center" vertical="center"/>
    </xf>
    <xf numFmtId="0" fontId="41" fillId="9" borderId="1" xfId="0" applyFont="1" applyFill="1" applyBorder="1" applyAlignment="1" applyProtection="1">
      <alignment horizontal="center" vertical="center"/>
    </xf>
    <xf numFmtId="165" fontId="14" fillId="4" borderId="24" xfId="1" applyNumberFormat="1" applyFont="1" applyFill="1" applyBorder="1" applyAlignment="1" applyProtection="1">
      <alignment horizontal="center" vertical="center"/>
    </xf>
    <xf numFmtId="0" fontId="14" fillId="3" borderId="22" xfId="0" applyFont="1" applyFill="1" applyBorder="1" applyAlignment="1">
      <alignment vertical="center" readingOrder="1"/>
    </xf>
    <xf numFmtId="0" fontId="14" fillId="3" borderId="23" xfId="0" applyFont="1" applyFill="1" applyBorder="1" applyAlignment="1">
      <alignment vertical="center" readingOrder="1"/>
    </xf>
    <xf numFmtId="0" fontId="14" fillId="3" borderId="24" xfId="0" applyFont="1" applyFill="1" applyBorder="1" applyAlignment="1">
      <alignment vertical="center" readingOrder="1"/>
    </xf>
    <xf numFmtId="0" fontId="14" fillId="3" borderId="0" xfId="0" applyFont="1" applyFill="1" applyAlignment="1">
      <alignment vertical="center" readingOrder="1"/>
    </xf>
    <xf numFmtId="0" fontId="14" fillId="3" borderId="22" xfId="0" applyFont="1" applyFill="1" applyBorder="1" applyAlignment="1">
      <alignment vertical="center"/>
    </xf>
    <xf numFmtId="0" fontId="14" fillId="3" borderId="23" xfId="0" applyFont="1" applyFill="1" applyBorder="1" applyAlignment="1">
      <alignment vertical="center"/>
    </xf>
    <xf numFmtId="0" fontId="12" fillId="3" borderId="22" xfId="0" applyFont="1" applyFill="1" applyBorder="1" applyAlignment="1">
      <alignment vertical="center" readingOrder="1"/>
    </xf>
    <xf numFmtId="0" fontId="12" fillId="3" borderId="24" xfId="0" applyFont="1" applyFill="1" applyBorder="1" applyAlignment="1">
      <alignment vertical="center" readingOrder="1"/>
    </xf>
    <xf numFmtId="0" fontId="14" fillId="3" borderId="20" xfId="0" applyFont="1" applyFill="1" applyBorder="1" applyAlignment="1">
      <alignment vertical="center" readingOrder="1"/>
    </xf>
    <xf numFmtId="0" fontId="14" fillId="3" borderId="2" xfId="0" applyFont="1" applyFill="1" applyBorder="1" applyAlignment="1">
      <alignment vertical="center" readingOrder="1"/>
    </xf>
    <xf numFmtId="0" fontId="14" fillId="3" borderId="21" xfId="0" applyFont="1" applyFill="1" applyBorder="1" applyAlignment="1">
      <alignment vertical="center" readingOrder="1"/>
    </xf>
    <xf numFmtId="175" fontId="14" fillId="3" borderId="26" xfId="1" applyNumberFormat="1" applyFont="1" applyFill="1" applyBorder="1" applyAlignment="1" applyProtection="1">
      <alignment horizontal="center" vertical="center"/>
    </xf>
    <xf numFmtId="0" fontId="11" fillId="3" borderId="0" xfId="0" applyFont="1" applyFill="1" applyAlignment="1">
      <alignment horizontal="right" vertical="center" readingOrder="2"/>
    </xf>
    <xf numFmtId="0" fontId="12" fillId="0" borderId="22" xfId="0" applyFont="1" applyBorder="1" applyAlignment="1">
      <alignment horizontal="center" vertical="center" wrapText="1"/>
    </xf>
    <xf numFmtId="0" fontId="12" fillId="3" borderId="22" xfId="0" applyFont="1" applyFill="1" applyBorder="1" applyAlignment="1">
      <alignment vertical="center" wrapText="1"/>
    </xf>
    <xf numFmtId="0" fontId="12" fillId="3" borderId="24" xfId="0" applyFont="1" applyFill="1" applyBorder="1" applyAlignment="1">
      <alignment vertical="center" wrapText="1"/>
    </xf>
    <xf numFmtId="0" fontId="14" fillId="3" borderId="24" xfId="0" applyFont="1" applyFill="1" applyBorder="1" applyAlignment="1">
      <alignment vertical="center"/>
    </xf>
    <xf numFmtId="0" fontId="12" fillId="3" borderId="23" xfId="0" applyFont="1" applyFill="1" applyBorder="1" applyAlignment="1">
      <alignment horizontal="center" vertical="center" wrapText="1"/>
    </xf>
    <xf numFmtId="0" fontId="12" fillId="3" borderId="23" xfId="0" applyFont="1" applyFill="1" applyBorder="1" applyAlignment="1">
      <alignment horizontal="center" vertical="center" readingOrder="1"/>
    </xf>
    <xf numFmtId="175" fontId="12" fillId="9" borderId="1" xfId="1" applyNumberFormat="1" applyFont="1" applyFill="1" applyBorder="1" applyAlignment="1" applyProtection="1">
      <alignment horizontal="center" vertical="center"/>
    </xf>
    <xf numFmtId="0" fontId="14" fillId="3" borderId="17" xfId="0" applyFont="1" applyFill="1" applyBorder="1" applyAlignment="1" applyProtection="1">
      <alignment horizontal="center" vertical="center"/>
    </xf>
    <xf numFmtId="0" fontId="14" fillId="3" borderId="18" xfId="0" applyFont="1" applyFill="1" applyBorder="1" applyAlignment="1" applyProtection="1">
      <alignment horizontal="center" vertical="center"/>
    </xf>
    <xf numFmtId="0" fontId="14" fillId="3" borderId="16" xfId="0" applyFont="1" applyFill="1" applyBorder="1" applyAlignment="1" applyProtection="1">
      <alignment horizontal="center" vertical="center"/>
    </xf>
    <xf numFmtId="0" fontId="14" fillId="3" borderId="0" xfId="0" applyFont="1" applyFill="1" applyBorder="1" applyAlignment="1" applyProtection="1">
      <alignment horizontal="center" vertical="center"/>
    </xf>
    <xf numFmtId="0" fontId="14" fillId="3" borderId="2" xfId="0" applyFont="1" applyFill="1" applyBorder="1" applyAlignment="1" applyProtection="1">
      <alignment horizontal="center" vertical="center"/>
    </xf>
    <xf numFmtId="0" fontId="14" fillId="3" borderId="1" xfId="0" applyFont="1" applyFill="1" applyBorder="1" applyAlignment="1">
      <alignment horizontal="center" vertical="center" readingOrder="2"/>
    </xf>
    <xf numFmtId="0" fontId="12" fillId="2" borderId="26" xfId="0" applyFont="1" applyFill="1" applyBorder="1" applyAlignment="1">
      <alignment horizontal="center" vertical="center"/>
    </xf>
    <xf numFmtId="0" fontId="14" fillId="3" borderId="24" xfId="0" applyFont="1" applyFill="1" applyBorder="1" applyAlignment="1" applyProtection="1">
      <alignment horizontal="center" vertical="center"/>
    </xf>
    <xf numFmtId="0" fontId="14" fillId="3" borderId="23" xfId="0" applyFont="1" applyFill="1" applyBorder="1" applyAlignment="1" applyProtection="1">
      <alignment horizontal="center" vertical="center"/>
    </xf>
    <xf numFmtId="0" fontId="12" fillId="2" borderId="1" xfId="0" applyFont="1" applyFill="1" applyBorder="1" applyAlignment="1">
      <alignment horizontal="center" vertical="center"/>
    </xf>
    <xf numFmtId="0" fontId="12" fillId="2" borderId="1" xfId="0" applyFont="1" applyFill="1" applyBorder="1" applyAlignment="1" applyProtection="1">
      <alignment horizontal="center" vertical="center"/>
    </xf>
    <xf numFmtId="0" fontId="14" fillId="3" borderId="22" xfId="0"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0" fontId="31" fillId="4" borderId="0" xfId="0" applyFont="1" applyFill="1" applyAlignment="1" applyProtection="1">
      <alignment horizontal="right" vertical="center"/>
    </xf>
    <xf numFmtId="0" fontId="14" fillId="4" borderId="0" xfId="0" applyFont="1" applyFill="1" applyAlignment="1" applyProtection="1">
      <alignment horizontal="center" vertical="center"/>
    </xf>
    <xf numFmtId="164" fontId="12" fillId="2" borderId="1" xfId="1" applyFont="1" applyFill="1" applyBorder="1" applyAlignment="1">
      <alignment horizontal="center" vertical="center"/>
    </xf>
    <xf numFmtId="164" fontId="12" fillId="2" borderId="1" xfId="1" applyFont="1" applyFill="1" applyBorder="1" applyAlignment="1">
      <alignment horizontal="centerContinuous" vertical="center"/>
    </xf>
    <xf numFmtId="0" fontId="14" fillId="2" borderId="23" xfId="0" applyFont="1" applyFill="1" applyBorder="1" applyAlignment="1" applyProtection="1">
      <alignment horizontal="centerContinuous" vertical="center"/>
    </xf>
    <xf numFmtId="0" fontId="14" fillId="2" borderId="24" xfId="0" applyFont="1" applyFill="1" applyBorder="1" applyAlignment="1" applyProtection="1">
      <alignment horizontal="centerContinuous" vertical="center"/>
    </xf>
    <xf numFmtId="181" fontId="14" fillId="0" borderId="1" xfId="0" applyNumberFormat="1" applyFont="1" applyBorder="1"/>
    <xf numFmtId="0" fontId="14" fillId="3" borderId="0" xfId="0" applyFont="1" applyFill="1" applyAlignment="1" applyProtection="1">
      <alignment horizontal="left" vertical="center"/>
    </xf>
    <xf numFmtId="0" fontId="53" fillId="31" borderId="1" xfId="0" applyFont="1" applyFill="1" applyBorder="1" applyAlignment="1">
      <alignment horizontal="center" vertical="center"/>
    </xf>
    <xf numFmtId="0" fontId="3" fillId="6" borderId="1" xfId="0" applyFont="1" applyFill="1" applyBorder="1" applyAlignment="1" applyProtection="1">
      <alignment horizontal="center" vertical="center"/>
    </xf>
    <xf numFmtId="0" fontId="53" fillId="31" borderId="1" xfId="0" applyFont="1" applyFill="1" applyBorder="1" applyAlignment="1">
      <alignment horizontal="center" vertical="top"/>
    </xf>
    <xf numFmtId="0" fontId="53" fillId="6" borderId="1" xfId="0" applyFont="1" applyFill="1" applyBorder="1" applyAlignment="1">
      <alignment horizontal="center" vertical="top"/>
    </xf>
    <xf numFmtId="0" fontId="14" fillId="6" borderId="26" xfId="0" applyFont="1" applyFill="1" applyBorder="1" applyAlignment="1" applyProtection="1">
      <alignment horizontal="center" vertical="center" readingOrder="2"/>
    </xf>
    <xf numFmtId="0" fontId="3" fillId="6" borderId="26" xfId="0" applyFont="1" applyFill="1" applyBorder="1" applyAlignment="1" applyProtection="1">
      <alignment horizontal="center" vertical="center"/>
    </xf>
    <xf numFmtId="49" fontId="14" fillId="6" borderId="26" xfId="0" applyNumberFormat="1" applyFont="1" applyFill="1" applyBorder="1" applyAlignment="1" applyProtection="1">
      <alignment horizontal="center" vertical="center"/>
    </xf>
    <xf numFmtId="49" fontId="14" fillId="6" borderId="1" xfId="0" applyNumberFormat="1" applyFont="1" applyFill="1" applyBorder="1" applyAlignment="1" applyProtection="1">
      <alignment horizontal="center" vertical="center"/>
    </xf>
    <xf numFmtId="0" fontId="14" fillId="18" borderId="16" xfId="0" applyFont="1" applyFill="1" applyBorder="1" applyAlignment="1">
      <alignment horizontal="left" vertical="center" wrapText="1" readingOrder="1"/>
    </xf>
    <xf numFmtId="0" fontId="14" fillId="18" borderId="0" xfId="0" applyFont="1" applyFill="1" applyBorder="1" applyAlignment="1">
      <alignment horizontal="left" vertical="center" wrapText="1" readingOrder="1"/>
    </xf>
    <xf numFmtId="0" fontId="14" fillId="18" borderId="27" xfId="0" applyFont="1" applyFill="1" applyBorder="1" applyAlignment="1">
      <alignment horizontal="left" vertical="center" wrapText="1" readingOrder="1"/>
    </xf>
    <xf numFmtId="0" fontId="12" fillId="2" borderId="22" xfId="0" applyFont="1" applyFill="1" applyBorder="1" applyAlignment="1" applyProtection="1">
      <alignment horizontal="center" vertical="center" readingOrder="1"/>
    </xf>
    <xf numFmtId="0" fontId="14" fillId="3" borderId="22" xfId="0" applyFont="1" applyFill="1" applyBorder="1" applyAlignment="1" applyProtection="1">
      <alignment horizontal="center" vertical="center" readingOrder="1"/>
    </xf>
    <xf numFmtId="0" fontId="14" fillId="6" borderId="22" xfId="0" applyFont="1" applyFill="1" applyBorder="1" applyAlignment="1" applyProtection="1">
      <alignment horizontal="center" vertical="center" readingOrder="1"/>
    </xf>
    <xf numFmtId="177" fontId="14" fillId="6" borderId="1" xfId="0" applyNumberFormat="1" applyFont="1" applyFill="1" applyBorder="1" applyAlignment="1">
      <alignment horizontal="center" vertical="center"/>
    </xf>
    <xf numFmtId="0" fontId="12" fillId="2" borderId="22" xfId="0" applyFont="1" applyFill="1" applyBorder="1" applyAlignment="1" applyProtection="1">
      <alignment horizontal="centerContinuous" vertical="center"/>
    </xf>
    <xf numFmtId="0" fontId="12" fillId="2" borderId="23" xfId="0" applyFont="1" applyFill="1" applyBorder="1" applyAlignment="1" applyProtection="1">
      <alignment horizontal="centerContinuous" vertical="center"/>
    </xf>
    <xf numFmtId="0" fontId="12" fillId="2" borderId="24" xfId="0" applyFont="1" applyFill="1" applyBorder="1" applyAlignment="1" applyProtection="1">
      <alignment horizontal="centerContinuous" vertical="center"/>
    </xf>
    <xf numFmtId="0" fontId="12" fillId="2" borderId="22" xfId="0" applyFont="1" applyFill="1" applyBorder="1" applyAlignment="1" applyProtection="1">
      <alignment horizontal="center" vertical="center"/>
    </xf>
    <xf numFmtId="0" fontId="14" fillId="6" borderId="24" xfId="0" applyFont="1" applyFill="1" applyBorder="1" applyAlignment="1" applyProtection="1">
      <alignment horizontal="center" vertical="center"/>
    </xf>
    <xf numFmtId="0" fontId="14" fillId="0" borderId="3" xfId="0" applyFont="1" applyFill="1" applyBorder="1" applyAlignment="1" applyProtection="1">
      <alignment horizontal="center" vertical="center" readingOrder="2"/>
    </xf>
    <xf numFmtId="0" fontId="14" fillId="6" borderId="24" xfId="0" applyFont="1" applyFill="1" applyBorder="1" applyAlignment="1" applyProtection="1">
      <alignment horizontal="center" vertical="center" readingOrder="2"/>
    </xf>
    <xf numFmtId="0" fontId="3" fillId="6" borderId="24" xfId="0" applyFont="1" applyFill="1" applyBorder="1" applyAlignment="1" applyProtection="1">
      <alignment horizontal="right" vertical="center"/>
    </xf>
    <xf numFmtId="0" fontId="40" fillId="3" borderId="18" xfId="5" applyFont="1" applyFill="1" applyBorder="1" applyAlignment="1">
      <alignment vertical="center" wrapText="1"/>
    </xf>
    <xf numFmtId="182" fontId="14" fillId="6" borderId="1" xfId="0" applyNumberFormat="1" applyFont="1" applyFill="1" applyBorder="1" applyAlignment="1">
      <alignment horizontal="center" vertical="center" readingOrder="2"/>
    </xf>
    <xf numFmtId="0" fontId="12" fillId="2" borderId="1" xfId="0"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169" fontId="14" fillId="3" borderId="1" xfId="2" applyNumberFormat="1" applyFont="1" applyFill="1" applyBorder="1" applyAlignment="1" applyProtection="1">
      <alignment horizontal="center" vertical="center"/>
    </xf>
    <xf numFmtId="165" fontId="14" fillId="3" borderId="0" xfId="0" applyNumberFormat="1" applyFont="1" applyFill="1" applyAlignment="1" applyProtection="1">
      <alignment horizontal="center" vertical="center"/>
    </xf>
    <xf numFmtId="0" fontId="12" fillId="3" borderId="1" xfId="0" applyFont="1" applyFill="1" applyBorder="1" applyAlignment="1">
      <alignment horizontal="center" vertical="center" readingOrder="2"/>
    </xf>
    <xf numFmtId="0" fontId="14" fillId="3" borderId="1" xfId="0" applyFont="1" applyFill="1" applyBorder="1" applyAlignment="1">
      <alignment horizontal="center" vertical="center" readingOrder="2"/>
    </xf>
    <xf numFmtId="0" fontId="29" fillId="2" borderId="5" xfId="0" applyFont="1" applyFill="1" applyBorder="1" applyAlignment="1">
      <alignment horizontal="center" vertical="center" wrapText="1"/>
    </xf>
    <xf numFmtId="0" fontId="29" fillId="2" borderId="6" xfId="0" applyFont="1" applyFill="1" applyBorder="1" applyAlignment="1">
      <alignment horizontal="center" vertical="center" wrapText="1"/>
    </xf>
    <xf numFmtId="0" fontId="29" fillId="2" borderId="7"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29" fillId="2" borderId="9" xfId="0" applyFont="1" applyFill="1" applyBorder="1" applyAlignment="1">
      <alignment horizontal="center" vertical="center" wrapText="1"/>
    </xf>
    <xf numFmtId="0" fontId="29" fillId="2" borderId="10" xfId="0" applyFont="1" applyFill="1" applyBorder="1" applyAlignment="1">
      <alignment horizontal="center" vertical="center" wrapText="1"/>
    </xf>
    <xf numFmtId="0" fontId="9" fillId="3" borderId="5" xfId="3" applyFont="1" applyFill="1" applyBorder="1" applyAlignment="1">
      <alignment horizontal="center" vertical="center"/>
    </xf>
    <xf numFmtId="0" fontId="9" fillId="3" borderId="6" xfId="3" applyFont="1" applyFill="1" applyBorder="1" applyAlignment="1">
      <alignment horizontal="center" vertical="center"/>
    </xf>
    <xf numFmtId="0" fontId="9" fillId="3" borderId="11" xfId="3" applyFont="1" applyFill="1" applyBorder="1" applyAlignment="1">
      <alignment horizontal="center" vertical="center"/>
    </xf>
    <xf numFmtId="0" fontId="9" fillId="3" borderId="0" xfId="3" applyFont="1" applyFill="1" applyBorder="1" applyAlignment="1">
      <alignment horizontal="center" vertical="center"/>
    </xf>
    <xf numFmtId="0" fontId="9" fillId="3" borderId="8" xfId="3" applyFont="1" applyFill="1" applyBorder="1" applyAlignment="1">
      <alignment horizontal="center" vertical="center"/>
    </xf>
    <xf numFmtId="0" fontId="9" fillId="3" borderId="9" xfId="3" applyFont="1" applyFill="1" applyBorder="1" applyAlignment="1">
      <alignment horizontal="center" vertical="center"/>
    </xf>
    <xf numFmtId="168" fontId="36" fillId="3" borderId="6" xfId="3" applyNumberFormat="1" applyFont="1" applyFill="1" applyBorder="1" applyAlignment="1">
      <alignment horizontal="left" vertical="center"/>
    </xf>
    <xf numFmtId="0" fontId="49" fillId="3" borderId="6" xfId="0" applyFont="1" applyFill="1" applyBorder="1" applyAlignment="1">
      <alignment horizontal="left" vertical="center"/>
    </xf>
    <xf numFmtId="0" fontId="49" fillId="3" borderId="7" xfId="0" applyFont="1" applyFill="1" applyBorder="1" applyAlignment="1">
      <alignment horizontal="left" vertical="center"/>
    </xf>
    <xf numFmtId="168" fontId="36" fillId="3" borderId="0" xfId="3" applyNumberFormat="1" applyFont="1" applyFill="1" applyBorder="1" applyAlignment="1">
      <alignment horizontal="left" vertical="center"/>
    </xf>
    <xf numFmtId="0" fontId="49" fillId="3" borderId="0" xfId="0" applyFont="1" applyFill="1" applyAlignment="1">
      <alignment horizontal="left" vertical="center"/>
    </xf>
    <xf numFmtId="0" fontId="49" fillId="3" borderId="12" xfId="0" applyFont="1" applyFill="1" applyBorder="1" applyAlignment="1">
      <alignment horizontal="left" vertical="center"/>
    </xf>
    <xf numFmtId="0" fontId="36" fillId="3" borderId="0" xfId="3" applyFont="1" applyFill="1" applyBorder="1" applyAlignment="1">
      <alignment horizontal="left" vertical="center"/>
    </xf>
    <xf numFmtId="0" fontId="36" fillId="3" borderId="9" xfId="3" applyNumberFormat="1" applyFont="1" applyFill="1" applyBorder="1" applyAlignment="1">
      <alignment horizontal="left" vertical="center"/>
    </xf>
    <xf numFmtId="0" fontId="49" fillId="3" borderId="9" xfId="0" applyFont="1" applyFill="1" applyBorder="1" applyAlignment="1">
      <alignment horizontal="left" vertical="center"/>
    </xf>
    <xf numFmtId="0" fontId="49" fillId="3" borderId="10" xfId="0" applyFont="1" applyFill="1" applyBorder="1" applyAlignment="1">
      <alignment horizontal="left" vertical="center"/>
    </xf>
    <xf numFmtId="0" fontId="12" fillId="3" borderId="5" xfId="0" applyFont="1" applyFill="1" applyBorder="1" applyAlignment="1">
      <alignment horizontal="left" vertical="top" wrapText="1" readingOrder="1"/>
    </xf>
    <xf numFmtId="0" fontId="12" fillId="3" borderId="6" xfId="0" applyFont="1" applyFill="1" applyBorder="1" applyAlignment="1">
      <alignment horizontal="left" vertical="top" wrapText="1" readingOrder="1"/>
    </xf>
    <xf numFmtId="0" fontId="12" fillId="3" borderId="7" xfId="0" applyFont="1" applyFill="1" applyBorder="1" applyAlignment="1">
      <alignment horizontal="left" vertical="top" wrapText="1" readingOrder="1"/>
    </xf>
    <xf numFmtId="0" fontId="12" fillId="3" borderId="30" xfId="0" applyFont="1" applyFill="1" applyBorder="1" applyAlignment="1">
      <alignment horizontal="left" vertical="top" wrapText="1" readingOrder="1"/>
    </xf>
    <xf numFmtId="0" fontId="12" fillId="3" borderId="2" xfId="0" applyFont="1" applyFill="1" applyBorder="1" applyAlignment="1">
      <alignment horizontal="left" vertical="top" wrapText="1" readingOrder="1"/>
    </xf>
    <xf numFmtId="0" fontId="12" fillId="3" borderId="31" xfId="0" applyFont="1" applyFill="1" applyBorder="1" applyAlignment="1">
      <alignment horizontal="left" vertical="top" wrapText="1" readingOrder="1"/>
    </xf>
    <xf numFmtId="0" fontId="14" fillId="18" borderId="32" xfId="0" applyFont="1" applyFill="1" applyBorder="1" applyAlignment="1">
      <alignment horizontal="left" vertical="top" wrapText="1" readingOrder="1"/>
    </xf>
    <xf numFmtId="0" fontId="14" fillId="18" borderId="18" xfId="0" applyFont="1" applyFill="1" applyBorder="1" applyAlignment="1">
      <alignment horizontal="left" vertical="top" readingOrder="1"/>
    </xf>
    <xf numFmtId="0" fontId="14" fillId="18" borderId="33" xfId="0" applyFont="1" applyFill="1" applyBorder="1" applyAlignment="1">
      <alignment horizontal="left" vertical="top" readingOrder="1"/>
    </xf>
    <xf numFmtId="0" fontId="14" fillId="18" borderId="11" xfId="0" applyFont="1" applyFill="1" applyBorder="1" applyAlignment="1">
      <alignment horizontal="left" vertical="top" readingOrder="1"/>
    </xf>
    <xf numFmtId="0" fontId="14" fillId="18" borderId="0" xfId="0" applyFont="1" applyFill="1" applyAlignment="1">
      <alignment horizontal="left" vertical="top" readingOrder="1"/>
    </xf>
    <xf numFmtId="0" fontId="14" fillId="18" borderId="12" xfId="0" applyFont="1" applyFill="1" applyBorder="1" applyAlignment="1">
      <alignment horizontal="left" vertical="top" readingOrder="1"/>
    </xf>
    <xf numFmtId="0" fontId="14" fillId="18" borderId="8" xfId="0" applyFont="1" applyFill="1" applyBorder="1" applyAlignment="1">
      <alignment horizontal="left" vertical="top" readingOrder="1"/>
    </xf>
    <xf numFmtId="0" fontId="14" fillId="18" borderId="9" xfId="0" applyFont="1" applyFill="1" applyBorder="1" applyAlignment="1">
      <alignment horizontal="left" vertical="top" readingOrder="1"/>
    </xf>
    <xf numFmtId="0" fontId="14" fillId="18" borderId="10" xfId="0" applyFont="1" applyFill="1" applyBorder="1" applyAlignment="1">
      <alignment horizontal="left" vertical="top" readingOrder="1"/>
    </xf>
    <xf numFmtId="0" fontId="12" fillId="3" borderId="9" xfId="0" applyFont="1" applyFill="1" applyBorder="1" applyAlignment="1">
      <alignment horizontal="right" vertical="center" wrapText="1" readingOrder="2"/>
    </xf>
    <xf numFmtId="0" fontId="12" fillId="3" borderId="10" xfId="0" applyFont="1" applyFill="1" applyBorder="1" applyAlignment="1">
      <alignment horizontal="right" vertical="center" wrapText="1" readingOrder="2"/>
    </xf>
    <xf numFmtId="0" fontId="29" fillId="2" borderId="5" xfId="0" applyFont="1" applyFill="1" applyBorder="1" applyAlignment="1">
      <alignment horizontal="center" vertical="center" wrapText="1" readingOrder="1"/>
    </xf>
    <xf numFmtId="0" fontId="29" fillId="2" borderId="6" xfId="0" applyFont="1" applyFill="1" applyBorder="1" applyAlignment="1">
      <alignment horizontal="center" vertical="center" wrapText="1" readingOrder="1"/>
    </xf>
    <xf numFmtId="0" fontId="29" fillId="2" borderId="7" xfId="0" applyFont="1" applyFill="1" applyBorder="1" applyAlignment="1">
      <alignment horizontal="center" vertical="center" wrapText="1" readingOrder="1"/>
    </xf>
    <xf numFmtId="0" fontId="29" fillId="2" borderId="11" xfId="0" applyFont="1" applyFill="1" applyBorder="1" applyAlignment="1">
      <alignment horizontal="center" vertical="center" wrapText="1" readingOrder="1"/>
    </xf>
    <xf numFmtId="0" fontId="29" fillId="2" borderId="0" xfId="0" applyFont="1" applyFill="1" applyBorder="1" applyAlignment="1">
      <alignment horizontal="center" vertical="center" wrapText="1" readingOrder="1"/>
    </xf>
    <xf numFmtId="0" fontId="29" fillId="2" borderId="12" xfId="0" applyFont="1" applyFill="1" applyBorder="1" applyAlignment="1">
      <alignment horizontal="center" vertical="center" wrapText="1" readingOrder="1"/>
    </xf>
    <xf numFmtId="0" fontId="29" fillId="2" borderId="8" xfId="0" applyFont="1" applyFill="1" applyBorder="1" applyAlignment="1">
      <alignment horizontal="center" vertical="center" wrapText="1" readingOrder="1"/>
    </xf>
    <xf numFmtId="0" fontId="29" fillId="2" borderId="9" xfId="0" applyFont="1" applyFill="1" applyBorder="1" applyAlignment="1">
      <alignment horizontal="center" vertical="center" wrapText="1" readingOrder="1"/>
    </xf>
    <xf numFmtId="0" fontId="29" fillId="2" borderId="10" xfId="0" applyFont="1" applyFill="1" applyBorder="1" applyAlignment="1">
      <alignment horizontal="center" vertical="center" wrapText="1" readingOrder="1"/>
    </xf>
    <xf numFmtId="0" fontId="12" fillId="3" borderId="5" xfId="0" applyFont="1" applyFill="1" applyBorder="1" applyAlignment="1">
      <alignment horizontal="left" vertical="center" wrapText="1" readingOrder="1"/>
    </xf>
    <xf numFmtId="0" fontId="12" fillId="3" borderId="6" xfId="0" applyFont="1" applyFill="1" applyBorder="1" applyAlignment="1">
      <alignment horizontal="left" vertical="center" wrapText="1" readingOrder="1"/>
    </xf>
    <xf numFmtId="0" fontId="12" fillId="3" borderId="7" xfId="0" applyFont="1" applyFill="1" applyBorder="1" applyAlignment="1">
      <alignment horizontal="left" vertical="center" wrapText="1" readingOrder="1"/>
    </xf>
    <xf numFmtId="0" fontId="12" fillId="3" borderId="11" xfId="0" applyFont="1" applyFill="1" applyBorder="1" applyAlignment="1">
      <alignment horizontal="left" vertical="center" wrapText="1" readingOrder="1"/>
    </xf>
    <xf numFmtId="0" fontId="12" fillId="3" borderId="0" xfId="0" applyFont="1" applyFill="1" applyAlignment="1">
      <alignment horizontal="left" vertical="center" wrapText="1" readingOrder="1"/>
    </xf>
    <xf numFmtId="0" fontId="12" fillId="3" borderId="12" xfId="0" applyFont="1" applyFill="1" applyBorder="1" applyAlignment="1">
      <alignment horizontal="left" vertical="center" wrapText="1" readingOrder="1"/>
    </xf>
    <xf numFmtId="0" fontId="12" fillId="3" borderId="8" xfId="0" applyFont="1" applyFill="1" applyBorder="1" applyAlignment="1">
      <alignment horizontal="left" vertical="center" wrapText="1" readingOrder="1"/>
    </xf>
    <xf numFmtId="0" fontId="12" fillId="3" borderId="9" xfId="0" applyFont="1" applyFill="1" applyBorder="1" applyAlignment="1">
      <alignment horizontal="left" vertical="center" wrapText="1" readingOrder="1"/>
    </xf>
    <xf numFmtId="0" fontId="12" fillId="3" borderId="10" xfId="0" applyFont="1" applyFill="1" applyBorder="1" applyAlignment="1">
      <alignment horizontal="left" vertical="center" wrapText="1" readingOrder="1"/>
    </xf>
    <xf numFmtId="0" fontId="12" fillId="3" borderId="6" xfId="0" applyFont="1" applyFill="1" applyBorder="1" applyAlignment="1">
      <alignment horizontal="left" readingOrder="1"/>
    </xf>
    <xf numFmtId="0" fontId="12" fillId="3" borderId="7" xfId="0" applyFont="1" applyFill="1" applyBorder="1" applyAlignment="1">
      <alignment horizontal="left" readingOrder="1"/>
    </xf>
    <xf numFmtId="0" fontId="12" fillId="3" borderId="5" xfId="0" applyFont="1" applyFill="1" applyBorder="1" applyAlignment="1">
      <alignment horizontal="left" vertical="center" readingOrder="1"/>
    </xf>
    <xf numFmtId="0" fontId="12" fillId="3" borderId="6" xfId="0" applyFont="1" applyFill="1" applyBorder="1" applyAlignment="1">
      <alignment horizontal="left" vertical="center" readingOrder="1"/>
    </xf>
    <xf numFmtId="0" fontId="12" fillId="3" borderId="7" xfId="0" applyFont="1" applyFill="1" applyBorder="1" applyAlignment="1">
      <alignment horizontal="left" vertical="center" readingOrder="1"/>
    </xf>
    <xf numFmtId="0" fontId="12" fillId="3" borderId="11" xfId="0" applyFont="1" applyFill="1" applyBorder="1" applyAlignment="1">
      <alignment horizontal="left" vertical="center" readingOrder="1"/>
    </xf>
    <xf numFmtId="0" fontId="12" fillId="3" borderId="0" xfId="0" applyFont="1" applyFill="1" applyAlignment="1">
      <alignment horizontal="left" vertical="center" readingOrder="1"/>
    </xf>
    <xf numFmtId="0" fontId="12" fillId="3" borderId="12" xfId="0" applyFont="1" applyFill="1" applyBorder="1" applyAlignment="1">
      <alignment horizontal="left" vertical="center" readingOrder="1"/>
    </xf>
    <xf numFmtId="0" fontId="12" fillId="3" borderId="8" xfId="0" applyFont="1" applyFill="1" applyBorder="1" applyAlignment="1">
      <alignment horizontal="left" vertical="center" readingOrder="1"/>
    </xf>
    <xf numFmtId="0" fontId="12" fillId="3" borderId="9" xfId="0" applyFont="1" applyFill="1" applyBorder="1" applyAlignment="1">
      <alignment horizontal="left" vertical="center" readingOrder="1"/>
    </xf>
    <xf numFmtId="0" fontId="12" fillId="3" borderId="10" xfId="0" applyFont="1" applyFill="1" applyBorder="1" applyAlignment="1">
      <alignment horizontal="left" vertical="center" readingOrder="1"/>
    </xf>
    <xf numFmtId="14" fontId="3" fillId="4" borderId="14" xfId="0" applyNumberFormat="1" applyFont="1" applyFill="1" applyBorder="1" applyAlignment="1">
      <alignment horizontal="center" vertical="center"/>
    </xf>
    <xf numFmtId="14" fontId="3" fillId="4" borderId="13" xfId="0" applyNumberFormat="1" applyFont="1" applyFill="1" applyBorder="1" applyAlignment="1">
      <alignment horizontal="center" vertical="center"/>
    </xf>
    <xf numFmtId="0" fontId="3" fillId="4" borderId="13" xfId="0" applyFont="1" applyFill="1" applyBorder="1" applyAlignment="1">
      <alignment horizontal="center" vertical="center"/>
    </xf>
    <xf numFmtId="0" fontId="3" fillId="4" borderId="15" xfId="0" applyFont="1" applyFill="1" applyBorder="1" applyAlignment="1">
      <alignment horizontal="center" vertical="center"/>
    </xf>
    <xf numFmtId="0" fontId="7" fillId="3" borderId="5" xfId="0" applyFont="1" applyFill="1" applyBorder="1" applyAlignment="1">
      <alignment horizontal="right" vertical="center" wrapText="1" readingOrder="2"/>
    </xf>
    <xf numFmtId="0" fontId="7" fillId="3" borderId="6" xfId="0" applyFont="1" applyFill="1" applyBorder="1" applyAlignment="1">
      <alignment horizontal="right" vertical="center" wrapText="1" readingOrder="2"/>
    </xf>
    <xf numFmtId="0" fontId="12" fillId="3" borderId="0" xfId="0" applyFont="1" applyFill="1" applyBorder="1" applyAlignment="1">
      <alignment horizontal="right" vertical="center" wrapText="1" readingOrder="2"/>
    </xf>
    <xf numFmtId="0" fontId="12" fillId="3" borderId="12" xfId="0" applyFont="1" applyFill="1" applyBorder="1" applyAlignment="1">
      <alignment horizontal="right" vertical="center" wrapText="1" readingOrder="2"/>
    </xf>
    <xf numFmtId="0" fontId="12" fillId="3" borderId="16" xfId="0" applyFont="1" applyFill="1" applyBorder="1" applyAlignment="1">
      <alignment horizontal="right" vertical="center" wrapText="1" readingOrder="2"/>
    </xf>
    <xf numFmtId="0" fontId="4" fillId="3" borderId="11" xfId="0" applyFont="1" applyFill="1" applyBorder="1" applyAlignment="1">
      <alignment horizontal="right" vertical="center" readingOrder="2"/>
    </xf>
    <xf numFmtId="0" fontId="4" fillId="3" borderId="0" xfId="0" applyFont="1" applyFill="1" applyBorder="1" applyAlignment="1">
      <alignment horizontal="right" vertical="center" readingOrder="2"/>
    </xf>
    <xf numFmtId="0" fontId="4" fillId="3" borderId="12" xfId="0" applyFont="1" applyFill="1" applyBorder="1" applyAlignment="1">
      <alignment horizontal="right" vertical="center" readingOrder="2"/>
    </xf>
    <xf numFmtId="0" fontId="12" fillId="3" borderId="11" xfId="0" applyFont="1" applyFill="1" applyBorder="1" applyAlignment="1">
      <alignment horizontal="center" vertical="center"/>
    </xf>
    <xf numFmtId="0" fontId="12" fillId="3" borderId="0" xfId="0" applyFont="1" applyFill="1" applyBorder="1" applyAlignment="1">
      <alignment horizontal="center" vertical="center"/>
    </xf>
    <xf numFmtId="0" fontId="12" fillId="3" borderId="12" xfId="0" applyFont="1" applyFill="1" applyBorder="1" applyAlignment="1">
      <alignment horizontal="center" vertical="center"/>
    </xf>
    <xf numFmtId="0" fontId="54" fillId="3" borderId="0" xfId="5" applyFont="1" applyFill="1" applyBorder="1" applyAlignment="1">
      <alignment horizontal="left" vertical="center" wrapText="1"/>
    </xf>
    <xf numFmtId="0" fontId="14" fillId="3" borderId="1" xfId="0" applyFont="1" applyFill="1" applyBorder="1" applyAlignment="1">
      <alignment horizontal="center" vertical="center" wrapText="1"/>
    </xf>
    <xf numFmtId="0" fontId="14" fillId="3" borderId="1" xfId="0" applyFont="1" applyFill="1" applyBorder="1" applyAlignment="1">
      <alignment horizontal="center" vertical="center" readingOrder="1"/>
    </xf>
    <xf numFmtId="170" fontId="14" fillId="3" borderId="1" xfId="0" applyNumberFormat="1" applyFont="1" applyFill="1" applyBorder="1" applyAlignment="1">
      <alignment horizontal="center" vertical="center" readingOrder="1"/>
    </xf>
    <xf numFmtId="0" fontId="14" fillId="3" borderId="3" xfId="0" applyFont="1" applyFill="1" applyBorder="1" applyAlignment="1">
      <alignment horizontal="center" vertical="center" wrapText="1"/>
    </xf>
    <xf numFmtId="0" fontId="14" fillId="3" borderId="25" xfId="0" applyFont="1" applyFill="1" applyBorder="1" applyAlignment="1">
      <alignment horizontal="center" vertical="center" wrapText="1"/>
    </xf>
    <xf numFmtId="0" fontId="14" fillId="3" borderId="26" xfId="0" applyFont="1" applyFill="1" applyBorder="1" applyAlignment="1">
      <alignment horizontal="center" vertical="center" wrapText="1"/>
    </xf>
    <xf numFmtId="0" fontId="40" fillId="3" borderId="18" xfId="5" applyFont="1" applyFill="1" applyBorder="1" applyAlignment="1">
      <alignment horizontal="left" vertical="center" readingOrder="1"/>
    </xf>
    <xf numFmtId="0" fontId="14" fillId="3" borderId="22" xfId="0" applyFont="1" applyFill="1" applyBorder="1" applyAlignment="1">
      <alignment horizontal="center" vertical="center" readingOrder="1"/>
    </xf>
    <xf numFmtId="0" fontId="14" fillId="3" borderId="24" xfId="0" applyFont="1" applyFill="1" applyBorder="1" applyAlignment="1">
      <alignment horizontal="center" vertical="center" readingOrder="1"/>
    </xf>
    <xf numFmtId="0" fontId="16" fillId="3" borderId="22" xfId="0" applyFont="1" applyFill="1" applyBorder="1" applyAlignment="1">
      <alignment horizontal="center" vertical="center"/>
    </xf>
    <xf numFmtId="0" fontId="16" fillId="3" borderId="24" xfId="0" applyFont="1" applyFill="1" applyBorder="1" applyAlignment="1">
      <alignment horizontal="center" vertical="center"/>
    </xf>
    <xf numFmtId="0" fontId="12" fillId="3" borderId="22" xfId="0" applyFont="1" applyFill="1" applyBorder="1" applyAlignment="1">
      <alignment horizontal="center" vertical="center" readingOrder="2"/>
    </xf>
    <xf numFmtId="0" fontId="12" fillId="3" borderId="24" xfId="0" applyFont="1" applyFill="1" applyBorder="1" applyAlignment="1">
      <alignment horizontal="center" vertical="center" readingOrder="2"/>
    </xf>
    <xf numFmtId="0" fontId="12" fillId="0" borderId="1" xfId="0" applyFont="1" applyBorder="1" applyAlignment="1">
      <alignment horizontal="center" vertical="center" wrapText="1"/>
    </xf>
    <xf numFmtId="0" fontId="14" fillId="3" borderId="1" xfId="0" applyFont="1" applyFill="1" applyBorder="1" applyAlignment="1">
      <alignment horizontal="center" vertical="center" readingOrder="2"/>
    </xf>
    <xf numFmtId="170" fontId="14" fillId="3" borderId="1" xfId="0" applyNumberFormat="1" applyFont="1" applyFill="1" applyBorder="1" applyAlignment="1">
      <alignment horizontal="center" vertical="center" readingOrder="2"/>
    </xf>
    <xf numFmtId="0" fontId="14" fillId="3" borderId="0" xfId="0" applyFont="1" applyFill="1" applyAlignment="1">
      <alignment horizontal="left" vertical="center" wrapText="1" readingOrder="1"/>
    </xf>
    <xf numFmtId="0" fontId="14" fillId="3" borderId="1" xfId="0" applyFont="1" applyFill="1" applyBorder="1" applyAlignment="1">
      <alignment horizontal="center" vertical="center"/>
    </xf>
    <xf numFmtId="0" fontId="12" fillId="0" borderId="1" xfId="0" applyFont="1" applyBorder="1" applyAlignment="1">
      <alignment horizontal="center" vertical="center"/>
    </xf>
    <xf numFmtId="0" fontId="40" fillId="3" borderId="18" xfId="5" applyFont="1" applyFill="1" applyBorder="1" applyAlignment="1">
      <alignment horizontal="left" vertical="center" readingOrder="2"/>
    </xf>
    <xf numFmtId="0" fontId="40" fillId="3" borderId="18" xfId="5" applyFont="1" applyFill="1" applyBorder="1" applyAlignment="1">
      <alignment horizontal="left" vertical="center" wrapText="1"/>
    </xf>
    <xf numFmtId="0" fontId="12" fillId="0" borderId="3" xfId="0" applyFont="1" applyBorder="1" applyAlignment="1">
      <alignment horizontal="center" vertical="center" wrapText="1"/>
    </xf>
    <xf numFmtId="0" fontId="12" fillId="0" borderId="26" xfId="0" applyFont="1" applyBorder="1" applyAlignment="1">
      <alignment horizontal="center" vertical="center" wrapText="1"/>
    </xf>
    <xf numFmtId="0" fontId="40" fillId="3" borderId="0" xfId="5" applyFont="1" applyFill="1" applyBorder="1" applyAlignment="1">
      <alignment horizontal="left" vertical="center" wrapText="1"/>
    </xf>
    <xf numFmtId="0" fontId="14" fillId="3" borderId="0" xfId="0" applyFont="1" applyFill="1" applyAlignment="1">
      <alignment horizontal="left" vertical="center" readingOrder="1"/>
    </xf>
    <xf numFmtId="0" fontId="12" fillId="3" borderId="1" xfId="0" applyFont="1" applyFill="1" applyBorder="1" applyAlignment="1">
      <alignment horizontal="center" vertical="center" readingOrder="2"/>
    </xf>
    <xf numFmtId="0" fontId="12" fillId="2" borderId="3" xfId="0" applyFont="1" applyFill="1" applyBorder="1" applyAlignment="1">
      <alignment horizontal="center" vertical="center"/>
    </xf>
    <xf numFmtId="0" fontId="12" fillId="2" borderId="26" xfId="0" applyFont="1" applyFill="1" applyBorder="1" applyAlignment="1">
      <alignment horizontal="center" vertical="center"/>
    </xf>
    <xf numFmtId="0" fontId="30" fillId="14" borderId="3" xfId="5" applyFont="1" applyFill="1" applyBorder="1" applyAlignment="1">
      <alignment horizontal="center" vertical="center"/>
    </xf>
    <xf numFmtId="0" fontId="30" fillId="14" borderId="25" xfId="5" applyFont="1" applyFill="1" applyBorder="1" applyAlignment="1">
      <alignment horizontal="center" vertical="center"/>
    </xf>
    <xf numFmtId="0" fontId="30" fillId="14" borderId="26" xfId="5" applyFont="1" applyFill="1" applyBorder="1" applyAlignment="1">
      <alignment horizontal="center" vertical="center"/>
    </xf>
    <xf numFmtId="0" fontId="30" fillId="14" borderId="1" xfId="5" applyFont="1" applyFill="1" applyBorder="1" applyAlignment="1">
      <alignment horizontal="center" vertical="center" wrapText="1"/>
    </xf>
    <xf numFmtId="0" fontId="30" fillId="14" borderId="3" xfId="5" applyFont="1" applyFill="1" applyBorder="1" applyAlignment="1">
      <alignment horizontal="center" vertical="center" wrapText="1"/>
    </xf>
    <xf numFmtId="0" fontId="30" fillId="14" borderId="26" xfId="5" applyFont="1" applyFill="1" applyBorder="1" applyAlignment="1">
      <alignment horizontal="center" vertical="center" wrapText="1"/>
    </xf>
    <xf numFmtId="0" fontId="12" fillId="14" borderId="1" xfId="0" applyFont="1" applyFill="1" applyBorder="1" applyAlignment="1">
      <alignment horizontal="center" vertical="center" wrapText="1"/>
    </xf>
    <xf numFmtId="0" fontId="12" fillId="14" borderId="1" xfId="0" applyFont="1" applyFill="1" applyBorder="1" applyAlignment="1">
      <alignment horizontal="center" vertical="center"/>
    </xf>
    <xf numFmtId="0" fontId="30" fillId="14" borderId="25" xfId="5" applyFont="1" applyFill="1" applyBorder="1" applyAlignment="1">
      <alignment horizontal="center" vertical="center" wrapText="1"/>
    </xf>
    <xf numFmtId="0" fontId="14" fillId="9" borderId="3" xfId="0" applyFont="1" applyFill="1" applyBorder="1" applyAlignment="1">
      <alignment horizontal="center" vertical="center"/>
    </xf>
    <xf numFmtId="0" fontId="14" fillId="9" borderId="26" xfId="0" applyFont="1" applyFill="1" applyBorder="1" applyAlignment="1">
      <alignment horizontal="center" vertical="center"/>
    </xf>
    <xf numFmtId="0" fontId="14" fillId="28" borderId="3" xfId="0" applyFont="1" applyFill="1" applyBorder="1" applyAlignment="1">
      <alignment horizontal="center" vertical="center"/>
    </xf>
    <xf numFmtId="0" fontId="14" fillId="28" borderId="26" xfId="0" applyFont="1" applyFill="1" applyBorder="1" applyAlignment="1">
      <alignment horizontal="center" vertical="center"/>
    </xf>
    <xf numFmtId="0" fontId="14" fillId="29" borderId="3" xfId="0" applyFont="1" applyFill="1" applyBorder="1" applyAlignment="1">
      <alignment horizontal="center" vertical="center"/>
    </xf>
    <xf numFmtId="0" fontId="14" fillId="29" borderId="26"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26" xfId="0" applyFont="1" applyFill="1" applyBorder="1" applyAlignment="1">
      <alignment horizontal="center" vertical="center" wrapText="1"/>
    </xf>
    <xf numFmtId="0" fontId="12" fillId="9" borderId="3" xfId="0" applyFont="1" applyFill="1" applyBorder="1" applyAlignment="1">
      <alignment horizontal="center" vertical="center" wrapText="1"/>
    </xf>
    <xf numFmtId="0" fontId="12" fillId="9" borderId="26" xfId="0" applyFont="1" applyFill="1" applyBorder="1" applyAlignment="1">
      <alignment horizontal="center" vertical="center" wrapText="1"/>
    </xf>
    <xf numFmtId="0" fontId="12" fillId="28" borderId="3" xfId="0" applyFont="1" applyFill="1" applyBorder="1" applyAlignment="1">
      <alignment horizontal="center" vertical="center" wrapText="1"/>
    </xf>
    <xf numFmtId="0" fontId="12" fillId="28" borderId="26" xfId="0" applyFont="1" applyFill="1" applyBorder="1" applyAlignment="1">
      <alignment horizontal="center" vertical="center" wrapText="1"/>
    </xf>
    <xf numFmtId="0" fontId="14" fillId="9" borderId="3" xfId="0" applyFont="1" applyFill="1" applyBorder="1" applyAlignment="1">
      <alignment horizontal="center" vertical="center" wrapText="1"/>
    </xf>
    <xf numFmtId="0" fontId="14" fillId="9" borderId="26" xfId="0" applyFont="1" applyFill="1" applyBorder="1" applyAlignment="1">
      <alignment horizontal="center" vertical="center" wrapText="1"/>
    </xf>
    <xf numFmtId="0" fontId="14" fillId="28" borderId="3" xfId="0" applyFont="1" applyFill="1" applyBorder="1" applyAlignment="1">
      <alignment horizontal="center" vertical="center" wrapText="1"/>
    </xf>
    <xf numFmtId="0" fontId="14" fillId="28" borderId="26" xfId="0" applyFont="1" applyFill="1" applyBorder="1" applyAlignment="1">
      <alignment horizontal="center" vertical="center" wrapText="1"/>
    </xf>
    <xf numFmtId="0" fontId="14" fillId="3" borderId="3" xfId="0" applyFont="1" applyFill="1" applyBorder="1" applyAlignment="1">
      <alignment horizontal="center" vertical="center"/>
    </xf>
    <xf numFmtId="0" fontId="14" fillId="3" borderId="25" xfId="0" applyFont="1" applyFill="1" applyBorder="1" applyAlignment="1">
      <alignment horizontal="center" vertical="center"/>
    </xf>
    <xf numFmtId="0" fontId="14" fillId="3" borderId="26" xfId="0" applyFont="1" applyFill="1" applyBorder="1" applyAlignment="1">
      <alignment horizontal="center" vertical="center"/>
    </xf>
    <xf numFmtId="165" fontId="14" fillId="0" borderId="3" xfId="1" applyNumberFormat="1" applyFont="1" applyBorder="1" applyAlignment="1" applyProtection="1">
      <alignment horizontal="center" vertical="center"/>
    </xf>
    <xf numFmtId="165" fontId="14" fillId="0" borderId="25" xfId="1" applyNumberFormat="1" applyFont="1" applyBorder="1" applyAlignment="1" applyProtection="1">
      <alignment horizontal="center" vertical="center"/>
    </xf>
    <xf numFmtId="165" fontId="14" fillId="0" borderId="26" xfId="1" applyNumberFormat="1" applyFont="1" applyBorder="1" applyAlignment="1" applyProtection="1">
      <alignment horizontal="center" vertical="center"/>
    </xf>
    <xf numFmtId="0" fontId="14" fillId="0" borderId="1" xfId="0" applyFont="1" applyBorder="1" applyAlignment="1">
      <alignment horizontal="center" vertical="center" wrapText="1"/>
    </xf>
    <xf numFmtId="165" fontId="12" fillId="2" borderId="22" xfId="1" applyNumberFormat="1" applyFont="1" applyFill="1" applyBorder="1" applyAlignment="1" applyProtection="1">
      <alignment horizontal="center" vertical="center"/>
    </xf>
    <xf numFmtId="165" fontId="12" fillId="2" borderId="24" xfId="1" applyNumberFormat="1" applyFont="1" applyFill="1" applyBorder="1" applyAlignment="1" applyProtection="1">
      <alignment horizontal="center" vertical="center"/>
    </xf>
    <xf numFmtId="165" fontId="14" fillId="3" borderId="22" xfId="1" applyNumberFormat="1" applyFont="1" applyFill="1" applyBorder="1" applyAlignment="1" applyProtection="1">
      <alignment horizontal="center" vertical="center"/>
    </xf>
    <xf numFmtId="165" fontId="14" fillId="3" borderId="24" xfId="1" applyNumberFormat="1" applyFont="1" applyFill="1" applyBorder="1" applyAlignment="1" applyProtection="1">
      <alignment horizontal="center" vertical="center"/>
    </xf>
    <xf numFmtId="167" fontId="12" fillId="2" borderId="22" xfId="1" applyNumberFormat="1" applyFont="1" applyFill="1" applyBorder="1" applyAlignment="1" applyProtection="1">
      <alignment horizontal="center" vertical="center"/>
    </xf>
    <xf numFmtId="167" fontId="12" fillId="2" borderId="24" xfId="1" applyNumberFormat="1" applyFont="1" applyFill="1" applyBorder="1" applyAlignment="1" applyProtection="1">
      <alignment horizontal="center" vertical="center"/>
    </xf>
    <xf numFmtId="165" fontId="14" fillId="3" borderId="22" xfId="0" applyNumberFormat="1" applyFont="1" applyFill="1" applyBorder="1" applyAlignment="1" applyProtection="1">
      <alignment horizontal="center" vertical="center"/>
    </xf>
    <xf numFmtId="0" fontId="14" fillId="3" borderId="24" xfId="0" applyFont="1" applyFill="1" applyBorder="1" applyAlignment="1" applyProtection="1">
      <alignment horizontal="center" vertical="center"/>
    </xf>
    <xf numFmtId="165" fontId="14" fillId="0" borderId="1" xfId="1" applyNumberFormat="1" applyFont="1" applyBorder="1" applyAlignment="1" applyProtection="1">
      <alignment horizontal="center" vertical="center"/>
    </xf>
    <xf numFmtId="9" fontId="14" fillId="3" borderId="3" xfId="2" applyFont="1" applyFill="1" applyBorder="1" applyAlignment="1" applyProtection="1">
      <alignment horizontal="center" vertical="center"/>
    </xf>
    <xf numFmtId="9" fontId="14" fillId="3" borderId="25" xfId="2" applyFont="1" applyFill="1" applyBorder="1" applyAlignment="1" applyProtection="1">
      <alignment horizontal="center" vertical="center"/>
    </xf>
    <xf numFmtId="9" fontId="14" fillId="3" borderId="26" xfId="2" applyFont="1" applyFill="1" applyBorder="1" applyAlignment="1" applyProtection="1">
      <alignment horizontal="center" vertical="center"/>
    </xf>
    <xf numFmtId="0" fontId="14" fillId="3" borderId="23" xfId="0" applyFont="1" applyFill="1" applyBorder="1" applyAlignment="1" applyProtection="1">
      <alignment horizontal="center" vertical="center"/>
    </xf>
    <xf numFmtId="0" fontId="12" fillId="3" borderId="1" xfId="0" applyFont="1" applyFill="1" applyBorder="1" applyAlignment="1">
      <alignment horizontal="center" vertical="center"/>
    </xf>
    <xf numFmtId="165" fontId="12" fillId="3" borderId="22" xfId="0" applyNumberFormat="1" applyFont="1" applyFill="1" applyBorder="1" applyAlignment="1" applyProtection="1">
      <alignment horizontal="center" vertical="center"/>
    </xf>
    <xf numFmtId="0" fontId="12" fillId="3" borderId="23" xfId="0" applyFont="1" applyFill="1" applyBorder="1" applyAlignment="1" applyProtection="1">
      <alignment horizontal="center" vertical="center"/>
    </xf>
    <xf numFmtId="0" fontId="12" fillId="3" borderId="24" xfId="0" applyFont="1" applyFill="1" applyBorder="1" applyAlignment="1" applyProtection="1">
      <alignment horizontal="center" vertical="center"/>
    </xf>
    <xf numFmtId="0" fontId="12" fillId="2" borderId="1" xfId="0" applyFont="1" applyFill="1" applyBorder="1" applyAlignment="1">
      <alignment horizontal="center" vertical="center" wrapText="1"/>
    </xf>
    <xf numFmtId="0" fontId="12" fillId="2" borderId="22" xfId="0" applyFont="1" applyFill="1" applyBorder="1" applyAlignment="1">
      <alignment horizontal="center" vertical="center"/>
    </xf>
    <xf numFmtId="0" fontId="12" fillId="2" borderId="23" xfId="0" applyFont="1" applyFill="1" applyBorder="1" applyAlignment="1">
      <alignment horizontal="center" vertical="center"/>
    </xf>
    <xf numFmtId="0" fontId="12" fillId="2" borderId="24" xfId="0" applyFont="1" applyFill="1" applyBorder="1" applyAlignment="1">
      <alignment horizontal="center" vertical="center"/>
    </xf>
    <xf numFmtId="0" fontId="14" fillId="3" borderId="22" xfId="0" applyFont="1" applyFill="1" applyBorder="1" applyAlignment="1">
      <alignment horizontal="center" vertical="center"/>
    </xf>
    <xf numFmtId="0" fontId="14" fillId="3" borderId="23" xfId="0" applyFont="1" applyFill="1" applyBorder="1" applyAlignment="1">
      <alignment horizontal="center" vertical="center"/>
    </xf>
    <xf numFmtId="0" fontId="14" fillId="3" borderId="24" xfId="0" applyFont="1" applyFill="1" applyBorder="1" applyAlignment="1">
      <alignment horizontal="center" vertical="center"/>
    </xf>
    <xf numFmtId="0" fontId="12" fillId="2" borderId="1" xfId="0" applyFont="1" applyFill="1" applyBorder="1" applyAlignment="1">
      <alignment horizontal="center" vertical="center"/>
    </xf>
    <xf numFmtId="0" fontId="14" fillId="3" borderId="17" xfId="0" applyFont="1" applyFill="1" applyBorder="1" applyAlignment="1">
      <alignment horizontal="center" vertical="center"/>
    </xf>
    <xf numFmtId="0" fontId="14" fillId="3" borderId="19" xfId="0" applyFont="1" applyFill="1" applyBorder="1" applyAlignment="1">
      <alignment horizontal="center" vertical="center"/>
    </xf>
    <xf numFmtId="0" fontId="14" fillId="3" borderId="16" xfId="0" applyFont="1" applyFill="1" applyBorder="1" applyAlignment="1">
      <alignment horizontal="center" vertical="center"/>
    </xf>
    <xf numFmtId="0" fontId="14" fillId="3" borderId="27" xfId="0" applyFont="1" applyFill="1" applyBorder="1" applyAlignment="1">
      <alignment horizontal="center" vertical="center"/>
    </xf>
    <xf numFmtId="0" fontId="14" fillId="3" borderId="20" xfId="0" applyFont="1" applyFill="1" applyBorder="1" applyAlignment="1">
      <alignment horizontal="center" vertical="center"/>
    </xf>
    <xf numFmtId="0" fontId="14" fillId="3" borderId="21" xfId="0" applyFont="1" applyFill="1" applyBorder="1" applyAlignment="1">
      <alignment horizontal="center" vertical="center"/>
    </xf>
    <xf numFmtId="165" fontId="12" fillId="3" borderId="3" xfId="0" applyNumberFormat="1" applyFont="1" applyFill="1" applyBorder="1" applyAlignment="1" applyProtection="1">
      <alignment horizontal="center" vertical="center"/>
    </xf>
    <xf numFmtId="165" fontId="12" fillId="3" borderId="25" xfId="0" applyNumberFormat="1" applyFont="1" applyFill="1" applyBorder="1" applyAlignment="1" applyProtection="1">
      <alignment horizontal="center" vertical="center"/>
    </xf>
    <xf numFmtId="165" fontId="12" fillId="3" borderId="26" xfId="0" applyNumberFormat="1" applyFont="1" applyFill="1" applyBorder="1" applyAlignment="1" applyProtection="1">
      <alignment horizontal="center" vertical="center"/>
    </xf>
    <xf numFmtId="0" fontId="46" fillId="7" borderId="28" xfId="5" applyFont="1" applyFill="1" applyBorder="1" applyAlignment="1" applyProtection="1">
      <alignment horizontal="center" vertical="center"/>
    </xf>
    <xf numFmtId="0" fontId="46" fillId="7" borderId="29" xfId="5" applyFont="1" applyFill="1" applyBorder="1" applyAlignment="1" applyProtection="1">
      <alignment horizontal="center" vertical="center"/>
    </xf>
    <xf numFmtId="0" fontId="31" fillId="2" borderId="5" xfId="0" applyFont="1" applyFill="1" applyBorder="1" applyAlignment="1">
      <alignment horizontal="center" vertical="center"/>
    </xf>
    <xf numFmtId="0" fontId="31" fillId="2" borderId="6" xfId="0" applyFont="1" applyFill="1" applyBorder="1" applyAlignment="1">
      <alignment horizontal="center" vertical="center"/>
    </xf>
    <xf numFmtId="0" fontId="31" fillId="2" borderId="7" xfId="0" applyFont="1" applyFill="1" applyBorder="1" applyAlignment="1">
      <alignment horizontal="center" vertical="center"/>
    </xf>
    <xf numFmtId="0" fontId="31" fillId="2" borderId="11" xfId="0" applyFont="1" applyFill="1" applyBorder="1" applyAlignment="1">
      <alignment horizontal="center" vertical="center"/>
    </xf>
    <xf numFmtId="0" fontId="31" fillId="2" borderId="0" xfId="0" applyFont="1" applyFill="1" applyBorder="1" applyAlignment="1">
      <alignment horizontal="center" vertical="center"/>
    </xf>
    <xf numFmtId="0" fontId="31" fillId="2" borderId="12" xfId="0" applyFont="1" applyFill="1" applyBorder="1" applyAlignment="1">
      <alignment horizontal="center" vertical="center"/>
    </xf>
    <xf numFmtId="0" fontId="31" fillId="2" borderId="8" xfId="0" applyFont="1" applyFill="1" applyBorder="1" applyAlignment="1">
      <alignment horizontal="center" vertical="center"/>
    </xf>
    <xf numFmtId="0" fontId="31" fillId="2" borderId="9" xfId="0" applyFont="1" applyFill="1" applyBorder="1" applyAlignment="1">
      <alignment horizontal="center" vertical="center"/>
    </xf>
    <xf numFmtId="0" fontId="31" fillId="2" borderId="10" xfId="0" applyFont="1" applyFill="1" applyBorder="1" applyAlignment="1">
      <alignment horizontal="center" vertical="center"/>
    </xf>
    <xf numFmtId="0" fontId="14" fillId="0" borderId="22" xfId="0" applyFont="1" applyBorder="1" applyAlignment="1" applyProtection="1">
      <alignment horizontal="center" vertical="center" readingOrder="2"/>
    </xf>
    <xf numFmtId="0" fontId="14" fillId="0" borderId="24" xfId="0" applyFont="1" applyBorder="1" applyAlignment="1" applyProtection="1">
      <alignment horizontal="center" vertical="center" readingOrder="2"/>
    </xf>
    <xf numFmtId="0" fontId="14" fillId="0" borderId="22" xfId="0" applyFont="1" applyBorder="1" applyAlignment="1">
      <alignment horizontal="center" vertical="center" readingOrder="2"/>
    </xf>
    <xf numFmtId="0" fontId="14" fillId="0" borderId="24" xfId="0" applyFont="1" applyBorder="1" applyAlignment="1">
      <alignment horizontal="center" vertical="center" readingOrder="2"/>
    </xf>
    <xf numFmtId="0" fontId="12" fillId="2" borderId="22" xfId="0" applyFont="1" applyFill="1" applyBorder="1" applyAlignment="1" applyProtection="1">
      <alignment horizontal="center" vertical="center"/>
    </xf>
    <xf numFmtId="0" fontId="12" fillId="2" borderId="24" xfId="0" applyFont="1" applyFill="1" applyBorder="1" applyAlignment="1" applyProtection="1">
      <alignment horizontal="center" vertical="center"/>
    </xf>
    <xf numFmtId="0" fontId="12" fillId="26" borderId="1" xfId="0" applyFont="1" applyFill="1" applyBorder="1" applyAlignment="1">
      <alignment horizontal="center" vertical="center" wrapText="1"/>
    </xf>
    <xf numFmtId="0" fontId="4" fillId="2" borderId="22" xfId="0" applyFont="1" applyFill="1" applyBorder="1" applyAlignment="1">
      <alignment horizontal="center" vertical="center"/>
    </xf>
    <xf numFmtId="0" fontId="4" fillId="2" borderId="24" xfId="0" applyFont="1" applyFill="1" applyBorder="1" applyAlignment="1">
      <alignment horizontal="center" vertical="center"/>
    </xf>
    <xf numFmtId="0" fontId="12" fillId="2" borderId="1" xfId="0" applyFont="1" applyFill="1" applyBorder="1" applyAlignment="1">
      <alignment horizontal="center" vertical="center" readingOrder="2"/>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2" fillId="2" borderId="22" xfId="0" applyFont="1" applyFill="1" applyBorder="1" applyAlignment="1">
      <alignment horizontal="center" vertical="center" wrapText="1"/>
    </xf>
    <xf numFmtId="0" fontId="12" fillId="2" borderId="24" xfId="0" applyFont="1" applyFill="1" applyBorder="1" applyAlignment="1">
      <alignment horizontal="center" vertical="center" wrapText="1"/>
    </xf>
    <xf numFmtId="0" fontId="12" fillId="11" borderId="22" xfId="0" applyFont="1" applyFill="1" applyBorder="1" applyAlignment="1">
      <alignment horizontal="center" vertical="center"/>
    </xf>
    <xf numFmtId="0" fontId="12" fillId="11" borderId="24" xfId="0" applyFont="1" applyFill="1" applyBorder="1" applyAlignment="1">
      <alignment horizontal="center" vertical="center"/>
    </xf>
    <xf numFmtId="0" fontId="12" fillId="3" borderId="0" xfId="0" applyFont="1" applyFill="1" applyAlignment="1">
      <alignment horizontal="center" vertical="center"/>
    </xf>
    <xf numFmtId="0" fontId="12" fillId="11" borderId="22" xfId="0" applyFont="1" applyFill="1" applyBorder="1" applyAlignment="1">
      <alignment horizontal="center" vertical="center" wrapText="1"/>
    </xf>
    <xf numFmtId="0" fontId="12" fillId="11" borderId="24" xfId="0" applyFont="1" applyFill="1" applyBorder="1" applyAlignment="1">
      <alignment horizontal="center" vertical="center" wrapText="1"/>
    </xf>
    <xf numFmtId="9" fontId="12" fillId="2" borderId="3" xfId="2" applyFont="1" applyFill="1" applyBorder="1" applyAlignment="1" applyProtection="1">
      <alignment horizontal="center" vertical="center"/>
    </xf>
    <xf numFmtId="9" fontId="12" fillId="2" borderId="26" xfId="2" applyFont="1" applyFill="1" applyBorder="1" applyAlignment="1" applyProtection="1">
      <alignment horizontal="center" vertical="center"/>
    </xf>
    <xf numFmtId="178" fontId="12" fillId="2" borderId="3" xfId="1" applyNumberFormat="1" applyFont="1" applyFill="1" applyBorder="1" applyAlignment="1" applyProtection="1">
      <alignment horizontal="center" vertical="center"/>
    </xf>
    <xf numFmtId="178" fontId="12" fillId="2" borderId="26" xfId="1" applyNumberFormat="1" applyFont="1" applyFill="1" applyBorder="1" applyAlignment="1" applyProtection="1">
      <alignment horizontal="center" vertical="center"/>
    </xf>
    <xf numFmtId="0" fontId="12" fillId="2" borderId="1" xfId="0" applyFont="1" applyFill="1" applyBorder="1" applyAlignment="1" applyProtection="1">
      <alignment horizontal="center" vertical="center"/>
    </xf>
    <xf numFmtId="0" fontId="12" fillId="3" borderId="3" xfId="0" applyFont="1" applyFill="1" applyBorder="1" applyAlignment="1" applyProtection="1">
      <alignment horizontal="center" vertical="center" wrapText="1"/>
    </xf>
    <xf numFmtId="0" fontId="12" fillId="3" borderId="25" xfId="0" applyFont="1" applyFill="1" applyBorder="1" applyAlignment="1" applyProtection="1">
      <alignment horizontal="center" vertical="center" wrapText="1"/>
    </xf>
    <xf numFmtId="0" fontId="12" fillId="3" borderId="26" xfId="0" applyFont="1" applyFill="1" applyBorder="1" applyAlignment="1" applyProtection="1">
      <alignment horizontal="center" vertical="center" wrapText="1"/>
    </xf>
    <xf numFmtId="165" fontId="12" fillId="3" borderId="3" xfId="1" applyNumberFormat="1" applyFont="1" applyFill="1" applyBorder="1" applyAlignment="1" applyProtection="1">
      <alignment horizontal="center" vertical="center"/>
    </xf>
    <xf numFmtId="165" fontId="12" fillId="3" borderId="25" xfId="1" applyNumberFormat="1" applyFont="1" applyFill="1" applyBorder="1" applyAlignment="1" applyProtection="1">
      <alignment horizontal="center" vertical="center"/>
    </xf>
    <xf numFmtId="165" fontId="12" fillId="3" borderId="26" xfId="1" applyNumberFormat="1" applyFont="1" applyFill="1" applyBorder="1" applyAlignment="1" applyProtection="1">
      <alignment horizontal="center" vertical="center"/>
    </xf>
    <xf numFmtId="0" fontId="12" fillId="0" borderId="3" xfId="0" applyFont="1" applyBorder="1" applyAlignment="1" applyProtection="1">
      <alignment horizontal="center" vertical="center" wrapText="1"/>
    </xf>
    <xf numFmtId="0" fontId="12" fillId="0" borderId="25" xfId="0" applyFont="1" applyBorder="1" applyAlignment="1" applyProtection="1">
      <alignment horizontal="center" vertical="center" wrapText="1"/>
    </xf>
    <xf numFmtId="0" fontId="12" fillId="0" borderId="26" xfId="0" applyFont="1" applyBorder="1" applyAlignment="1" applyProtection="1">
      <alignment horizontal="center" vertical="center" wrapText="1"/>
    </xf>
    <xf numFmtId="178" fontId="12" fillId="2" borderId="1" xfId="1" applyNumberFormat="1" applyFont="1" applyFill="1" applyBorder="1" applyAlignment="1" applyProtection="1">
      <alignment horizontal="center" vertical="center"/>
    </xf>
    <xf numFmtId="9" fontId="12" fillId="2" borderId="1" xfId="2" applyFont="1" applyFill="1" applyBorder="1" applyAlignment="1" applyProtection="1">
      <alignment horizontal="center" vertical="center"/>
    </xf>
    <xf numFmtId="0" fontId="45" fillId="7" borderId="28" xfId="5" applyFont="1" applyFill="1" applyBorder="1" applyAlignment="1" applyProtection="1">
      <alignment horizontal="center" vertical="center"/>
    </xf>
    <xf numFmtId="0" fontId="45" fillId="7" borderId="29" xfId="5" applyFont="1" applyFill="1" applyBorder="1" applyAlignment="1" applyProtection="1">
      <alignment horizontal="center" vertical="center"/>
    </xf>
    <xf numFmtId="0" fontId="12" fillId="3" borderId="3" xfId="0" applyFont="1" applyFill="1" applyBorder="1" applyAlignment="1" applyProtection="1">
      <alignment horizontal="center" vertical="center"/>
    </xf>
    <xf numFmtId="0" fontId="12" fillId="3" borderId="25" xfId="0" applyFont="1" applyFill="1" applyBorder="1" applyAlignment="1" applyProtection="1">
      <alignment horizontal="center" vertical="center"/>
    </xf>
    <xf numFmtId="0" fontId="12" fillId="3" borderId="26" xfId="0" applyFont="1" applyFill="1" applyBorder="1" applyAlignment="1" applyProtection="1">
      <alignment horizontal="center" vertical="center"/>
    </xf>
    <xf numFmtId="0" fontId="12" fillId="3" borderId="1" xfId="0" applyFont="1" applyFill="1" applyBorder="1" applyAlignment="1" applyProtection="1">
      <alignment horizontal="center" vertical="center"/>
    </xf>
    <xf numFmtId="0" fontId="31" fillId="2" borderId="5" xfId="0" applyFont="1" applyFill="1" applyBorder="1" applyAlignment="1" applyProtection="1">
      <alignment horizontal="center" vertical="center"/>
    </xf>
    <xf numFmtId="0" fontId="31" fillId="2" borderId="6" xfId="0" applyFont="1" applyFill="1" applyBorder="1" applyAlignment="1" applyProtection="1">
      <alignment horizontal="center" vertical="center"/>
    </xf>
    <xf numFmtId="0" fontId="31" fillId="2" borderId="7" xfId="0" applyFont="1" applyFill="1" applyBorder="1" applyAlignment="1" applyProtection="1">
      <alignment horizontal="center" vertical="center"/>
    </xf>
    <xf numFmtId="0" fontId="31" fillId="2" borderId="11" xfId="0" applyFont="1" applyFill="1" applyBorder="1" applyAlignment="1" applyProtection="1">
      <alignment horizontal="center" vertical="center"/>
    </xf>
    <xf numFmtId="0" fontId="31" fillId="2" borderId="0" xfId="0" applyFont="1" applyFill="1" applyBorder="1" applyAlignment="1" applyProtection="1">
      <alignment horizontal="center" vertical="center"/>
    </xf>
    <xf numFmtId="0" fontId="31" fillId="2" borderId="12" xfId="0" applyFont="1" applyFill="1" applyBorder="1" applyAlignment="1" applyProtection="1">
      <alignment horizontal="center" vertical="center"/>
    </xf>
    <xf numFmtId="0" fontId="31" fillId="2" borderId="8" xfId="0" applyFont="1" applyFill="1" applyBorder="1" applyAlignment="1" applyProtection="1">
      <alignment horizontal="center" vertical="center"/>
    </xf>
    <xf numFmtId="0" fontId="31" fillId="2" borderId="9" xfId="0" applyFont="1" applyFill="1" applyBorder="1" applyAlignment="1" applyProtection="1">
      <alignment horizontal="center" vertical="center"/>
    </xf>
    <xf numFmtId="0" fontId="31" fillId="2" borderId="10" xfId="0" applyFont="1" applyFill="1" applyBorder="1" applyAlignment="1" applyProtection="1">
      <alignment horizontal="center" vertical="center"/>
    </xf>
    <xf numFmtId="0" fontId="14" fillId="3" borderId="22" xfId="0" applyFont="1" applyFill="1" applyBorder="1" applyAlignment="1" applyProtection="1">
      <alignment horizontal="center" vertical="center" readingOrder="2"/>
    </xf>
    <xf numFmtId="0" fontId="14" fillId="3" borderId="24" xfId="0" applyFont="1" applyFill="1" applyBorder="1" applyAlignment="1" applyProtection="1">
      <alignment horizontal="center" vertical="center" readingOrder="2"/>
    </xf>
    <xf numFmtId="0" fontId="12" fillId="2" borderId="22" xfId="0" applyFont="1" applyFill="1" applyBorder="1" applyAlignment="1" applyProtection="1">
      <alignment horizontal="center" vertical="center" wrapText="1"/>
    </xf>
    <xf numFmtId="0" fontId="12" fillId="2" borderId="24" xfId="0" applyFont="1" applyFill="1" applyBorder="1" applyAlignment="1" applyProtection="1">
      <alignment horizontal="center" vertical="center" wrapText="1"/>
    </xf>
    <xf numFmtId="0" fontId="12" fillId="2" borderId="25" xfId="0" applyFont="1" applyFill="1" applyBorder="1" applyAlignment="1" applyProtection="1">
      <alignment horizontal="center" vertical="center" wrapText="1"/>
    </xf>
    <xf numFmtId="0" fontId="12" fillId="2" borderId="26" xfId="0" applyFont="1" applyFill="1" applyBorder="1" applyAlignment="1" applyProtection="1">
      <alignment horizontal="center" vertical="center" wrapText="1"/>
    </xf>
    <xf numFmtId="0" fontId="12" fillId="2" borderId="16" xfId="0" applyFont="1" applyFill="1" applyBorder="1" applyAlignment="1" applyProtection="1">
      <alignment horizontal="center" vertical="center"/>
    </xf>
    <xf numFmtId="0" fontId="12" fillId="2" borderId="27" xfId="0" applyFont="1" applyFill="1" applyBorder="1" applyAlignment="1" applyProtection="1">
      <alignment horizontal="center" vertical="center"/>
    </xf>
    <xf numFmtId="0" fontId="12" fillId="2" borderId="20" xfId="0" applyFont="1" applyFill="1" applyBorder="1" applyAlignment="1" applyProtection="1">
      <alignment horizontal="center" vertical="center"/>
    </xf>
    <xf numFmtId="0" fontId="12" fillId="2" borderId="21" xfId="0" applyFont="1" applyFill="1" applyBorder="1" applyAlignment="1" applyProtection="1">
      <alignment horizontal="center" vertical="center"/>
    </xf>
    <xf numFmtId="0" fontId="12" fillId="2" borderId="1" xfId="0" applyFont="1" applyFill="1" applyBorder="1" applyAlignment="1" applyProtection="1">
      <alignment horizontal="center" vertical="center" wrapText="1"/>
    </xf>
    <xf numFmtId="0" fontId="12" fillId="2" borderId="3" xfId="0" applyFont="1" applyFill="1" applyBorder="1" applyAlignment="1" applyProtection="1">
      <alignment horizontal="center" vertical="center" wrapText="1"/>
    </xf>
    <xf numFmtId="0" fontId="12" fillId="2" borderId="3" xfId="0" applyFont="1" applyFill="1" applyBorder="1" applyAlignment="1" applyProtection="1">
      <alignment horizontal="center" vertical="center"/>
    </xf>
    <xf numFmtId="0" fontId="12" fillId="2" borderId="26" xfId="0" applyFont="1" applyFill="1" applyBorder="1" applyAlignment="1" applyProtection="1">
      <alignment horizontal="center" vertical="center"/>
    </xf>
    <xf numFmtId="0" fontId="12" fillId="2" borderId="25" xfId="0" applyFont="1" applyFill="1" applyBorder="1" applyAlignment="1" applyProtection="1">
      <alignment horizontal="center" vertical="center"/>
    </xf>
    <xf numFmtId="0" fontId="12" fillId="2" borderId="17" xfId="0" applyFont="1" applyFill="1" applyBorder="1" applyAlignment="1" applyProtection="1">
      <alignment horizontal="center" vertical="center"/>
    </xf>
    <xf numFmtId="0" fontId="12" fillId="2" borderId="19" xfId="0" applyFont="1" applyFill="1" applyBorder="1" applyAlignment="1" applyProtection="1">
      <alignment horizontal="center" vertical="center"/>
    </xf>
    <xf numFmtId="0" fontId="29" fillId="2" borderId="1" xfId="0" applyFont="1" applyFill="1" applyBorder="1" applyAlignment="1" applyProtection="1">
      <alignment horizontal="center" vertical="center"/>
    </xf>
    <xf numFmtId="0" fontId="14" fillId="3" borderId="22" xfId="0" applyFont="1" applyFill="1" applyBorder="1" applyAlignment="1" applyProtection="1">
      <alignment horizontal="center" vertical="center"/>
    </xf>
    <xf numFmtId="165" fontId="14" fillId="4" borderId="22" xfId="1" applyNumberFormat="1" applyFont="1" applyFill="1" applyBorder="1" applyAlignment="1" applyProtection="1">
      <alignment horizontal="center" vertical="center"/>
    </xf>
    <xf numFmtId="165" fontId="14" fillId="4" borderId="24" xfId="1" applyNumberFormat="1" applyFont="1" applyFill="1" applyBorder="1" applyAlignment="1" applyProtection="1">
      <alignment horizontal="center" vertical="center"/>
    </xf>
    <xf numFmtId="165" fontId="14" fillId="4" borderId="1" xfId="1" applyNumberFormat="1" applyFont="1" applyFill="1" applyBorder="1" applyAlignment="1" applyProtection="1">
      <alignment horizontal="center" vertical="center"/>
    </xf>
    <xf numFmtId="0" fontId="12" fillId="2" borderId="23" xfId="0" applyFont="1" applyFill="1" applyBorder="1" applyAlignment="1" applyProtection="1">
      <alignment horizontal="center" vertical="center"/>
    </xf>
    <xf numFmtId="165" fontId="14" fillId="4" borderId="22" xfId="0" applyNumberFormat="1" applyFont="1" applyFill="1" applyBorder="1" applyAlignment="1" applyProtection="1">
      <alignment horizontal="center" vertical="center"/>
    </xf>
    <xf numFmtId="165" fontId="14" fillId="4" borderId="24" xfId="0" applyNumberFormat="1" applyFont="1" applyFill="1" applyBorder="1" applyAlignment="1" applyProtection="1">
      <alignment horizontal="center" vertical="center"/>
    </xf>
    <xf numFmtId="0" fontId="14" fillId="3" borderId="1" xfId="0" applyFont="1" applyFill="1" applyBorder="1" applyAlignment="1" applyProtection="1">
      <alignment horizontal="center" vertical="center"/>
    </xf>
    <xf numFmtId="0" fontId="14" fillId="6" borderId="22" xfId="0" applyFont="1" applyFill="1" applyBorder="1" applyAlignment="1" applyProtection="1">
      <alignment horizontal="center" vertical="center"/>
    </xf>
    <xf numFmtId="0" fontId="14" fillId="6" borderId="24" xfId="0" applyFont="1" applyFill="1" applyBorder="1" applyAlignment="1" applyProtection="1">
      <alignment horizontal="center" vertical="center"/>
    </xf>
    <xf numFmtId="0" fontId="12" fillId="2" borderId="23" xfId="0" applyFont="1" applyFill="1" applyBorder="1" applyAlignment="1" applyProtection="1">
      <alignment horizontal="center" vertical="center" wrapText="1"/>
    </xf>
    <xf numFmtId="171" fontId="12" fillId="2" borderId="22" xfId="1" applyNumberFormat="1" applyFont="1" applyFill="1" applyBorder="1" applyAlignment="1" applyProtection="1">
      <alignment horizontal="center" vertical="center"/>
    </xf>
    <xf numFmtId="171" fontId="12" fillId="2" borderId="24" xfId="1" applyNumberFormat="1" applyFont="1" applyFill="1" applyBorder="1" applyAlignment="1" applyProtection="1">
      <alignment horizontal="center" vertical="center"/>
    </xf>
    <xf numFmtId="165" fontId="4" fillId="2" borderId="22" xfId="0" applyNumberFormat="1" applyFont="1" applyFill="1" applyBorder="1" applyAlignment="1" applyProtection="1">
      <alignment horizontal="center" vertical="center"/>
    </xf>
    <xf numFmtId="165" fontId="4" fillId="2" borderId="24" xfId="0" applyNumberFormat="1" applyFont="1" applyFill="1" applyBorder="1" applyAlignment="1" applyProtection="1">
      <alignment horizontal="center" vertical="center"/>
    </xf>
    <xf numFmtId="165" fontId="12" fillId="2" borderId="22" xfId="0" applyNumberFormat="1" applyFont="1" applyFill="1" applyBorder="1" applyAlignment="1" applyProtection="1">
      <alignment horizontal="center" vertical="center"/>
    </xf>
    <xf numFmtId="165" fontId="12" fillId="2" borderId="24" xfId="0" applyNumberFormat="1" applyFont="1" applyFill="1" applyBorder="1" applyAlignment="1" applyProtection="1">
      <alignment horizontal="center" vertical="center"/>
    </xf>
    <xf numFmtId="0" fontId="12" fillId="2" borderId="17" xfId="0" applyFont="1" applyFill="1" applyBorder="1" applyAlignment="1" applyProtection="1">
      <alignment horizontal="center" vertical="center" wrapText="1"/>
    </xf>
    <xf numFmtId="0" fontId="12" fillId="2" borderId="19" xfId="0" applyFont="1" applyFill="1" applyBorder="1" applyAlignment="1" applyProtection="1">
      <alignment horizontal="center" vertical="center" wrapText="1"/>
    </xf>
    <xf numFmtId="0" fontId="12" fillId="2" borderId="20" xfId="0" applyFont="1" applyFill="1" applyBorder="1" applyAlignment="1" applyProtection="1">
      <alignment horizontal="center" vertical="center" wrapText="1"/>
    </xf>
    <xf numFmtId="0" fontId="12" fillId="2" borderId="21" xfId="0" applyFont="1" applyFill="1" applyBorder="1" applyAlignment="1" applyProtection="1">
      <alignment horizontal="center" vertical="center" wrapText="1"/>
    </xf>
    <xf numFmtId="0" fontId="4" fillId="3" borderId="0" xfId="0" applyFont="1" applyFill="1" applyBorder="1" applyAlignment="1">
      <alignment horizontal="center" vertical="center"/>
    </xf>
    <xf numFmtId="0" fontId="4" fillId="3" borderId="0" xfId="0" applyFont="1" applyFill="1" applyBorder="1" applyAlignment="1">
      <alignment horizontal="center" vertical="center" wrapText="1"/>
    </xf>
    <xf numFmtId="165" fontId="14" fillId="7" borderId="3" xfId="0" applyNumberFormat="1" applyFont="1" applyFill="1" applyBorder="1" applyAlignment="1" applyProtection="1">
      <alignment horizontal="center" vertical="center"/>
    </xf>
    <xf numFmtId="165" fontId="14" fillId="7" borderId="25" xfId="0" applyNumberFormat="1" applyFont="1" applyFill="1" applyBorder="1" applyAlignment="1" applyProtection="1">
      <alignment horizontal="center" vertical="center"/>
    </xf>
    <xf numFmtId="165" fontId="14" fillId="7" borderId="26" xfId="0" applyNumberFormat="1" applyFont="1" applyFill="1" applyBorder="1" applyAlignment="1" applyProtection="1">
      <alignment horizontal="center" vertical="center"/>
    </xf>
    <xf numFmtId="0" fontId="12" fillId="2" borderId="18" xfId="0" applyFont="1" applyFill="1" applyBorder="1" applyAlignment="1" applyProtection="1">
      <alignment horizontal="center" vertical="center"/>
    </xf>
    <xf numFmtId="0" fontId="12" fillId="2" borderId="2" xfId="0" applyFont="1" applyFill="1" applyBorder="1" applyAlignment="1" applyProtection="1">
      <alignment horizontal="center" vertical="center"/>
    </xf>
    <xf numFmtId="0" fontId="14" fillId="18" borderId="16" xfId="0" applyFont="1" applyFill="1" applyBorder="1" applyAlignment="1">
      <alignment horizontal="left" vertical="center" wrapText="1"/>
    </xf>
    <xf numFmtId="0" fontId="14" fillId="18" borderId="0" xfId="0" applyFont="1" applyFill="1" applyBorder="1" applyAlignment="1">
      <alignment horizontal="left" vertical="center" wrapText="1"/>
    </xf>
    <xf numFmtId="0" fontId="14" fillId="18" borderId="27" xfId="0" applyFont="1" applyFill="1" applyBorder="1" applyAlignment="1">
      <alignment horizontal="left" vertical="center" wrapText="1"/>
    </xf>
    <xf numFmtId="0" fontId="14" fillId="18" borderId="16" xfId="0" applyFont="1" applyFill="1" applyBorder="1" applyAlignment="1">
      <alignment horizontal="left" vertical="center" wrapText="1" readingOrder="1"/>
    </xf>
    <xf numFmtId="0" fontId="14" fillId="18" borderId="0" xfId="0" applyFont="1" applyFill="1" applyBorder="1" applyAlignment="1">
      <alignment horizontal="left" vertical="center" wrapText="1" readingOrder="1"/>
    </xf>
    <xf numFmtId="0" fontId="14" fillId="18" borderId="27" xfId="0" applyFont="1" applyFill="1" applyBorder="1" applyAlignment="1">
      <alignment horizontal="left" vertical="center" wrapText="1" readingOrder="1"/>
    </xf>
    <xf numFmtId="0" fontId="14" fillId="18" borderId="20" xfId="0" applyFont="1" applyFill="1" applyBorder="1" applyAlignment="1">
      <alignment horizontal="left" vertical="center" wrapText="1" readingOrder="1"/>
    </xf>
    <xf numFmtId="0" fontId="14" fillId="18" borderId="2" xfId="0" applyFont="1" applyFill="1" applyBorder="1" applyAlignment="1">
      <alignment horizontal="left" vertical="center" wrapText="1" readingOrder="1"/>
    </xf>
    <xf numFmtId="0" fontId="14" fillId="18" borderId="21" xfId="0" applyFont="1" applyFill="1" applyBorder="1" applyAlignment="1">
      <alignment horizontal="left" vertical="center" wrapText="1" readingOrder="1"/>
    </xf>
    <xf numFmtId="0" fontId="12" fillId="2" borderId="17" xfId="0" applyFont="1" applyFill="1" applyBorder="1" applyAlignment="1" applyProtection="1">
      <alignment horizontal="center" vertical="center" readingOrder="1"/>
    </xf>
    <xf numFmtId="0" fontId="12" fillId="2" borderId="20" xfId="0" applyFont="1" applyFill="1" applyBorder="1" applyAlignment="1" applyProtection="1">
      <alignment horizontal="center" vertical="center" readingOrder="1"/>
    </xf>
    <xf numFmtId="0" fontId="12" fillId="2" borderId="3" xfId="0" applyFont="1" applyFill="1" applyBorder="1" applyAlignment="1" applyProtection="1">
      <alignment horizontal="center" vertical="center" readingOrder="1"/>
    </xf>
    <xf numFmtId="0" fontId="12" fillId="2" borderId="26" xfId="0" applyFont="1" applyFill="1" applyBorder="1" applyAlignment="1" applyProtection="1">
      <alignment horizontal="center" vertical="center" readingOrder="1"/>
    </xf>
    <xf numFmtId="0" fontId="12" fillId="2" borderId="3" xfId="0" applyFont="1" applyFill="1" applyBorder="1" applyAlignment="1" applyProtection="1">
      <alignment horizontal="center" vertical="center" wrapText="1" readingOrder="1"/>
    </xf>
    <xf numFmtId="0" fontId="12" fillId="2" borderId="25" xfId="0" applyFont="1" applyFill="1" applyBorder="1" applyAlignment="1" applyProtection="1">
      <alignment horizontal="center" vertical="center" wrapText="1" readingOrder="1"/>
    </xf>
    <xf numFmtId="0" fontId="12" fillId="2" borderId="26" xfId="0" applyFont="1" applyFill="1" applyBorder="1" applyAlignment="1" applyProtection="1">
      <alignment horizontal="center" vertical="center" wrapText="1" readingOrder="1"/>
    </xf>
    <xf numFmtId="0" fontId="12" fillId="2" borderId="23" xfId="0" applyFont="1" applyFill="1" applyBorder="1" applyAlignment="1" applyProtection="1">
      <alignment horizontal="center" vertical="center" readingOrder="1"/>
    </xf>
    <xf numFmtId="0" fontId="12" fillId="2" borderId="24" xfId="0" applyFont="1" applyFill="1" applyBorder="1" applyAlignment="1" applyProtection="1">
      <alignment horizontal="center" vertical="center" readingOrder="1"/>
    </xf>
    <xf numFmtId="0" fontId="14" fillId="6" borderId="23" xfId="0" applyFont="1" applyFill="1" applyBorder="1" applyAlignment="1" applyProtection="1">
      <alignment horizontal="center" vertical="center" readingOrder="1"/>
    </xf>
    <xf numFmtId="0" fontId="14" fillId="6" borderId="24" xfId="0" applyFont="1" applyFill="1" applyBorder="1" applyAlignment="1" applyProtection="1">
      <alignment horizontal="center" vertical="center" readingOrder="1"/>
    </xf>
    <xf numFmtId="0" fontId="29" fillId="2" borderId="17" xfId="0" applyFont="1" applyFill="1" applyBorder="1" applyAlignment="1" applyProtection="1">
      <alignment horizontal="center" vertical="center"/>
    </xf>
    <xf numFmtId="0" fontId="29" fillId="2" borderId="18" xfId="0" applyFont="1" applyFill="1" applyBorder="1" applyAlignment="1" applyProtection="1">
      <alignment horizontal="center" vertical="center"/>
    </xf>
    <xf numFmtId="0" fontId="29" fillId="2" borderId="19" xfId="0" applyFont="1" applyFill="1" applyBorder="1" applyAlignment="1" applyProtection="1">
      <alignment horizontal="center" vertical="center"/>
    </xf>
    <xf numFmtId="0" fontId="12" fillId="2" borderId="1" xfId="0" applyFont="1" applyFill="1" applyBorder="1" applyAlignment="1" applyProtection="1">
      <alignment horizontal="center" vertical="center" readingOrder="2"/>
    </xf>
    <xf numFmtId="0" fontId="5" fillId="0" borderId="3" xfId="0" applyFont="1" applyBorder="1" applyAlignment="1" applyProtection="1">
      <alignment horizontal="center" vertical="center"/>
    </xf>
    <xf numFmtId="0" fontId="5" fillId="0" borderId="26" xfId="0" applyFont="1" applyBorder="1" applyAlignment="1" applyProtection="1">
      <alignment horizontal="center" vertical="center"/>
    </xf>
    <xf numFmtId="0" fontId="14" fillId="3" borderId="3" xfId="0" applyFont="1" applyFill="1" applyBorder="1" applyAlignment="1" applyProtection="1">
      <alignment horizontal="center" vertical="center"/>
    </xf>
    <xf numFmtId="0" fontId="14" fillId="3" borderId="26" xfId="0" applyFont="1" applyFill="1" applyBorder="1" applyAlignment="1" applyProtection="1">
      <alignment horizontal="center" vertical="center"/>
    </xf>
    <xf numFmtId="177" fontId="32" fillId="9" borderId="17" xfId="1" applyNumberFormat="1" applyFont="1" applyFill="1" applyBorder="1" applyAlignment="1" applyProtection="1">
      <alignment horizontal="center" vertical="center"/>
    </xf>
    <xf numFmtId="177" fontId="32" fillId="9" borderId="19" xfId="1" applyNumberFormat="1" applyFont="1" applyFill="1" applyBorder="1" applyAlignment="1" applyProtection="1">
      <alignment horizontal="center" vertical="center"/>
    </xf>
    <xf numFmtId="177" fontId="32" fillId="9" borderId="20" xfId="1" applyNumberFormat="1" applyFont="1" applyFill="1" applyBorder="1" applyAlignment="1" applyProtection="1">
      <alignment horizontal="center" vertical="center"/>
    </xf>
    <xf numFmtId="177" fontId="32" fillId="9" borderId="21" xfId="1" applyNumberFormat="1" applyFont="1" applyFill="1" applyBorder="1" applyAlignment="1" applyProtection="1">
      <alignment horizontal="center" vertical="center"/>
    </xf>
    <xf numFmtId="0" fontId="12" fillId="10" borderId="17" xfId="0" applyFont="1" applyFill="1" applyBorder="1" applyAlignment="1" applyProtection="1">
      <alignment horizontal="center" vertical="center"/>
    </xf>
    <xf numFmtId="0" fontId="12" fillId="10" borderId="18" xfId="0" applyFont="1" applyFill="1" applyBorder="1" applyAlignment="1" applyProtection="1">
      <alignment horizontal="center" vertical="center"/>
    </xf>
    <xf numFmtId="0" fontId="12" fillId="10" borderId="19" xfId="0" applyFont="1" applyFill="1" applyBorder="1" applyAlignment="1" applyProtection="1">
      <alignment horizontal="center" vertical="center"/>
    </xf>
    <xf numFmtId="0" fontId="12" fillId="10" borderId="20" xfId="0" applyFont="1" applyFill="1" applyBorder="1" applyAlignment="1" applyProtection="1">
      <alignment horizontal="center" vertical="center"/>
    </xf>
    <xf numFmtId="0" fontId="12" fillId="10" borderId="2" xfId="0" applyFont="1" applyFill="1" applyBorder="1" applyAlignment="1" applyProtection="1">
      <alignment horizontal="center" vertical="center"/>
    </xf>
    <xf numFmtId="0" fontId="12" fillId="10" borderId="21" xfId="0" applyFont="1" applyFill="1" applyBorder="1" applyAlignment="1" applyProtection="1">
      <alignment horizontal="center" vertical="center"/>
    </xf>
    <xf numFmtId="0" fontId="12" fillId="10" borderId="22" xfId="0" applyFont="1" applyFill="1" applyBorder="1" applyAlignment="1" applyProtection="1">
      <alignment horizontal="center" vertical="center"/>
    </xf>
    <xf numFmtId="0" fontId="12" fillId="10" borderId="23" xfId="0" applyFont="1" applyFill="1" applyBorder="1" applyAlignment="1" applyProtection="1">
      <alignment horizontal="center" vertical="center"/>
    </xf>
    <xf numFmtId="0" fontId="12" fillId="10" borderId="24" xfId="0" applyFont="1" applyFill="1" applyBorder="1" applyAlignment="1" applyProtection="1">
      <alignment horizontal="center" vertical="center"/>
    </xf>
    <xf numFmtId="0" fontId="12" fillId="9" borderId="22" xfId="0" applyFont="1" applyFill="1" applyBorder="1" applyAlignment="1" applyProtection="1">
      <alignment horizontal="center" vertical="center"/>
    </xf>
    <xf numFmtId="0" fontId="12" fillId="9" borderId="23" xfId="0" applyFont="1" applyFill="1" applyBorder="1" applyAlignment="1" applyProtection="1">
      <alignment horizontal="center" vertical="center"/>
    </xf>
    <xf numFmtId="0" fontId="12" fillId="9" borderId="24" xfId="0" applyFont="1" applyFill="1" applyBorder="1" applyAlignment="1" applyProtection="1">
      <alignment horizontal="center" vertical="center"/>
    </xf>
    <xf numFmtId="0" fontId="5" fillId="0" borderId="25" xfId="0" applyFont="1" applyBorder="1" applyAlignment="1" applyProtection="1">
      <alignment horizontal="center" vertical="center"/>
    </xf>
    <xf numFmtId="0" fontId="14" fillId="3" borderId="25" xfId="0" applyFont="1" applyFill="1" applyBorder="1" applyAlignment="1" applyProtection="1">
      <alignment horizontal="center" vertical="center"/>
    </xf>
    <xf numFmtId="165" fontId="14" fillId="10" borderId="3" xfId="1" applyNumberFormat="1" applyFont="1" applyFill="1" applyBorder="1" applyAlignment="1" applyProtection="1">
      <alignment horizontal="center" vertical="center"/>
    </xf>
    <xf numFmtId="165" fontId="14" fillId="10" borderId="26" xfId="1" applyNumberFormat="1" applyFont="1" applyFill="1" applyBorder="1" applyAlignment="1" applyProtection="1">
      <alignment horizontal="center" vertical="center"/>
    </xf>
    <xf numFmtId="165" fontId="14" fillId="9" borderId="3" xfId="1" applyNumberFormat="1" applyFont="1" applyFill="1" applyBorder="1" applyAlignment="1" applyProtection="1">
      <alignment horizontal="center" vertical="center"/>
    </xf>
    <xf numFmtId="165" fontId="14" fillId="9" borderId="26" xfId="1" applyNumberFormat="1" applyFont="1" applyFill="1" applyBorder="1" applyAlignment="1" applyProtection="1">
      <alignment horizontal="center" vertical="center"/>
    </xf>
    <xf numFmtId="165" fontId="14" fillId="10" borderId="25" xfId="1" applyNumberFormat="1" applyFont="1" applyFill="1" applyBorder="1" applyAlignment="1" applyProtection="1">
      <alignment horizontal="center" vertical="center"/>
    </xf>
    <xf numFmtId="165" fontId="14" fillId="9" borderId="25" xfId="1" applyNumberFormat="1" applyFont="1" applyFill="1" applyBorder="1" applyAlignment="1" applyProtection="1">
      <alignment horizontal="center" vertical="center"/>
    </xf>
    <xf numFmtId="0" fontId="14" fillId="18" borderId="20" xfId="0" applyFont="1" applyFill="1" applyBorder="1" applyAlignment="1" applyProtection="1">
      <alignment horizontal="left" vertical="center" wrapText="1" readingOrder="1"/>
    </xf>
    <xf numFmtId="0" fontId="14" fillId="18" borderId="2" xfId="0" applyFont="1" applyFill="1" applyBorder="1" applyAlignment="1" applyProtection="1">
      <alignment horizontal="left" vertical="center" wrapText="1" readingOrder="1"/>
    </xf>
    <xf numFmtId="0" fontId="14" fillId="18" borderId="21" xfId="0" applyFont="1" applyFill="1" applyBorder="1" applyAlignment="1" applyProtection="1">
      <alignment horizontal="left" vertical="center" wrapText="1" readingOrder="1"/>
    </xf>
    <xf numFmtId="0" fontId="12" fillId="9" borderId="1" xfId="0" applyFont="1" applyFill="1" applyBorder="1" applyAlignment="1" applyProtection="1">
      <alignment horizontal="center" vertical="center" wrapText="1"/>
    </xf>
    <xf numFmtId="0" fontId="12" fillId="10" borderId="1" xfId="0" applyFont="1" applyFill="1" applyBorder="1" applyAlignment="1" applyProtection="1">
      <alignment horizontal="center" vertical="center" wrapText="1"/>
    </xf>
    <xf numFmtId="0" fontId="12" fillId="30" borderId="1" xfId="0" applyFont="1" applyFill="1" applyBorder="1" applyAlignment="1" applyProtection="1">
      <alignment horizontal="center" vertical="center" wrapText="1"/>
    </xf>
    <xf numFmtId="165" fontId="5" fillId="30" borderId="3" xfId="1" applyNumberFormat="1" applyFont="1" applyFill="1" applyBorder="1" applyAlignment="1" applyProtection="1">
      <alignment horizontal="center" vertical="center"/>
    </xf>
    <xf numFmtId="165" fontId="5" fillId="30" borderId="26" xfId="1" applyNumberFormat="1" applyFont="1" applyFill="1" applyBorder="1" applyAlignment="1" applyProtection="1">
      <alignment horizontal="center" vertical="center"/>
    </xf>
    <xf numFmtId="165" fontId="14" fillId="30" borderId="3" xfId="1" applyNumberFormat="1" applyFont="1" applyFill="1" applyBorder="1" applyAlignment="1" applyProtection="1">
      <alignment horizontal="center" vertical="center"/>
    </xf>
    <xf numFmtId="165" fontId="14" fillId="30" borderId="26" xfId="1" applyNumberFormat="1" applyFont="1" applyFill="1" applyBorder="1" applyAlignment="1" applyProtection="1">
      <alignment horizontal="center" vertical="center"/>
    </xf>
    <xf numFmtId="165" fontId="14" fillId="30" borderId="25" xfId="1" applyNumberFormat="1" applyFont="1" applyFill="1" applyBorder="1" applyAlignment="1" applyProtection="1">
      <alignment horizontal="center" vertical="center"/>
    </xf>
    <xf numFmtId="165" fontId="5" fillId="10" borderId="3" xfId="1" applyNumberFormat="1" applyFont="1" applyFill="1" applyBorder="1" applyAlignment="1" applyProtection="1">
      <alignment horizontal="center" vertical="center"/>
    </xf>
    <xf numFmtId="165" fontId="5" fillId="10" borderId="26" xfId="1" applyNumberFormat="1" applyFont="1" applyFill="1" applyBorder="1" applyAlignment="1" applyProtection="1">
      <alignment horizontal="center" vertical="center"/>
    </xf>
    <xf numFmtId="0" fontId="14" fillId="13" borderId="3" xfId="0" applyFont="1" applyFill="1" applyBorder="1" applyAlignment="1" applyProtection="1">
      <alignment horizontal="center" vertical="center"/>
    </xf>
    <xf numFmtId="0" fontId="14" fillId="13" borderId="25" xfId="0" applyFont="1" applyFill="1" applyBorder="1" applyAlignment="1" applyProtection="1">
      <alignment horizontal="center" vertical="center"/>
    </xf>
    <xf numFmtId="0" fontId="14" fillId="13" borderId="26" xfId="0" applyFont="1" applyFill="1" applyBorder="1" applyAlignment="1" applyProtection="1">
      <alignment horizontal="center" vertical="center"/>
    </xf>
    <xf numFmtId="0" fontId="12" fillId="30" borderId="23" xfId="0" applyFont="1" applyFill="1" applyBorder="1" applyAlignment="1" applyProtection="1">
      <alignment horizontal="center" vertical="center"/>
    </xf>
    <xf numFmtId="0" fontId="12" fillId="30" borderId="24" xfId="0" applyFont="1" applyFill="1" applyBorder="1" applyAlignment="1" applyProtection="1">
      <alignment horizontal="center" vertical="center"/>
    </xf>
    <xf numFmtId="0" fontId="12" fillId="30" borderId="0" xfId="0" applyFont="1" applyFill="1" applyBorder="1" applyAlignment="1" applyProtection="1">
      <alignment horizontal="center" vertical="center"/>
    </xf>
    <xf numFmtId="0" fontId="12" fillId="30" borderId="27" xfId="0" applyFont="1" applyFill="1" applyBorder="1" applyAlignment="1" applyProtection="1">
      <alignment horizontal="center" vertical="center"/>
    </xf>
    <xf numFmtId="0" fontId="12" fillId="30" borderId="2" xfId="0" applyFont="1" applyFill="1" applyBorder="1" applyAlignment="1" applyProtection="1">
      <alignment horizontal="center" vertical="center"/>
    </xf>
    <xf numFmtId="0" fontId="12" fillId="30" borderId="21" xfId="0" applyFont="1" applyFill="1" applyBorder="1" applyAlignment="1" applyProtection="1">
      <alignment horizontal="center" vertical="center"/>
    </xf>
    <xf numFmtId="0" fontId="12" fillId="10" borderId="1" xfId="0" applyFont="1" applyFill="1" applyBorder="1" applyAlignment="1" applyProtection="1">
      <alignment horizontal="center" vertical="center"/>
    </xf>
    <xf numFmtId="165" fontId="5" fillId="9" borderId="3" xfId="1" applyNumberFormat="1" applyFont="1" applyFill="1" applyBorder="1" applyAlignment="1" applyProtection="1">
      <alignment horizontal="center" vertical="center"/>
    </xf>
    <xf numFmtId="165" fontId="5" fillId="9" borderId="26" xfId="1" applyNumberFormat="1" applyFont="1" applyFill="1" applyBorder="1" applyAlignment="1" applyProtection="1">
      <alignment horizontal="center" vertical="center"/>
    </xf>
    <xf numFmtId="174" fontId="12" fillId="9" borderId="17" xfId="1" applyNumberFormat="1" applyFont="1" applyFill="1" applyBorder="1" applyAlignment="1" applyProtection="1">
      <alignment horizontal="center" vertical="center"/>
    </xf>
    <xf numFmtId="174" fontId="12" fillId="9" borderId="18" xfId="1" applyNumberFormat="1" applyFont="1" applyFill="1" applyBorder="1" applyAlignment="1" applyProtection="1">
      <alignment horizontal="center" vertical="center"/>
    </xf>
    <xf numFmtId="174" fontId="12" fillId="9" borderId="20" xfId="1" applyNumberFormat="1" applyFont="1" applyFill="1" applyBorder="1" applyAlignment="1" applyProtection="1">
      <alignment horizontal="center" vertical="center"/>
    </xf>
    <xf numFmtId="174" fontId="12" fillId="9" borderId="2" xfId="1" applyNumberFormat="1" applyFont="1" applyFill="1" applyBorder="1" applyAlignment="1" applyProtection="1">
      <alignment horizontal="center" vertical="center"/>
    </xf>
    <xf numFmtId="0" fontId="14" fillId="16" borderId="3" xfId="0" applyFont="1" applyFill="1" applyBorder="1" applyAlignment="1" applyProtection="1">
      <alignment horizontal="center" vertical="center"/>
    </xf>
    <xf numFmtId="0" fontId="14" fillId="16" borderId="25" xfId="0" applyFont="1" applyFill="1" applyBorder="1" applyAlignment="1" applyProtection="1">
      <alignment horizontal="center" vertical="center"/>
    </xf>
    <xf numFmtId="0" fontId="14" fillId="16" borderId="26" xfId="0" applyFont="1" applyFill="1" applyBorder="1" applyAlignment="1" applyProtection="1">
      <alignment horizontal="center" vertical="center"/>
    </xf>
    <xf numFmtId="0" fontId="14" fillId="3" borderId="3" xfId="0" applyFont="1" applyFill="1" applyBorder="1" applyAlignment="1" applyProtection="1">
      <alignment horizontal="center" vertical="center" wrapText="1"/>
    </xf>
    <xf numFmtId="0" fontId="14" fillId="3" borderId="25" xfId="0" applyFont="1" applyFill="1" applyBorder="1" applyAlignment="1" applyProtection="1">
      <alignment horizontal="center" vertical="center" wrapText="1"/>
    </xf>
    <xf numFmtId="0" fontId="14" fillId="3" borderId="26" xfId="0" applyFont="1" applyFill="1" applyBorder="1" applyAlignment="1" applyProtection="1">
      <alignment horizontal="center" vertical="center" wrapText="1"/>
    </xf>
    <xf numFmtId="0" fontId="14" fillId="3" borderId="1" xfId="0" applyFont="1" applyFill="1" applyBorder="1" applyAlignment="1" applyProtection="1">
      <alignment horizontal="center" vertical="center" wrapText="1"/>
    </xf>
    <xf numFmtId="0" fontId="14" fillId="17" borderId="3" xfId="0" applyFont="1" applyFill="1" applyBorder="1" applyAlignment="1" applyProtection="1">
      <alignment horizontal="center" vertical="center"/>
    </xf>
    <xf numFmtId="0" fontId="14" fillId="17" borderId="25" xfId="0" applyFont="1" applyFill="1" applyBorder="1" applyAlignment="1" applyProtection="1">
      <alignment horizontal="center" vertical="center"/>
    </xf>
    <xf numFmtId="0" fontId="14" fillId="17" borderId="26" xfId="0" applyFont="1" applyFill="1" applyBorder="1" applyAlignment="1" applyProtection="1">
      <alignment horizontal="center" vertical="center"/>
    </xf>
    <xf numFmtId="0" fontId="14" fillId="3" borderId="19" xfId="0" applyFont="1" applyFill="1" applyBorder="1" applyAlignment="1" applyProtection="1">
      <alignment horizontal="center" vertical="center" wrapText="1"/>
    </xf>
    <xf numFmtId="0" fontId="14" fillId="3" borderId="27" xfId="0" applyFont="1" applyFill="1" applyBorder="1" applyAlignment="1" applyProtection="1">
      <alignment horizontal="center" vertical="center" wrapText="1"/>
    </xf>
    <xf numFmtId="0" fontId="14" fillId="3" borderId="21" xfId="0" applyFont="1" applyFill="1" applyBorder="1" applyAlignment="1" applyProtection="1">
      <alignment horizontal="center" vertical="center" wrapText="1"/>
    </xf>
    <xf numFmtId="0" fontId="14" fillId="15" borderId="3" xfId="0" applyFont="1" applyFill="1" applyBorder="1" applyAlignment="1" applyProtection="1">
      <alignment horizontal="center" vertical="center"/>
    </xf>
    <xf numFmtId="0" fontId="14" fillId="15" borderId="25" xfId="0" applyFont="1" applyFill="1" applyBorder="1" applyAlignment="1" applyProtection="1">
      <alignment horizontal="center" vertical="center"/>
    </xf>
    <xf numFmtId="0" fontId="14" fillId="15" borderId="26" xfId="0" applyFont="1" applyFill="1" applyBorder="1" applyAlignment="1" applyProtection="1">
      <alignment horizontal="center" vertical="center"/>
    </xf>
  </cellXfs>
  <cellStyles count="6">
    <cellStyle name="Comma" xfId="1" builtinId="3"/>
    <cellStyle name="Hyperlink" xfId="5" builtinId="8"/>
    <cellStyle name="Normal" xfId="0" builtinId="0"/>
    <cellStyle name="Normal 2" xfId="4" xr:uid="{5441FF6A-9067-428A-AB9D-7753E463A9EE}"/>
    <cellStyle name="Note" xfId="3" builtinId="10"/>
    <cellStyle name="Percent" xfId="2" builtinId="5"/>
  </cellStyles>
  <dxfs count="7">
    <dxf>
      <fill>
        <patternFill patternType="solid">
          <fgColor auto="1"/>
          <bgColor rgb="FF66FF66"/>
        </patternFill>
      </fill>
    </dxf>
    <dxf>
      <fill>
        <patternFill>
          <bgColor rgb="FFCC99FF"/>
        </patternFill>
      </fill>
    </dxf>
    <dxf>
      <fill>
        <patternFill>
          <bgColor rgb="FFFF5050"/>
        </patternFill>
      </fill>
    </dxf>
    <dxf>
      <fill>
        <patternFill>
          <bgColor theme="9" tint="0.39994506668294322"/>
        </patternFill>
      </fill>
    </dxf>
    <dxf>
      <fill>
        <patternFill>
          <bgColor theme="8" tint="0.39994506668294322"/>
        </patternFill>
      </fill>
    </dxf>
    <dxf>
      <fill>
        <patternFill>
          <bgColor theme="7" tint="0.39994506668294322"/>
        </patternFill>
      </fill>
    </dxf>
    <dxf>
      <fill>
        <patternFill>
          <bgColor theme="5" tint="0.39994506668294322"/>
        </patternFill>
      </fill>
    </dxf>
  </dxfs>
  <tableStyles count="0" defaultTableStyle="TableStyleMedium2" defaultPivotStyle="PivotStyleLight16"/>
  <colors>
    <mruColors>
      <color rgb="FFFFCCFF"/>
      <color rgb="FF69D969"/>
      <color rgb="FF00FFFF"/>
      <color rgb="FF66FF66"/>
      <color rgb="FF33CC33"/>
      <color rgb="FF00CC66"/>
      <color rgb="FFFF6699"/>
      <color rgb="FFFF9BFF"/>
      <color rgb="FFFF5050"/>
      <color rgb="FF00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1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1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1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2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2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2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2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24.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25.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2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27.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28.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29.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30.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31.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32.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33.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34.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35.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36.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37.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38.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39.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40.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41.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42.xml.rels><?xml version="1.0" encoding="UTF-8" standalone="yes"?>
<Relationships xmlns="http://schemas.openxmlformats.org/package/2006/relationships"><Relationship Id="rId2" Type="http://schemas.microsoft.com/office/2011/relationships/chartColorStyle" Target="colors90.xml"/><Relationship Id="rId1" Type="http://schemas.microsoft.com/office/2011/relationships/chartStyle" Target="style90.xml"/></Relationships>
</file>

<file path=xl/charts/_rels/chart43.xml.rels><?xml version="1.0" encoding="UTF-8" standalone="yes"?>
<Relationships xmlns="http://schemas.openxmlformats.org/package/2006/relationships"><Relationship Id="rId2" Type="http://schemas.microsoft.com/office/2011/relationships/chartColorStyle" Target="colors91.xml"/><Relationship Id="rId1" Type="http://schemas.microsoft.com/office/2011/relationships/chartStyle" Target="style91.xml"/></Relationships>
</file>

<file path=xl/charts/_rels/chart44.xml.rels><?xml version="1.0" encoding="UTF-8" standalone="yes"?>
<Relationships xmlns="http://schemas.openxmlformats.org/package/2006/relationships"><Relationship Id="rId2" Type="http://schemas.microsoft.com/office/2011/relationships/chartColorStyle" Target="colors92.xml"/><Relationship Id="rId1" Type="http://schemas.microsoft.com/office/2011/relationships/chartStyle" Target="style92.xml"/></Relationships>
</file>

<file path=xl/charts/_rels/chart45.xml.rels><?xml version="1.0" encoding="UTF-8" standalone="yes"?>
<Relationships xmlns="http://schemas.openxmlformats.org/package/2006/relationships"><Relationship Id="rId2" Type="http://schemas.microsoft.com/office/2011/relationships/chartColorStyle" Target="colors93.xml"/><Relationship Id="rId1" Type="http://schemas.microsoft.com/office/2011/relationships/chartStyle" Target="style93.xml"/></Relationships>
</file>

<file path=xl/charts/_rels/chart46.xml.rels><?xml version="1.0" encoding="UTF-8" standalone="yes"?>
<Relationships xmlns="http://schemas.openxmlformats.org/package/2006/relationships"><Relationship Id="rId2" Type="http://schemas.microsoft.com/office/2011/relationships/chartColorStyle" Target="colors94.xml"/><Relationship Id="rId1" Type="http://schemas.microsoft.com/office/2011/relationships/chartStyle" Target="style94.xml"/></Relationships>
</file>

<file path=xl/charts/_rels/chart47.xml.rels><?xml version="1.0" encoding="UTF-8" standalone="yes"?>
<Relationships xmlns="http://schemas.openxmlformats.org/package/2006/relationships"><Relationship Id="rId2" Type="http://schemas.microsoft.com/office/2011/relationships/chartColorStyle" Target="colors95.xml"/><Relationship Id="rId1" Type="http://schemas.microsoft.com/office/2011/relationships/chartStyle" Target="style95.xml"/></Relationships>
</file>

<file path=xl/charts/_rels/chart48.xml.rels><?xml version="1.0" encoding="UTF-8" standalone="yes"?>
<Relationships xmlns="http://schemas.openxmlformats.org/package/2006/relationships"><Relationship Id="rId2" Type="http://schemas.microsoft.com/office/2011/relationships/chartColorStyle" Target="colors96.xml"/><Relationship Id="rId1" Type="http://schemas.microsoft.com/office/2011/relationships/chartStyle" Target="style96.xml"/></Relationships>
</file>

<file path=xl/charts/_rels/chart49.xml.rels><?xml version="1.0" encoding="UTF-8" standalone="yes"?>
<Relationships xmlns="http://schemas.openxmlformats.org/package/2006/relationships"><Relationship Id="rId2" Type="http://schemas.microsoft.com/office/2011/relationships/chartColorStyle" Target="colors97.xml"/><Relationship Id="rId1" Type="http://schemas.microsoft.com/office/2011/relationships/chartStyle" Target="style97.xml"/></Relationships>
</file>

<file path=xl/charts/_rels/chart50.xml.rels><?xml version="1.0" encoding="UTF-8" standalone="yes"?>
<Relationships xmlns="http://schemas.openxmlformats.org/package/2006/relationships"><Relationship Id="rId2" Type="http://schemas.microsoft.com/office/2011/relationships/chartColorStyle" Target="colors98.xml"/><Relationship Id="rId1" Type="http://schemas.microsoft.com/office/2011/relationships/chartStyle" Target="style98.xml"/></Relationships>
</file>

<file path=xl/charts/_rels/chart51.xml.rels><?xml version="1.0" encoding="UTF-8" standalone="yes"?>
<Relationships xmlns="http://schemas.openxmlformats.org/package/2006/relationships"><Relationship Id="rId2" Type="http://schemas.microsoft.com/office/2011/relationships/chartColorStyle" Target="colors99.xml"/><Relationship Id="rId1" Type="http://schemas.microsoft.com/office/2011/relationships/chartStyle" Target="style99.xml"/></Relationships>
</file>

<file path=xl/charts/_rels/chart52.xml.rels><?xml version="1.0" encoding="UTF-8" standalone="yes"?>
<Relationships xmlns="http://schemas.openxmlformats.org/package/2006/relationships"><Relationship Id="rId2" Type="http://schemas.microsoft.com/office/2011/relationships/chartColorStyle" Target="colors100.xml"/><Relationship Id="rId1" Type="http://schemas.microsoft.com/office/2011/relationships/chartStyle" Target="style100.xml"/></Relationships>
</file>

<file path=xl/charts/_rels/chart53.xml.rels><?xml version="1.0" encoding="UTF-8" standalone="yes"?>
<Relationships xmlns="http://schemas.openxmlformats.org/package/2006/relationships"><Relationship Id="rId2" Type="http://schemas.microsoft.com/office/2011/relationships/chartColorStyle" Target="colors101.xml"/><Relationship Id="rId1" Type="http://schemas.microsoft.com/office/2011/relationships/chartStyle" Target="style101.xml"/></Relationships>
</file>

<file path=xl/charts/_rels/chart54.xml.rels><?xml version="1.0" encoding="UTF-8" standalone="yes"?>
<Relationships xmlns="http://schemas.openxmlformats.org/package/2006/relationships"><Relationship Id="rId2" Type="http://schemas.microsoft.com/office/2011/relationships/chartColorStyle" Target="colors102.xml"/><Relationship Id="rId1" Type="http://schemas.microsoft.com/office/2011/relationships/chartStyle" Target="style102.xml"/></Relationships>
</file>

<file path=xl/charts/_rels/chart55.xml.rels><?xml version="1.0" encoding="UTF-8" standalone="yes"?>
<Relationships xmlns="http://schemas.openxmlformats.org/package/2006/relationships"><Relationship Id="rId2" Type="http://schemas.microsoft.com/office/2011/relationships/chartColorStyle" Target="colors103.xml"/><Relationship Id="rId1" Type="http://schemas.microsoft.com/office/2011/relationships/chartStyle" Target="style103.xml"/></Relationships>
</file>

<file path=xl/charts/_rels/chart56.xml.rels><?xml version="1.0" encoding="UTF-8" standalone="yes"?>
<Relationships xmlns="http://schemas.openxmlformats.org/package/2006/relationships"><Relationship Id="rId2" Type="http://schemas.microsoft.com/office/2011/relationships/chartColorStyle" Target="colors104.xml"/><Relationship Id="rId1" Type="http://schemas.microsoft.com/office/2011/relationships/chartStyle" Target="style104.xml"/></Relationships>
</file>

<file path=xl/charts/_rels/chart57.xml.rels><?xml version="1.0" encoding="UTF-8" standalone="yes"?>
<Relationships xmlns="http://schemas.openxmlformats.org/package/2006/relationships"><Relationship Id="rId2" Type="http://schemas.microsoft.com/office/2011/relationships/chartColorStyle" Target="colors105.xml"/><Relationship Id="rId1" Type="http://schemas.microsoft.com/office/2011/relationships/chartStyle" Target="style105.xml"/></Relationships>
</file>

<file path=xl/charts/_rels/chart58.xml.rels><?xml version="1.0" encoding="UTF-8" standalone="yes"?>
<Relationships xmlns="http://schemas.openxmlformats.org/package/2006/relationships"><Relationship Id="rId2" Type="http://schemas.microsoft.com/office/2011/relationships/chartColorStyle" Target="colors106.xml"/><Relationship Id="rId1" Type="http://schemas.microsoft.com/office/2011/relationships/chartStyle" Target="style106.xml"/></Relationships>
</file>

<file path=xl/charts/_rels/chart59.xml.rels><?xml version="1.0" encoding="UTF-8" standalone="yes"?>
<Relationships xmlns="http://schemas.openxmlformats.org/package/2006/relationships"><Relationship Id="rId2" Type="http://schemas.microsoft.com/office/2011/relationships/chartColorStyle" Target="colors107.xml"/><Relationship Id="rId1" Type="http://schemas.microsoft.com/office/2011/relationships/chartStyle" Target="style107.xml"/></Relationships>
</file>

<file path=xl/charts/_rels/chart60.xml.rels><?xml version="1.0" encoding="UTF-8" standalone="yes"?>
<Relationships xmlns="http://schemas.openxmlformats.org/package/2006/relationships"><Relationship Id="rId2" Type="http://schemas.microsoft.com/office/2011/relationships/chartColorStyle" Target="colors108.xml"/><Relationship Id="rId1" Type="http://schemas.microsoft.com/office/2011/relationships/chartStyle" Target="style108.xml"/></Relationships>
</file>

<file path=xl/charts/_rels/chart61.xml.rels><?xml version="1.0" encoding="UTF-8" standalone="yes"?>
<Relationships xmlns="http://schemas.openxmlformats.org/package/2006/relationships"><Relationship Id="rId2" Type="http://schemas.microsoft.com/office/2011/relationships/chartColorStyle" Target="colors109.xml"/><Relationship Id="rId1" Type="http://schemas.microsoft.com/office/2011/relationships/chartStyle" Target="style109.xml"/></Relationships>
</file>

<file path=xl/charts/_rels/chart62.xml.rels><?xml version="1.0" encoding="UTF-8" standalone="yes"?>
<Relationships xmlns="http://schemas.openxmlformats.org/package/2006/relationships"><Relationship Id="rId2" Type="http://schemas.microsoft.com/office/2011/relationships/chartColorStyle" Target="colors110.xml"/><Relationship Id="rId1" Type="http://schemas.microsoft.com/office/2011/relationships/chartStyle" Target="style110.xml"/></Relationships>
</file>

<file path=xl/charts/_rels/chart63.xml.rels><?xml version="1.0" encoding="UTF-8" standalone="yes"?>
<Relationships xmlns="http://schemas.openxmlformats.org/package/2006/relationships"><Relationship Id="rId2" Type="http://schemas.microsoft.com/office/2011/relationships/chartColorStyle" Target="colors111.xml"/><Relationship Id="rId1" Type="http://schemas.microsoft.com/office/2011/relationships/chartStyle" Target="style111.xml"/></Relationships>
</file>

<file path=xl/charts/_rels/chart64.xml.rels><?xml version="1.0" encoding="UTF-8" standalone="yes"?>
<Relationships xmlns="http://schemas.openxmlformats.org/package/2006/relationships"><Relationship Id="rId2" Type="http://schemas.microsoft.com/office/2011/relationships/chartColorStyle" Target="colors112.xml"/><Relationship Id="rId1" Type="http://schemas.microsoft.com/office/2011/relationships/chartStyle" Target="style112.xml"/></Relationships>
</file>

<file path=xl/charts/_rels/chart65.xml.rels><?xml version="1.0" encoding="UTF-8" standalone="yes"?>
<Relationships xmlns="http://schemas.openxmlformats.org/package/2006/relationships"><Relationship Id="rId2" Type="http://schemas.microsoft.com/office/2011/relationships/chartColorStyle" Target="colors113.xml"/><Relationship Id="rId1" Type="http://schemas.microsoft.com/office/2011/relationships/chartStyle" Target="style113.xml"/></Relationships>
</file>

<file path=xl/charts/_rels/chart66.xml.rels><?xml version="1.0" encoding="UTF-8" standalone="yes"?>
<Relationships xmlns="http://schemas.openxmlformats.org/package/2006/relationships"><Relationship Id="rId2" Type="http://schemas.microsoft.com/office/2011/relationships/chartColorStyle" Target="colors114.xml"/><Relationship Id="rId1" Type="http://schemas.microsoft.com/office/2011/relationships/chartStyle" Target="style114.xml"/></Relationships>
</file>

<file path=xl/charts/_rels/chart67.xml.rels><?xml version="1.0" encoding="UTF-8" standalone="yes"?>
<Relationships xmlns="http://schemas.openxmlformats.org/package/2006/relationships"><Relationship Id="rId2" Type="http://schemas.microsoft.com/office/2011/relationships/chartColorStyle" Target="colors115.xml"/><Relationship Id="rId1" Type="http://schemas.microsoft.com/office/2011/relationships/chartStyle" Target="style115.xml"/></Relationships>
</file>

<file path=xl/charts/_rels/chart68.xml.rels><?xml version="1.0" encoding="UTF-8" standalone="yes"?>
<Relationships xmlns="http://schemas.openxmlformats.org/package/2006/relationships"><Relationship Id="rId2" Type="http://schemas.microsoft.com/office/2011/relationships/chartColorStyle" Target="colors116.xml"/><Relationship Id="rId1" Type="http://schemas.microsoft.com/office/2011/relationships/chartStyle" Target="style116.xml"/></Relationships>
</file>

<file path=xl/charts/_rels/chart69.xml.rels><?xml version="1.0" encoding="UTF-8" standalone="yes"?>
<Relationships xmlns="http://schemas.openxmlformats.org/package/2006/relationships"><Relationship Id="rId2" Type="http://schemas.microsoft.com/office/2011/relationships/chartColorStyle" Target="colors117.xml"/><Relationship Id="rId1" Type="http://schemas.microsoft.com/office/2011/relationships/chartStyle" Target="style117.xml"/></Relationships>
</file>

<file path=xl/charts/_rels/chart70.xml.rels><?xml version="1.0" encoding="UTF-8" standalone="yes"?>
<Relationships xmlns="http://schemas.openxmlformats.org/package/2006/relationships"><Relationship Id="rId2" Type="http://schemas.microsoft.com/office/2011/relationships/chartColorStyle" Target="colors118.xml"/><Relationship Id="rId1" Type="http://schemas.microsoft.com/office/2011/relationships/chartStyle" Target="style118.xml"/></Relationships>
</file>

<file path=xl/charts/_rels/chart71.xml.rels><?xml version="1.0" encoding="UTF-8" standalone="yes"?>
<Relationships xmlns="http://schemas.openxmlformats.org/package/2006/relationships"><Relationship Id="rId2" Type="http://schemas.microsoft.com/office/2011/relationships/chartColorStyle" Target="colors119.xml"/><Relationship Id="rId1" Type="http://schemas.microsoft.com/office/2011/relationships/chartStyle" Target="style119.xml"/></Relationships>
</file>

<file path=xl/charts/_rels/chart72.xml.rels><?xml version="1.0" encoding="UTF-8" standalone="yes"?>
<Relationships xmlns="http://schemas.openxmlformats.org/package/2006/relationships"><Relationship Id="rId2" Type="http://schemas.microsoft.com/office/2011/relationships/chartColorStyle" Target="colors120.xml"/><Relationship Id="rId1" Type="http://schemas.microsoft.com/office/2011/relationships/chartStyle" Target="style120.xml"/></Relationships>
</file>

<file path=xl/charts/_rels/chart73.xml.rels><?xml version="1.0" encoding="UTF-8" standalone="yes"?>
<Relationships xmlns="http://schemas.openxmlformats.org/package/2006/relationships"><Relationship Id="rId2" Type="http://schemas.microsoft.com/office/2011/relationships/chartColorStyle" Target="colors121.xml"/><Relationship Id="rId1" Type="http://schemas.microsoft.com/office/2011/relationships/chartStyle" Target="style121.xml"/></Relationships>
</file>

<file path=xl/charts/_rels/chart74.xml.rels><?xml version="1.0" encoding="UTF-8" standalone="yes"?>
<Relationships xmlns="http://schemas.openxmlformats.org/package/2006/relationships"><Relationship Id="rId2" Type="http://schemas.microsoft.com/office/2011/relationships/chartColorStyle" Target="colors122.xml"/><Relationship Id="rId1" Type="http://schemas.microsoft.com/office/2011/relationships/chartStyle" Target="style122.xml"/></Relationships>
</file>

<file path=xl/charts/_rels/chart75.xml.rels><?xml version="1.0" encoding="UTF-8" standalone="yes"?>
<Relationships xmlns="http://schemas.openxmlformats.org/package/2006/relationships"><Relationship Id="rId2" Type="http://schemas.microsoft.com/office/2011/relationships/chartColorStyle" Target="colors123.xml"/><Relationship Id="rId1" Type="http://schemas.microsoft.com/office/2011/relationships/chartStyle" Target="style123.xml"/></Relationships>
</file>

<file path=xl/charts/_rels/chart76.xml.rels><?xml version="1.0" encoding="UTF-8" standalone="yes"?>
<Relationships xmlns="http://schemas.openxmlformats.org/package/2006/relationships"><Relationship Id="rId2" Type="http://schemas.microsoft.com/office/2011/relationships/chartColorStyle" Target="colors124.xml"/><Relationship Id="rId1" Type="http://schemas.microsoft.com/office/2011/relationships/chartStyle" Target="style124.xml"/></Relationships>
</file>

<file path=xl/charts/_rels/chart77.xml.rels><?xml version="1.0" encoding="UTF-8" standalone="yes"?>
<Relationships xmlns="http://schemas.openxmlformats.org/package/2006/relationships"><Relationship Id="rId2" Type="http://schemas.microsoft.com/office/2011/relationships/chartColorStyle" Target="colors125.xml"/><Relationship Id="rId1" Type="http://schemas.microsoft.com/office/2011/relationships/chartStyle" Target="style125.xml"/></Relationships>
</file>

<file path=xl/charts/_rels/chart78.xml.rels><?xml version="1.0" encoding="UTF-8" standalone="yes"?>
<Relationships xmlns="http://schemas.openxmlformats.org/package/2006/relationships"><Relationship Id="rId2" Type="http://schemas.microsoft.com/office/2011/relationships/chartColorStyle" Target="colors126.xml"/><Relationship Id="rId1" Type="http://schemas.microsoft.com/office/2011/relationships/chartStyle" Target="style126.xml"/></Relationships>
</file>

<file path=xl/charts/_rels/chart79.xml.rels><?xml version="1.0" encoding="UTF-8" standalone="yes"?>
<Relationships xmlns="http://schemas.openxmlformats.org/package/2006/relationships"><Relationship Id="rId2" Type="http://schemas.microsoft.com/office/2011/relationships/chartColorStyle" Target="colors127.xml"/><Relationship Id="rId1" Type="http://schemas.microsoft.com/office/2011/relationships/chartStyle" Target="style127.xml"/></Relationships>
</file>

<file path=xl/charts/_rels/chartEx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5.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6.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Ex7.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Ex8.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9.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0.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Ex11.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Ex12.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3.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Ex14.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Ex15.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Ex16.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Ex17.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Ex18.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Ex19.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Ex20.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Ex21.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Ex22.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Ex23.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Ex24.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Ex25.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Ex26.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Ex27.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Ex28.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Ex29.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Ex30.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Ex31.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Ex32.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Ex33.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Ex34.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Ex3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Ex3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Ex3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Ex3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Ex3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Ex4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Ex4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Ex4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Ex4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Ex4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Ex4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_rels/chartEx46.xml.rels><?xml version="1.0" encoding="UTF-8" standalone="yes"?>
<Relationships xmlns="http://schemas.openxmlformats.org/package/2006/relationships"><Relationship Id="rId2" Type="http://schemas.microsoft.com/office/2011/relationships/chartColorStyle" Target="colors87.xml"/><Relationship Id="rId1" Type="http://schemas.microsoft.com/office/2011/relationships/chartStyle" Target="style87.xml"/></Relationships>
</file>

<file path=xl/charts/_rels/chartEx47.xml.rels><?xml version="1.0" encoding="UTF-8" standalone="yes"?>
<Relationships xmlns="http://schemas.openxmlformats.org/package/2006/relationships"><Relationship Id="rId2" Type="http://schemas.microsoft.com/office/2011/relationships/chartColorStyle" Target="colors88.xml"/><Relationship Id="rId1" Type="http://schemas.microsoft.com/office/2011/relationships/chartStyle" Target="style88.xml"/></Relationships>
</file>

<file path=xl/charts/_rels/chartEx48.xml.rels><?xml version="1.0" encoding="UTF-8" standalone="yes"?>
<Relationships xmlns="http://schemas.openxmlformats.org/package/2006/relationships"><Relationship Id="rId2" Type="http://schemas.microsoft.com/office/2011/relationships/chartColorStyle" Target="colors89.xml"/><Relationship Id="rId1" Type="http://schemas.microsoft.com/office/2011/relationships/chartStyle" Target="style8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GHG Emissions by Cases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F9BFF"/>
              </a:solidFill>
              <a:ln>
                <a:noFill/>
              </a:ln>
              <a:effectLst/>
            </c:spPr>
            <c:extLst>
              <c:ext xmlns:c16="http://schemas.microsoft.com/office/drawing/2014/chart" uri="{C3380CC4-5D6E-409C-BE32-E72D297353CC}">
                <c16:uniqueId val="{00000012-1F44-4D7A-ACC2-FAFB3D6FEAD6}"/>
              </c:ext>
            </c:extLst>
          </c:dPt>
          <c:dPt>
            <c:idx val="3"/>
            <c:invertIfNegative val="0"/>
            <c:bubble3D val="0"/>
            <c:spPr>
              <a:solidFill>
                <a:srgbClr val="FFC000"/>
              </a:solidFill>
              <a:ln>
                <a:noFill/>
              </a:ln>
              <a:effectLst/>
            </c:spPr>
            <c:extLst>
              <c:ext xmlns:c16="http://schemas.microsoft.com/office/drawing/2014/chart" uri="{C3380CC4-5D6E-409C-BE32-E72D297353CC}">
                <c16:uniqueId val="{00000013-1F44-4D7A-ACC2-FAFB3D6FEAD6}"/>
              </c:ext>
            </c:extLst>
          </c:dPt>
          <c:dPt>
            <c:idx val="4"/>
            <c:invertIfNegative val="0"/>
            <c:bubble3D val="0"/>
            <c:spPr>
              <a:solidFill>
                <a:srgbClr val="FFC000"/>
              </a:solidFill>
              <a:ln>
                <a:noFill/>
              </a:ln>
              <a:effectLst/>
            </c:spPr>
            <c:extLst>
              <c:ext xmlns:c16="http://schemas.microsoft.com/office/drawing/2014/chart" uri="{C3380CC4-5D6E-409C-BE32-E72D297353CC}">
                <c16:uniqueId val="{00000014-1F44-4D7A-ACC2-FAFB3D6FEAD6}"/>
              </c:ext>
            </c:extLst>
          </c:dPt>
          <c:dPt>
            <c:idx val="5"/>
            <c:invertIfNegative val="0"/>
            <c:bubble3D val="0"/>
            <c:spPr>
              <a:solidFill>
                <a:srgbClr val="33CC33"/>
              </a:solidFill>
              <a:ln>
                <a:noFill/>
              </a:ln>
              <a:effectLst/>
            </c:spPr>
            <c:extLst>
              <c:ext xmlns:c16="http://schemas.microsoft.com/office/drawing/2014/chart" uri="{C3380CC4-5D6E-409C-BE32-E72D297353CC}">
                <c16:uniqueId val="{00000015-1F44-4D7A-ACC2-FAFB3D6FEAD6}"/>
              </c:ext>
            </c:extLst>
          </c:dPt>
          <c:dPt>
            <c:idx val="6"/>
            <c:invertIfNegative val="0"/>
            <c:bubble3D val="0"/>
            <c:spPr>
              <a:solidFill>
                <a:srgbClr val="33CC33"/>
              </a:solidFill>
              <a:ln>
                <a:noFill/>
              </a:ln>
              <a:effectLst/>
            </c:spPr>
            <c:extLst>
              <c:ext xmlns:c16="http://schemas.microsoft.com/office/drawing/2014/chart" uri="{C3380CC4-5D6E-409C-BE32-E72D297353CC}">
                <c16:uniqueId val="{00000016-1F44-4D7A-ACC2-FAFB3D6FEAD6}"/>
              </c:ext>
            </c:extLst>
          </c:dPt>
          <c:dPt>
            <c:idx val="7"/>
            <c:invertIfNegative val="0"/>
            <c:bubble3D val="0"/>
            <c:spPr>
              <a:solidFill>
                <a:srgbClr val="FF5050"/>
              </a:solidFill>
              <a:ln>
                <a:noFill/>
              </a:ln>
              <a:effectLst/>
            </c:spPr>
            <c:extLst>
              <c:ext xmlns:c16="http://schemas.microsoft.com/office/drawing/2014/chart" uri="{C3380CC4-5D6E-409C-BE32-E72D297353CC}">
                <c16:uniqueId val="{00000017-1F44-4D7A-ACC2-FAFB3D6FEAD6}"/>
              </c:ext>
            </c:extLst>
          </c:dPt>
          <c:dPt>
            <c:idx val="8"/>
            <c:invertIfNegative val="0"/>
            <c:bubble3D val="0"/>
            <c:spPr>
              <a:solidFill>
                <a:srgbClr val="FF5050"/>
              </a:solidFill>
              <a:ln>
                <a:noFill/>
              </a:ln>
              <a:effectLst/>
            </c:spPr>
            <c:extLst>
              <c:ext xmlns:c16="http://schemas.microsoft.com/office/drawing/2014/chart" uri="{C3380CC4-5D6E-409C-BE32-E72D297353CC}">
                <c16:uniqueId val="{00000018-1F44-4D7A-ACC2-FAFB3D6FEAD6}"/>
              </c:ext>
            </c:extLst>
          </c:dPt>
          <c:dPt>
            <c:idx val="9"/>
            <c:invertIfNegative val="0"/>
            <c:bubble3D val="0"/>
            <c:spPr>
              <a:solidFill>
                <a:srgbClr val="00FFFF"/>
              </a:solidFill>
              <a:ln>
                <a:noFill/>
              </a:ln>
              <a:effectLst/>
            </c:spPr>
            <c:extLst>
              <c:ext xmlns:c16="http://schemas.microsoft.com/office/drawing/2014/chart" uri="{C3380CC4-5D6E-409C-BE32-E72D297353CC}">
                <c16:uniqueId val="{00000019-1F44-4D7A-ACC2-FAFB3D6FEAD6}"/>
              </c:ext>
            </c:extLst>
          </c:dPt>
          <c:dPt>
            <c:idx val="10"/>
            <c:invertIfNegative val="0"/>
            <c:bubble3D val="0"/>
            <c:spPr>
              <a:solidFill>
                <a:srgbClr val="00FFFF"/>
              </a:solidFill>
              <a:ln>
                <a:noFill/>
              </a:ln>
              <a:effectLst/>
            </c:spPr>
            <c:extLst>
              <c:ext xmlns:c16="http://schemas.microsoft.com/office/drawing/2014/chart" uri="{C3380CC4-5D6E-409C-BE32-E72D297353CC}">
                <c16:uniqueId val="{0000001A-1F44-4D7A-ACC2-FAFB3D6FEAD6}"/>
              </c:ext>
            </c:extLst>
          </c:dPt>
          <c:dPt>
            <c:idx val="11"/>
            <c:invertIfNegative val="0"/>
            <c:bubble3D val="0"/>
            <c:spPr>
              <a:solidFill>
                <a:srgbClr val="FFFF00"/>
              </a:solidFill>
              <a:ln>
                <a:noFill/>
              </a:ln>
              <a:effectLst/>
            </c:spPr>
            <c:extLst>
              <c:ext xmlns:c16="http://schemas.microsoft.com/office/drawing/2014/chart" uri="{C3380CC4-5D6E-409C-BE32-E72D297353CC}">
                <c16:uniqueId val="{0000001B-1F44-4D7A-ACC2-FAFB3D6FEAD6}"/>
              </c:ext>
            </c:extLst>
          </c:dPt>
          <c:dPt>
            <c:idx val="12"/>
            <c:invertIfNegative val="0"/>
            <c:bubble3D val="0"/>
            <c:spPr>
              <a:solidFill>
                <a:srgbClr val="C00000"/>
              </a:solidFill>
              <a:ln>
                <a:noFill/>
              </a:ln>
              <a:effectLst/>
            </c:spPr>
            <c:extLst>
              <c:ext xmlns:c16="http://schemas.microsoft.com/office/drawing/2014/chart" uri="{C3380CC4-5D6E-409C-BE32-E72D297353CC}">
                <c16:uniqueId val="{0000001C-1F44-4D7A-ACC2-FAFB3D6FEAD6}"/>
              </c:ext>
            </c:extLst>
          </c:dPt>
          <c:dPt>
            <c:idx val="13"/>
            <c:invertIfNegative val="0"/>
            <c:bubble3D val="0"/>
            <c:spPr>
              <a:solidFill>
                <a:srgbClr val="C00000"/>
              </a:solidFill>
              <a:ln>
                <a:noFill/>
              </a:ln>
              <a:effectLst/>
            </c:spPr>
            <c:extLst>
              <c:ext xmlns:c16="http://schemas.microsoft.com/office/drawing/2014/chart" uri="{C3380CC4-5D6E-409C-BE32-E72D297353CC}">
                <c16:uniqueId val="{0000001D-1F44-4D7A-ACC2-FAFB3D6FEAD6}"/>
              </c:ext>
            </c:extLst>
          </c:dPt>
          <c:dPt>
            <c:idx val="14"/>
            <c:invertIfNegative val="0"/>
            <c:bubble3D val="0"/>
            <c:spPr>
              <a:solidFill>
                <a:srgbClr val="00B0F0"/>
              </a:solidFill>
              <a:ln>
                <a:noFill/>
              </a:ln>
              <a:effectLst/>
            </c:spPr>
            <c:extLst>
              <c:ext xmlns:c16="http://schemas.microsoft.com/office/drawing/2014/chart" uri="{C3380CC4-5D6E-409C-BE32-E72D297353CC}">
                <c16:uniqueId val="{0000001E-1F44-4D7A-ACC2-FAFB3D6FEAD6}"/>
              </c:ext>
            </c:extLst>
          </c:dPt>
          <c:dPt>
            <c:idx val="15"/>
            <c:invertIfNegative val="0"/>
            <c:bubble3D val="0"/>
            <c:spPr>
              <a:solidFill>
                <a:srgbClr val="7030A0"/>
              </a:solidFill>
              <a:ln>
                <a:noFill/>
              </a:ln>
              <a:effectLst/>
            </c:spPr>
            <c:extLst>
              <c:ext xmlns:c16="http://schemas.microsoft.com/office/drawing/2014/chart" uri="{C3380CC4-5D6E-409C-BE32-E72D297353CC}">
                <c16:uniqueId val="{0000001F-1F44-4D7A-ACC2-FAFB3D6FEAD6}"/>
              </c:ext>
            </c:extLst>
          </c:dPt>
          <c:dLbls>
            <c:dLbl>
              <c:idx val="0"/>
              <c:delete val="1"/>
              <c:extLst>
                <c:ext xmlns:c15="http://schemas.microsoft.com/office/drawing/2012/chart" uri="{CE6537A1-D6FC-4f65-9D91-7224C49458BB}"/>
                <c:ext xmlns:c16="http://schemas.microsoft.com/office/drawing/2014/chart" uri="{C3380CC4-5D6E-409C-BE32-E72D297353CC}">
                  <c16:uniqueId val="{00000012-1F44-4D7A-ACC2-FAFB3D6FEAD6}"/>
                </c:ext>
              </c:extLst>
            </c:dLbl>
            <c:dLbl>
              <c:idx val="1"/>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0-1F44-4D7A-ACC2-FAFB3D6FEAD6}"/>
                </c:ext>
              </c:extLst>
            </c:dLbl>
            <c:dLbl>
              <c:idx val="2"/>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21-1F44-4D7A-ACC2-FAFB3D6FEAD6}"/>
                </c:ext>
              </c:extLst>
            </c:dLbl>
            <c:dLbl>
              <c:idx val="3"/>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1F44-4D7A-ACC2-FAFB3D6FEAD6}"/>
                </c:ext>
              </c:extLst>
            </c:dLbl>
            <c:dLbl>
              <c:idx val="4"/>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4-1F44-4D7A-ACC2-FAFB3D6FEAD6}"/>
                </c:ext>
              </c:extLst>
            </c:dLbl>
            <c:dLbl>
              <c:idx val="5"/>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1F44-4D7A-ACC2-FAFB3D6FEAD6}"/>
                </c:ext>
              </c:extLst>
            </c:dLbl>
            <c:dLbl>
              <c:idx val="6"/>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6-1F44-4D7A-ACC2-FAFB3D6FEAD6}"/>
                </c:ext>
              </c:extLst>
            </c:dLbl>
            <c:dLbl>
              <c:idx val="7"/>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1F44-4D7A-ACC2-FAFB3D6FEAD6}"/>
                </c:ext>
              </c:extLst>
            </c:dLbl>
            <c:dLbl>
              <c:idx val="8"/>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8-1F44-4D7A-ACC2-FAFB3D6FEAD6}"/>
                </c:ext>
              </c:extLst>
            </c:dLbl>
            <c:dLbl>
              <c:idx val="9"/>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1F44-4D7A-ACC2-FAFB3D6FEAD6}"/>
                </c:ext>
              </c:extLst>
            </c:dLbl>
            <c:dLbl>
              <c:idx val="1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A-1F44-4D7A-ACC2-FAFB3D6FEAD6}"/>
                </c:ext>
              </c:extLst>
            </c:dLbl>
            <c:dLbl>
              <c:idx val="11"/>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1F44-4D7A-ACC2-FAFB3D6FEAD6}"/>
                </c:ext>
              </c:extLst>
            </c:dLbl>
            <c:dLbl>
              <c:idx val="12"/>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1F44-4D7A-ACC2-FAFB3D6FEAD6}"/>
                </c:ext>
              </c:extLst>
            </c:dLbl>
            <c:dLbl>
              <c:idx val="13"/>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1F44-4D7A-ACC2-FAFB3D6FEAD6}"/>
                </c:ext>
              </c:extLst>
            </c:dLbl>
            <c:dLbl>
              <c:idx val="14"/>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E-1F44-4D7A-ACC2-FAFB3D6FEAD6}"/>
                </c:ext>
              </c:extLst>
            </c:dLbl>
            <c:dLbl>
              <c:idx val="15"/>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F-1F44-4D7A-ACC2-FAFB3D6FEAD6}"/>
                </c:ext>
              </c:extLst>
            </c:dLbl>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Sensitivity!$D$9:$D$24</c:f>
              <c:strCache>
                <c:ptCount val="1"/>
                <c:pt idx="0">
                  <c:v>Final</c:v>
                </c:pt>
              </c:strCache>
            </c:strRef>
          </c:cat>
          <c:val>
            <c:numRef>
              <c:f>Sensitivity!$F$9:$F$24</c:f>
              <c:numCache>
                <c:formatCode>_(* #,##0_);_(* \(#,##0\);_(* "-"??_);_(@_)</c:formatCode>
                <c:ptCount val="16"/>
                <c:pt idx="0">
                  <c:v>20162466.910151437</c:v>
                </c:pt>
              </c:numCache>
            </c:numRef>
          </c:val>
          <c:extLst>
            <c:ext xmlns:c15="http://schemas.microsoft.com/office/drawing/2012/chart" uri="{02D57815-91ED-43cb-92C2-25804820EDAC}">
              <c15:datalabelsRange>
                <c15:f>Sensitivity!$G$9:$G$24</c15:f>
                <c15:dlblRangeCache>
                  <c:ptCount val="16"/>
                </c15:dlblRangeCache>
              </c15:datalabelsRange>
            </c:ext>
            <c:ext xmlns:c16="http://schemas.microsoft.com/office/drawing/2014/chart" uri="{C3380CC4-5D6E-409C-BE32-E72D297353CC}">
              <c16:uniqueId val="{00000000-1F44-4D7A-ACC2-FAFB3D6FEAD6}"/>
            </c:ext>
          </c:extLst>
        </c:ser>
        <c:dLbls>
          <c:showLegendKey val="0"/>
          <c:showVal val="0"/>
          <c:showCatName val="0"/>
          <c:showSerName val="0"/>
          <c:showPercent val="0"/>
          <c:showBubbleSize val="0"/>
        </c:dLbls>
        <c:gapWidth val="219"/>
        <c:overlap val="-27"/>
        <c:axId val="1309461760"/>
        <c:axId val="1309460512"/>
      </c:barChart>
      <c:catAx>
        <c:axId val="13094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09460512"/>
        <c:crosses val="autoZero"/>
        <c:auto val="1"/>
        <c:lblAlgn val="ctr"/>
        <c:lblOffset val="100"/>
        <c:noMultiLvlLbl val="0"/>
      </c:catAx>
      <c:valAx>
        <c:axId val="130946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Emission (tCO2e)</a:t>
                </a:r>
              </a:p>
            </c:rich>
          </c:tx>
          <c:layout>
            <c:manualLayout>
              <c:xMode val="edge"/>
              <c:yMode val="edge"/>
              <c:x val="5.3557764262759456E-3"/>
              <c:y val="0.3808160946797250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09461760"/>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Slab Carbon Footprint by Cases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8.1352075188231732E-2"/>
          <c:y val="0.1121449516244771"/>
          <c:w val="0.90876091976182283"/>
          <c:h val="0.80670086268634111"/>
        </c:manualLayout>
      </c:layout>
      <c:barChart>
        <c:barDir val="col"/>
        <c:grouping val="clustered"/>
        <c:varyColors val="1"/>
        <c:ser>
          <c:idx val="0"/>
          <c:order val="0"/>
          <c:invertIfNegative val="0"/>
          <c:dPt>
            <c:idx val="0"/>
            <c:invertIfNegative val="0"/>
            <c:bubble3D val="0"/>
            <c:spPr>
              <a:solidFill>
                <a:srgbClr val="FF9BFF"/>
              </a:solidFill>
              <a:ln>
                <a:noFill/>
              </a:ln>
              <a:effectLst/>
            </c:spPr>
            <c:extLst>
              <c:ext xmlns:c16="http://schemas.microsoft.com/office/drawing/2014/chart" uri="{C3380CC4-5D6E-409C-BE32-E72D297353CC}">
                <c16:uniqueId val="{00000001-6C07-4CC0-BFD8-223C69B1EE9C}"/>
              </c:ext>
            </c:extLst>
          </c:dPt>
          <c:dPt>
            <c:idx val="1"/>
            <c:invertIfNegative val="0"/>
            <c:bubble3D val="0"/>
            <c:spPr>
              <a:solidFill>
                <a:srgbClr val="0070C0"/>
              </a:solidFill>
              <a:ln>
                <a:noFill/>
              </a:ln>
              <a:effectLst/>
            </c:spPr>
            <c:extLst>
              <c:ext xmlns:c16="http://schemas.microsoft.com/office/drawing/2014/chart" uri="{C3380CC4-5D6E-409C-BE32-E72D297353CC}">
                <c16:uniqueId val="{0000001C-6C07-4CC0-BFD8-223C69B1EE9C}"/>
              </c:ext>
            </c:extLst>
          </c:dPt>
          <c:dPt>
            <c:idx val="2"/>
            <c:invertIfNegative val="0"/>
            <c:bubble3D val="0"/>
            <c:spPr>
              <a:solidFill>
                <a:srgbClr val="0070C0"/>
              </a:solidFill>
              <a:ln>
                <a:noFill/>
              </a:ln>
              <a:effectLst/>
            </c:spPr>
            <c:extLst>
              <c:ext xmlns:c16="http://schemas.microsoft.com/office/drawing/2014/chart" uri="{C3380CC4-5D6E-409C-BE32-E72D297353CC}">
                <c16:uniqueId val="{0000001D-6C07-4CC0-BFD8-223C69B1EE9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3-6C07-4CC0-BFD8-223C69B1EE9C}"/>
              </c:ext>
            </c:extLst>
          </c:dPt>
          <c:dPt>
            <c:idx val="4"/>
            <c:invertIfNegative val="0"/>
            <c:bubble3D val="0"/>
            <c:spPr>
              <a:solidFill>
                <a:srgbClr val="FFC000"/>
              </a:solidFill>
              <a:ln>
                <a:noFill/>
              </a:ln>
              <a:effectLst/>
            </c:spPr>
            <c:extLst>
              <c:ext xmlns:c16="http://schemas.microsoft.com/office/drawing/2014/chart" uri="{C3380CC4-5D6E-409C-BE32-E72D297353CC}">
                <c16:uniqueId val="{00000005-6C07-4CC0-BFD8-223C69B1EE9C}"/>
              </c:ext>
            </c:extLst>
          </c:dPt>
          <c:dPt>
            <c:idx val="5"/>
            <c:invertIfNegative val="0"/>
            <c:bubble3D val="0"/>
            <c:spPr>
              <a:solidFill>
                <a:srgbClr val="00CC66"/>
              </a:solidFill>
              <a:ln>
                <a:noFill/>
              </a:ln>
              <a:effectLst/>
            </c:spPr>
            <c:extLst>
              <c:ext xmlns:c16="http://schemas.microsoft.com/office/drawing/2014/chart" uri="{C3380CC4-5D6E-409C-BE32-E72D297353CC}">
                <c16:uniqueId val="{00000007-6C07-4CC0-BFD8-223C69B1EE9C}"/>
              </c:ext>
            </c:extLst>
          </c:dPt>
          <c:dPt>
            <c:idx val="6"/>
            <c:invertIfNegative val="0"/>
            <c:bubble3D val="0"/>
            <c:spPr>
              <a:solidFill>
                <a:srgbClr val="00CC66"/>
              </a:solidFill>
              <a:ln>
                <a:noFill/>
              </a:ln>
              <a:effectLst/>
            </c:spPr>
            <c:extLst>
              <c:ext xmlns:c16="http://schemas.microsoft.com/office/drawing/2014/chart" uri="{C3380CC4-5D6E-409C-BE32-E72D297353CC}">
                <c16:uniqueId val="{00000009-6C07-4CC0-BFD8-223C69B1EE9C}"/>
              </c:ext>
            </c:extLst>
          </c:dPt>
          <c:dPt>
            <c:idx val="7"/>
            <c:invertIfNegative val="0"/>
            <c:bubble3D val="0"/>
            <c:spPr>
              <a:solidFill>
                <a:srgbClr val="FF5050"/>
              </a:solidFill>
              <a:ln>
                <a:noFill/>
              </a:ln>
              <a:effectLst/>
            </c:spPr>
            <c:extLst>
              <c:ext xmlns:c16="http://schemas.microsoft.com/office/drawing/2014/chart" uri="{C3380CC4-5D6E-409C-BE32-E72D297353CC}">
                <c16:uniqueId val="{0000000B-6C07-4CC0-BFD8-223C69B1EE9C}"/>
              </c:ext>
            </c:extLst>
          </c:dPt>
          <c:dPt>
            <c:idx val="8"/>
            <c:invertIfNegative val="0"/>
            <c:bubble3D val="0"/>
            <c:spPr>
              <a:solidFill>
                <a:srgbClr val="FF5050"/>
              </a:solidFill>
              <a:ln>
                <a:noFill/>
              </a:ln>
              <a:effectLst/>
            </c:spPr>
            <c:extLst>
              <c:ext xmlns:c16="http://schemas.microsoft.com/office/drawing/2014/chart" uri="{C3380CC4-5D6E-409C-BE32-E72D297353CC}">
                <c16:uniqueId val="{0000000D-6C07-4CC0-BFD8-223C69B1EE9C}"/>
              </c:ext>
            </c:extLst>
          </c:dPt>
          <c:dPt>
            <c:idx val="9"/>
            <c:invertIfNegative val="0"/>
            <c:bubble3D val="0"/>
            <c:spPr>
              <a:solidFill>
                <a:srgbClr val="00FFFF"/>
              </a:solidFill>
              <a:ln>
                <a:noFill/>
              </a:ln>
              <a:effectLst/>
            </c:spPr>
            <c:extLst>
              <c:ext xmlns:c16="http://schemas.microsoft.com/office/drawing/2014/chart" uri="{C3380CC4-5D6E-409C-BE32-E72D297353CC}">
                <c16:uniqueId val="{0000000F-6C07-4CC0-BFD8-223C69B1EE9C}"/>
              </c:ext>
            </c:extLst>
          </c:dPt>
          <c:dPt>
            <c:idx val="10"/>
            <c:invertIfNegative val="0"/>
            <c:bubble3D val="0"/>
            <c:spPr>
              <a:solidFill>
                <a:srgbClr val="00FFFF"/>
              </a:solidFill>
              <a:ln>
                <a:noFill/>
              </a:ln>
              <a:effectLst/>
            </c:spPr>
            <c:extLst>
              <c:ext xmlns:c16="http://schemas.microsoft.com/office/drawing/2014/chart" uri="{C3380CC4-5D6E-409C-BE32-E72D297353CC}">
                <c16:uniqueId val="{00000011-6C07-4CC0-BFD8-223C69B1EE9C}"/>
              </c:ext>
            </c:extLst>
          </c:dPt>
          <c:dPt>
            <c:idx val="11"/>
            <c:invertIfNegative val="0"/>
            <c:bubble3D val="0"/>
            <c:spPr>
              <a:solidFill>
                <a:srgbClr val="FFFF00"/>
              </a:solidFill>
              <a:ln>
                <a:noFill/>
              </a:ln>
              <a:effectLst/>
            </c:spPr>
            <c:extLst>
              <c:ext xmlns:c16="http://schemas.microsoft.com/office/drawing/2014/chart" uri="{C3380CC4-5D6E-409C-BE32-E72D297353CC}">
                <c16:uniqueId val="{00000013-6C07-4CC0-BFD8-223C69B1EE9C}"/>
              </c:ext>
            </c:extLst>
          </c:dPt>
          <c:dPt>
            <c:idx val="12"/>
            <c:invertIfNegative val="0"/>
            <c:bubble3D val="0"/>
            <c:spPr>
              <a:solidFill>
                <a:srgbClr val="C00000"/>
              </a:solidFill>
              <a:ln>
                <a:noFill/>
              </a:ln>
              <a:effectLst/>
            </c:spPr>
            <c:extLst>
              <c:ext xmlns:c16="http://schemas.microsoft.com/office/drawing/2014/chart" uri="{C3380CC4-5D6E-409C-BE32-E72D297353CC}">
                <c16:uniqueId val="{00000015-6C07-4CC0-BFD8-223C69B1EE9C}"/>
              </c:ext>
            </c:extLst>
          </c:dPt>
          <c:dPt>
            <c:idx val="13"/>
            <c:invertIfNegative val="0"/>
            <c:bubble3D val="0"/>
            <c:spPr>
              <a:solidFill>
                <a:srgbClr val="C00000"/>
              </a:solidFill>
              <a:ln>
                <a:noFill/>
              </a:ln>
              <a:effectLst/>
            </c:spPr>
            <c:extLst>
              <c:ext xmlns:c16="http://schemas.microsoft.com/office/drawing/2014/chart" uri="{C3380CC4-5D6E-409C-BE32-E72D297353CC}">
                <c16:uniqueId val="{00000017-6C07-4CC0-BFD8-223C69B1EE9C}"/>
              </c:ext>
            </c:extLst>
          </c:dPt>
          <c:dPt>
            <c:idx val="14"/>
            <c:invertIfNegative val="0"/>
            <c:bubble3D val="0"/>
            <c:spPr>
              <a:solidFill>
                <a:srgbClr val="00B0F0"/>
              </a:solidFill>
              <a:ln>
                <a:noFill/>
              </a:ln>
              <a:effectLst/>
            </c:spPr>
            <c:extLst>
              <c:ext xmlns:c16="http://schemas.microsoft.com/office/drawing/2014/chart" uri="{C3380CC4-5D6E-409C-BE32-E72D297353CC}">
                <c16:uniqueId val="{00000019-6C07-4CC0-BFD8-223C69B1EE9C}"/>
              </c:ext>
            </c:extLst>
          </c:dPt>
          <c:dPt>
            <c:idx val="15"/>
            <c:invertIfNegative val="0"/>
            <c:bubble3D val="0"/>
            <c:spPr>
              <a:solidFill>
                <a:srgbClr val="7030A0"/>
              </a:solidFill>
              <a:ln>
                <a:noFill/>
              </a:ln>
              <a:effectLst/>
            </c:spPr>
            <c:extLst>
              <c:ext xmlns:c16="http://schemas.microsoft.com/office/drawing/2014/chart" uri="{C3380CC4-5D6E-409C-BE32-E72D297353CC}">
                <c16:uniqueId val="{0000001B-6C07-4CC0-BFD8-223C69B1EE9C}"/>
              </c:ext>
            </c:extLst>
          </c:dPt>
          <c:dLbls>
            <c:dLbl>
              <c:idx val="0"/>
              <c:delete val="1"/>
              <c:extLst>
                <c:ext xmlns:c15="http://schemas.microsoft.com/office/drawing/2012/chart" uri="{CE6537A1-D6FC-4f65-9D91-7224C49458BB}"/>
                <c:ext xmlns:c16="http://schemas.microsoft.com/office/drawing/2014/chart" uri="{C3380CC4-5D6E-409C-BE32-E72D297353CC}">
                  <c16:uniqueId val="{00000001-6C07-4CC0-BFD8-223C69B1EE9C}"/>
                </c:ext>
              </c:extLst>
            </c:dLbl>
            <c:dLbl>
              <c:idx val="1"/>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C-6C07-4CC0-BFD8-223C69B1EE9C}"/>
                </c:ext>
              </c:extLst>
            </c:dLbl>
            <c:dLbl>
              <c:idx val="2"/>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D-6C07-4CC0-BFD8-223C69B1EE9C}"/>
                </c:ext>
              </c:extLst>
            </c:dLbl>
            <c:dLbl>
              <c:idx val="3"/>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6C07-4CC0-BFD8-223C69B1EE9C}"/>
                </c:ext>
              </c:extLst>
            </c:dLbl>
            <c:dLbl>
              <c:idx val="4"/>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6C07-4CC0-BFD8-223C69B1EE9C}"/>
                </c:ext>
              </c:extLst>
            </c:dLbl>
            <c:dLbl>
              <c:idx val="5"/>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6C07-4CC0-BFD8-223C69B1EE9C}"/>
                </c:ext>
              </c:extLst>
            </c:dLbl>
            <c:dLbl>
              <c:idx val="6"/>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6C07-4CC0-BFD8-223C69B1EE9C}"/>
                </c:ext>
              </c:extLst>
            </c:dLbl>
            <c:dLbl>
              <c:idx val="7"/>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6C07-4CC0-BFD8-223C69B1EE9C}"/>
                </c:ext>
              </c:extLst>
            </c:dLbl>
            <c:dLbl>
              <c:idx val="8"/>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6C07-4CC0-BFD8-223C69B1EE9C}"/>
                </c:ext>
              </c:extLst>
            </c:dLbl>
            <c:dLbl>
              <c:idx val="9"/>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6C07-4CC0-BFD8-223C69B1EE9C}"/>
                </c:ext>
              </c:extLst>
            </c:dLbl>
            <c:dLbl>
              <c:idx val="10"/>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6C07-4CC0-BFD8-223C69B1EE9C}"/>
                </c:ext>
              </c:extLst>
            </c:dLbl>
            <c:dLbl>
              <c:idx val="11"/>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3-6C07-4CC0-BFD8-223C69B1EE9C}"/>
                </c:ext>
              </c:extLst>
            </c:dLbl>
            <c:dLbl>
              <c:idx val="12"/>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5-6C07-4CC0-BFD8-223C69B1EE9C}"/>
                </c:ext>
              </c:extLst>
            </c:dLbl>
            <c:dLbl>
              <c:idx val="13"/>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7-6C07-4CC0-BFD8-223C69B1EE9C}"/>
                </c:ext>
              </c:extLst>
            </c:dLbl>
            <c:dLbl>
              <c:idx val="14"/>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9-6C07-4CC0-BFD8-223C69B1EE9C}"/>
                </c:ext>
              </c:extLst>
            </c:dLbl>
            <c:dLbl>
              <c:idx val="15"/>
              <c:tx>
                <c:rich>
                  <a:bodyPr/>
                  <a:lstStyle/>
                  <a:p>
                    <a:endParaRPr lang="fa-IR"/>
                  </a:p>
                </c:rich>
              </c:tx>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B-6C07-4CC0-BFD8-223C69B1EE9C}"/>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Sensitivity!$D$9:$D$24</c:f>
              <c:strCache>
                <c:ptCount val="1"/>
                <c:pt idx="0">
                  <c:v>Final</c:v>
                </c:pt>
              </c:strCache>
            </c:strRef>
          </c:cat>
          <c:val>
            <c:numRef>
              <c:f>Sensitivity!$H$9:$H$24</c:f>
              <c:numCache>
                <c:formatCode>_(* #,##0.0000_);_(* \(#,##0.0000\);_(* "-"??_);_(@_)</c:formatCode>
                <c:ptCount val="16"/>
                <c:pt idx="0">
                  <c:v>2.330168172395239</c:v>
                </c:pt>
              </c:numCache>
            </c:numRef>
          </c:val>
          <c:extLst>
            <c:ext xmlns:c15="http://schemas.microsoft.com/office/drawing/2012/chart" uri="{02D57815-91ED-43cb-92C2-25804820EDAC}">
              <c15:datalabelsRange>
                <c15:f>Sensitivity!$I$9:$I$24</c15:f>
                <c15:dlblRangeCache>
                  <c:ptCount val="16"/>
                </c15:dlblRangeCache>
              </c15:datalabelsRange>
            </c:ext>
            <c:ext xmlns:c16="http://schemas.microsoft.com/office/drawing/2014/chart" uri="{C3380CC4-5D6E-409C-BE32-E72D297353CC}">
              <c16:uniqueId val="{0000001E-6C07-4CC0-BFD8-223C69B1EE9C}"/>
            </c:ext>
          </c:extLst>
        </c:ser>
        <c:dLbls>
          <c:showLegendKey val="0"/>
          <c:showVal val="0"/>
          <c:showCatName val="0"/>
          <c:showSerName val="0"/>
          <c:showPercent val="0"/>
          <c:showBubbleSize val="0"/>
        </c:dLbls>
        <c:gapWidth val="219"/>
        <c:overlap val="-27"/>
        <c:axId val="1309461760"/>
        <c:axId val="1309460512"/>
      </c:barChart>
      <c:catAx>
        <c:axId val="130946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09460512"/>
        <c:crosses val="autoZero"/>
        <c:auto val="1"/>
        <c:lblAlgn val="ctr"/>
        <c:lblOffset val="100"/>
        <c:noMultiLvlLbl val="0"/>
      </c:catAx>
      <c:valAx>
        <c:axId val="13094605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CFP (tCO2e/ton)</a:t>
                </a:r>
              </a:p>
            </c:rich>
          </c:tx>
          <c:layout>
            <c:manualLayout>
              <c:xMode val="edge"/>
              <c:yMode val="edge"/>
              <c:x val="6.2484058306552697E-3"/>
              <c:y val="0.37780145182351471"/>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09461760"/>
        <c:crosses val="autoZero"/>
        <c:crossBetween val="between"/>
      </c:valAx>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rtl="1">
              <a:defRPr sz="126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GHG Emissions</a:t>
            </a:r>
          </a:p>
        </c:rich>
      </c:tx>
      <c:overlay val="0"/>
      <c:spPr>
        <a:noFill/>
        <a:ln>
          <a:noFill/>
        </a:ln>
        <a:effectLst/>
      </c:spPr>
      <c:txPr>
        <a:bodyPr rot="0" spcFirstLastPara="1" vertOverflow="ellipsis" vert="horz" wrap="square" anchor="ctr" anchorCtr="1"/>
        <a:lstStyle/>
        <a:p>
          <a:pPr rtl="1">
            <a:defRPr sz="126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315456042542343"/>
          <c:y val="0.18688807669501153"/>
          <c:w val="0.40617312226233071"/>
          <c:h val="0.59602067878506526"/>
        </c:manualLayout>
      </c:layout>
      <c:pieChart>
        <c:varyColors val="1"/>
        <c:ser>
          <c:idx val="0"/>
          <c:order val="0"/>
          <c:spPr>
            <a:solidFill>
              <a:srgbClr val="CC99FF"/>
            </a:solidFill>
          </c:spPr>
          <c:dPt>
            <c:idx val="0"/>
            <c:bubble3D val="0"/>
            <c:spPr>
              <a:solidFill>
                <a:srgbClr val="CC99FF"/>
              </a:solidFill>
              <a:ln w="19050">
                <a:solidFill>
                  <a:schemeClr val="lt1"/>
                </a:solidFill>
              </a:ln>
              <a:effectLst/>
            </c:spPr>
            <c:extLst>
              <c:ext xmlns:c16="http://schemas.microsoft.com/office/drawing/2014/chart" uri="{C3380CC4-5D6E-409C-BE32-E72D297353CC}">
                <c16:uniqueId val="{00000001-3AE0-4398-AA61-AE49CD990A49}"/>
              </c:ext>
            </c:extLst>
          </c:dPt>
          <c:dPt>
            <c:idx val="1"/>
            <c:bubble3D val="0"/>
            <c:spPr>
              <a:solidFill>
                <a:srgbClr val="CC99FF"/>
              </a:solidFill>
              <a:ln w="19050">
                <a:solidFill>
                  <a:schemeClr val="lt1"/>
                </a:solidFill>
              </a:ln>
              <a:effectLst/>
            </c:spPr>
            <c:extLst>
              <c:ext xmlns:c16="http://schemas.microsoft.com/office/drawing/2014/chart" uri="{C3380CC4-5D6E-409C-BE32-E72D297353CC}">
                <c16:uniqueId val="{00000003-3AE0-4398-AA61-AE49CD990A49}"/>
              </c:ext>
            </c:extLst>
          </c:dPt>
          <c:dPt>
            <c:idx val="2"/>
            <c:bubble3D val="0"/>
            <c:spPr>
              <a:solidFill>
                <a:srgbClr val="CC99FF"/>
              </a:solidFill>
              <a:ln w="19050">
                <a:solidFill>
                  <a:schemeClr val="lt1"/>
                </a:solidFill>
              </a:ln>
              <a:effectLst/>
            </c:spPr>
            <c:extLst>
              <c:ext xmlns:c16="http://schemas.microsoft.com/office/drawing/2014/chart" uri="{C3380CC4-5D6E-409C-BE32-E72D297353CC}">
                <c16:uniqueId val="{00000006-3AE0-4398-AA61-AE49CD990A49}"/>
              </c:ext>
            </c:extLst>
          </c:dPt>
          <c:dPt>
            <c:idx val="3"/>
            <c:bubble3D val="0"/>
            <c:spPr>
              <a:solidFill>
                <a:srgbClr val="CC99FF"/>
              </a:solidFill>
              <a:ln w="19050">
                <a:solidFill>
                  <a:schemeClr val="lt1"/>
                </a:solidFill>
              </a:ln>
              <a:effectLst/>
            </c:spPr>
            <c:extLst>
              <c:ext xmlns:c16="http://schemas.microsoft.com/office/drawing/2014/chart" uri="{C3380CC4-5D6E-409C-BE32-E72D297353CC}">
                <c16:uniqueId val="{00000007-E493-44BA-817A-986CCD0AB90C}"/>
              </c:ext>
            </c:extLst>
          </c:dPt>
          <c:dLbls>
            <c:dLbl>
              <c:idx val="0"/>
              <c:layout>
                <c:manualLayout>
                  <c:x val="-2.2207908509469545E-2"/>
                  <c:y val="-3.5318722099234784E-2"/>
                </c:manualLayout>
              </c:layout>
              <c:tx>
                <c:rich>
                  <a:bodyPr/>
                  <a:lstStyle/>
                  <a:p>
                    <a:fld id="{746404BE-E246-482C-8F8F-76DED42DEA4B}" type="CELLRANGE">
                      <a:rPr lang="en-US" baseline="0"/>
                      <a:pPr/>
                      <a:t>[CELLRANGE]</a:t>
                    </a:fld>
                    <a:r>
                      <a:rPr lang="en-US" baseline="0"/>
                      <a:t>
</a:t>
                    </a:r>
                    <a:fld id="{CC93A3D2-EC03-4968-A117-7F23F356FB2E}" type="CATEGORYNAME">
                      <a:rPr lang="en-US" baseline="0"/>
                      <a:pPr/>
                      <a:t>[CATEGORY NAME]</a:t>
                    </a:fld>
                    <a:endParaRPr lang="en-US" baseline="0"/>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AE0-4398-AA61-AE49CD990A49}"/>
                </c:ext>
              </c:extLst>
            </c:dLbl>
            <c:dLbl>
              <c:idx val="1"/>
              <c:layout>
                <c:manualLayout>
                  <c:x val="5.8402695635841877E-2"/>
                  <c:y val="0.18806768094584908"/>
                </c:manualLayout>
              </c:layout>
              <c:tx>
                <c:rich>
                  <a:bodyPr/>
                  <a:lstStyle/>
                  <a:p>
                    <a:fld id="{EBB9652D-6484-4459-B102-6E1A558AFB10}" type="CELLRANGE">
                      <a:rPr lang="en-US" baseline="0"/>
                      <a:pPr/>
                      <a:t>[CELLRANGE]</a:t>
                    </a:fld>
                    <a:r>
                      <a:rPr lang="en-US" baseline="0"/>
                      <a:t>
</a:t>
                    </a:r>
                    <a:fld id="{CE64CAF1-D01B-4D92-AE51-CF19BB3779A0}" type="CATEGORYNAME">
                      <a:rPr lang="en-US" baseline="0"/>
                      <a:pPr/>
                      <a:t>[CATEGORY NAME]</a:t>
                    </a:fld>
                    <a:endParaRPr lang="en-US" baseline="0"/>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3AE0-4398-AA61-AE49CD990A49}"/>
                </c:ext>
              </c:extLst>
            </c:dLbl>
            <c:dLbl>
              <c:idx val="2"/>
              <c:layout>
                <c:manualLayout>
                  <c:x val="-9.83956539171916E-2"/>
                  <c:y val="0.42993032674404169"/>
                </c:manualLayout>
              </c:layout>
              <c:tx>
                <c:rich>
                  <a:bodyPr/>
                  <a:lstStyle/>
                  <a:p>
                    <a:fld id="{836D4A94-9713-48E1-82D3-B7C0E3047878}" type="CELLRANGE">
                      <a:rPr lang="en-US" baseline="0"/>
                      <a:pPr/>
                      <a:t>[CELLRANGE]</a:t>
                    </a:fld>
                    <a:r>
                      <a:rPr lang="en-US" baseline="0"/>
                      <a:t>
</a:t>
                    </a:r>
                    <a:fld id="{6E482F87-E876-4C47-96B3-0AD5A9438051}" type="CATEGORYNAME">
                      <a:rPr lang="en-US" baseline="0"/>
                      <a:pPr/>
                      <a:t>[CATEGORY NAME]</a:t>
                    </a:fld>
                    <a:endParaRPr lang="en-US" baseline="0"/>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3AE0-4398-AA61-AE49CD990A49}"/>
                </c:ext>
              </c:extLst>
            </c:dLbl>
            <c:dLbl>
              <c:idx val="3"/>
              <c:layout>
                <c:manualLayout>
                  <c:x val="-7.4774102725487521E-3"/>
                  <c:y val="-0.28893968380500706"/>
                </c:manualLayout>
              </c:layout>
              <c:tx>
                <c:rich>
                  <a:bodyPr/>
                  <a:lstStyle/>
                  <a:p>
                    <a:fld id="{14E0CD10-9CE1-4705-9D7A-DDF4BB5C827F}" type="CELLRANGE">
                      <a:rPr lang="en-US" baseline="0"/>
                      <a:pPr/>
                      <a:t>[CELLRANGE]</a:t>
                    </a:fld>
                    <a:r>
                      <a:rPr lang="en-US" baseline="0"/>
                      <a:t>
</a:t>
                    </a:r>
                    <a:fld id="{0C9AFE1F-1FD8-481C-AA50-16BC9B8B9776}" type="CATEGORYNAME">
                      <a:rPr lang="en-US" baseline="0"/>
                      <a:pPr/>
                      <a:t>[CATEGORY NAME]</a:t>
                    </a:fld>
                    <a:endParaRPr lang="en-US" baseline="0"/>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7-E493-44BA-817A-986CCD0AB90C}"/>
                </c:ext>
              </c:extLst>
            </c:dLbl>
            <c:spPr>
              <a:solidFill>
                <a:srgbClr val="69D969"/>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dLblPos val="outEnd"/>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cat>
            <c:strRef>
              <c:f>'Tables &amp; Graphs'!$C$88:$C$91</c:f>
              <c:strCache>
                <c:ptCount val="4"/>
                <c:pt idx="0">
                  <c:v>CO2</c:v>
                </c:pt>
                <c:pt idx="1">
                  <c:v>CH4</c:v>
                </c:pt>
                <c:pt idx="2">
                  <c:v>N2O</c:v>
                </c:pt>
                <c:pt idx="3">
                  <c:v>SF6</c:v>
                </c:pt>
              </c:strCache>
            </c:strRef>
          </c:cat>
          <c:val>
            <c:numRef>
              <c:f>'Tables &amp; Graphs'!$E$88:$E$91</c:f>
              <c:numCache>
                <c:formatCode>_(* #,##0_);_(* \(#,##0\);_(* "-"??_);_(@_)</c:formatCode>
                <c:ptCount val="4"/>
                <c:pt idx="0">
                  <c:v>18543415.126081921</c:v>
                </c:pt>
                <c:pt idx="1">
                  <c:v>59333.236110877137</c:v>
                </c:pt>
                <c:pt idx="2">
                  <c:v>26.231749739454958</c:v>
                </c:pt>
                <c:pt idx="3">
                  <c:v>0.4</c:v>
                </c:pt>
              </c:numCache>
            </c:numRef>
          </c:val>
          <c:extLst>
            <c:ext xmlns:c15="http://schemas.microsoft.com/office/drawing/2012/chart" uri="{02D57815-91ED-43cb-92C2-25804820EDAC}">
              <c15:datalabelsRange>
                <c15:f>'Tables &amp; Graphs'!$F$88:$F$91</c15:f>
                <c15:dlblRangeCache>
                  <c:ptCount val="4"/>
                  <c:pt idx="0">
                    <c:v>99.68%</c:v>
                  </c:pt>
                  <c:pt idx="1">
                    <c:v>0.32%</c:v>
                  </c:pt>
                  <c:pt idx="2">
                    <c:v>0.00%</c:v>
                  </c:pt>
                  <c:pt idx="3">
                    <c:v>0.00%</c:v>
                  </c:pt>
                </c15:dlblRangeCache>
              </c15:datalabelsRange>
            </c:ext>
            <c:ext xmlns:c16="http://schemas.microsoft.com/office/drawing/2014/chart" uri="{C3380CC4-5D6E-409C-BE32-E72D297353CC}">
              <c16:uniqueId val="{00000004-3AE0-4398-AA61-AE49CD990A49}"/>
            </c:ext>
          </c:extLst>
        </c:ser>
        <c:dLbls>
          <c:showLegendKey val="0"/>
          <c:showVal val="0"/>
          <c:showCatName val="0"/>
          <c:showSerName val="0"/>
          <c:showPercent val="0"/>
          <c:showBubbleSize val="0"/>
          <c:showLeaderLines val="1"/>
        </c:dLbls>
        <c:firstSliceAng val="91"/>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a:defRPr sz="105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Areas Emission</a:t>
            </a:r>
          </a:p>
        </c:rich>
      </c:tx>
      <c:overlay val="0"/>
      <c:spPr>
        <a:noFill/>
        <a:ln>
          <a:noFill/>
        </a:ln>
        <a:effectLst/>
      </c:spPr>
      <c:txPr>
        <a:bodyPr rot="0" spcFirstLastPara="1" vertOverflow="ellipsis" vert="horz" wrap="square" anchor="ctr" anchorCtr="1"/>
        <a:lstStyle/>
        <a:p>
          <a:pPr>
            <a:defRPr sz="126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579456968058025"/>
          <c:y val="0.12855699706623683"/>
          <c:w val="0.82332240572270865"/>
          <c:h val="0.64534759830809507"/>
        </c:manualLayout>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BBA-4F0B-AF45-0410E1126ED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BBA-4F0B-AF45-0410E1126EDB}"/>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FBBA-4F0B-AF45-0410E1126EDB}"/>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FBBA-4F0B-AF45-0410E1126EDB}"/>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FBBA-4F0B-AF45-0410E1126EDB}"/>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FBBA-4F0B-AF45-0410E1126EDB}"/>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FBBA-4F0B-AF45-0410E1126EDB}"/>
              </c:ext>
            </c:extLst>
          </c:dPt>
          <c:dPt>
            <c:idx val="7"/>
            <c:invertIfNegative val="0"/>
            <c:bubble3D val="0"/>
            <c:spPr>
              <a:solidFill>
                <a:srgbClr val="C00000"/>
              </a:solidFill>
              <a:ln>
                <a:noFill/>
              </a:ln>
              <a:effectLst/>
            </c:spPr>
            <c:extLst>
              <c:ext xmlns:c16="http://schemas.microsoft.com/office/drawing/2014/chart" uri="{C3380CC4-5D6E-409C-BE32-E72D297353CC}">
                <c16:uniqueId val="{00000001-F485-4246-80E3-E90AF0282934}"/>
              </c:ext>
            </c:extLst>
          </c:dPt>
          <c:dLbls>
            <c:dLbl>
              <c:idx val="0"/>
              <c:tx>
                <c:rich>
                  <a:bodyPr/>
                  <a:lstStyle/>
                  <a:p>
                    <a:fld id="{AB5B53BA-765E-4EC1-B0CA-EEC512F14D5F}" type="CELLRANGE">
                      <a:rPr lang="en-US"/>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FBBA-4F0B-AF45-0410E1126EDB}"/>
                </c:ext>
              </c:extLst>
            </c:dLbl>
            <c:dLbl>
              <c:idx val="1"/>
              <c:tx>
                <c:rich>
                  <a:bodyPr/>
                  <a:lstStyle/>
                  <a:p>
                    <a:fld id="{6BD29B92-0869-44E4-8626-56C3AE8DDB6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BBA-4F0B-AF45-0410E1126EDB}"/>
                </c:ext>
              </c:extLst>
            </c:dLbl>
            <c:dLbl>
              <c:idx val="2"/>
              <c:tx>
                <c:rich>
                  <a:bodyPr/>
                  <a:lstStyle/>
                  <a:p>
                    <a:fld id="{238DBE26-C71B-4D7F-86A8-A36CA523575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BBA-4F0B-AF45-0410E1126EDB}"/>
                </c:ext>
              </c:extLst>
            </c:dLbl>
            <c:dLbl>
              <c:idx val="3"/>
              <c:tx>
                <c:rich>
                  <a:bodyPr/>
                  <a:lstStyle/>
                  <a:p>
                    <a:fld id="{DE46F59D-14C6-4BE6-B9BC-8A44DA116C6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BBA-4F0B-AF45-0410E1126EDB}"/>
                </c:ext>
              </c:extLst>
            </c:dLbl>
            <c:dLbl>
              <c:idx val="4"/>
              <c:tx>
                <c:rich>
                  <a:bodyPr/>
                  <a:lstStyle/>
                  <a:p>
                    <a:fld id="{5E79DD7A-B79D-492A-BC26-7C2AB1552A8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BBA-4F0B-AF45-0410E1126EDB}"/>
                </c:ext>
              </c:extLst>
            </c:dLbl>
            <c:dLbl>
              <c:idx val="5"/>
              <c:tx>
                <c:rich>
                  <a:bodyPr/>
                  <a:lstStyle/>
                  <a:p>
                    <a:fld id="{0D55E0AC-FC7B-4652-A453-4A2CBAA2E7A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BBA-4F0B-AF45-0410E1126EDB}"/>
                </c:ext>
              </c:extLst>
            </c:dLbl>
            <c:dLbl>
              <c:idx val="6"/>
              <c:tx>
                <c:rich>
                  <a:bodyPr/>
                  <a:lstStyle/>
                  <a:p>
                    <a:fld id="{E78A6D2C-06F9-47B5-94D6-968C4D4764E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BBA-4F0B-AF45-0410E1126EDB}"/>
                </c:ext>
              </c:extLst>
            </c:dLbl>
            <c:dLbl>
              <c:idx val="7"/>
              <c:tx>
                <c:rich>
                  <a:bodyPr/>
                  <a:lstStyle/>
                  <a:p>
                    <a:fld id="{F27D0A19-15D7-4443-897B-0153B021C59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F485-4246-80E3-E90AF0282934}"/>
                </c:ext>
              </c:extLst>
            </c:dLbl>
            <c:spPr>
              <a:solidFill>
                <a:srgbClr val="69D969"/>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5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Graphs'!$B$22:$B$29</c:f>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f>'Tables &amp; Graphs'!$E$22:$E$29</c:f>
              <c:numCache>
                <c:formatCode>_(* #,##0_);_(* \(#,##0\);_(* "-"??_);_(@_)</c:formatCode>
                <c:ptCount val="8"/>
                <c:pt idx="0">
                  <c:v>7182736.2314968714</c:v>
                </c:pt>
                <c:pt idx="1">
                  <c:v>9305750.0108622964</c:v>
                </c:pt>
                <c:pt idx="2">
                  <c:v>463713.19685769925</c:v>
                </c:pt>
                <c:pt idx="3">
                  <c:v>260650.52944576315</c:v>
                </c:pt>
                <c:pt idx="4">
                  <c:v>2099578.6974632288</c:v>
                </c:pt>
                <c:pt idx="5">
                  <c:v>35746.12735550385</c:v>
                </c:pt>
                <c:pt idx="6">
                  <c:v>74832.069815460767</c:v>
                </c:pt>
                <c:pt idx="7">
                  <c:v>739460.04685461009</c:v>
                </c:pt>
              </c:numCache>
            </c:numRef>
          </c:val>
          <c:extLst>
            <c:ext xmlns:c15="http://schemas.microsoft.com/office/drawing/2012/chart" uri="{02D57815-91ED-43cb-92C2-25804820EDAC}">
              <c15:datalabelsRange>
                <c15:f>'Tables &amp; Graphs'!$F$22:$F$29</c15:f>
                <c15:dlblRangeCache>
                  <c:ptCount val="8"/>
                  <c:pt idx="0">
                    <c:v>35.62%</c:v>
                  </c:pt>
                  <c:pt idx="1">
                    <c:v>46.15%</c:v>
                  </c:pt>
                  <c:pt idx="2">
                    <c:v>2.30%</c:v>
                  </c:pt>
                  <c:pt idx="3">
                    <c:v>1.29%</c:v>
                  </c:pt>
                  <c:pt idx="4">
                    <c:v>10.41%</c:v>
                  </c:pt>
                  <c:pt idx="5">
                    <c:v>0.18%</c:v>
                  </c:pt>
                  <c:pt idx="6">
                    <c:v>0.37%</c:v>
                  </c:pt>
                  <c:pt idx="7">
                    <c:v>3.67%</c:v>
                  </c:pt>
                </c15:dlblRangeCache>
              </c15:datalabelsRange>
            </c:ext>
            <c:ext xmlns:c16="http://schemas.microsoft.com/office/drawing/2014/chart" uri="{C3380CC4-5D6E-409C-BE32-E72D297353CC}">
              <c16:uniqueId val="{00000000-FBBA-4F0B-AF45-0410E1126EDB}"/>
            </c:ext>
          </c:extLst>
        </c:ser>
        <c:dLbls>
          <c:showLegendKey val="0"/>
          <c:showVal val="0"/>
          <c:showCatName val="0"/>
          <c:showSerName val="0"/>
          <c:showPercent val="0"/>
          <c:showBubbleSize val="0"/>
        </c:dLbls>
        <c:gapWidth val="30"/>
        <c:axId val="1319821999"/>
        <c:axId val="1319822415"/>
      </c:barChart>
      <c:catAx>
        <c:axId val="131982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baseline="0">
                <a:solidFill>
                  <a:sysClr val="windowText" lastClr="000000"/>
                </a:solidFill>
                <a:latin typeface="Times New Roman" panose="02020603050405020304" pitchFamily="18" charset="0"/>
                <a:ea typeface="+mn-ea"/>
                <a:cs typeface="B Titr" panose="00000700000000000000" pitchFamily="2" charset="-78"/>
              </a:defRPr>
            </a:pPr>
            <a:endParaRPr lang="fa-IR"/>
          </a:p>
        </c:txPr>
        <c:crossAx val="1319822415"/>
        <c:crosses val="autoZero"/>
        <c:auto val="1"/>
        <c:lblAlgn val="ctr"/>
        <c:lblOffset val="100"/>
        <c:noMultiLvlLbl val="0"/>
      </c:catAx>
      <c:valAx>
        <c:axId val="13198224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rtl="1">
                  <a:defRPr sz="105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r>
                  <a:rPr lang="en-US"/>
                  <a:t>Emission (tCO2e/y)</a:t>
                </a:r>
              </a:p>
            </c:rich>
          </c:tx>
          <c:layout>
            <c:manualLayout>
              <c:xMode val="edge"/>
              <c:yMode val="edge"/>
              <c:x val="2.0374898125509371E-3"/>
              <c:y val="0.22772946554371468"/>
            </c:manualLayout>
          </c:layout>
          <c:overlay val="0"/>
          <c:spPr>
            <a:noFill/>
            <a:ln>
              <a:noFill/>
            </a:ln>
            <a:effectLst/>
          </c:spPr>
          <c:txPr>
            <a:bodyPr rot="-5400000" spcFirstLastPara="1" vertOverflow="ellipsis" vert="horz" wrap="square" anchor="ctr" anchorCtr="1"/>
            <a:lstStyle/>
            <a:p>
              <a:pPr rtl="1">
                <a:defRPr sz="105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1982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5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Emission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6273335777880707"/>
          <c:y val="0.125678604310902"/>
          <c:w val="0.81479932195975502"/>
          <c:h val="0.61998103605596155"/>
        </c:manualLayout>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2C-3822-4A43-98A9-CFAFB816D0D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2D-3822-4A43-98A9-CFAFB816D0D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2E-3822-4A43-98A9-CFAFB816D0D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2F-3822-4A43-98A9-CFAFB816D0D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30-3822-4A43-98A9-CFAFB816D0D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31-3822-4A43-98A9-CFAFB816D0D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32-3822-4A43-98A9-CFAFB816D0D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33-3822-4A43-98A9-CFAFB816D0D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34-3822-4A43-98A9-CFAFB816D0D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35-3822-4A43-98A9-CFAFB816D0D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36-3822-4A43-98A9-CFAFB816D0D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37-3822-4A43-98A9-CFAFB816D0DE}"/>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F5EA-484A-B776-3F3B2ED92F7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F5EA-484A-B776-3F3B2ED92F7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3621-41CC-9292-AAA71442A7F6}"/>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B954-4DD6-A903-23A2403D88AB}"/>
              </c:ext>
            </c:extLst>
          </c:dPt>
          <c:dLbls>
            <c:dLbl>
              <c:idx val="0"/>
              <c:tx>
                <c:rich>
                  <a:bodyPr/>
                  <a:lstStyle/>
                  <a:p>
                    <a:fld id="{B3BFD847-BC41-44C0-8B25-196886043A6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C-3822-4A43-98A9-CFAFB816D0DE}"/>
                </c:ext>
              </c:extLst>
            </c:dLbl>
            <c:dLbl>
              <c:idx val="1"/>
              <c:layout>
                <c:manualLayout>
                  <c:x val="0"/>
                  <c:y val="1.294128706194826E-2"/>
                </c:manualLayout>
              </c:layout>
              <c:tx>
                <c:rich>
                  <a:bodyPr/>
                  <a:lstStyle/>
                  <a:p>
                    <a:fld id="{F5552DDF-A306-44FF-8F11-BC5A7D096839}" type="CELLRANGE">
                      <a:rPr lang="en-US"/>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2D-3822-4A43-98A9-CFAFB816D0DE}"/>
                </c:ext>
              </c:extLst>
            </c:dLbl>
            <c:dLbl>
              <c:idx val="2"/>
              <c:tx>
                <c:rich>
                  <a:bodyPr/>
                  <a:lstStyle/>
                  <a:p>
                    <a:fld id="{5C0BA465-7EE0-4BAE-A220-149F7F72B65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E-3822-4A43-98A9-CFAFB816D0DE}"/>
                </c:ext>
              </c:extLst>
            </c:dLbl>
            <c:dLbl>
              <c:idx val="3"/>
              <c:tx>
                <c:rich>
                  <a:bodyPr/>
                  <a:lstStyle/>
                  <a:p>
                    <a:fld id="{86DB58C3-7BD7-40B6-908E-E2705F65C46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2F-3822-4A43-98A9-CFAFB816D0DE}"/>
                </c:ext>
              </c:extLst>
            </c:dLbl>
            <c:dLbl>
              <c:idx val="4"/>
              <c:tx>
                <c:rich>
                  <a:bodyPr/>
                  <a:lstStyle/>
                  <a:p>
                    <a:fld id="{4130A362-64C7-4D3A-BAC0-2A8E68206BA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0-3822-4A43-98A9-CFAFB816D0DE}"/>
                </c:ext>
              </c:extLst>
            </c:dLbl>
            <c:dLbl>
              <c:idx val="5"/>
              <c:tx>
                <c:rich>
                  <a:bodyPr/>
                  <a:lstStyle/>
                  <a:p>
                    <a:fld id="{F95E6899-4923-4B5B-86CE-647D3F4E620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1-3822-4A43-98A9-CFAFB816D0DE}"/>
                </c:ext>
              </c:extLst>
            </c:dLbl>
            <c:dLbl>
              <c:idx val="6"/>
              <c:tx>
                <c:rich>
                  <a:bodyPr/>
                  <a:lstStyle/>
                  <a:p>
                    <a:fld id="{D0371745-E0F2-4207-BD31-E5403611C5A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2-3822-4A43-98A9-CFAFB816D0DE}"/>
                </c:ext>
              </c:extLst>
            </c:dLbl>
            <c:dLbl>
              <c:idx val="7"/>
              <c:tx>
                <c:rich>
                  <a:bodyPr/>
                  <a:lstStyle/>
                  <a:p>
                    <a:fld id="{8B0B3168-6AB7-420F-8451-3754832CB3B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3-3822-4A43-98A9-CFAFB816D0DE}"/>
                </c:ext>
              </c:extLst>
            </c:dLbl>
            <c:dLbl>
              <c:idx val="8"/>
              <c:tx>
                <c:rich>
                  <a:bodyPr/>
                  <a:lstStyle/>
                  <a:p>
                    <a:fld id="{B802897F-5E16-472B-AAC6-37E79E7ED71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4-3822-4A43-98A9-CFAFB816D0DE}"/>
                </c:ext>
              </c:extLst>
            </c:dLbl>
            <c:dLbl>
              <c:idx val="9"/>
              <c:tx>
                <c:rich>
                  <a:bodyPr/>
                  <a:lstStyle/>
                  <a:p>
                    <a:fld id="{291C1DEF-87FE-4466-B729-7DCEEEF7A62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5-3822-4A43-98A9-CFAFB816D0DE}"/>
                </c:ext>
              </c:extLst>
            </c:dLbl>
            <c:dLbl>
              <c:idx val="10"/>
              <c:tx>
                <c:rich>
                  <a:bodyPr/>
                  <a:lstStyle/>
                  <a:p>
                    <a:fld id="{3E0892B4-DB9C-447F-B595-E3DBC19D8CB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6-3822-4A43-98A9-CFAFB816D0DE}"/>
                </c:ext>
              </c:extLst>
            </c:dLbl>
            <c:dLbl>
              <c:idx val="11"/>
              <c:tx>
                <c:rich>
                  <a:bodyPr/>
                  <a:lstStyle/>
                  <a:p>
                    <a:fld id="{D73B63B5-3473-438C-B283-B8F52965403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37-3822-4A43-98A9-CFAFB816D0DE}"/>
                </c:ext>
              </c:extLst>
            </c:dLbl>
            <c:dLbl>
              <c:idx val="12"/>
              <c:tx>
                <c:rich>
                  <a:bodyPr/>
                  <a:lstStyle/>
                  <a:p>
                    <a:fld id="{5179CD0B-EC31-45DB-952A-900233E5C14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F5EA-484A-B776-3F3B2ED92F79}"/>
                </c:ext>
              </c:extLst>
            </c:dLbl>
            <c:dLbl>
              <c:idx val="13"/>
              <c:tx>
                <c:rich>
                  <a:bodyPr/>
                  <a:lstStyle/>
                  <a:p>
                    <a:fld id="{2D2F3232-A1E2-4984-97B4-6ED1C8F2E66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F5EA-484A-B776-3F3B2ED92F79}"/>
                </c:ext>
              </c:extLst>
            </c:dLbl>
            <c:dLbl>
              <c:idx val="14"/>
              <c:tx>
                <c:rich>
                  <a:bodyPr/>
                  <a:lstStyle/>
                  <a:p>
                    <a:fld id="{EF36CC19-4E2A-4492-9F65-5ECC3D4663C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3621-41CC-9292-AAA71442A7F6}"/>
                </c:ext>
              </c:extLst>
            </c:dLbl>
            <c:dLbl>
              <c:idx val="15"/>
              <c:tx>
                <c:rich>
                  <a:bodyPr/>
                  <a:lstStyle/>
                  <a:p>
                    <a:fld id="{9B41146C-24F0-4BE9-9B4B-8712D7EE9DB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954-4DD6-A903-23A2403D88AB}"/>
                </c:ext>
              </c:extLst>
            </c:dLbl>
            <c:spPr>
              <a:solidFill>
                <a:srgbClr val="69D969"/>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Graphs'!$B$42:$B$57</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Graphs'!$E$42:$E$57</c:f>
              <c:numCache>
                <c:formatCode>_(* #,##0_);_(* \(#,##0\);_(* "-"??_);_(@_)</c:formatCode>
                <c:ptCount val="16"/>
                <c:pt idx="0">
                  <c:v>1296746.9928550471</c:v>
                </c:pt>
                <c:pt idx="1">
                  <c:v>4293669.2697966658</c:v>
                </c:pt>
                <c:pt idx="2">
                  <c:v>13618.732833191651</c:v>
                </c:pt>
                <c:pt idx="3">
                  <c:v>49101.160298873969</c:v>
                </c:pt>
                <c:pt idx="4">
                  <c:v>90516.963409984208</c:v>
                </c:pt>
                <c:pt idx="5">
                  <c:v>597.4327115142097</c:v>
                </c:pt>
                <c:pt idx="6">
                  <c:v>4539539.8536774926</c:v>
                </c:pt>
                <c:pt idx="7">
                  <c:v>488422.60977016506</c:v>
                </c:pt>
                <c:pt idx="8">
                  <c:v>0</c:v>
                </c:pt>
                <c:pt idx="9">
                  <c:v>33906.774135461914</c:v>
                </c:pt>
                <c:pt idx="10">
                  <c:v>704949.49694779061</c:v>
                </c:pt>
                <c:pt idx="11">
                  <c:v>7604433.746760278</c:v>
                </c:pt>
                <c:pt idx="12">
                  <c:v>26292.178559511394</c:v>
                </c:pt>
                <c:pt idx="13">
                  <c:v>14983.340718073214</c:v>
                </c:pt>
                <c:pt idx="14">
                  <c:v>3843.6711098475207</c:v>
                </c:pt>
                <c:pt idx="15">
                  <c:v>1001844.6865675382</c:v>
                </c:pt>
              </c:numCache>
            </c:numRef>
          </c:val>
          <c:extLst>
            <c:ext xmlns:c15="http://schemas.microsoft.com/office/drawing/2012/chart" uri="{02D57815-91ED-43cb-92C2-25804820EDAC}">
              <c15:datalabelsRange>
                <c15:f>'Tables &amp; Graphs'!$F$42:$F$57</c15:f>
                <c15:dlblRangeCache>
                  <c:ptCount val="16"/>
                  <c:pt idx="0">
                    <c:v>6.4%</c:v>
                  </c:pt>
                  <c:pt idx="1">
                    <c:v>21.3%</c:v>
                  </c:pt>
                  <c:pt idx="2">
                    <c:v>0.1%</c:v>
                  </c:pt>
                  <c:pt idx="3">
                    <c:v>0.2%</c:v>
                  </c:pt>
                  <c:pt idx="4">
                    <c:v>0.4%</c:v>
                  </c:pt>
                  <c:pt idx="5">
                    <c:v>0.0%</c:v>
                  </c:pt>
                  <c:pt idx="6">
                    <c:v>22.5%</c:v>
                  </c:pt>
                  <c:pt idx="7">
                    <c:v>2.4%</c:v>
                  </c:pt>
                  <c:pt idx="8">
                    <c:v>0.0%</c:v>
                  </c:pt>
                  <c:pt idx="9">
                    <c:v>0.2%</c:v>
                  </c:pt>
                  <c:pt idx="10">
                    <c:v>3.5%</c:v>
                  </c:pt>
                  <c:pt idx="11">
                    <c:v>37.7%</c:v>
                  </c:pt>
                  <c:pt idx="12">
                    <c:v>0.1%</c:v>
                  </c:pt>
                  <c:pt idx="13">
                    <c:v>0.1%</c:v>
                  </c:pt>
                  <c:pt idx="14">
                    <c:v>0.0%</c:v>
                  </c:pt>
                  <c:pt idx="15">
                    <c:v>5.0%</c:v>
                  </c:pt>
                </c15:dlblRangeCache>
              </c15:datalabelsRange>
            </c:ext>
            <c:ext xmlns:c16="http://schemas.microsoft.com/office/drawing/2014/chart" uri="{C3380CC4-5D6E-409C-BE32-E72D297353CC}">
              <c16:uniqueId val="{00000000-3822-4A43-98A9-CFAFB816D0DE}"/>
            </c:ext>
          </c:extLst>
        </c:ser>
        <c:dLbls>
          <c:showLegendKey val="0"/>
          <c:showVal val="0"/>
          <c:showCatName val="0"/>
          <c:showSerName val="0"/>
          <c:showPercent val="0"/>
          <c:showBubbleSize val="0"/>
        </c:dLbls>
        <c:gapWidth val="219"/>
        <c:overlap val="-27"/>
        <c:axId val="1988935231"/>
        <c:axId val="1988935647"/>
      </c:barChart>
      <c:catAx>
        <c:axId val="1988935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988935647"/>
        <c:crosses val="autoZero"/>
        <c:auto val="1"/>
        <c:lblAlgn val="ctr"/>
        <c:lblOffset val="100"/>
        <c:noMultiLvlLbl val="0"/>
      </c:catAx>
      <c:valAx>
        <c:axId val="19889356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Emission (tCO2e/y)</a:t>
                </a:r>
              </a:p>
            </c:rich>
          </c:tx>
          <c:layout>
            <c:manualLayout>
              <c:xMode val="edge"/>
              <c:yMode val="edge"/>
              <c:x val="0"/>
              <c:y val="0.235814012831729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9889352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ysClr val="windowText" lastClr="000000"/>
                </a:solidFill>
                <a:latin typeface="Times New Roman" panose="02020603050405020304" pitchFamily="18" charset="0"/>
                <a:ea typeface="+mn-ea"/>
                <a:cs typeface="B Mitra" panose="00000400000000000000" pitchFamily="2" charset="-78"/>
              </a:defRPr>
            </a:pPr>
            <a:r>
              <a:rPr lang="en-US" sz="1200" b="1" i="0" kern="1200" spc="0" baseline="0">
                <a:solidFill>
                  <a:srgbClr val="000000"/>
                </a:solidFill>
                <a:effectLst/>
                <a:cs typeface="B Mitra" panose="00000400000000000000" pitchFamily="2" charset="-78"/>
              </a:rPr>
              <a:t>Comparison of Emission Categories</a:t>
            </a:r>
            <a:endParaRPr lang="en-US">
              <a:effectLst/>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Times New Roman" panose="02020603050405020304" pitchFamily="18" charset="0"/>
              <a:ea typeface="+mn-ea"/>
              <a:cs typeface="B Mitra" panose="00000400000000000000" pitchFamily="2" charset="-78"/>
            </a:defRPr>
          </a:pPr>
          <a:endParaRPr lang="fa-IR"/>
        </a:p>
      </c:txPr>
    </c:title>
    <c:autoTitleDeleted val="0"/>
    <c:plotArea>
      <c:layout/>
      <c:pieChart>
        <c:varyColors val="1"/>
        <c:ser>
          <c:idx val="0"/>
          <c:order val="0"/>
          <c:dPt>
            <c:idx val="0"/>
            <c:bubble3D val="0"/>
            <c:spPr>
              <a:solidFill>
                <a:srgbClr val="FFCCFF"/>
              </a:solidFill>
              <a:ln w="19050">
                <a:solidFill>
                  <a:schemeClr val="lt1"/>
                </a:solidFill>
              </a:ln>
              <a:effectLst/>
            </c:spPr>
            <c:extLst>
              <c:ext xmlns:c16="http://schemas.microsoft.com/office/drawing/2014/chart" uri="{C3380CC4-5D6E-409C-BE32-E72D297353CC}">
                <c16:uniqueId val="{00000005-7D97-4812-B33A-BB9C92242BA8}"/>
              </c:ext>
            </c:extLst>
          </c:dPt>
          <c:dPt>
            <c:idx val="1"/>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6-7D97-4812-B33A-BB9C92242B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7D97-4812-B33A-BB9C92242B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7D97-4812-B33A-BB9C92242B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2-7D97-4812-B33A-BB9C92242B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8D8-4ABF-93DD-6D9F84326BA7}"/>
              </c:ext>
            </c:extLst>
          </c:dPt>
          <c:dLbls>
            <c:dLbl>
              <c:idx val="0"/>
              <c:layout>
                <c:manualLayout>
                  <c:x val="2.7775056162475668E-2"/>
                  <c:y val="-2.7678272410864704E-2"/>
                </c:manualLayout>
              </c:layout>
              <c:tx>
                <c:rich>
                  <a:bodyPr/>
                  <a:lstStyle/>
                  <a:p>
                    <a:fld id="{3845C3B5-F918-49F1-8492-8913CE0E95EB}" type="CELLRANGE">
                      <a:rPr lang="en-US"/>
                      <a:pPr/>
                      <a:t>[CELLRANGE]</a:t>
                    </a:fld>
                    <a:endParaRPr lang="en-US" baseline="0"/>
                  </a:p>
                  <a:p>
                    <a:fld id="{AE434F51-F64A-4778-A864-F41BF06957DA}"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7D97-4812-B33A-BB9C92242BA8}"/>
                </c:ext>
              </c:extLst>
            </c:dLbl>
            <c:dLbl>
              <c:idx val="1"/>
              <c:layout>
                <c:manualLayout>
                  <c:x val="-3.0552561778723345E-2"/>
                  <c:y val="1.8452181607243219E-2"/>
                </c:manualLayout>
              </c:layout>
              <c:tx>
                <c:rich>
                  <a:bodyPr/>
                  <a:lstStyle/>
                  <a:p>
                    <a:fld id="{197D55DB-A461-444F-822F-379752E32E51}" type="CELLRANGE">
                      <a:rPr lang="en-US"/>
                      <a:pPr/>
                      <a:t>[CELLRANGE]</a:t>
                    </a:fld>
                    <a:endParaRPr lang="en-US" baseline="0"/>
                  </a:p>
                  <a:p>
                    <a:fld id="{41D3A5A1-4F0C-4EA9-A0CE-185E5ACFC2D3}"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6-7D97-4812-B33A-BB9C92242BA8}"/>
                </c:ext>
              </c:extLst>
            </c:dLbl>
            <c:dLbl>
              <c:idx val="2"/>
              <c:layout>
                <c:manualLayout>
                  <c:x val="-8.0546788066261227E-2"/>
                  <c:y val="3.1777356186441202E-2"/>
                </c:manualLayout>
              </c:layout>
              <c:tx>
                <c:rich>
                  <a:bodyPr/>
                  <a:lstStyle/>
                  <a:p>
                    <a:fld id="{619A3CC2-9455-401F-884C-DFFD6A1A79E2}" type="CELLRANGE">
                      <a:rPr lang="en-US"/>
                      <a:pPr/>
                      <a:t>[CELLRANGE]</a:t>
                    </a:fld>
                    <a:endParaRPr lang="en-US" baseline="0"/>
                  </a:p>
                  <a:p>
                    <a:fld id="{526535B0-B1A9-4AF4-BDF2-6FC7C6D88B29}"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4-7D97-4812-B33A-BB9C92242BA8}"/>
                </c:ext>
              </c:extLst>
            </c:dLbl>
            <c:dLbl>
              <c:idx val="3"/>
              <c:layout>
                <c:manualLayout>
                  <c:x val="-0.15477693320345776"/>
                  <c:y val="8.6136232321818759E-2"/>
                </c:manualLayout>
              </c:layout>
              <c:tx>
                <c:rich>
                  <a:bodyPr/>
                  <a:lstStyle/>
                  <a:p>
                    <a:fld id="{A569C509-862F-476B-80EF-59576074EC6F}" type="CELLRANGE">
                      <a:rPr lang="en-US"/>
                      <a:pPr/>
                      <a:t>[CELLRANGE]</a:t>
                    </a:fld>
                    <a:endParaRPr lang="en-US" baseline="0"/>
                  </a:p>
                  <a:p>
                    <a:fld id="{F024D194-D629-4677-8566-864B495E8B95}"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7D97-4812-B33A-BB9C92242BA8}"/>
                </c:ext>
              </c:extLst>
            </c:dLbl>
            <c:dLbl>
              <c:idx val="4"/>
              <c:layout>
                <c:manualLayout>
                  <c:x val="3.8680604804407465E-2"/>
                  <c:y val="-7.0387115278299286E-2"/>
                </c:manualLayout>
              </c:layout>
              <c:tx>
                <c:rich>
                  <a:bodyPr/>
                  <a:lstStyle/>
                  <a:p>
                    <a:fld id="{CF72FADD-40AA-4261-9364-D05497C36534}" type="CELLRANGE">
                      <a:rPr lang="en-US" baseline="0"/>
                      <a:pPr/>
                      <a:t>[CELLRANGE]</a:t>
                    </a:fld>
                    <a:r>
                      <a:rPr lang="en-US" baseline="0"/>
                      <a:t>
</a:t>
                    </a:r>
                    <a:fld id="{240771FC-15C1-4466-93A5-20F7EF8491F7}" type="CATEGORYNAME">
                      <a:rPr lang="en-US" baseline="0"/>
                      <a:pPr/>
                      <a:t>[CATEGORY NAME]</a:t>
                    </a:fld>
                    <a:endParaRPr lang="en-US" baseline="0"/>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2-7D97-4812-B33A-BB9C92242BA8}"/>
                </c:ext>
              </c:extLst>
            </c:dLbl>
            <c:dLbl>
              <c:idx val="5"/>
              <c:layout>
                <c:manualLayout>
                  <c:x val="3.6897220408458643E-2"/>
                  <c:y val="0.12219057727133541"/>
                </c:manualLayout>
              </c:layout>
              <c:tx>
                <c:rich>
                  <a:bodyPr/>
                  <a:lstStyle/>
                  <a:p>
                    <a:fld id="{A99915A5-9F98-41DB-84D9-5E8A8DF548A7}" type="CELLRANGE">
                      <a:rPr lang="en-US"/>
                      <a:pPr/>
                      <a:t>[CELLRANGE]</a:t>
                    </a:fld>
                    <a:endParaRPr lang="en-US" baseline="0"/>
                  </a:p>
                  <a:p>
                    <a:fld id="{8DE580DF-AE27-49F6-9C8B-668445C9DEF8}"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B-58D8-4ABF-93DD-6D9F84326BA7}"/>
                </c:ext>
              </c:extLst>
            </c:dLbl>
            <c:spPr>
              <a:solidFill>
                <a:srgbClr val="69D969"/>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B Mitra" panose="00000400000000000000" pitchFamily="2" charset="-78"/>
                  </a:defRPr>
                </a:pPr>
                <a:endParaRPr lang="fa-IR"/>
              </a:p>
            </c:txPr>
            <c:dLblPos val="outEnd"/>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cat>
            <c:numRef>
              <c:f>'Tables &amp; Graphs'!$B$68:$B$73</c:f>
              <c:numCache>
                <c:formatCode>General</c:formatCode>
                <c:ptCount val="6"/>
                <c:pt idx="0">
                  <c:v>1</c:v>
                </c:pt>
                <c:pt idx="1">
                  <c:v>2</c:v>
                </c:pt>
                <c:pt idx="2">
                  <c:v>3</c:v>
                </c:pt>
                <c:pt idx="3">
                  <c:v>4</c:v>
                </c:pt>
                <c:pt idx="4">
                  <c:v>5</c:v>
                </c:pt>
                <c:pt idx="5">
                  <c:v>6</c:v>
                </c:pt>
              </c:numCache>
            </c:numRef>
          </c:cat>
          <c:val>
            <c:numRef>
              <c:f>'Tables &amp; Graphs'!$E$68:$E$73</c:f>
              <c:numCache>
                <c:formatCode>_(* #,##0_);_(* \(#,##0\);_(* "-"??_);_(@_)</c:formatCode>
                <c:ptCount val="6"/>
                <c:pt idx="0">
                  <c:v>5744250.5519052772</c:v>
                </c:pt>
                <c:pt idx="1">
                  <c:v>4539539.8536774926</c:v>
                </c:pt>
                <c:pt idx="2">
                  <c:v>1227278.8808534178</c:v>
                </c:pt>
                <c:pt idx="3">
                  <c:v>8651397.6237152461</c:v>
                </c:pt>
                <c:pt idx="4">
                  <c:v>0</c:v>
                </c:pt>
                <c:pt idx="5">
                  <c:v>0</c:v>
                </c:pt>
              </c:numCache>
            </c:numRef>
          </c:val>
          <c:extLst>
            <c:ext xmlns:c15="http://schemas.microsoft.com/office/drawing/2012/chart" uri="{02D57815-91ED-43cb-92C2-25804820EDAC}">
              <c15:datalabelsRange>
                <c15:f>'Tables &amp; Graphs'!$F$68:$F$73</c15:f>
                <c15:dlblRangeCache>
                  <c:ptCount val="6"/>
                  <c:pt idx="0">
                    <c:v>28.49%</c:v>
                  </c:pt>
                  <c:pt idx="1">
                    <c:v>22.51%</c:v>
                  </c:pt>
                  <c:pt idx="2">
                    <c:v>6.09%</c:v>
                  </c:pt>
                  <c:pt idx="3">
                    <c:v>42.91%</c:v>
                  </c:pt>
                  <c:pt idx="4">
                    <c:v>0.00%</c:v>
                  </c:pt>
                  <c:pt idx="5">
                    <c:v>0.00%</c:v>
                  </c:pt>
                </c15:dlblRangeCache>
              </c15:datalabelsRange>
            </c:ext>
            <c:ext xmlns:c16="http://schemas.microsoft.com/office/drawing/2014/chart" uri="{C3380CC4-5D6E-409C-BE32-E72D297353CC}">
              <c16:uniqueId val="{00000000-7D97-4812-B33A-BB9C92242BA8}"/>
            </c:ext>
          </c:extLst>
        </c:ser>
        <c:dLbls>
          <c:showLegendKey val="0"/>
          <c:showVal val="0"/>
          <c:showCatName val="0"/>
          <c:showSerName val="0"/>
          <c:showPercent val="0"/>
          <c:showBubbleSize val="0"/>
          <c:showLeaderLines val="1"/>
        </c:dLbls>
        <c:firstSliceAng val="67"/>
      </c:pieChart>
      <c:spPr>
        <a:noFill/>
        <a:ln>
          <a:noFill/>
        </a:ln>
        <a:effectLst/>
      </c:spPr>
    </c:plotArea>
    <c:legend>
      <c:legendPos val="l"/>
      <c:layout>
        <c:manualLayout>
          <c:xMode val="edge"/>
          <c:yMode val="edge"/>
          <c:x val="1.2437813381481056E-2"/>
          <c:y val="0.32186552181377059"/>
          <c:w val="5.9620609476360213E-2"/>
          <c:h val="0.44777220623424774"/>
        </c:manualLayout>
      </c:layout>
      <c:overlay val="0"/>
      <c:spPr>
        <a:noFill/>
        <a:ln>
          <a:noFill/>
        </a:ln>
        <a:effectLst/>
      </c:spPr>
      <c:txPr>
        <a:bodyPr rot="0" spcFirstLastPara="1" vertOverflow="ellipsis" vert="horz" wrap="square" anchor="ctr" anchorCtr="1"/>
        <a:lstStyle/>
        <a:p>
          <a:pPr rtl="0">
            <a:defRPr sz="1000" b="1" i="0" u="none" strike="noStrike" kern="1200" baseline="0">
              <a:solidFill>
                <a:sysClr val="windowText" lastClr="000000"/>
              </a:solidFill>
              <a:latin typeface="Times New Roman" panose="02020603050405020304" pitchFamily="18" charset="0"/>
              <a:ea typeface="+mn-ea"/>
              <a:cs typeface="B Mitra" panose="00000400000000000000" pitchFamily="2" charset="-78"/>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sz="1000" b="1">
          <a:solidFill>
            <a:sysClr val="windowText" lastClr="000000"/>
          </a:solidFill>
          <a:latin typeface="Times New Roman" panose="02020603050405020304" pitchFamily="18" charset="0"/>
          <a:cs typeface="B Mitra" panose="00000400000000000000" pitchFamily="2" charset="-78"/>
        </a:defRPr>
      </a:pPr>
      <a:endParaRPr lang="fa-I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rtl="1">
              <a:defRPr sz="12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Comparison of Emission Scopes</a:t>
            </a:r>
          </a:p>
        </c:rich>
      </c:tx>
      <c:overlay val="0"/>
      <c:spPr>
        <a:noFill/>
        <a:ln>
          <a:noFill/>
        </a:ln>
        <a:effectLst/>
      </c:spPr>
      <c:txPr>
        <a:bodyPr rot="0" spcFirstLastPara="1" vertOverflow="ellipsis" vert="horz" wrap="square" anchor="ctr" anchorCtr="1"/>
        <a:lstStyle/>
        <a:p>
          <a:pPr rtl="1">
            <a:defRPr sz="12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3176940969883435"/>
          <c:y val="0.19987873882084195"/>
          <c:w val="0.42294753442292743"/>
          <c:h val="0.63457333927317405"/>
        </c:manualLayout>
      </c:layout>
      <c:pieChart>
        <c:varyColors val="1"/>
        <c:ser>
          <c:idx val="0"/>
          <c:order val="0"/>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35D4-490A-9D12-378527E185A5}"/>
              </c:ext>
            </c:extLst>
          </c:dPt>
          <c:dPt>
            <c:idx val="1"/>
            <c:bubble3D val="0"/>
            <c:spPr>
              <a:solidFill>
                <a:schemeClr val="accent2">
                  <a:tint val="86000"/>
                </a:schemeClr>
              </a:solidFill>
              <a:ln w="19050">
                <a:solidFill>
                  <a:schemeClr val="lt1"/>
                </a:solidFill>
              </a:ln>
              <a:effectLst/>
            </c:spPr>
            <c:extLst>
              <c:ext xmlns:c16="http://schemas.microsoft.com/office/drawing/2014/chart" uri="{C3380CC4-5D6E-409C-BE32-E72D297353CC}">
                <c16:uniqueId val="{00000003-35D4-490A-9D12-378527E185A5}"/>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35D4-490A-9D12-378527E185A5}"/>
              </c:ext>
            </c:extLst>
          </c:dPt>
          <c:dLbls>
            <c:dLbl>
              <c:idx val="0"/>
              <c:layout>
                <c:manualLayout>
                  <c:x val="0.10127873397497918"/>
                  <c:y val="-1.4590950580842663E-16"/>
                </c:manualLayout>
              </c:layout>
              <c:tx>
                <c:rich>
                  <a:bodyPr/>
                  <a:lstStyle/>
                  <a:p>
                    <a:fld id="{3311754C-A341-4497-AE94-57336D78E9BF}" type="CELLRANGE">
                      <a:rPr lang="en-US"/>
                      <a:pPr/>
                      <a:t>[CELLRANGE]</a:t>
                    </a:fld>
                    <a:endParaRPr lang="en-US" baseline="0"/>
                  </a:p>
                  <a:p>
                    <a:fld id="{F33797D7-6237-44DA-A4E8-CCCBCB3B8965}"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35D4-490A-9D12-378527E185A5}"/>
                </c:ext>
              </c:extLst>
            </c:dLbl>
            <c:dLbl>
              <c:idx val="1"/>
              <c:layout>
                <c:manualLayout>
                  <c:x val="-6.9165964665839505E-2"/>
                  <c:y val="-7.1629130307676259E-2"/>
                </c:manualLayout>
              </c:layout>
              <c:tx>
                <c:rich>
                  <a:bodyPr/>
                  <a:lstStyle/>
                  <a:p>
                    <a:fld id="{DD692C80-8E9D-4F99-834D-FCA1A7B2EDAE}" type="CELLRANGE">
                      <a:rPr lang="en-US"/>
                      <a:pPr/>
                      <a:t>[CELLRANGE]</a:t>
                    </a:fld>
                    <a:endParaRPr lang="en-US" baseline="0"/>
                  </a:p>
                  <a:p>
                    <a:fld id="{1C4CF744-215A-4A35-A447-0F31E89ABAF3}"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35D4-490A-9D12-378527E185A5}"/>
                </c:ext>
              </c:extLst>
            </c:dLbl>
            <c:dLbl>
              <c:idx val="2"/>
              <c:layout>
                <c:manualLayout>
                  <c:x val="0.11362979909387909"/>
                  <c:y val="7.1629130307676259E-2"/>
                </c:manualLayout>
              </c:layout>
              <c:tx>
                <c:rich>
                  <a:bodyPr/>
                  <a:lstStyle/>
                  <a:p>
                    <a:fld id="{866210AC-BB0A-49CD-B0FE-53CE30340CB8}" type="CELLRANGE">
                      <a:rPr lang="en-US"/>
                      <a:pPr/>
                      <a:t>[CELLRANGE]</a:t>
                    </a:fld>
                    <a:endParaRPr lang="en-US" baseline="0"/>
                  </a:p>
                  <a:p>
                    <a:fld id="{D42AE413-BBBA-49E5-91A9-771681EE5325}" type="CATEGORYNAME">
                      <a:rPr lang="en-US"/>
                      <a:pPr/>
                      <a:t>[CATEGORY NAME]</a:t>
                    </a:fld>
                    <a:endParaRPr lang="fa-IR"/>
                  </a:p>
                </c:rich>
              </c:tx>
              <c:dLblPos val="bestFit"/>
              <c:showLegendKey val="0"/>
              <c:showVal val="0"/>
              <c:showCatName val="1"/>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5-35D4-490A-9D12-378527E185A5}"/>
                </c:ext>
              </c:extLst>
            </c:dLbl>
            <c:spPr>
              <a:solidFill>
                <a:srgbClr val="69D969"/>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dLblPos val="outEnd"/>
            <c:showLegendKey val="0"/>
            <c:showVal val="0"/>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oundRect">
                    <a:avLst/>
                  </a:prstGeom>
                  <a:noFill/>
                  <a:ln>
                    <a:noFill/>
                  </a:ln>
                </c15:spPr>
                <c15:showDataLabelsRange val="1"/>
              </c:ext>
            </c:extLst>
          </c:dLbls>
          <c:cat>
            <c:strRef>
              <c:f>'Tables &amp; Graphs'!$B$107:$B$109</c:f>
              <c:strCache>
                <c:ptCount val="3"/>
                <c:pt idx="0">
                  <c:v>Scope 1</c:v>
                </c:pt>
                <c:pt idx="1">
                  <c:v>Scope 2</c:v>
                </c:pt>
                <c:pt idx="2">
                  <c:v>Scope 3</c:v>
                </c:pt>
              </c:strCache>
            </c:strRef>
          </c:cat>
          <c:val>
            <c:numRef>
              <c:f>'Tables &amp; Graphs'!$E$107:$E$109</c:f>
              <c:numCache>
                <c:formatCode>_(* #,##0_);_(* \(#,##0\);_(* "-"??_);_(@_)</c:formatCode>
                <c:ptCount val="3"/>
                <c:pt idx="0">
                  <c:v>5744250.5519052772</c:v>
                </c:pt>
                <c:pt idx="1">
                  <c:v>4539539.8536774926</c:v>
                </c:pt>
                <c:pt idx="2">
                  <c:v>9878676.5045686644</c:v>
                </c:pt>
              </c:numCache>
            </c:numRef>
          </c:val>
          <c:extLst>
            <c:ext xmlns:c15="http://schemas.microsoft.com/office/drawing/2012/chart" uri="{02D57815-91ED-43cb-92C2-25804820EDAC}">
              <c15:datalabelsRange>
                <c15:f>'Tables &amp; Graphs'!$F$107:$F$109</c15:f>
                <c15:dlblRangeCache>
                  <c:ptCount val="3"/>
                  <c:pt idx="0">
                    <c:v>28.49%</c:v>
                  </c:pt>
                  <c:pt idx="1">
                    <c:v>22.51%</c:v>
                  </c:pt>
                  <c:pt idx="2">
                    <c:v>49.00%</c:v>
                  </c:pt>
                </c15:dlblRangeCache>
              </c15:datalabelsRange>
            </c:ext>
            <c:ext xmlns:c16="http://schemas.microsoft.com/office/drawing/2014/chart" uri="{C3380CC4-5D6E-409C-BE32-E72D297353CC}">
              <c16:uniqueId val="{00000006-35D4-490A-9D12-378527E185A5}"/>
            </c:ext>
          </c:extLst>
        </c:ser>
        <c:dLbls>
          <c:showLegendKey val="0"/>
          <c:showVal val="0"/>
          <c:showCatName val="0"/>
          <c:showSerName val="0"/>
          <c:showPercent val="0"/>
          <c:showBubbleSize val="0"/>
          <c:showLeaderLines val="1"/>
        </c:dLbls>
        <c:firstSliceAng val="10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chemeClr val="accent1"/>
      </a:solidFill>
      <a:round/>
    </a:ln>
    <a:effectLst/>
  </c:spPr>
  <c:txPr>
    <a:bodyPr/>
    <a:lstStyle/>
    <a:p>
      <a:pPr rtl="0">
        <a:defRPr sz="10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Iron Making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018D-4ECE-89EC-28F7A20ABC9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018D-4ECE-89EC-28F7A20ABC9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018D-4ECE-89EC-28F7A20ABC9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018D-4ECE-89EC-28F7A20ABC9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018D-4ECE-89EC-28F7A20ABC9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018D-4ECE-89EC-28F7A20ABC9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018D-4ECE-89EC-28F7A20ABC9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018D-4ECE-89EC-28F7A20ABC9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018D-4ECE-89EC-28F7A20ABC9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018D-4ECE-89EC-28F7A20ABC9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018D-4ECE-89EC-28F7A20ABC9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018D-4ECE-89EC-28F7A20ABC9E}"/>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EF74-4FEE-AA11-0FEEDAA1E477}"/>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EF74-4FEE-AA11-0FEEDAA1E477}"/>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27AE-402B-8772-581F01DF90FA}"/>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402A-41D5-97EC-9CAA388EA48B}"/>
              </c:ext>
            </c:extLst>
          </c:dPt>
          <c:dLbls>
            <c:dLbl>
              <c:idx val="0"/>
              <c:tx>
                <c:rich>
                  <a:bodyPr/>
                  <a:lstStyle/>
                  <a:p>
                    <a:fld id="{0A22F59E-0F76-4C06-A0FF-8418E0E7B10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018D-4ECE-89EC-28F7A20ABC9E}"/>
                </c:ext>
              </c:extLst>
            </c:dLbl>
            <c:dLbl>
              <c:idx val="1"/>
              <c:tx>
                <c:rich>
                  <a:bodyPr/>
                  <a:lstStyle/>
                  <a:p>
                    <a:fld id="{787116F6-C3FE-4305-9BD7-C1F72DCCC5D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018D-4ECE-89EC-28F7A20ABC9E}"/>
                </c:ext>
              </c:extLst>
            </c:dLbl>
            <c:dLbl>
              <c:idx val="2"/>
              <c:tx>
                <c:rich>
                  <a:bodyPr/>
                  <a:lstStyle/>
                  <a:p>
                    <a:fld id="{82A97721-EACF-4E57-B436-BF7CD01F162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018D-4ECE-89EC-28F7A20ABC9E}"/>
                </c:ext>
              </c:extLst>
            </c:dLbl>
            <c:dLbl>
              <c:idx val="3"/>
              <c:tx>
                <c:rich>
                  <a:bodyPr/>
                  <a:lstStyle/>
                  <a:p>
                    <a:fld id="{FA0F32ED-41DC-48AF-9F11-38B3D9D84E2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018D-4ECE-89EC-28F7A20ABC9E}"/>
                </c:ext>
              </c:extLst>
            </c:dLbl>
            <c:dLbl>
              <c:idx val="4"/>
              <c:tx>
                <c:rich>
                  <a:bodyPr/>
                  <a:lstStyle/>
                  <a:p>
                    <a:fld id="{0012DFDD-47D5-4DAE-9C69-E5CE616B7FE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018D-4ECE-89EC-28F7A20ABC9E}"/>
                </c:ext>
              </c:extLst>
            </c:dLbl>
            <c:dLbl>
              <c:idx val="5"/>
              <c:tx>
                <c:rich>
                  <a:bodyPr/>
                  <a:lstStyle/>
                  <a:p>
                    <a:fld id="{797E6A01-FF03-49E3-89BD-9CCAEBE68BC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018D-4ECE-89EC-28F7A20ABC9E}"/>
                </c:ext>
              </c:extLst>
            </c:dLbl>
            <c:dLbl>
              <c:idx val="6"/>
              <c:tx>
                <c:rich>
                  <a:bodyPr/>
                  <a:lstStyle/>
                  <a:p>
                    <a:fld id="{CF4352C1-76CD-42C9-8ACA-2DBA3B80468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018D-4ECE-89EC-28F7A20ABC9E}"/>
                </c:ext>
              </c:extLst>
            </c:dLbl>
            <c:dLbl>
              <c:idx val="7"/>
              <c:tx>
                <c:rich>
                  <a:bodyPr/>
                  <a:lstStyle/>
                  <a:p>
                    <a:fld id="{328D05DD-9315-4355-A88B-7196B3B5EFF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018D-4ECE-89EC-28F7A20ABC9E}"/>
                </c:ext>
              </c:extLst>
            </c:dLbl>
            <c:dLbl>
              <c:idx val="8"/>
              <c:tx>
                <c:rich>
                  <a:bodyPr/>
                  <a:lstStyle/>
                  <a:p>
                    <a:fld id="{40B92BAF-DBFC-4452-B5CD-E16396BB670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018D-4ECE-89EC-28F7A20ABC9E}"/>
                </c:ext>
              </c:extLst>
            </c:dLbl>
            <c:dLbl>
              <c:idx val="9"/>
              <c:tx>
                <c:rich>
                  <a:bodyPr/>
                  <a:lstStyle/>
                  <a:p>
                    <a:fld id="{617118D3-B1DE-4409-8E66-94347BEC8E8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018D-4ECE-89EC-28F7A20ABC9E}"/>
                </c:ext>
              </c:extLst>
            </c:dLbl>
            <c:dLbl>
              <c:idx val="10"/>
              <c:tx>
                <c:rich>
                  <a:bodyPr/>
                  <a:lstStyle/>
                  <a:p>
                    <a:fld id="{7A57E595-2876-438F-97AE-776F35A0488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018D-4ECE-89EC-28F7A20ABC9E}"/>
                </c:ext>
              </c:extLst>
            </c:dLbl>
            <c:dLbl>
              <c:idx val="11"/>
              <c:tx>
                <c:rich>
                  <a:bodyPr/>
                  <a:lstStyle/>
                  <a:p>
                    <a:fld id="{6439225B-342F-4B5F-A3DA-BE4F9F95F21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018D-4ECE-89EC-28F7A20ABC9E}"/>
                </c:ext>
              </c:extLst>
            </c:dLbl>
            <c:dLbl>
              <c:idx val="12"/>
              <c:tx>
                <c:rich>
                  <a:bodyPr/>
                  <a:lstStyle/>
                  <a:p>
                    <a:fld id="{2D32992D-41F2-4DB3-92BE-D93D16066F0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EF74-4FEE-AA11-0FEEDAA1E477}"/>
                </c:ext>
              </c:extLst>
            </c:dLbl>
            <c:dLbl>
              <c:idx val="13"/>
              <c:tx>
                <c:rich>
                  <a:bodyPr/>
                  <a:lstStyle/>
                  <a:p>
                    <a:fld id="{D60ED45E-EC8D-411D-816C-C2CEAB4E54D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EF74-4FEE-AA11-0FEEDAA1E477}"/>
                </c:ext>
              </c:extLst>
            </c:dLbl>
            <c:dLbl>
              <c:idx val="14"/>
              <c:tx>
                <c:rich>
                  <a:bodyPr/>
                  <a:lstStyle/>
                  <a:p>
                    <a:fld id="{1A3DF114-827B-40F2-A451-BB61388F644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27AE-402B-8772-581F01DF90FA}"/>
                </c:ext>
              </c:extLst>
            </c:dLbl>
            <c:dLbl>
              <c:idx val="15"/>
              <c:tx>
                <c:rich>
                  <a:bodyPr/>
                  <a:lstStyle/>
                  <a:p>
                    <a:fld id="{C7105D29-EFC1-46E7-9E5C-CD1553BF03B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402A-41D5-97EC-9CAA388EA48B}"/>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Graphs'!$B$133:$B$148</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Graphs'!$E$133:$E$148</c:f>
              <c:numCache>
                <c:formatCode>_(* #,##0_);_(* \(#,##0\);_(* "-"??_);_(@_)</c:formatCode>
                <c:ptCount val="16"/>
                <c:pt idx="0">
                  <c:v>126543.20701439452</c:v>
                </c:pt>
                <c:pt idx="1">
                  <c:v>3866055.3740399992</c:v>
                </c:pt>
                <c:pt idx="2">
                  <c:v>437.19189324661193</c:v>
                </c:pt>
                <c:pt idx="3">
                  <c:v>9022.364854255</c:v>
                </c:pt>
                <c:pt idx="4">
                  <c:v>58165.407635859294</c:v>
                </c:pt>
                <c:pt idx="5">
                  <c:v>198.48987354762554</c:v>
                </c:pt>
                <c:pt idx="6">
                  <c:v>604626.01997935446</c:v>
                </c:pt>
                <c:pt idx="7">
                  <c:v>323232.53351730027</c:v>
                </c:pt>
                <c:pt idx="8">
                  <c:v>0</c:v>
                </c:pt>
                <c:pt idx="9">
                  <c:v>1945.0737939041862</c:v>
                </c:pt>
                <c:pt idx="10">
                  <c:v>22680.584760706595</c:v>
                </c:pt>
                <c:pt idx="11">
                  <c:v>2113407.5449346504</c:v>
                </c:pt>
                <c:pt idx="12">
                  <c:v>1939.8701799707676</c:v>
                </c:pt>
                <c:pt idx="13">
                  <c:v>1884.7867137278188</c:v>
                </c:pt>
                <c:pt idx="14">
                  <c:v>0</c:v>
                </c:pt>
                <c:pt idx="15">
                  <c:v>52597.782305954897</c:v>
                </c:pt>
              </c:numCache>
            </c:numRef>
          </c:val>
          <c:extLst>
            <c:ext xmlns:c15="http://schemas.microsoft.com/office/drawing/2012/chart" uri="{02D57815-91ED-43cb-92C2-25804820EDAC}">
              <c15:datalabelsRange>
                <c15:f>'Tables &amp; Graphs'!$F$133:$F$148</c15:f>
                <c15:dlblRangeCache>
                  <c:ptCount val="16"/>
                  <c:pt idx="0">
                    <c:v>1.8%</c:v>
                  </c:pt>
                  <c:pt idx="1">
                    <c:v>53.8%</c:v>
                  </c:pt>
                  <c:pt idx="2">
                    <c:v>0.0%</c:v>
                  </c:pt>
                  <c:pt idx="3">
                    <c:v>0.1%</c:v>
                  </c:pt>
                  <c:pt idx="4">
                    <c:v>0.8%</c:v>
                  </c:pt>
                  <c:pt idx="5">
                    <c:v>0.0%</c:v>
                  </c:pt>
                  <c:pt idx="6">
                    <c:v>8.4%</c:v>
                  </c:pt>
                  <c:pt idx="7">
                    <c:v>4.5%</c:v>
                  </c:pt>
                  <c:pt idx="8">
                    <c:v>0.0%</c:v>
                  </c:pt>
                  <c:pt idx="9">
                    <c:v>0.0%</c:v>
                  </c:pt>
                  <c:pt idx="10">
                    <c:v>0.3%</c:v>
                  </c:pt>
                  <c:pt idx="11">
                    <c:v>29.4%</c:v>
                  </c:pt>
                  <c:pt idx="12">
                    <c:v>0.0%</c:v>
                  </c:pt>
                  <c:pt idx="13">
                    <c:v>0.0%</c:v>
                  </c:pt>
                  <c:pt idx="14">
                    <c:v>0.0%</c:v>
                  </c:pt>
                  <c:pt idx="15">
                    <c:v>0.7%</c:v>
                  </c:pt>
                </c15:dlblRangeCache>
              </c15:datalabelsRange>
            </c:ext>
            <c:ext xmlns:c16="http://schemas.microsoft.com/office/drawing/2014/chart" uri="{C3380CC4-5D6E-409C-BE32-E72D297353CC}">
              <c16:uniqueId val="{00000000-018D-4ECE-89EC-28F7A20ABC9E}"/>
            </c:ext>
          </c:extLst>
        </c:ser>
        <c:dLbls>
          <c:showLegendKey val="0"/>
          <c:showVal val="0"/>
          <c:showCatName val="0"/>
          <c:showSerName val="0"/>
          <c:showPercent val="0"/>
          <c:showBubbleSize val="0"/>
        </c:dLbls>
        <c:gapWidth val="219"/>
        <c:overlap val="-27"/>
        <c:axId val="1354010848"/>
        <c:axId val="1354013344"/>
      </c:barChart>
      <c:catAx>
        <c:axId val="135401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54013344"/>
        <c:crosses val="autoZero"/>
        <c:auto val="1"/>
        <c:lblAlgn val="ctr"/>
        <c:lblOffset val="100"/>
        <c:noMultiLvlLbl val="0"/>
      </c:catAx>
      <c:valAx>
        <c:axId val="13540133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62938837387681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540108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Steel Making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CE5-4AC5-832A-0F0BCE16EEA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CE5-4AC5-832A-0F0BCE16EEA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FCE5-4AC5-832A-0F0BCE16EEA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FCE5-4AC5-832A-0F0BCE16EEA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FCE5-4AC5-832A-0F0BCE16EEA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FCE5-4AC5-832A-0F0BCE16EEA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FCE5-4AC5-832A-0F0BCE16EEA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FCE5-4AC5-832A-0F0BCE16EEA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FCE5-4AC5-832A-0F0BCE16EEA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FCE5-4AC5-832A-0F0BCE16EEA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FCE5-4AC5-832A-0F0BCE16EEA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FCE5-4AC5-832A-0F0BCE16EEAC}"/>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A5DE-4FEE-AE94-D81F7B804B0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A5DE-4FEE-AE94-D81F7B804B0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8C04-4527-9B02-7C6DD456DA48}"/>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D29A-4724-A044-62451273B4E4}"/>
              </c:ext>
            </c:extLst>
          </c:dPt>
          <c:dLbls>
            <c:dLbl>
              <c:idx val="0"/>
              <c:tx>
                <c:rich>
                  <a:bodyPr/>
                  <a:lstStyle/>
                  <a:p>
                    <a:fld id="{2CF1F518-5576-470D-B877-07FA79317D6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CE5-4AC5-832A-0F0BCE16EEAC}"/>
                </c:ext>
              </c:extLst>
            </c:dLbl>
            <c:dLbl>
              <c:idx val="1"/>
              <c:tx>
                <c:rich>
                  <a:bodyPr/>
                  <a:lstStyle/>
                  <a:p>
                    <a:fld id="{9DD15D9A-D55B-474D-BB3C-605F18A4CD7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CE5-4AC5-832A-0F0BCE16EEAC}"/>
                </c:ext>
              </c:extLst>
            </c:dLbl>
            <c:dLbl>
              <c:idx val="2"/>
              <c:tx>
                <c:rich>
                  <a:bodyPr/>
                  <a:lstStyle/>
                  <a:p>
                    <a:fld id="{7CB089AF-65D3-411E-B5CE-9B5F2EFF28D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CE5-4AC5-832A-0F0BCE16EEAC}"/>
                </c:ext>
              </c:extLst>
            </c:dLbl>
            <c:dLbl>
              <c:idx val="3"/>
              <c:tx>
                <c:rich>
                  <a:bodyPr/>
                  <a:lstStyle/>
                  <a:p>
                    <a:fld id="{26D8BA7F-3890-4B0A-A08D-E8E28D21DFC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CE5-4AC5-832A-0F0BCE16EEAC}"/>
                </c:ext>
              </c:extLst>
            </c:dLbl>
            <c:dLbl>
              <c:idx val="4"/>
              <c:tx>
                <c:rich>
                  <a:bodyPr/>
                  <a:lstStyle/>
                  <a:p>
                    <a:fld id="{9D99CA01-F897-44F1-9DF8-01F02909318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CE5-4AC5-832A-0F0BCE16EEAC}"/>
                </c:ext>
              </c:extLst>
            </c:dLbl>
            <c:dLbl>
              <c:idx val="5"/>
              <c:tx>
                <c:rich>
                  <a:bodyPr/>
                  <a:lstStyle/>
                  <a:p>
                    <a:fld id="{3D132650-605F-4B77-9C09-1A4C4AD6CC4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CE5-4AC5-832A-0F0BCE16EEAC}"/>
                </c:ext>
              </c:extLst>
            </c:dLbl>
            <c:dLbl>
              <c:idx val="6"/>
              <c:tx>
                <c:rich>
                  <a:bodyPr/>
                  <a:lstStyle/>
                  <a:p>
                    <a:fld id="{772E8C6F-0816-4735-ACCB-BCD14AC38D9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CE5-4AC5-832A-0F0BCE16EEAC}"/>
                </c:ext>
              </c:extLst>
            </c:dLbl>
            <c:dLbl>
              <c:idx val="7"/>
              <c:tx>
                <c:rich>
                  <a:bodyPr/>
                  <a:lstStyle/>
                  <a:p>
                    <a:fld id="{7154214C-CB15-491E-B576-E6C69D4623B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CE5-4AC5-832A-0F0BCE16EEAC}"/>
                </c:ext>
              </c:extLst>
            </c:dLbl>
            <c:dLbl>
              <c:idx val="8"/>
              <c:tx>
                <c:rich>
                  <a:bodyPr/>
                  <a:lstStyle/>
                  <a:p>
                    <a:fld id="{E4AF60B8-640B-4D98-983A-DA9E5F8F7DE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CE5-4AC5-832A-0F0BCE16EEAC}"/>
                </c:ext>
              </c:extLst>
            </c:dLbl>
            <c:dLbl>
              <c:idx val="9"/>
              <c:tx>
                <c:rich>
                  <a:bodyPr/>
                  <a:lstStyle/>
                  <a:p>
                    <a:fld id="{A15621A9-C630-43DC-BF11-69201E2B91C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CE5-4AC5-832A-0F0BCE16EEAC}"/>
                </c:ext>
              </c:extLst>
            </c:dLbl>
            <c:dLbl>
              <c:idx val="10"/>
              <c:tx>
                <c:rich>
                  <a:bodyPr/>
                  <a:lstStyle/>
                  <a:p>
                    <a:fld id="{CBD2DC5E-1167-45E9-9EBC-FB55B5A7F03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CE5-4AC5-832A-0F0BCE16EEAC}"/>
                </c:ext>
              </c:extLst>
            </c:dLbl>
            <c:dLbl>
              <c:idx val="11"/>
              <c:tx>
                <c:rich>
                  <a:bodyPr/>
                  <a:lstStyle/>
                  <a:p>
                    <a:fld id="{90BD038E-4C40-4823-A00F-4C67E800B42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CE5-4AC5-832A-0F0BCE16EEAC}"/>
                </c:ext>
              </c:extLst>
            </c:dLbl>
            <c:dLbl>
              <c:idx val="12"/>
              <c:tx>
                <c:rich>
                  <a:bodyPr/>
                  <a:lstStyle/>
                  <a:p>
                    <a:fld id="{7FBE6F11-D456-473D-AEA1-DEEC08D24677}"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A5DE-4FEE-AE94-D81F7B804B09}"/>
                </c:ext>
              </c:extLst>
            </c:dLbl>
            <c:dLbl>
              <c:idx val="13"/>
              <c:tx>
                <c:rich>
                  <a:bodyPr/>
                  <a:lstStyle/>
                  <a:p>
                    <a:fld id="{667EA726-E98A-4D47-89BD-EC152A25747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A5DE-4FEE-AE94-D81F7B804B09}"/>
                </c:ext>
              </c:extLst>
            </c:dLbl>
            <c:dLbl>
              <c:idx val="14"/>
              <c:tx>
                <c:rich>
                  <a:bodyPr/>
                  <a:lstStyle/>
                  <a:p>
                    <a:fld id="{279515A0-D993-4429-983A-AE57CD4186F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8C04-4527-9B02-7C6DD456DA48}"/>
                </c:ext>
              </c:extLst>
            </c:dLbl>
            <c:dLbl>
              <c:idx val="15"/>
              <c:tx>
                <c:rich>
                  <a:bodyPr/>
                  <a:lstStyle/>
                  <a:p>
                    <a:fld id="{5815E5C0-1123-44E2-9FC6-9C9740F943B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D29A-4724-A044-62451273B4E4}"/>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Graphs'!$B$158:$B$173</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Graphs'!$E$158:$E$173</c:f>
              <c:numCache>
                <c:formatCode>_(* #,##0_);_(* \(#,##0\);_(* "-"??_);_(@_)</c:formatCode>
                <c:ptCount val="16"/>
                <c:pt idx="0">
                  <c:v>34884.813333527163</c:v>
                </c:pt>
                <c:pt idx="1">
                  <c:v>427613.89575666661</c:v>
                </c:pt>
                <c:pt idx="2">
                  <c:v>513.52952713547904</c:v>
                </c:pt>
                <c:pt idx="3">
                  <c:v>198.70349030000003</c:v>
                </c:pt>
                <c:pt idx="4">
                  <c:v>32351.555774124918</c:v>
                </c:pt>
                <c:pt idx="5">
                  <c:v>147.38568334928237</c:v>
                </c:pt>
                <c:pt idx="6">
                  <c:v>3142290.1505207014</c:v>
                </c:pt>
                <c:pt idx="7">
                  <c:v>165190.07625286479</c:v>
                </c:pt>
                <c:pt idx="8">
                  <c:v>0</c:v>
                </c:pt>
                <c:pt idx="9">
                  <c:v>3553.5953791939078</c:v>
                </c:pt>
                <c:pt idx="10">
                  <c:v>10484.585718937531</c:v>
                </c:pt>
                <c:pt idx="11">
                  <c:v>5466193.5532615464</c:v>
                </c:pt>
                <c:pt idx="12">
                  <c:v>769.60609712308667</c:v>
                </c:pt>
                <c:pt idx="13">
                  <c:v>3881.4481644172224</c:v>
                </c:pt>
                <c:pt idx="14">
                  <c:v>3747.1915618722205</c:v>
                </c:pt>
                <c:pt idx="15">
                  <c:v>13929.920340537812</c:v>
                </c:pt>
              </c:numCache>
            </c:numRef>
          </c:val>
          <c:extLst>
            <c:ext xmlns:c15="http://schemas.microsoft.com/office/drawing/2012/chart" uri="{02D57815-91ED-43cb-92C2-25804820EDAC}">
              <c15:datalabelsRange>
                <c15:f>'Tables &amp; Graphs'!$F$158:$F$173</c15:f>
                <c15:dlblRangeCache>
                  <c:ptCount val="16"/>
                  <c:pt idx="0">
                    <c:v>0.4%</c:v>
                  </c:pt>
                  <c:pt idx="1">
                    <c:v>4.6%</c:v>
                  </c:pt>
                  <c:pt idx="2">
                    <c:v>0.0%</c:v>
                  </c:pt>
                  <c:pt idx="3">
                    <c:v>0.0%</c:v>
                  </c:pt>
                  <c:pt idx="4">
                    <c:v>0.3%</c:v>
                  </c:pt>
                  <c:pt idx="5">
                    <c:v>0.0%</c:v>
                  </c:pt>
                  <c:pt idx="6">
                    <c:v>33.8%</c:v>
                  </c:pt>
                  <c:pt idx="7">
                    <c:v>1.8%</c:v>
                  </c:pt>
                  <c:pt idx="8">
                    <c:v>0.0%</c:v>
                  </c:pt>
                  <c:pt idx="9">
                    <c:v>0.0%</c:v>
                  </c:pt>
                  <c:pt idx="10">
                    <c:v>0.1%</c:v>
                  </c:pt>
                  <c:pt idx="11">
                    <c:v>58.7%</c:v>
                  </c:pt>
                  <c:pt idx="12">
                    <c:v>0.0%</c:v>
                  </c:pt>
                  <c:pt idx="13">
                    <c:v>0.0%</c:v>
                  </c:pt>
                  <c:pt idx="14">
                    <c:v>0.0%</c:v>
                  </c:pt>
                  <c:pt idx="15">
                    <c:v>0.1%</c:v>
                  </c:pt>
                </c15:dlblRangeCache>
              </c15:datalabelsRange>
            </c:ext>
            <c:ext xmlns:c16="http://schemas.microsoft.com/office/drawing/2014/chart" uri="{C3380CC4-5D6E-409C-BE32-E72D297353CC}">
              <c16:uniqueId val="{00000000-FCE5-4AC5-832A-0F0BCE16EEAC}"/>
            </c:ext>
          </c:extLst>
        </c:ser>
        <c:dLbls>
          <c:showLegendKey val="0"/>
          <c:showVal val="0"/>
          <c:showCatName val="0"/>
          <c:showSerName val="0"/>
          <c:showPercent val="0"/>
          <c:showBubbleSize val="0"/>
        </c:dLbls>
        <c:gapWidth val="219"/>
        <c:overlap val="-27"/>
        <c:axId val="1482065824"/>
        <c:axId val="1482067488"/>
      </c:barChart>
      <c:catAx>
        <c:axId val="148206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482067488"/>
        <c:crosses val="autoZero"/>
        <c:auto val="1"/>
        <c:lblAlgn val="ctr"/>
        <c:lblOffset val="100"/>
        <c:noMultiLvlLbl val="0"/>
      </c:catAx>
      <c:valAx>
        <c:axId val="1482067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532555378481558"/>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4820658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Hot Rolling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F93-4B09-AC99-A124F6CE8F5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F93-4B09-AC99-A124F6CE8F5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FF93-4B09-AC99-A124F6CE8F5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FF93-4B09-AC99-A124F6CE8F5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FF93-4B09-AC99-A124F6CE8F5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FF93-4B09-AC99-A124F6CE8F5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FF93-4B09-AC99-A124F6CE8F5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FF93-4B09-AC99-A124F6CE8F5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FF93-4B09-AC99-A124F6CE8F5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FF93-4B09-AC99-A124F6CE8F5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FF93-4B09-AC99-A124F6CE8F5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FF93-4B09-AC99-A124F6CE8F5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32A7-43F4-8570-F1344611BB53}"/>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32A7-43F4-8570-F1344611BB53}"/>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1610-4EA8-AB0F-8A0156285CA6}"/>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7AAA-4F0C-93FB-721538DF1683}"/>
              </c:ext>
            </c:extLst>
          </c:dPt>
          <c:dLbls>
            <c:dLbl>
              <c:idx val="0"/>
              <c:tx>
                <c:rich>
                  <a:bodyPr/>
                  <a:lstStyle/>
                  <a:p>
                    <a:fld id="{ECDA00B4-F530-4FAD-A67B-6CB1B383277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F93-4B09-AC99-A124F6CE8F51}"/>
                </c:ext>
              </c:extLst>
            </c:dLbl>
            <c:dLbl>
              <c:idx val="1"/>
              <c:tx>
                <c:rich>
                  <a:bodyPr/>
                  <a:lstStyle/>
                  <a:p>
                    <a:fld id="{49B6F69E-B124-4CAF-A3EB-DAD1718874E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F93-4B09-AC99-A124F6CE8F51}"/>
                </c:ext>
              </c:extLst>
            </c:dLbl>
            <c:dLbl>
              <c:idx val="2"/>
              <c:tx>
                <c:rich>
                  <a:bodyPr/>
                  <a:lstStyle/>
                  <a:p>
                    <a:fld id="{C9E61077-4066-425A-A4CD-C6B668B7612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F93-4B09-AC99-A124F6CE8F51}"/>
                </c:ext>
              </c:extLst>
            </c:dLbl>
            <c:dLbl>
              <c:idx val="3"/>
              <c:tx>
                <c:rich>
                  <a:bodyPr/>
                  <a:lstStyle/>
                  <a:p>
                    <a:fld id="{63252D93-8158-4D74-BD33-BC25F0D187C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F93-4B09-AC99-A124F6CE8F51}"/>
                </c:ext>
              </c:extLst>
            </c:dLbl>
            <c:dLbl>
              <c:idx val="4"/>
              <c:tx>
                <c:rich>
                  <a:bodyPr/>
                  <a:lstStyle/>
                  <a:p>
                    <a:fld id="{0E6BC0C3-838B-45B6-B326-B6E07545F1E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F93-4B09-AC99-A124F6CE8F51}"/>
                </c:ext>
              </c:extLst>
            </c:dLbl>
            <c:dLbl>
              <c:idx val="5"/>
              <c:tx>
                <c:rich>
                  <a:bodyPr/>
                  <a:lstStyle/>
                  <a:p>
                    <a:fld id="{848CE84E-D77C-468D-8CA9-00DB3E0F48E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F93-4B09-AC99-A124F6CE8F51}"/>
                </c:ext>
              </c:extLst>
            </c:dLbl>
            <c:dLbl>
              <c:idx val="6"/>
              <c:tx>
                <c:rich>
                  <a:bodyPr/>
                  <a:lstStyle/>
                  <a:p>
                    <a:fld id="{CFC3E77D-40DB-4B79-8CC0-3B734392A24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F93-4B09-AC99-A124F6CE8F51}"/>
                </c:ext>
              </c:extLst>
            </c:dLbl>
            <c:dLbl>
              <c:idx val="7"/>
              <c:tx>
                <c:rich>
                  <a:bodyPr/>
                  <a:lstStyle/>
                  <a:p>
                    <a:fld id="{A1F7FA26-4D5A-46E7-9577-186A21E9EAC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F93-4B09-AC99-A124F6CE8F51}"/>
                </c:ext>
              </c:extLst>
            </c:dLbl>
            <c:dLbl>
              <c:idx val="8"/>
              <c:tx>
                <c:rich>
                  <a:bodyPr/>
                  <a:lstStyle/>
                  <a:p>
                    <a:fld id="{500556E8-0964-4F19-8193-07501582391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F93-4B09-AC99-A124F6CE8F51}"/>
                </c:ext>
              </c:extLst>
            </c:dLbl>
            <c:dLbl>
              <c:idx val="9"/>
              <c:tx>
                <c:rich>
                  <a:bodyPr/>
                  <a:lstStyle/>
                  <a:p>
                    <a:fld id="{656117E4-DEE0-4C0E-8A78-00B1BC292C9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F93-4B09-AC99-A124F6CE8F51}"/>
                </c:ext>
              </c:extLst>
            </c:dLbl>
            <c:dLbl>
              <c:idx val="10"/>
              <c:tx>
                <c:rich>
                  <a:bodyPr/>
                  <a:lstStyle/>
                  <a:p>
                    <a:fld id="{A3FD988C-3F39-4565-BFFF-D6F400E4AC7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F93-4B09-AC99-A124F6CE8F51}"/>
                </c:ext>
              </c:extLst>
            </c:dLbl>
            <c:dLbl>
              <c:idx val="11"/>
              <c:tx>
                <c:rich>
                  <a:bodyPr/>
                  <a:lstStyle/>
                  <a:p>
                    <a:fld id="{294AD5DA-09C5-49ED-95CA-A26CCC221A7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F93-4B09-AC99-A124F6CE8F51}"/>
                </c:ext>
              </c:extLst>
            </c:dLbl>
            <c:dLbl>
              <c:idx val="12"/>
              <c:tx>
                <c:rich>
                  <a:bodyPr/>
                  <a:lstStyle/>
                  <a:p>
                    <a:fld id="{EAD9F5C3-281F-45DE-95D8-91B625EC838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32A7-43F4-8570-F1344611BB53}"/>
                </c:ext>
              </c:extLst>
            </c:dLbl>
            <c:dLbl>
              <c:idx val="13"/>
              <c:tx>
                <c:rich>
                  <a:bodyPr/>
                  <a:lstStyle/>
                  <a:p>
                    <a:fld id="{2FEB1777-17A5-4ED9-B294-C49A7A5CD707}"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32A7-43F4-8570-F1344611BB53}"/>
                </c:ext>
              </c:extLst>
            </c:dLbl>
            <c:dLbl>
              <c:idx val="14"/>
              <c:tx>
                <c:rich>
                  <a:bodyPr/>
                  <a:lstStyle/>
                  <a:p>
                    <a:fld id="{52AA738F-BAA6-4FC9-876C-BA3CCD1AFCE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610-4EA8-AB0F-8A0156285CA6}"/>
                </c:ext>
              </c:extLst>
            </c:dLbl>
            <c:dLbl>
              <c:idx val="15"/>
              <c:tx>
                <c:rich>
                  <a:bodyPr/>
                  <a:lstStyle/>
                  <a:p>
                    <a:fld id="{127578C6-72EA-4E3F-BB90-4007B27D413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7AAA-4F0C-93FB-721538DF1683}"/>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Graphs'!$B$183:$B$198</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Graphs'!$E$183:$E$198</c:f>
              <c:numCache>
                <c:formatCode>_(* #,##0_);_(* \(#,##0\);_(* "-"??_);_(@_)</c:formatCode>
                <c:ptCount val="16"/>
                <c:pt idx="0">
                  <c:v>175553.77995167449</c:v>
                </c:pt>
                <c:pt idx="1">
                  <c:v>0</c:v>
                </c:pt>
                <c:pt idx="2">
                  <c:v>649.28063533412683</c:v>
                </c:pt>
                <c:pt idx="3">
                  <c:v>0</c:v>
                </c:pt>
                <c:pt idx="4">
                  <c:v>0</c:v>
                </c:pt>
                <c:pt idx="5">
                  <c:v>23.050008246227147</c:v>
                </c:pt>
                <c:pt idx="6">
                  <c:v>208824.81673062593</c:v>
                </c:pt>
                <c:pt idx="7">
                  <c:v>0</c:v>
                </c:pt>
                <c:pt idx="8">
                  <c:v>0</c:v>
                </c:pt>
                <c:pt idx="9">
                  <c:v>1589.9617208440709</c:v>
                </c:pt>
                <c:pt idx="10">
                  <c:v>3512.179902249542</c:v>
                </c:pt>
                <c:pt idx="11">
                  <c:v>57.124732800000004</c:v>
                </c:pt>
                <c:pt idx="12">
                  <c:v>2775.4875503743638</c:v>
                </c:pt>
                <c:pt idx="13">
                  <c:v>512.41088864838275</c:v>
                </c:pt>
                <c:pt idx="14">
                  <c:v>87.330930642949994</c:v>
                </c:pt>
                <c:pt idx="15">
                  <c:v>70127.773806259182</c:v>
                </c:pt>
              </c:numCache>
            </c:numRef>
          </c:val>
          <c:extLst>
            <c:ext xmlns:c15="http://schemas.microsoft.com/office/drawing/2012/chart" uri="{02D57815-91ED-43cb-92C2-25804820EDAC}">
              <c15:datalabelsRange>
                <c15:f>'Tables &amp; Graphs'!$F$183:$F$198</c15:f>
                <c15:dlblRangeCache>
                  <c:ptCount val="16"/>
                  <c:pt idx="0">
                    <c:v>37.9%</c:v>
                  </c:pt>
                  <c:pt idx="1">
                    <c:v>0.0%</c:v>
                  </c:pt>
                  <c:pt idx="2">
                    <c:v>0.1%</c:v>
                  </c:pt>
                  <c:pt idx="3">
                    <c:v>0.0%</c:v>
                  </c:pt>
                  <c:pt idx="4">
                    <c:v>0.0%</c:v>
                  </c:pt>
                  <c:pt idx="5">
                    <c:v>0.0%</c:v>
                  </c:pt>
                  <c:pt idx="6">
                    <c:v>45.0%</c:v>
                  </c:pt>
                  <c:pt idx="7">
                    <c:v>0.0%</c:v>
                  </c:pt>
                  <c:pt idx="8">
                    <c:v>0.0%</c:v>
                  </c:pt>
                  <c:pt idx="9">
                    <c:v>0.3%</c:v>
                  </c:pt>
                  <c:pt idx="10">
                    <c:v>0.8%</c:v>
                  </c:pt>
                  <c:pt idx="11">
                    <c:v>0.0%</c:v>
                  </c:pt>
                  <c:pt idx="12">
                    <c:v>0.6%</c:v>
                  </c:pt>
                  <c:pt idx="13">
                    <c:v>0.1%</c:v>
                  </c:pt>
                  <c:pt idx="14">
                    <c:v>0.0%</c:v>
                  </c:pt>
                  <c:pt idx="15">
                    <c:v>15.1%</c:v>
                  </c:pt>
                </c15:dlblRangeCache>
              </c15:datalabelsRange>
            </c:ext>
            <c:ext xmlns:c16="http://schemas.microsoft.com/office/drawing/2014/chart" uri="{C3380CC4-5D6E-409C-BE32-E72D297353CC}">
              <c16:uniqueId val="{00000000-FF93-4B09-AC99-A124F6CE8F51}"/>
            </c:ext>
          </c:extLst>
        </c:ser>
        <c:dLbls>
          <c:showLegendKey val="0"/>
          <c:showVal val="0"/>
          <c:showCatName val="0"/>
          <c:showSerName val="0"/>
          <c:showPercent val="0"/>
          <c:showBubbleSize val="0"/>
        </c:dLbls>
        <c:gapWidth val="219"/>
        <c:overlap val="-27"/>
        <c:axId val="1393050176"/>
        <c:axId val="1393052256"/>
      </c:barChart>
      <c:catAx>
        <c:axId val="1393050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93052256"/>
        <c:crosses val="autoZero"/>
        <c:auto val="1"/>
        <c:lblAlgn val="ctr"/>
        <c:lblOffset val="100"/>
        <c:noMultiLvlLbl val="0"/>
      </c:catAx>
      <c:valAx>
        <c:axId val="1393052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595032530964838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93050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Cold Rolling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3-E1B2-4838-8411-F569714CDB4C}"/>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E1B2-4838-8411-F569714CDB4C}"/>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E1B2-4838-8411-F569714CDB4C}"/>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6-E1B2-4838-8411-F569714CDB4C}"/>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7-E1B2-4838-8411-F569714CDB4C}"/>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8-E1B2-4838-8411-F569714CDB4C}"/>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9-E1B2-4838-8411-F569714CDB4C}"/>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A-E1B2-4838-8411-F569714CDB4C}"/>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B-E1B2-4838-8411-F569714CDB4C}"/>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C-E1B2-4838-8411-F569714CDB4C}"/>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D-E1B2-4838-8411-F569714CDB4C}"/>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E-E1B2-4838-8411-F569714CDB4C}"/>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BD72-4957-B8E0-14A3C2CCD99F}"/>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BD72-4957-B8E0-14A3C2CCD99F}"/>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EE6E-4C76-B8F3-6436AE0C539D}"/>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6FAC-4470-A483-9F720E6FA6BD}"/>
              </c:ext>
            </c:extLst>
          </c:dPt>
          <c:dLbls>
            <c:dLbl>
              <c:idx val="0"/>
              <c:tx>
                <c:rich>
                  <a:bodyPr/>
                  <a:lstStyle/>
                  <a:p>
                    <a:fld id="{3109387A-8877-4B0F-90B2-8C69FA0B0A6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1B2-4838-8411-F569714CDB4C}"/>
                </c:ext>
              </c:extLst>
            </c:dLbl>
            <c:dLbl>
              <c:idx val="1"/>
              <c:tx>
                <c:rich>
                  <a:bodyPr/>
                  <a:lstStyle/>
                  <a:p>
                    <a:fld id="{8A870A9D-E5C0-48E4-8613-9D6BBD4EE88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1B2-4838-8411-F569714CDB4C}"/>
                </c:ext>
              </c:extLst>
            </c:dLbl>
            <c:dLbl>
              <c:idx val="2"/>
              <c:tx>
                <c:rich>
                  <a:bodyPr/>
                  <a:lstStyle/>
                  <a:p>
                    <a:fld id="{CB774BF0-0AF9-42AE-B349-25DC83E062F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1B2-4838-8411-F569714CDB4C}"/>
                </c:ext>
              </c:extLst>
            </c:dLbl>
            <c:dLbl>
              <c:idx val="3"/>
              <c:tx>
                <c:rich>
                  <a:bodyPr/>
                  <a:lstStyle/>
                  <a:p>
                    <a:fld id="{60F92320-6D72-4C81-A80F-6A9D888C551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1B2-4838-8411-F569714CDB4C}"/>
                </c:ext>
              </c:extLst>
            </c:dLbl>
            <c:dLbl>
              <c:idx val="4"/>
              <c:tx>
                <c:rich>
                  <a:bodyPr/>
                  <a:lstStyle/>
                  <a:p>
                    <a:fld id="{CFBBE3DA-F2A9-4898-B690-E9CCDF6B8DF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1B2-4838-8411-F569714CDB4C}"/>
                </c:ext>
              </c:extLst>
            </c:dLbl>
            <c:dLbl>
              <c:idx val="5"/>
              <c:tx>
                <c:rich>
                  <a:bodyPr/>
                  <a:lstStyle/>
                  <a:p>
                    <a:fld id="{8E41523C-3AD8-4A27-845A-AEE72F4E1EE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1B2-4838-8411-F569714CDB4C}"/>
                </c:ext>
              </c:extLst>
            </c:dLbl>
            <c:dLbl>
              <c:idx val="6"/>
              <c:tx>
                <c:rich>
                  <a:bodyPr/>
                  <a:lstStyle/>
                  <a:p>
                    <a:fld id="{DD4798F8-7A13-4D45-A8D9-038E85D24B7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1B2-4838-8411-F569714CDB4C}"/>
                </c:ext>
              </c:extLst>
            </c:dLbl>
            <c:dLbl>
              <c:idx val="7"/>
              <c:tx>
                <c:rich>
                  <a:bodyPr/>
                  <a:lstStyle/>
                  <a:p>
                    <a:fld id="{822F2C5F-7C74-49A2-B1B4-459A128D1BD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1B2-4838-8411-F569714CDB4C}"/>
                </c:ext>
              </c:extLst>
            </c:dLbl>
            <c:dLbl>
              <c:idx val="8"/>
              <c:tx>
                <c:rich>
                  <a:bodyPr/>
                  <a:lstStyle/>
                  <a:p>
                    <a:fld id="{67DF89DC-4C8B-4886-B23E-3B4308E3ACA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1B2-4838-8411-F569714CDB4C}"/>
                </c:ext>
              </c:extLst>
            </c:dLbl>
            <c:dLbl>
              <c:idx val="9"/>
              <c:tx>
                <c:rich>
                  <a:bodyPr/>
                  <a:lstStyle/>
                  <a:p>
                    <a:fld id="{64BF2445-1908-4E1E-9F94-A635B8040FB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1B2-4838-8411-F569714CDB4C}"/>
                </c:ext>
              </c:extLst>
            </c:dLbl>
            <c:dLbl>
              <c:idx val="10"/>
              <c:tx>
                <c:rich>
                  <a:bodyPr/>
                  <a:lstStyle/>
                  <a:p>
                    <a:fld id="{A651E8B1-7D4B-4E73-8392-57A1831B3E1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E1B2-4838-8411-F569714CDB4C}"/>
                </c:ext>
              </c:extLst>
            </c:dLbl>
            <c:dLbl>
              <c:idx val="11"/>
              <c:tx>
                <c:rich>
                  <a:bodyPr/>
                  <a:lstStyle/>
                  <a:p>
                    <a:fld id="{6991715E-5494-4C3A-A0F2-3A34C793F08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E1B2-4838-8411-F569714CDB4C}"/>
                </c:ext>
              </c:extLst>
            </c:dLbl>
            <c:dLbl>
              <c:idx val="12"/>
              <c:tx>
                <c:rich>
                  <a:bodyPr/>
                  <a:lstStyle/>
                  <a:p>
                    <a:fld id="{BA9C4CBC-6915-4EF7-952F-FF8FFF507A8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BD72-4957-B8E0-14A3C2CCD99F}"/>
                </c:ext>
              </c:extLst>
            </c:dLbl>
            <c:dLbl>
              <c:idx val="13"/>
              <c:tx>
                <c:rich>
                  <a:bodyPr/>
                  <a:lstStyle/>
                  <a:p>
                    <a:fld id="{9AA5B67F-7DF4-4BCF-9C92-A9145FAED86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BD72-4957-B8E0-14A3C2CCD99F}"/>
                </c:ext>
              </c:extLst>
            </c:dLbl>
            <c:dLbl>
              <c:idx val="14"/>
              <c:tx>
                <c:rich>
                  <a:bodyPr/>
                  <a:lstStyle/>
                  <a:p>
                    <a:fld id="{A312930E-6C83-4A5A-A147-F309A65D2DC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EE6E-4C76-B8F3-6436AE0C539D}"/>
                </c:ext>
              </c:extLst>
            </c:dLbl>
            <c:dLbl>
              <c:idx val="15"/>
              <c:tx>
                <c:rich>
                  <a:bodyPr/>
                  <a:lstStyle/>
                  <a:p>
                    <a:fld id="{F71A23C3-5137-4D15-8E9D-74E4B9F7771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6FAC-4470-A483-9F720E6FA6BD}"/>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Graphs'!$B$208:$B$223</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Graphs'!$E$208:$E$223</c:f>
              <c:numCache>
                <c:formatCode>_(* #,##0_);_(* \(#,##0\);_(* "-"??_);_(@_)</c:formatCode>
                <c:ptCount val="16"/>
                <c:pt idx="0">
                  <c:v>27810.566198456043</c:v>
                </c:pt>
                <c:pt idx="1">
                  <c:v>0</c:v>
                </c:pt>
                <c:pt idx="2">
                  <c:v>1338.8900750442276</c:v>
                </c:pt>
                <c:pt idx="3">
                  <c:v>57.874803000000007</c:v>
                </c:pt>
                <c:pt idx="4">
                  <c:v>0</c:v>
                </c:pt>
                <c:pt idx="5">
                  <c:v>39.070472248149287</c:v>
                </c:pt>
                <c:pt idx="6">
                  <c:v>137598.45876356988</c:v>
                </c:pt>
                <c:pt idx="7">
                  <c:v>0</c:v>
                </c:pt>
                <c:pt idx="8">
                  <c:v>0</c:v>
                </c:pt>
                <c:pt idx="9">
                  <c:v>2487.0218357171848</c:v>
                </c:pt>
                <c:pt idx="10">
                  <c:v>38379.932286996125</c:v>
                </c:pt>
                <c:pt idx="11">
                  <c:v>24775.5238312808</c:v>
                </c:pt>
                <c:pt idx="12">
                  <c:v>16455.576966801338</c:v>
                </c:pt>
                <c:pt idx="13">
                  <c:v>706.48785841488984</c:v>
                </c:pt>
                <c:pt idx="14">
                  <c:v>9.1486173323500015</c:v>
                </c:pt>
                <c:pt idx="15">
                  <c:v>10991.977736902141</c:v>
                </c:pt>
              </c:numCache>
            </c:numRef>
          </c:val>
          <c:extLst>
            <c:ext xmlns:c15="http://schemas.microsoft.com/office/drawing/2012/chart" uri="{02D57815-91ED-43cb-92C2-25804820EDAC}">
              <c15:datalabelsRange>
                <c15:f>'Tables &amp; Graphs'!$F$208:$F$223</c15:f>
                <c15:dlblRangeCache>
                  <c:ptCount val="16"/>
                  <c:pt idx="0">
                    <c:v>10.7%</c:v>
                  </c:pt>
                  <c:pt idx="1">
                    <c:v>0.0%</c:v>
                  </c:pt>
                  <c:pt idx="2">
                    <c:v>0.5%</c:v>
                  </c:pt>
                  <c:pt idx="3">
                    <c:v>0.0%</c:v>
                  </c:pt>
                  <c:pt idx="4">
                    <c:v>0.0%</c:v>
                  </c:pt>
                  <c:pt idx="5">
                    <c:v>0.0%</c:v>
                  </c:pt>
                  <c:pt idx="6">
                    <c:v>52.8%</c:v>
                  </c:pt>
                  <c:pt idx="7">
                    <c:v>0.0%</c:v>
                  </c:pt>
                  <c:pt idx="8">
                    <c:v>0.0%</c:v>
                  </c:pt>
                  <c:pt idx="9">
                    <c:v>1.0%</c:v>
                  </c:pt>
                  <c:pt idx="10">
                    <c:v>14.7%</c:v>
                  </c:pt>
                  <c:pt idx="11">
                    <c:v>9.5%</c:v>
                  </c:pt>
                  <c:pt idx="12">
                    <c:v>6.3%</c:v>
                  </c:pt>
                  <c:pt idx="13">
                    <c:v>0.3%</c:v>
                  </c:pt>
                  <c:pt idx="14">
                    <c:v>0.0%</c:v>
                  </c:pt>
                  <c:pt idx="15">
                    <c:v>4.2%</c:v>
                  </c:pt>
                </c15:dlblRangeCache>
              </c15:datalabelsRange>
            </c:ext>
            <c:ext xmlns:c16="http://schemas.microsoft.com/office/drawing/2014/chart" uri="{C3380CC4-5D6E-409C-BE32-E72D297353CC}">
              <c16:uniqueId val="{00000000-E1B2-4838-8411-F569714CDB4C}"/>
            </c:ext>
          </c:extLst>
        </c:ser>
        <c:dLbls>
          <c:showLegendKey val="0"/>
          <c:showVal val="0"/>
          <c:showCatName val="0"/>
          <c:showSerName val="0"/>
          <c:showPercent val="0"/>
          <c:showBubbleSize val="0"/>
        </c:dLbls>
        <c:gapWidth val="219"/>
        <c:overlap val="-27"/>
        <c:axId val="1484818032"/>
        <c:axId val="1484816784"/>
      </c:barChart>
      <c:catAx>
        <c:axId val="148481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484816784"/>
        <c:crosses val="autoZero"/>
        <c:auto val="1"/>
        <c:lblAlgn val="ctr"/>
        <c:lblOffset val="100"/>
        <c:noMultiLvlLbl val="0"/>
      </c:catAx>
      <c:valAx>
        <c:axId val="14848167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408496737271292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48481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Utility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67F9-46EB-89FC-62E159FE05A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67F9-46EB-89FC-62E159FE05A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67F9-46EB-89FC-62E159FE05A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67F9-46EB-89FC-62E159FE05A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67F9-46EB-89FC-62E159FE05AE}"/>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67F9-46EB-89FC-62E159FE05AE}"/>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67F9-46EB-89FC-62E159FE05AE}"/>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67F9-46EB-89FC-62E159FE05AE}"/>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67F9-46EB-89FC-62E159FE05AE}"/>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67F9-46EB-89FC-62E159FE05AE}"/>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67F9-46EB-89FC-62E159FE05AE}"/>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67F9-46EB-89FC-62E159FE05AE}"/>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6F01-4AD6-BD55-FD92C6820C2F}"/>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6F01-4AD6-BD55-FD92C6820C2F}"/>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F196-41D0-B190-5024B077E973}"/>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896E-4BFA-9A82-0BB5E6698B0B}"/>
              </c:ext>
            </c:extLst>
          </c:dPt>
          <c:dLbls>
            <c:dLbl>
              <c:idx val="0"/>
              <c:tx>
                <c:rich>
                  <a:bodyPr/>
                  <a:lstStyle/>
                  <a:p>
                    <a:fld id="{0BFDD365-B8EA-47E2-89F5-3BC023E010B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7F9-46EB-89FC-62E159FE05AE}"/>
                </c:ext>
              </c:extLst>
            </c:dLbl>
            <c:dLbl>
              <c:idx val="1"/>
              <c:tx>
                <c:rich>
                  <a:bodyPr/>
                  <a:lstStyle/>
                  <a:p>
                    <a:fld id="{056AD5FC-87E9-4AC0-90EB-C96051005E0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7F9-46EB-89FC-62E159FE05AE}"/>
                </c:ext>
              </c:extLst>
            </c:dLbl>
            <c:dLbl>
              <c:idx val="2"/>
              <c:tx>
                <c:rich>
                  <a:bodyPr/>
                  <a:lstStyle/>
                  <a:p>
                    <a:fld id="{DFCE2401-1550-4C80-8C82-1781AA54AFC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7F9-46EB-89FC-62E159FE05AE}"/>
                </c:ext>
              </c:extLst>
            </c:dLbl>
            <c:dLbl>
              <c:idx val="3"/>
              <c:tx>
                <c:rich>
                  <a:bodyPr/>
                  <a:lstStyle/>
                  <a:p>
                    <a:fld id="{53E3EA99-88B6-41C8-9D52-982E15AEBE8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7F9-46EB-89FC-62E159FE05AE}"/>
                </c:ext>
              </c:extLst>
            </c:dLbl>
            <c:dLbl>
              <c:idx val="4"/>
              <c:tx>
                <c:rich>
                  <a:bodyPr/>
                  <a:lstStyle/>
                  <a:p>
                    <a:fld id="{09747760-B4B3-4681-A27F-61394BBFB66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7F9-46EB-89FC-62E159FE05AE}"/>
                </c:ext>
              </c:extLst>
            </c:dLbl>
            <c:dLbl>
              <c:idx val="5"/>
              <c:tx>
                <c:rich>
                  <a:bodyPr/>
                  <a:lstStyle/>
                  <a:p>
                    <a:fld id="{0D8D2E1E-4A25-4D59-B6F6-A71D0A7B99F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7F9-46EB-89FC-62E159FE05AE}"/>
                </c:ext>
              </c:extLst>
            </c:dLbl>
            <c:dLbl>
              <c:idx val="6"/>
              <c:tx>
                <c:rich>
                  <a:bodyPr/>
                  <a:lstStyle/>
                  <a:p>
                    <a:fld id="{3C6CD48F-4CE6-4BF5-B646-39833795A5B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7F9-46EB-89FC-62E159FE05AE}"/>
                </c:ext>
              </c:extLst>
            </c:dLbl>
            <c:dLbl>
              <c:idx val="7"/>
              <c:tx>
                <c:rich>
                  <a:bodyPr/>
                  <a:lstStyle/>
                  <a:p>
                    <a:fld id="{715B3028-7BFF-40BC-9F3F-EB27D520034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7F9-46EB-89FC-62E159FE05AE}"/>
                </c:ext>
              </c:extLst>
            </c:dLbl>
            <c:dLbl>
              <c:idx val="8"/>
              <c:tx>
                <c:rich>
                  <a:bodyPr/>
                  <a:lstStyle/>
                  <a:p>
                    <a:fld id="{1EBEF572-EDB9-4A88-852F-362534FA594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7F9-46EB-89FC-62E159FE05AE}"/>
                </c:ext>
              </c:extLst>
            </c:dLbl>
            <c:dLbl>
              <c:idx val="9"/>
              <c:tx>
                <c:rich>
                  <a:bodyPr/>
                  <a:lstStyle/>
                  <a:p>
                    <a:fld id="{141C759A-3944-4966-A3CF-A3E6ADC5130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67F9-46EB-89FC-62E159FE05AE}"/>
                </c:ext>
              </c:extLst>
            </c:dLbl>
            <c:dLbl>
              <c:idx val="10"/>
              <c:tx>
                <c:rich>
                  <a:bodyPr/>
                  <a:lstStyle/>
                  <a:p>
                    <a:fld id="{6C794060-2CBF-463F-BCB1-4CAAF9E41B4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67F9-46EB-89FC-62E159FE05AE}"/>
                </c:ext>
              </c:extLst>
            </c:dLbl>
            <c:dLbl>
              <c:idx val="11"/>
              <c:tx>
                <c:rich>
                  <a:bodyPr/>
                  <a:lstStyle/>
                  <a:p>
                    <a:fld id="{29FED302-4F77-4D51-BBFD-FB620D49092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67F9-46EB-89FC-62E159FE05AE}"/>
                </c:ext>
              </c:extLst>
            </c:dLbl>
            <c:dLbl>
              <c:idx val="12"/>
              <c:tx>
                <c:rich>
                  <a:bodyPr/>
                  <a:lstStyle/>
                  <a:p>
                    <a:fld id="{FCE3B919-DC3F-406D-89B3-B69FCB2481D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6F01-4AD6-BD55-FD92C6820C2F}"/>
                </c:ext>
              </c:extLst>
            </c:dLbl>
            <c:dLbl>
              <c:idx val="13"/>
              <c:tx>
                <c:rich>
                  <a:bodyPr/>
                  <a:lstStyle/>
                  <a:p>
                    <a:fld id="{5C5ECE5D-8479-44AF-9E70-55549270007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6F01-4AD6-BD55-FD92C6820C2F}"/>
                </c:ext>
              </c:extLst>
            </c:dLbl>
            <c:dLbl>
              <c:idx val="14"/>
              <c:tx>
                <c:rich>
                  <a:bodyPr/>
                  <a:lstStyle/>
                  <a:p>
                    <a:fld id="{856ADBCF-ED39-420D-A8E3-8AFECF4482F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F196-41D0-B190-5024B077E973}"/>
                </c:ext>
              </c:extLst>
            </c:dLbl>
            <c:dLbl>
              <c:idx val="15"/>
              <c:tx>
                <c:rich>
                  <a:bodyPr/>
                  <a:lstStyle/>
                  <a:p>
                    <a:fld id="{4FA2E558-B28C-47DC-A016-269D8468257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896E-4BFA-9A82-0BB5E6698B0B}"/>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Graphs'!$B$233:$B$248</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Graphs'!$E$233:$E$248</c:f>
              <c:numCache>
                <c:formatCode>_(* #,##0_);_(* \(#,##0\);_(* "-"??_);_(@_)</c:formatCode>
                <c:ptCount val="16"/>
                <c:pt idx="0">
                  <c:v>827871.42031364446</c:v>
                </c:pt>
                <c:pt idx="1">
                  <c:v>0</c:v>
                </c:pt>
                <c:pt idx="2">
                  <c:v>10470.410309957553</c:v>
                </c:pt>
                <c:pt idx="3">
                  <c:v>0</c:v>
                </c:pt>
                <c:pt idx="4">
                  <c:v>0</c:v>
                </c:pt>
                <c:pt idx="5">
                  <c:v>188.89496881790603</c:v>
                </c:pt>
                <c:pt idx="6">
                  <c:v>442071.81664662698</c:v>
                </c:pt>
                <c:pt idx="7">
                  <c:v>0</c:v>
                </c:pt>
                <c:pt idx="8">
                  <c:v>0</c:v>
                </c:pt>
                <c:pt idx="9">
                  <c:v>1092.5573537006339</c:v>
                </c:pt>
                <c:pt idx="10">
                  <c:v>10470.765421384871</c:v>
                </c:pt>
                <c:pt idx="11">
                  <c:v>0</c:v>
                </c:pt>
                <c:pt idx="12">
                  <c:v>3521.9919221481582</c:v>
                </c:pt>
                <c:pt idx="13">
                  <c:v>357.98294882292464</c:v>
                </c:pt>
                <c:pt idx="14">
                  <c:v>0</c:v>
                </c:pt>
                <c:pt idx="15">
                  <c:v>803532.8575781252</c:v>
                </c:pt>
              </c:numCache>
            </c:numRef>
          </c:val>
          <c:extLst>
            <c:ext xmlns:c15="http://schemas.microsoft.com/office/drawing/2012/chart" uri="{02D57815-91ED-43cb-92C2-25804820EDAC}">
              <c15:datalabelsRange>
                <c15:f>'Tables &amp; Graphs'!$F$233:$F$248</c15:f>
                <c15:dlblRangeCache>
                  <c:ptCount val="16"/>
                  <c:pt idx="0">
                    <c:v>39.4%</c:v>
                  </c:pt>
                  <c:pt idx="1">
                    <c:v>0.0%</c:v>
                  </c:pt>
                  <c:pt idx="2">
                    <c:v>0.5%</c:v>
                  </c:pt>
                  <c:pt idx="3">
                    <c:v>0.0%</c:v>
                  </c:pt>
                  <c:pt idx="4">
                    <c:v>0.0%</c:v>
                  </c:pt>
                  <c:pt idx="5">
                    <c:v>0.0%</c:v>
                  </c:pt>
                  <c:pt idx="6">
                    <c:v>21.1%</c:v>
                  </c:pt>
                  <c:pt idx="7">
                    <c:v>0.0%</c:v>
                  </c:pt>
                  <c:pt idx="8">
                    <c:v>0.0%</c:v>
                  </c:pt>
                  <c:pt idx="9">
                    <c:v>0.1%</c:v>
                  </c:pt>
                  <c:pt idx="10">
                    <c:v>0.5%</c:v>
                  </c:pt>
                  <c:pt idx="11">
                    <c:v>0.0%</c:v>
                  </c:pt>
                  <c:pt idx="12">
                    <c:v>0.2%</c:v>
                  </c:pt>
                  <c:pt idx="13">
                    <c:v>0.0%</c:v>
                  </c:pt>
                  <c:pt idx="14">
                    <c:v>0.0%</c:v>
                  </c:pt>
                  <c:pt idx="15">
                    <c:v>38.3%</c:v>
                  </c:pt>
                </c15:dlblRangeCache>
              </c15:datalabelsRange>
            </c:ext>
            <c:ext xmlns:c16="http://schemas.microsoft.com/office/drawing/2014/chart" uri="{C3380CC4-5D6E-409C-BE32-E72D297353CC}">
              <c16:uniqueId val="{00000000-67F9-46EB-89FC-62E159FE05AE}"/>
            </c:ext>
          </c:extLst>
        </c:ser>
        <c:dLbls>
          <c:showLegendKey val="0"/>
          <c:showVal val="0"/>
          <c:showCatName val="0"/>
          <c:showSerName val="0"/>
          <c:showPercent val="0"/>
          <c:showBubbleSize val="0"/>
        </c:dLbls>
        <c:gapWidth val="219"/>
        <c:overlap val="-27"/>
        <c:axId val="1221277040"/>
        <c:axId val="1221273296"/>
      </c:barChart>
      <c:catAx>
        <c:axId val="122127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221273296"/>
        <c:crosses val="autoZero"/>
        <c:auto val="1"/>
        <c:lblAlgn val="ctr"/>
        <c:lblOffset val="100"/>
        <c:noMultiLvlLbl val="0"/>
      </c:catAx>
      <c:valAx>
        <c:axId val="12212732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6239448818897637"/>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221277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Transportation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F78D-4640-9121-6D11AC98562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F78D-4640-9121-6D11AC98562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F78D-4640-9121-6D11AC98562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F78D-4640-9121-6D11AC98562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F78D-4640-9121-6D11AC985627}"/>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F78D-4640-9121-6D11AC985627}"/>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F78D-4640-9121-6D11AC985627}"/>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F78D-4640-9121-6D11AC985627}"/>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F78D-4640-9121-6D11AC985627}"/>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F78D-4640-9121-6D11AC985627}"/>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F78D-4640-9121-6D11AC985627}"/>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F78D-4640-9121-6D11AC985627}"/>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D962-4447-A359-1B4C0583A554}"/>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D962-4447-A359-1B4C0583A554}"/>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B2BC-4E30-B0BE-47B81CBD265E}"/>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B4C1-44D9-AA54-3E9143C9D05D}"/>
              </c:ext>
            </c:extLst>
          </c:dPt>
          <c:dLbls>
            <c:dLbl>
              <c:idx val="0"/>
              <c:tx>
                <c:rich>
                  <a:bodyPr/>
                  <a:lstStyle/>
                  <a:p>
                    <a:fld id="{7EB5719C-09F9-44A0-8D52-13EC450DFE9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F78D-4640-9121-6D11AC985627}"/>
                </c:ext>
              </c:extLst>
            </c:dLbl>
            <c:dLbl>
              <c:idx val="1"/>
              <c:tx>
                <c:rich>
                  <a:bodyPr/>
                  <a:lstStyle/>
                  <a:p>
                    <a:fld id="{63B08CC1-5F75-4018-AFB3-3B90D6AA1C8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F78D-4640-9121-6D11AC985627}"/>
                </c:ext>
              </c:extLst>
            </c:dLbl>
            <c:dLbl>
              <c:idx val="2"/>
              <c:tx>
                <c:rich>
                  <a:bodyPr/>
                  <a:lstStyle/>
                  <a:p>
                    <a:fld id="{FAA94BFF-D21E-4FC1-92A4-1778D85EFB9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F78D-4640-9121-6D11AC985627}"/>
                </c:ext>
              </c:extLst>
            </c:dLbl>
            <c:dLbl>
              <c:idx val="3"/>
              <c:tx>
                <c:rich>
                  <a:bodyPr/>
                  <a:lstStyle/>
                  <a:p>
                    <a:fld id="{3F5E5644-FAB2-40F6-AA9D-58CFFF256E8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F78D-4640-9121-6D11AC985627}"/>
                </c:ext>
              </c:extLst>
            </c:dLbl>
            <c:dLbl>
              <c:idx val="4"/>
              <c:tx>
                <c:rich>
                  <a:bodyPr/>
                  <a:lstStyle/>
                  <a:p>
                    <a:fld id="{CC0902B4-9A63-4522-81C1-1A732760022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F78D-4640-9121-6D11AC985627}"/>
                </c:ext>
              </c:extLst>
            </c:dLbl>
            <c:dLbl>
              <c:idx val="5"/>
              <c:tx>
                <c:rich>
                  <a:bodyPr/>
                  <a:lstStyle/>
                  <a:p>
                    <a:fld id="{121C8A05-8AEF-47A8-8EE3-C2B729AF1E0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F78D-4640-9121-6D11AC985627}"/>
                </c:ext>
              </c:extLst>
            </c:dLbl>
            <c:dLbl>
              <c:idx val="6"/>
              <c:tx>
                <c:rich>
                  <a:bodyPr/>
                  <a:lstStyle/>
                  <a:p>
                    <a:fld id="{E9C57C79-B78F-446D-A82E-77B3C35DE8F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F78D-4640-9121-6D11AC985627}"/>
                </c:ext>
              </c:extLst>
            </c:dLbl>
            <c:dLbl>
              <c:idx val="7"/>
              <c:tx>
                <c:rich>
                  <a:bodyPr/>
                  <a:lstStyle/>
                  <a:p>
                    <a:fld id="{1E027D47-CEC9-4A7A-B318-C7F150B3CBB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F78D-4640-9121-6D11AC985627}"/>
                </c:ext>
              </c:extLst>
            </c:dLbl>
            <c:dLbl>
              <c:idx val="8"/>
              <c:tx>
                <c:rich>
                  <a:bodyPr/>
                  <a:lstStyle/>
                  <a:p>
                    <a:fld id="{1E6014C5-00D6-482D-B12C-C518528D20A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F78D-4640-9121-6D11AC985627}"/>
                </c:ext>
              </c:extLst>
            </c:dLbl>
            <c:dLbl>
              <c:idx val="9"/>
              <c:tx>
                <c:rich>
                  <a:bodyPr/>
                  <a:lstStyle/>
                  <a:p>
                    <a:fld id="{2457D6D1-CC53-408D-9477-503F6321ED2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F78D-4640-9121-6D11AC985627}"/>
                </c:ext>
              </c:extLst>
            </c:dLbl>
            <c:dLbl>
              <c:idx val="10"/>
              <c:tx>
                <c:rich>
                  <a:bodyPr/>
                  <a:lstStyle/>
                  <a:p>
                    <a:fld id="{B2C3C958-5F85-49E6-B5EF-CB2A45F2137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F78D-4640-9121-6D11AC985627}"/>
                </c:ext>
              </c:extLst>
            </c:dLbl>
            <c:dLbl>
              <c:idx val="11"/>
              <c:tx>
                <c:rich>
                  <a:bodyPr/>
                  <a:lstStyle/>
                  <a:p>
                    <a:fld id="{009BA6DC-5609-47B6-95FA-B7718E187AE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F78D-4640-9121-6D11AC985627}"/>
                </c:ext>
              </c:extLst>
            </c:dLbl>
            <c:dLbl>
              <c:idx val="12"/>
              <c:tx>
                <c:rich>
                  <a:bodyPr/>
                  <a:lstStyle/>
                  <a:p>
                    <a:fld id="{D8F345B0-D136-410A-98C6-8E680476B33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D962-4447-A359-1B4C0583A554}"/>
                </c:ext>
              </c:extLst>
            </c:dLbl>
            <c:dLbl>
              <c:idx val="13"/>
              <c:tx>
                <c:rich>
                  <a:bodyPr/>
                  <a:lstStyle/>
                  <a:p>
                    <a:fld id="{CEFA7792-B301-41FE-9432-97D24384BFD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D962-4447-A359-1B4C0583A554}"/>
                </c:ext>
              </c:extLst>
            </c:dLbl>
            <c:dLbl>
              <c:idx val="14"/>
              <c:tx>
                <c:rich>
                  <a:bodyPr/>
                  <a:lstStyle/>
                  <a:p>
                    <a:fld id="{67B46F05-A73B-4890-9726-D7411826BC74}"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B2BC-4E30-B0BE-47B81CBD265E}"/>
                </c:ext>
              </c:extLst>
            </c:dLbl>
            <c:dLbl>
              <c:idx val="15"/>
              <c:tx>
                <c:rich>
                  <a:bodyPr/>
                  <a:lstStyle/>
                  <a:p>
                    <a:fld id="{D74DD52F-7D04-42EA-AE7C-8D7F515C6DE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B4C1-44D9-AA54-3E9143C9D05D}"/>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Graphs'!$B$258:$B$273</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Graphs'!$E$258:$E$273</c:f>
              <c:numCache>
                <c:formatCode>_(* #,##0_);_(* \(#,##0\);_(* "-"??_);_(@_)</c:formatCode>
                <c:ptCount val="16"/>
                <c:pt idx="0">
                  <c:v>2.3760904780800001</c:v>
                </c:pt>
                <c:pt idx="1">
                  <c:v>0</c:v>
                </c:pt>
                <c:pt idx="2">
                  <c:v>31.340777599999999</c:v>
                </c:pt>
                <c:pt idx="3">
                  <c:v>6033.3793141750002</c:v>
                </c:pt>
                <c:pt idx="4">
                  <c:v>0</c:v>
                </c:pt>
                <c:pt idx="5">
                  <c:v>0</c:v>
                </c:pt>
                <c:pt idx="6">
                  <c:v>0</c:v>
                </c:pt>
                <c:pt idx="7">
                  <c:v>0</c:v>
                </c:pt>
                <c:pt idx="8">
                  <c:v>0</c:v>
                </c:pt>
                <c:pt idx="9">
                  <c:v>3173.736820206258</c:v>
                </c:pt>
                <c:pt idx="10">
                  <c:v>17441.830263454423</c:v>
                </c:pt>
                <c:pt idx="11">
                  <c:v>0</c:v>
                </c:pt>
                <c:pt idx="12">
                  <c:v>229.77619487020402</c:v>
                </c:pt>
                <c:pt idx="13">
                  <c:v>7461.7759618323562</c:v>
                </c:pt>
                <c:pt idx="14">
                  <c:v>0</c:v>
                </c:pt>
                <c:pt idx="15">
                  <c:v>1371.9119328875299</c:v>
                </c:pt>
              </c:numCache>
            </c:numRef>
          </c:val>
          <c:extLst>
            <c:ext xmlns:c15="http://schemas.microsoft.com/office/drawing/2012/chart" uri="{02D57815-91ED-43cb-92C2-25804820EDAC}">
              <c15:datalabelsRange>
                <c15:f>'Tables &amp; Graphs'!$F$258:$F$273</c15:f>
                <c15:dlblRangeCache>
                  <c:ptCount val="16"/>
                  <c:pt idx="0">
                    <c:v>0.0%</c:v>
                  </c:pt>
                  <c:pt idx="1">
                    <c:v>0.0%</c:v>
                  </c:pt>
                  <c:pt idx="2">
                    <c:v>0.1%</c:v>
                  </c:pt>
                  <c:pt idx="3">
                    <c:v>16.9%</c:v>
                  </c:pt>
                  <c:pt idx="4">
                    <c:v>0.0%</c:v>
                  </c:pt>
                  <c:pt idx="5">
                    <c:v>0.0%</c:v>
                  </c:pt>
                  <c:pt idx="6">
                    <c:v>0.0%</c:v>
                  </c:pt>
                  <c:pt idx="7">
                    <c:v>0.0%</c:v>
                  </c:pt>
                  <c:pt idx="8">
                    <c:v>0.0%</c:v>
                  </c:pt>
                  <c:pt idx="9">
                    <c:v>8.9%</c:v>
                  </c:pt>
                  <c:pt idx="10">
                    <c:v>48.8%</c:v>
                  </c:pt>
                  <c:pt idx="11">
                    <c:v>0.0%</c:v>
                  </c:pt>
                  <c:pt idx="12">
                    <c:v>0.6%</c:v>
                  </c:pt>
                  <c:pt idx="13">
                    <c:v>20.9%</c:v>
                  </c:pt>
                  <c:pt idx="14">
                    <c:v>0.0%</c:v>
                  </c:pt>
                  <c:pt idx="15">
                    <c:v>3.8%</c:v>
                  </c:pt>
                </c15:dlblRangeCache>
              </c15:datalabelsRange>
            </c:ext>
            <c:ext xmlns:c16="http://schemas.microsoft.com/office/drawing/2014/chart" uri="{C3380CC4-5D6E-409C-BE32-E72D297353CC}">
              <c16:uniqueId val="{00000000-F78D-4640-9121-6D11AC985627}"/>
            </c:ext>
          </c:extLst>
        </c:ser>
        <c:dLbls>
          <c:showLegendKey val="0"/>
          <c:showVal val="0"/>
          <c:showCatName val="0"/>
          <c:showSerName val="0"/>
          <c:showPercent val="0"/>
          <c:showBubbleSize val="0"/>
        </c:dLbls>
        <c:gapWidth val="219"/>
        <c:overlap val="-27"/>
        <c:axId val="1393070144"/>
        <c:axId val="1393066816"/>
      </c:barChart>
      <c:catAx>
        <c:axId val="1393070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93066816"/>
        <c:crosses val="autoZero"/>
        <c:auto val="1"/>
        <c:lblAlgn val="ctr"/>
        <c:lblOffset val="100"/>
        <c:noMultiLvlLbl val="0"/>
      </c:catAx>
      <c:valAx>
        <c:axId val="13930668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4208670863092924"/>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3930701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Maintenance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9B56-4942-94DF-CFF77216CDF1}"/>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5-9B56-4942-94DF-CFF77216CDF1}"/>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6-9B56-4942-94DF-CFF77216CDF1}"/>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9B56-4942-94DF-CFF77216CDF1}"/>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4-9B56-4942-94DF-CFF77216CDF1}"/>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8-9B56-4942-94DF-CFF77216CDF1}"/>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9-9B56-4942-94DF-CFF77216CDF1}"/>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A-9B56-4942-94DF-CFF77216CDF1}"/>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B-9B56-4942-94DF-CFF77216CDF1}"/>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3-9B56-4942-94DF-CFF77216CDF1}"/>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9B56-4942-94DF-CFF77216CDF1}"/>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9B56-4942-94DF-CFF77216CDF1}"/>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139F-4B77-8B95-7445BEBA0042}"/>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139F-4B77-8B95-7445BEBA0042}"/>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CCDC-425C-9CCC-CF8492D9613F}"/>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14E1-49A4-9EE7-7B3825723459}"/>
              </c:ext>
            </c:extLst>
          </c:dPt>
          <c:dLbls>
            <c:dLbl>
              <c:idx val="0"/>
              <c:tx>
                <c:rich>
                  <a:bodyPr/>
                  <a:lstStyle/>
                  <a:p>
                    <a:fld id="{93E1EE93-E8AE-4452-9F5E-395A9BF720CB}" type="CELLRANGE">
                      <a:rPr lang="en-US" baseline="0"/>
                      <a:pPr/>
                      <a:t>[CELLRANGE]</a:t>
                    </a:fld>
                    <a:r>
                      <a:rPr lang="en-US" baseline="0"/>
                      <a:t>, </a:t>
                    </a:r>
                    <a:fld id="{A469E886-16D9-4DFE-B0B6-DB74C0CB2C9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9B56-4942-94DF-CFF77216CDF1}"/>
                </c:ext>
              </c:extLst>
            </c:dLbl>
            <c:dLbl>
              <c:idx val="1"/>
              <c:tx>
                <c:rich>
                  <a:bodyPr/>
                  <a:lstStyle/>
                  <a:p>
                    <a:fld id="{01CD0856-16B2-4F68-9A40-D3BABDD6CA5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9B56-4942-94DF-CFF77216CDF1}"/>
                </c:ext>
              </c:extLst>
            </c:dLbl>
            <c:dLbl>
              <c:idx val="2"/>
              <c:tx>
                <c:rich>
                  <a:bodyPr/>
                  <a:lstStyle/>
                  <a:p>
                    <a:fld id="{74D593A0-B045-4DB1-AC3B-3D7A5FDAA647}"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9B56-4942-94DF-CFF77216CDF1}"/>
                </c:ext>
              </c:extLst>
            </c:dLbl>
            <c:dLbl>
              <c:idx val="3"/>
              <c:tx>
                <c:rich>
                  <a:bodyPr/>
                  <a:lstStyle/>
                  <a:p>
                    <a:fld id="{D79B1BBC-A84B-4D6C-997C-5815251998E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9B56-4942-94DF-CFF77216CDF1}"/>
                </c:ext>
              </c:extLst>
            </c:dLbl>
            <c:dLbl>
              <c:idx val="4"/>
              <c:tx>
                <c:rich>
                  <a:bodyPr/>
                  <a:lstStyle/>
                  <a:p>
                    <a:fld id="{0AE19DC6-E2C6-45CE-BAC7-BA5105A5EAF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9B56-4942-94DF-CFF77216CDF1}"/>
                </c:ext>
              </c:extLst>
            </c:dLbl>
            <c:dLbl>
              <c:idx val="5"/>
              <c:tx>
                <c:rich>
                  <a:bodyPr/>
                  <a:lstStyle/>
                  <a:p>
                    <a:fld id="{C9A5E1B5-BFDC-43DA-83E7-09028A8AECD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B56-4942-94DF-CFF77216CDF1}"/>
                </c:ext>
              </c:extLst>
            </c:dLbl>
            <c:dLbl>
              <c:idx val="6"/>
              <c:tx>
                <c:rich>
                  <a:bodyPr/>
                  <a:lstStyle/>
                  <a:p>
                    <a:fld id="{9CDEFB03-E6F6-4131-9967-0E8980D387D1}" type="CELLRANGE">
                      <a:rPr lang="en-US" baseline="0"/>
                      <a:pPr/>
                      <a:t>[CELLRANGE]</a:t>
                    </a:fld>
                    <a:r>
                      <a:rPr lang="en-US" baseline="0"/>
                      <a:t>, </a:t>
                    </a:r>
                    <a:fld id="{6DC157B0-653E-4D80-AA67-F9BA262C3640}"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9B56-4942-94DF-CFF77216CDF1}"/>
                </c:ext>
              </c:extLst>
            </c:dLbl>
            <c:dLbl>
              <c:idx val="7"/>
              <c:tx>
                <c:rich>
                  <a:bodyPr/>
                  <a:lstStyle/>
                  <a:p>
                    <a:fld id="{CEF06993-B5EA-416D-95B2-64B55D5668BF}"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9B56-4942-94DF-CFF77216CDF1}"/>
                </c:ext>
              </c:extLst>
            </c:dLbl>
            <c:dLbl>
              <c:idx val="8"/>
              <c:tx>
                <c:rich>
                  <a:bodyPr/>
                  <a:lstStyle/>
                  <a:p>
                    <a:fld id="{60DC0722-6FE8-450D-AA81-65815187ADF6}"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B56-4942-94DF-CFF77216CDF1}"/>
                </c:ext>
              </c:extLst>
            </c:dLbl>
            <c:dLbl>
              <c:idx val="9"/>
              <c:tx>
                <c:rich>
                  <a:bodyPr/>
                  <a:lstStyle/>
                  <a:p>
                    <a:fld id="{98036C9E-3E8A-4C41-A3FA-343B0CEC277A}" type="CELLRANGE">
                      <a:rPr lang="en-US" baseline="0"/>
                      <a:pPr/>
                      <a:t>[CELLRANGE]</a:t>
                    </a:fld>
                    <a:r>
                      <a:rPr lang="en-US" baseline="0"/>
                      <a:t>, </a:t>
                    </a:r>
                    <a:fld id="{D67F86F3-BBB7-4228-8738-E80F4A78ED35}" type="VALUE">
                      <a:rPr lang="en-US" baseline="0"/>
                      <a:pPr/>
                      <a:t>[VALUE]</a:t>
                    </a:fld>
                    <a:endParaRPr lang="en-US" baseline="0"/>
                  </a:p>
                </c:rich>
              </c:tx>
              <c:showLegendKey val="0"/>
              <c:showVal val="1"/>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9B56-4942-94DF-CFF77216CDF1}"/>
                </c:ext>
              </c:extLst>
            </c:dLbl>
            <c:dLbl>
              <c:idx val="10"/>
              <c:tx>
                <c:rich>
                  <a:bodyPr/>
                  <a:lstStyle/>
                  <a:p>
                    <a:fld id="{73FCCFED-2C8D-45DC-A6C9-E5B5029DE66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9B56-4942-94DF-CFF77216CDF1}"/>
                </c:ext>
              </c:extLst>
            </c:dLbl>
            <c:dLbl>
              <c:idx val="11"/>
              <c:tx>
                <c:rich>
                  <a:bodyPr/>
                  <a:lstStyle/>
                  <a:p>
                    <a:fld id="{FD014E08-6B59-4A9C-B337-A3DED86CB6A5}"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9B56-4942-94DF-CFF77216CDF1}"/>
                </c:ext>
              </c:extLst>
            </c:dLbl>
            <c:dLbl>
              <c:idx val="12"/>
              <c:tx>
                <c:rich>
                  <a:bodyPr/>
                  <a:lstStyle/>
                  <a:p>
                    <a:fld id="{BAA2EBC3-A642-4D94-9378-325F6103EC4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139F-4B77-8B95-7445BEBA0042}"/>
                </c:ext>
              </c:extLst>
            </c:dLbl>
            <c:dLbl>
              <c:idx val="13"/>
              <c:tx>
                <c:rich>
                  <a:bodyPr/>
                  <a:lstStyle/>
                  <a:p>
                    <a:fld id="{9722F941-63AA-4E41-B279-7B878B12258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139F-4B77-8B95-7445BEBA0042}"/>
                </c:ext>
              </c:extLst>
            </c:dLbl>
            <c:dLbl>
              <c:idx val="14"/>
              <c:tx>
                <c:rich>
                  <a:bodyPr/>
                  <a:lstStyle/>
                  <a:p>
                    <a:fld id="{B4E2B4D7-AE4A-43E7-AFC2-B338EC4E2088}"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CCDC-425C-9CCC-CF8492D9613F}"/>
                </c:ext>
              </c:extLst>
            </c:dLbl>
            <c:dLbl>
              <c:idx val="15"/>
              <c:tx>
                <c:rich>
                  <a:bodyPr/>
                  <a:lstStyle/>
                  <a:p>
                    <a:fld id="{ADC67D2C-60E0-4FAC-BC05-1C0909D7511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14E1-49A4-9EE7-7B3825723459}"/>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Graphs'!$B$283:$B$298</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Graphs'!$E$283:$E$298</c:f>
              <c:numCache>
                <c:formatCode>_(* #,##0_);_(* \(#,##0\);_(* "-"??_);_(@_)</c:formatCode>
                <c:ptCount val="16"/>
                <c:pt idx="0">
                  <c:v>13908.076867753138</c:v>
                </c:pt>
                <c:pt idx="1">
                  <c:v>0</c:v>
                </c:pt>
                <c:pt idx="2">
                  <c:v>105.64033894555989</c:v>
                </c:pt>
                <c:pt idx="3">
                  <c:v>78.544375500000001</c:v>
                </c:pt>
                <c:pt idx="4">
                  <c:v>0</c:v>
                </c:pt>
                <c:pt idx="5">
                  <c:v>0.54170530501924974</c:v>
                </c:pt>
                <c:pt idx="6">
                  <c:v>2544.0028827220758</c:v>
                </c:pt>
                <c:pt idx="7">
                  <c:v>0</c:v>
                </c:pt>
                <c:pt idx="8">
                  <c:v>0</c:v>
                </c:pt>
                <c:pt idx="9">
                  <c:v>3173.736820206258</c:v>
                </c:pt>
                <c:pt idx="10">
                  <c:v>49035.424831559969</c:v>
                </c:pt>
                <c:pt idx="11">
                  <c:v>0</c:v>
                </c:pt>
                <c:pt idx="12">
                  <c:v>344.38384313053274</c:v>
                </c:pt>
                <c:pt idx="13">
                  <c:v>72.53470931330142</c:v>
                </c:pt>
                <c:pt idx="14">
                  <c:v>0</c:v>
                </c:pt>
                <c:pt idx="15">
                  <c:v>5569.1834410249094</c:v>
                </c:pt>
              </c:numCache>
            </c:numRef>
          </c:val>
          <c:extLst>
            <c:ext xmlns:c15="http://schemas.microsoft.com/office/drawing/2012/chart" uri="{02D57815-91ED-43cb-92C2-25804820EDAC}">
              <c15:datalabelsRange>
                <c15:f>'Tables &amp; Graphs'!$F$283:$F$298</c15:f>
                <c15:dlblRangeCache>
                  <c:ptCount val="16"/>
                  <c:pt idx="0">
                    <c:v>18.6%</c:v>
                  </c:pt>
                  <c:pt idx="1">
                    <c:v>0.0%</c:v>
                  </c:pt>
                  <c:pt idx="2">
                    <c:v>0.1%</c:v>
                  </c:pt>
                  <c:pt idx="3">
                    <c:v>0.1%</c:v>
                  </c:pt>
                  <c:pt idx="4">
                    <c:v>0.0%</c:v>
                  </c:pt>
                  <c:pt idx="5">
                    <c:v>0.0%</c:v>
                  </c:pt>
                  <c:pt idx="6">
                    <c:v>3.4%</c:v>
                  </c:pt>
                  <c:pt idx="7">
                    <c:v>0.0%</c:v>
                  </c:pt>
                  <c:pt idx="8">
                    <c:v>0.0%</c:v>
                  </c:pt>
                  <c:pt idx="9">
                    <c:v>4.2%</c:v>
                  </c:pt>
                  <c:pt idx="10">
                    <c:v>65.5%</c:v>
                  </c:pt>
                  <c:pt idx="11">
                    <c:v>0.0%</c:v>
                  </c:pt>
                  <c:pt idx="12">
                    <c:v>0.5%</c:v>
                  </c:pt>
                  <c:pt idx="13">
                    <c:v>0.1%</c:v>
                  </c:pt>
                  <c:pt idx="14">
                    <c:v>0.0%</c:v>
                  </c:pt>
                  <c:pt idx="15">
                    <c:v>7.4%</c:v>
                  </c:pt>
                </c15:dlblRangeCache>
              </c15:datalabelsRange>
            </c:ext>
            <c:ext xmlns:c16="http://schemas.microsoft.com/office/drawing/2014/chart" uri="{C3380CC4-5D6E-409C-BE32-E72D297353CC}">
              <c16:uniqueId val="{00000000-9B56-4942-94DF-CFF77216CDF1}"/>
            </c:ext>
          </c:extLst>
        </c:ser>
        <c:dLbls>
          <c:showLegendKey val="0"/>
          <c:showVal val="0"/>
          <c:showCatName val="0"/>
          <c:showSerName val="0"/>
          <c:showPercent val="0"/>
          <c:showBubbleSize val="0"/>
        </c:dLbls>
        <c:gapWidth val="219"/>
        <c:overlap val="-27"/>
        <c:axId val="1588764400"/>
        <c:axId val="1588762736"/>
      </c:barChart>
      <c:catAx>
        <c:axId val="1588764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588762736"/>
        <c:crosses val="autoZero"/>
        <c:auto val="1"/>
        <c:lblAlgn val="ctr"/>
        <c:lblOffset val="100"/>
        <c:noMultiLvlLbl val="0"/>
      </c:catAx>
      <c:valAx>
        <c:axId val="158876273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629388373876812"/>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58876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a:t>TAS Emissions (Types)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clustered"/>
        <c:varyColors val="1"/>
        <c:ser>
          <c:idx val="0"/>
          <c:order val="0"/>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4C7B-441C-A42F-BA78A95567A0}"/>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4C7B-441C-A42F-BA78A95567A0}"/>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4-4C7B-441C-A42F-BA78A95567A0}"/>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5-4C7B-441C-A42F-BA78A95567A0}"/>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6-4C7B-441C-A42F-BA78A95567A0}"/>
              </c:ext>
            </c:extLst>
          </c:dPt>
          <c:dPt>
            <c:idx val="5"/>
            <c:invertIfNegative val="0"/>
            <c:bubble3D val="0"/>
            <c:spPr>
              <a:solidFill>
                <a:schemeClr val="accent6"/>
              </a:solidFill>
              <a:ln>
                <a:noFill/>
              </a:ln>
              <a:effectLst/>
            </c:spPr>
            <c:extLst>
              <c:ext xmlns:c16="http://schemas.microsoft.com/office/drawing/2014/chart" uri="{C3380CC4-5D6E-409C-BE32-E72D297353CC}">
                <c16:uniqueId val="{00000007-4C7B-441C-A42F-BA78A95567A0}"/>
              </c:ext>
            </c:extLst>
          </c:dPt>
          <c:dPt>
            <c:idx val="6"/>
            <c:invertIfNegative val="0"/>
            <c:bubble3D val="0"/>
            <c:spPr>
              <a:solidFill>
                <a:schemeClr val="accent1">
                  <a:lumMod val="60000"/>
                </a:schemeClr>
              </a:solidFill>
              <a:ln>
                <a:noFill/>
              </a:ln>
              <a:effectLst/>
            </c:spPr>
            <c:extLst>
              <c:ext xmlns:c16="http://schemas.microsoft.com/office/drawing/2014/chart" uri="{C3380CC4-5D6E-409C-BE32-E72D297353CC}">
                <c16:uniqueId val="{00000008-4C7B-441C-A42F-BA78A95567A0}"/>
              </c:ext>
            </c:extLst>
          </c:dPt>
          <c:dPt>
            <c:idx val="7"/>
            <c:invertIfNegative val="0"/>
            <c:bubble3D val="0"/>
            <c:spPr>
              <a:solidFill>
                <a:schemeClr val="accent2">
                  <a:lumMod val="60000"/>
                </a:schemeClr>
              </a:solidFill>
              <a:ln>
                <a:noFill/>
              </a:ln>
              <a:effectLst/>
            </c:spPr>
            <c:extLst>
              <c:ext xmlns:c16="http://schemas.microsoft.com/office/drawing/2014/chart" uri="{C3380CC4-5D6E-409C-BE32-E72D297353CC}">
                <c16:uniqueId val="{00000009-4C7B-441C-A42F-BA78A95567A0}"/>
              </c:ext>
            </c:extLst>
          </c:dPt>
          <c:dPt>
            <c:idx val="8"/>
            <c:invertIfNegative val="0"/>
            <c:bubble3D val="0"/>
            <c:spPr>
              <a:solidFill>
                <a:schemeClr val="accent3">
                  <a:lumMod val="60000"/>
                </a:schemeClr>
              </a:solidFill>
              <a:ln>
                <a:noFill/>
              </a:ln>
              <a:effectLst/>
            </c:spPr>
            <c:extLst>
              <c:ext xmlns:c16="http://schemas.microsoft.com/office/drawing/2014/chart" uri="{C3380CC4-5D6E-409C-BE32-E72D297353CC}">
                <c16:uniqueId val="{0000000A-4C7B-441C-A42F-BA78A95567A0}"/>
              </c:ext>
            </c:extLst>
          </c:dPt>
          <c:dPt>
            <c:idx val="9"/>
            <c:invertIfNegative val="0"/>
            <c:bubble3D val="0"/>
            <c:spPr>
              <a:solidFill>
                <a:schemeClr val="accent4">
                  <a:lumMod val="60000"/>
                </a:schemeClr>
              </a:solidFill>
              <a:ln>
                <a:noFill/>
              </a:ln>
              <a:effectLst/>
            </c:spPr>
            <c:extLst>
              <c:ext xmlns:c16="http://schemas.microsoft.com/office/drawing/2014/chart" uri="{C3380CC4-5D6E-409C-BE32-E72D297353CC}">
                <c16:uniqueId val="{0000000B-4C7B-441C-A42F-BA78A95567A0}"/>
              </c:ext>
            </c:extLst>
          </c:dPt>
          <c:dPt>
            <c:idx val="10"/>
            <c:invertIfNegative val="0"/>
            <c:bubble3D val="0"/>
            <c:spPr>
              <a:solidFill>
                <a:schemeClr val="accent5">
                  <a:lumMod val="60000"/>
                </a:schemeClr>
              </a:solidFill>
              <a:ln>
                <a:noFill/>
              </a:ln>
              <a:effectLst/>
            </c:spPr>
            <c:extLst>
              <c:ext xmlns:c16="http://schemas.microsoft.com/office/drawing/2014/chart" uri="{C3380CC4-5D6E-409C-BE32-E72D297353CC}">
                <c16:uniqueId val="{0000000C-4C7B-441C-A42F-BA78A95567A0}"/>
              </c:ext>
            </c:extLst>
          </c:dPt>
          <c:dPt>
            <c:idx val="11"/>
            <c:invertIfNegative val="0"/>
            <c:bubble3D val="0"/>
            <c:spPr>
              <a:solidFill>
                <a:schemeClr val="accent6">
                  <a:lumMod val="60000"/>
                </a:schemeClr>
              </a:solidFill>
              <a:ln>
                <a:noFill/>
              </a:ln>
              <a:effectLst/>
            </c:spPr>
            <c:extLst>
              <c:ext xmlns:c16="http://schemas.microsoft.com/office/drawing/2014/chart" uri="{C3380CC4-5D6E-409C-BE32-E72D297353CC}">
                <c16:uniqueId val="{0000000D-4C7B-441C-A42F-BA78A95567A0}"/>
              </c:ext>
            </c:extLst>
          </c:dPt>
          <c:dPt>
            <c:idx val="12"/>
            <c:invertIfNegative val="0"/>
            <c:bubble3D val="0"/>
            <c:spPr>
              <a:solidFill>
                <a:schemeClr val="accent1">
                  <a:lumMod val="80000"/>
                  <a:lumOff val="20000"/>
                </a:schemeClr>
              </a:solidFill>
              <a:ln>
                <a:noFill/>
              </a:ln>
              <a:effectLst/>
            </c:spPr>
            <c:extLst>
              <c:ext xmlns:c16="http://schemas.microsoft.com/office/drawing/2014/chart" uri="{C3380CC4-5D6E-409C-BE32-E72D297353CC}">
                <c16:uniqueId val="{00000019-7DD7-4EBD-A4C1-43CC5A3EB9A9}"/>
              </c:ext>
            </c:extLst>
          </c:dPt>
          <c:dPt>
            <c:idx val="13"/>
            <c:invertIfNegative val="0"/>
            <c:bubble3D val="0"/>
            <c:spPr>
              <a:solidFill>
                <a:schemeClr val="accent2">
                  <a:lumMod val="80000"/>
                  <a:lumOff val="20000"/>
                </a:schemeClr>
              </a:solidFill>
              <a:ln>
                <a:noFill/>
              </a:ln>
              <a:effectLst/>
            </c:spPr>
            <c:extLst>
              <c:ext xmlns:c16="http://schemas.microsoft.com/office/drawing/2014/chart" uri="{C3380CC4-5D6E-409C-BE32-E72D297353CC}">
                <c16:uniqueId val="{0000001A-7DD7-4EBD-A4C1-43CC5A3EB9A9}"/>
              </c:ext>
            </c:extLst>
          </c:dPt>
          <c:dPt>
            <c:idx val="14"/>
            <c:invertIfNegative val="0"/>
            <c:bubble3D val="0"/>
            <c:spPr>
              <a:solidFill>
                <a:schemeClr val="accent3">
                  <a:lumMod val="80000"/>
                  <a:lumOff val="20000"/>
                </a:schemeClr>
              </a:solidFill>
              <a:ln>
                <a:noFill/>
              </a:ln>
              <a:effectLst/>
            </c:spPr>
            <c:extLst>
              <c:ext xmlns:c16="http://schemas.microsoft.com/office/drawing/2014/chart" uri="{C3380CC4-5D6E-409C-BE32-E72D297353CC}">
                <c16:uniqueId val="{0000001D-1D6D-4A65-B841-40A356EFE9B5}"/>
              </c:ext>
            </c:extLst>
          </c:dPt>
          <c:dPt>
            <c:idx val="15"/>
            <c:invertIfNegative val="0"/>
            <c:bubble3D val="0"/>
            <c:spPr>
              <a:solidFill>
                <a:schemeClr val="accent4">
                  <a:lumMod val="80000"/>
                  <a:lumOff val="20000"/>
                </a:schemeClr>
              </a:solidFill>
              <a:ln>
                <a:noFill/>
              </a:ln>
              <a:effectLst/>
            </c:spPr>
            <c:extLst>
              <c:ext xmlns:c16="http://schemas.microsoft.com/office/drawing/2014/chart" uri="{C3380CC4-5D6E-409C-BE32-E72D297353CC}">
                <c16:uniqueId val="{0000001F-58D8-4A65-BC75-3D9F6C16362F}"/>
              </c:ext>
            </c:extLst>
          </c:dPt>
          <c:dLbls>
            <c:dLbl>
              <c:idx val="0"/>
              <c:tx>
                <c:rich>
                  <a:bodyPr/>
                  <a:lstStyle/>
                  <a:p>
                    <a:fld id="{D1DD1C5E-2ED8-4344-B93B-5B03671975CA}"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4C7B-441C-A42F-BA78A95567A0}"/>
                </c:ext>
              </c:extLst>
            </c:dLbl>
            <c:dLbl>
              <c:idx val="1"/>
              <c:tx>
                <c:rich>
                  <a:bodyPr/>
                  <a:lstStyle/>
                  <a:p>
                    <a:fld id="{EC6BBBC6-F32E-40C8-A103-9207751F550C}"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7B-441C-A42F-BA78A95567A0}"/>
                </c:ext>
              </c:extLst>
            </c:dLbl>
            <c:dLbl>
              <c:idx val="2"/>
              <c:tx>
                <c:rich>
                  <a:bodyPr/>
                  <a:lstStyle/>
                  <a:p>
                    <a:fld id="{DE5BB222-E746-4C41-B0AD-C86D00C1C94B}"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7B-441C-A42F-BA78A95567A0}"/>
                </c:ext>
              </c:extLst>
            </c:dLbl>
            <c:dLbl>
              <c:idx val="3"/>
              <c:tx>
                <c:rich>
                  <a:bodyPr/>
                  <a:lstStyle/>
                  <a:p>
                    <a:fld id="{9956CB0F-1E14-4750-8156-201B89B7F313}"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C7B-441C-A42F-BA78A95567A0}"/>
                </c:ext>
              </c:extLst>
            </c:dLbl>
            <c:dLbl>
              <c:idx val="4"/>
              <c:tx>
                <c:rich>
                  <a:bodyPr/>
                  <a:lstStyle/>
                  <a:p>
                    <a:fld id="{D66B3FF0-34A6-4D31-82CE-FA3746DF083D}"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C7B-441C-A42F-BA78A95567A0}"/>
                </c:ext>
              </c:extLst>
            </c:dLbl>
            <c:dLbl>
              <c:idx val="5"/>
              <c:tx>
                <c:rich>
                  <a:bodyPr/>
                  <a:lstStyle/>
                  <a:p>
                    <a:fld id="{2B2D3E80-99DA-461D-894B-7D91AEF60DD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7B-441C-A42F-BA78A95567A0}"/>
                </c:ext>
              </c:extLst>
            </c:dLbl>
            <c:dLbl>
              <c:idx val="6"/>
              <c:tx>
                <c:rich>
                  <a:bodyPr/>
                  <a:lstStyle/>
                  <a:p>
                    <a:fld id="{C59F8391-D9AF-46B2-BC14-5DCB93F2A649}"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7B-441C-A42F-BA78A95567A0}"/>
                </c:ext>
              </c:extLst>
            </c:dLbl>
            <c:dLbl>
              <c:idx val="7"/>
              <c:tx>
                <c:rich>
                  <a:bodyPr/>
                  <a:lstStyle/>
                  <a:p>
                    <a:fld id="{CEB0976D-5F7F-432B-B598-D3E0BC8318F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7B-441C-A42F-BA78A95567A0}"/>
                </c:ext>
              </c:extLst>
            </c:dLbl>
            <c:dLbl>
              <c:idx val="8"/>
              <c:tx>
                <c:rich>
                  <a:bodyPr/>
                  <a:lstStyle/>
                  <a:p>
                    <a:fld id="{C0FD1E49-31F0-49EA-ABAA-4A54A8F79E31}"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7B-441C-A42F-BA78A95567A0}"/>
                </c:ext>
              </c:extLst>
            </c:dLbl>
            <c:dLbl>
              <c:idx val="9"/>
              <c:tx>
                <c:rich>
                  <a:bodyPr/>
                  <a:lstStyle/>
                  <a:p>
                    <a:fld id="{C6F0D71A-898F-4091-9ECE-906A699F3FF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7B-441C-A42F-BA78A95567A0}"/>
                </c:ext>
              </c:extLst>
            </c:dLbl>
            <c:dLbl>
              <c:idx val="10"/>
              <c:tx>
                <c:rich>
                  <a:bodyPr/>
                  <a:lstStyle/>
                  <a:p>
                    <a:fld id="{66BFC5DF-F9FF-41AD-9340-71F68FF5E4E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C7B-441C-A42F-BA78A95567A0}"/>
                </c:ext>
              </c:extLst>
            </c:dLbl>
            <c:dLbl>
              <c:idx val="11"/>
              <c:tx>
                <c:rich>
                  <a:bodyPr/>
                  <a:lstStyle/>
                  <a:p>
                    <a:fld id="{40E8E4DE-491A-438F-8AFF-5CAEA19982A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C7B-441C-A42F-BA78A95567A0}"/>
                </c:ext>
              </c:extLst>
            </c:dLbl>
            <c:dLbl>
              <c:idx val="12"/>
              <c:tx>
                <c:rich>
                  <a:bodyPr/>
                  <a:lstStyle/>
                  <a:p>
                    <a:fld id="{F7C783D9-7948-4146-83F2-558539E3FCF2}"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9-7DD7-4EBD-A4C1-43CC5A3EB9A9}"/>
                </c:ext>
              </c:extLst>
            </c:dLbl>
            <c:dLbl>
              <c:idx val="13"/>
              <c:tx>
                <c:rich>
                  <a:bodyPr/>
                  <a:lstStyle/>
                  <a:p>
                    <a:fld id="{AAFE473B-E60A-4EDA-A8DE-2ADE007D87F7}"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A-7DD7-4EBD-A4C1-43CC5A3EB9A9}"/>
                </c:ext>
              </c:extLst>
            </c:dLbl>
            <c:dLbl>
              <c:idx val="14"/>
              <c:tx>
                <c:rich>
                  <a:bodyPr/>
                  <a:lstStyle/>
                  <a:p>
                    <a:fld id="{C44967C4-AE79-4022-BB08-E18B2A019BFE}"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D-1D6D-4A65-B841-40A356EFE9B5}"/>
                </c:ext>
              </c:extLst>
            </c:dLbl>
            <c:dLbl>
              <c:idx val="15"/>
              <c:tx>
                <c:rich>
                  <a:bodyPr/>
                  <a:lstStyle/>
                  <a:p>
                    <a:fld id="{901829BC-FF0B-4A57-A69C-093EA058D170}" type="CELLRANGE">
                      <a:rPr lang="fa-IR"/>
                      <a:pPr/>
                      <a:t>[CELLRANGE]</a:t>
                    </a:fld>
                    <a:endParaRPr lang="fa-I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F-58D8-4A65-BC75-3D9F6C16362F}"/>
                </c:ext>
              </c:extLst>
            </c:dLbl>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'Tables &amp; Graphs'!$B$308:$B$323</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'Tables &amp; Graphs'!$E$308:$E$323</c:f>
              <c:numCache>
                <c:formatCode>_(* #,##0_);_(* \(#,##0\);_(* "-"??_);_(@_)</c:formatCode>
                <c:ptCount val="16"/>
                <c:pt idx="0">
                  <c:v>90172.753085119271</c:v>
                </c:pt>
                <c:pt idx="1">
                  <c:v>0</c:v>
                </c:pt>
                <c:pt idx="2">
                  <c:v>72.449275928091893</c:v>
                </c:pt>
                <c:pt idx="3">
                  <c:v>33710.293461643967</c:v>
                </c:pt>
                <c:pt idx="4">
                  <c:v>0</c:v>
                </c:pt>
                <c:pt idx="5">
                  <c:v>0</c:v>
                </c:pt>
                <c:pt idx="6">
                  <c:v>1584.5881538918065</c:v>
                </c:pt>
                <c:pt idx="7">
                  <c:v>0</c:v>
                </c:pt>
                <c:pt idx="8">
                  <c:v>0</c:v>
                </c:pt>
                <c:pt idx="9">
                  <c:v>16891.090411689416</c:v>
                </c:pt>
                <c:pt idx="10">
                  <c:v>552944.19376250159</c:v>
                </c:pt>
                <c:pt idx="11">
                  <c:v>0</c:v>
                </c:pt>
                <c:pt idx="12">
                  <c:v>255.48580509294354</c:v>
                </c:pt>
                <c:pt idx="13">
                  <c:v>105.91347289631776</c:v>
                </c:pt>
                <c:pt idx="14">
                  <c:v>0</c:v>
                </c:pt>
                <c:pt idx="15">
                  <c:v>43723.279425846718</c:v>
                </c:pt>
              </c:numCache>
            </c:numRef>
          </c:val>
          <c:extLst>
            <c:ext xmlns:c15="http://schemas.microsoft.com/office/drawing/2012/chart" uri="{02D57815-91ED-43cb-92C2-25804820EDAC}">
              <c15:datalabelsRange>
                <c15:f>'Tables &amp; Graphs'!$F$308:$F$323</c15:f>
                <c15:dlblRangeCache>
                  <c:ptCount val="16"/>
                  <c:pt idx="0">
                    <c:v>12.2%</c:v>
                  </c:pt>
                  <c:pt idx="1">
                    <c:v>0.0%</c:v>
                  </c:pt>
                  <c:pt idx="2">
                    <c:v>0.0%</c:v>
                  </c:pt>
                  <c:pt idx="3">
                    <c:v>4.6%</c:v>
                  </c:pt>
                  <c:pt idx="4">
                    <c:v>0.0%</c:v>
                  </c:pt>
                  <c:pt idx="5">
                    <c:v>0.0%</c:v>
                  </c:pt>
                  <c:pt idx="6">
                    <c:v>0.2%</c:v>
                  </c:pt>
                  <c:pt idx="7">
                    <c:v>0.0%</c:v>
                  </c:pt>
                  <c:pt idx="8">
                    <c:v>0.0%</c:v>
                  </c:pt>
                  <c:pt idx="9">
                    <c:v>2.3%</c:v>
                  </c:pt>
                  <c:pt idx="10">
                    <c:v>74.8%</c:v>
                  </c:pt>
                  <c:pt idx="11">
                    <c:v>0.0%</c:v>
                  </c:pt>
                  <c:pt idx="12">
                    <c:v>0.0%</c:v>
                  </c:pt>
                  <c:pt idx="13">
                    <c:v>0.0%</c:v>
                  </c:pt>
                  <c:pt idx="14">
                    <c:v>0.0%</c:v>
                  </c:pt>
                  <c:pt idx="15">
                    <c:v>5.9%</c:v>
                  </c:pt>
                </c15:dlblRangeCache>
              </c15:datalabelsRange>
            </c:ext>
            <c:ext xmlns:c16="http://schemas.microsoft.com/office/drawing/2014/chart" uri="{C3380CC4-5D6E-409C-BE32-E72D297353CC}">
              <c16:uniqueId val="{00000000-4C7B-441C-A42F-BA78A95567A0}"/>
            </c:ext>
          </c:extLst>
        </c:ser>
        <c:dLbls>
          <c:showLegendKey val="0"/>
          <c:showVal val="0"/>
          <c:showCatName val="0"/>
          <c:showSerName val="0"/>
          <c:showPercent val="0"/>
          <c:showBubbleSize val="0"/>
        </c:dLbls>
        <c:gapWidth val="219"/>
        <c:overlap val="-27"/>
        <c:axId val="1590115376"/>
        <c:axId val="1590117872"/>
      </c:barChart>
      <c:catAx>
        <c:axId val="159011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590117872"/>
        <c:crosses val="autoZero"/>
        <c:auto val="1"/>
        <c:lblAlgn val="ctr"/>
        <c:lblOffset val="100"/>
        <c:noMultiLvlLbl val="0"/>
      </c:catAx>
      <c:valAx>
        <c:axId val="159011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a:t>tCO2e/yr</a:t>
                </a:r>
              </a:p>
            </c:rich>
          </c:tx>
          <c:layout>
            <c:manualLayout>
              <c:xMode val="edge"/>
              <c:yMode val="edge"/>
              <c:x val="0"/>
              <c:y val="0.25677180582283493"/>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590115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Iron Making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3307075460142956"/>
          <c:y val="0.21830439737632715"/>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3-0169-4E7F-B89B-BF4DCB0C2A43}"/>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A2FE-42AF-9926-5815A16A0F04}"/>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A2FE-42AF-9926-5815A16A0F04}"/>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A2FE-42AF-9926-5815A16A0F04}"/>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5-0169-4E7F-B89B-BF4DCB0C2A43}"/>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4-0169-4E7F-B89B-BF4DCB0C2A43}"/>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A2FE-42AF-9926-5815A16A0F04}"/>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A2FE-42AF-9926-5815A16A0F04}"/>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A2FE-42AF-9926-5815A16A0F04}"/>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A2FE-42AF-9926-5815A16A0F04}"/>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A2FE-42AF-9926-5815A16A0F04}"/>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A2FE-42AF-9926-5815A16A0F04}"/>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F024-49CA-9DDC-07778C361DC5}"/>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F024-49CA-9DDC-07778C361DC5}"/>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E37F-400F-9833-E1E67E2E2DF7}"/>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8D92-407C-9B7E-A78F2B2D0424}"/>
              </c:ext>
            </c:extLst>
          </c:dPt>
          <c:dLbls>
            <c:dLbl>
              <c:idx val="0"/>
              <c:tx>
                <c:rich>
                  <a:bodyPr/>
                  <a:lstStyle/>
                  <a:p>
                    <a:fld id="{C2F217A4-FD63-4CEC-BF8B-F061601D6844}" type="CELLRANGE">
                      <a:rPr lang="en-US"/>
                      <a:pPr/>
                      <a:t>[CELLRANGE]</a:t>
                    </a:fld>
                    <a:endParaRPr lang="en-US" baseline="0"/>
                  </a:p>
                  <a:p>
                    <a:fld id="{115A92EC-C326-4D24-9B6C-ED05E533642D}"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3-0169-4E7F-B89B-BF4DCB0C2A43}"/>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A2FE-42AF-9926-5815A16A0F04}"/>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A2FE-42AF-9926-5815A16A0F04}"/>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A2FE-42AF-9926-5815A16A0F04}"/>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0169-4E7F-B89B-BF4DCB0C2A43}"/>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4-0169-4E7F-B89B-BF4DCB0C2A43}"/>
                </c:ext>
              </c:extLst>
            </c:dLbl>
            <c:dLbl>
              <c:idx val="6"/>
              <c:tx>
                <c:rich>
                  <a:bodyPr/>
                  <a:lstStyle/>
                  <a:p>
                    <a:fld id="{822A565C-1173-4EAD-98D6-9C86DD7DBE9F}" type="CELLRANGE">
                      <a:rPr lang="en-US"/>
                      <a:pPr/>
                      <a:t>[CELLRANGE]</a:t>
                    </a:fld>
                    <a:endParaRPr lang="en-US" baseline="0"/>
                  </a:p>
                  <a:p>
                    <a:fld id="{1A06CD41-004F-4A85-90F9-4F98E57231A8}"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A2FE-42AF-9926-5815A16A0F04}"/>
                </c:ext>
              </c:extLst>
            </c:dLbl>
            <c:dLbl>
              <c:idx val="7"/>
              <c:tx>
                <c:rich>
                  <a:bodyPr/>
                  <a:lstStyle/>
                  <a:p>
                    <a:fld id="{DDE00FC2-2BB6-469B-B026-06BA7D0DAEE4}" type="CELLRANGE">
                      <a:rPr lang="en-US"/>
                      <a:pPr/>
                      <a:t>[CELLRANGE]</a:t>
                    </a:fld>
                    <a:endParaRPr lang="en-US" baseline="0"/>
                  </a:p>
                  <a:p>
                    <a:fld id="{AB7D7FEF-3C38-4BB5-BA9A-2EFB9BB3FBC3}"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A2FE-42AF-9926-5815A16A0F04}"/>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A2FE-42AF-9926-5815A16A0F04}"/>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A2FE-42AF-9926-5815A16A0F04}"/>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A2FE-42AF-9926-5815A16A0F04}"/>
                </c:ext>
              </c:extLst>
            </c:dLbl>
            <c:dLbl>
              <c:idx val="11"/>
              <c:tx>
                <c:rich>
                  <a:bodyPr/>
                  <a:lstStyle/>
                  <a:p>
                    <a:fld id="{3BE4053D-2E4F-4C14-A534-8EEF3FF1428A}" type="CELLRANGE">
                      <a:rPr lang="en-US"/>
                      <a:pPr/>
                      <a:t>[CELLRANGE]</a:t>
                    </a:fld>
                    <a:endParaRPr lang="en-US" baseline="0"/>
                  </a:p>
                  <a:p>
                    <a:fld id="{EF3B913E-7742-421C-93BD-02CFD676A920}"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A2FE-42AF-9926-5815A16A0F04}"/>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F024-49CA-9DDC-07778C361DC5}"/>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F024-49CA-9DDC-07778C361DC5}"/>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E37F-400F-9833-E1E67E2E2DF7}"/>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8D92-407C-9B7E-A78F2B2D0424}"/>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val>
            <c:numRef>
              <c:f>'Tables &amp; Graphs'!$H$133:$H$148</c:f>
              <c:numCache>
                <c:formatCode>0%</c:formatCode>
                <c:ptCount val="16"/>
                <c:pt idx="0">
                  <c:v>0.56530295759797333</c:v>
                </c:pt>
                <c:pt idx="6">
                  <c:v>8.4177672754850885E-2</c:v>
                </c:pt>
                <c:pt idx="7">
                  <c:v>4.8429760033025453E-2</c:v>
                </c:pt>
                <c:pt idx="11">
                  <c:v>0.30208960961415043</c:v>
                </c:pt>
              </c:numCache>
            </c:numRef>
          </c:val>
          <c:extLst>
            <c:ext xmlns:c15="http://schemas.microsoft.com/office/drawing/2012/chart" uri="{02D57815-91ED-43cb-92C2-25804820EDAC}">
              <c15:datalabelsRange>
                <c15:f>'Tables &amp; Graphs'!$D$133:$D$148</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00-0169-4E7F-B89B-BF4DCB0C2A43}"/>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Steel Making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4997896458914917"/>
          <c:y val="0.19168715160073246"/>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6B4F-4BCB-914B-6C669F6333C1}"/>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6B4F-4BCB-914B-6C669F6333C1}"/>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6B4F-4BCB-914B-6C669F6333C1}"/>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6B4F-4BCB-914B-6C669F6333C1}"/>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6B4F-4BCB-914B-6C669F6333C1}"/>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6B4F-4BCB-914B-6C669F6333C1}"/>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6B4F-4BCB-914B-6C669F6333C1}"/>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6B4F-4BCB-914B-6C669F6333C1}"/>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6B4F-4BCB-914B-6C669F6333C1}"/>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6B4F-4BCB-914B-6C669F6333C1}"/>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6B4F-4BCB-914B-6C669F6333C1}"/>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6B4F-4BCB-914B-6C669F6333C1}"/>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255C-4250-A7CF-CA44A0725FC1}"/>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255C-4250-A7CF-CA44A0725FC1}"/>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09A1-45B2-8818-DCF260706234}"/>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2C08-46C2-8532-118D17D1839A}"/>
              </c:ext>
            </c:extLst>
          </c:dPt>
          <c:dLbls>
            <c:dLbl>
              <c:idx val="0"/>
              <c:tx>
                <c:rich>
                  <a:bodyPr/>
                  <a:lstStyle/>
                  <a:p>
                    <a:fld id="{157461A4-1A09-4336-B79A-254349956064}" type="CELLRANGE">
                      <a:rPr lang="en-US"/>
                      <a:pPr/>
                      <a:t>[CELLRANGE]</a:t>
                    </a:fld>
                    <a:endParaRPr lang="en-US" baseline="0"/>
                  </a:p>
                  <a:p>
                    <a:fld id="{61BCA96A-DF3E-4C74-866E-174A35D9965C}"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6B4F-4BCB-914B-6C669F6333C1}"/>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6B4F-4BCB-914B-6C669F6333C1}"/>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6B4F-4BCB-914B-6C669F6333C1}"/>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6B4F-4BCB-914B-6C669F6333C1}"/>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6B4F-4BCB-914B-6C669F6333C1}"/>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6B4F-4BCB-914B-6C669F6333C1}"/>
                </c:ext>
              </c:extLst>
            </c:dLbl>
            <c:dLbl>
              <c:idx val="6"/>
              <c:tx>
                <c:rich>
                  <a:bodyPr/>
                  <a:lstStyle/>
                  <a:p>
                    <a:fld id="{F0C059CE-A845-48E9-B8CA-9A1832CDE718}" type="CELLRANGE">
                      <a:rPr lang="en-US"/>
                      <a:pPr/>
                      <a:t>[CELLRANGE]</a:t>
                    </a:fld>
                    <a:endParaRPr lang="en-US" baseline="0"/>
                  </a:p>
                  <a:p>
                    <a:fld id="{B0F9D2B4-72BA-480E-BBE9-678532B3B702}"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6B4F-4BCB-914B-6C669F6333C1}"/>
                </c:ext>
              </c:extLst>
            </c:dLbl>
            <c:dLbl>
              <c:idx val="7"/>
              <c:tx>
                <c:rich>
                  <a:bodyPr/>
                  <a:lstStyle/>
                  <a:p>
                    <a:fld id="{604BA7FD-B4AB-4324-813E-27EF4FCFC6D6}" type="CELLRANGE">
                      <a:rPr lang="en-US"/>
                      <a:pPr/>
                      <a:t>[CELLRANGE]</a:t>
                    </a:fld>
                    <a:endParaRPr lang="en-US" baseline="0"/>
                  </a:p>
                  <a:p>
                    <a:fld id="{623B83A2-F53B-4AD1-8CCE-8EA0724E1F46}"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6B4F-4BCB-914B-6C669F6333C1}"/>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6B4F-4BCB-914B-6C669F6333C1}"/>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6B4F-4BCB-914B-6C669F6333C1}"/>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6B4F-4BCB-914B-6C669F6333C1}"/>
                </c:ext>
              </c:extLst>
            </c:dLbl>
            <c:dLbl>
              <c:idx val="11"/>
              <c:tx>
                <c:rich>
                  <a:bodyPr/>
                  <a:lstStyle/>
                  <a:p>
                    <a:fld id="{03A8F064-4EA8-4BCD-9C85-A8F570FE8A34}" type="CELLRANGE">
                      <a:rPr lang="en-US"/>
                      <a:pPr/>
                      <a:t>[CELLRANGE]</a:t>
                    </a:fld>
                    <a:endParaRPr lang="en-US" baseline="0"/>
                  </a:p>
                  <a:p>
                    <a:fld id="{45993619-6321-4ABE-BF2E-36DDD9FCBA14}"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6B4F-4BCB-914B-6C669F6333C1}"/>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255C-4250-A7CF-CA44A0725FC1}"/>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255C-4250-A7CF-CA44A0725FC1}"/>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09A1-45B2-8818-DCF260706234}"/>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2C08-46C2-8532-118D17D1839A}"/>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Graphs'!$D$158:$D$173</c:f>
              <c:strCache>
                <c:ptCount val="12"/>
                <c:pt idx="0">
                  <c:v>Cat1</c:v>
                </c:pt>
                <c:pt idx="6">
                  <c:v>Cat2</c:v>
                </c:pt>
                <c:pt idx="7">
                  <c:v>Cat3</c:v>
                </c:pt>
                <c:pt idx="11">
                  <c:v>Cat4</c:v>
                </c:pt>
              </c:strCache>
            </c:strRef>
          </c:cat>
          <c:val>
            <c:numRef>
              <c:f>'Tables &amp; Graphs'!$H$158:$H$173</c:f>
              <c:numCache>
                <c:formatCode>0%</c:formatCode>
                <c:ptCount val="16"/>
                <c:pt idx="0">
                  <c:v>5.3269202695803937E-2</c:v>
                </c:pt>
                <c:pt idx="6">
                  <c:v>0.33767188532389208</c:v>
                </c:pt>
                <c:pt idx="7">
                  <c:v>1.9259947574541431E-2</c:v>
                </c:pt>
                <c:pt idx="11">
                  <c:v>0.58979896440576252</c:v>
                </c:pt>
              </c:numCache>
            </c:numRef>
          </c:val>
          <c:extLst>
            <c:ext xmlns:c15="http://schemas.microsoft.com/office/drawing/2012/chart" uri="{02D57815-91ED-43cb-92C2-25804820EDAC}">
              <c15:datalabelsRange>
                <c15:f>'Tables &amp; Graphs'!$D$158:$D$173</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6B4F-4BCB-914B-6C669F6333C1}"/>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Hot Rolling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3645239659897346"/>
          <c:y val="0.20372843709171035"/>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2C1-4699-B4E4-B60E53A497F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2C1-4699-B4E4-B60E53A497F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2C1-4699-B4E4-B60E53A497F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2C1-4699-B4E4-B60E53A497F9}"/>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F2C1-4699-B4E4-B60E53A497F9}"/>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F2C1-4699-B4E4-B60E53A497F9}"/>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F2C1-4699-B4E4-B60E53A497F9}"/>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F2C1-4699-B4E4-B60E53A497F9}"/>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F2C1-4699-B4E4-B60E53A497F9}"/>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F2C1-4699-B4E4-B60E53A497F9}"/>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F2C1-4699-B4E4-B60E53A497F9}"/>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F2C1-4699-B4E4-B60E53A497F9}"/>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13B5-485F-96B2-6B91CF4B14FD}"/>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13B5-485F-96B2-6B91CF4B14FD}"/>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E80A-47B9-A9FB-7AB2449C82BB}"/>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9C21-498B-A0D8-7C0B22A810A1}"/>
              </c:ext>
            </c:extLst>
          </c:dPt>
          <c:dLbls>
            <c:dLbl>
              <c:idx val="0"/>
              <c:tx>
                <c:rich>
                  <a:bodyPr/>
                  <a:lstStyle/>
                  <a:p>
                    <a:fld id="{B5CF9137-40CA-4367-8973-FC4DA130C215}" type="CELLRANGE">
                      <a:rPr lang="en-US"/>
                      <a:pPr/>
                      <a:t>[CELLRANGE]</a:t>
                    </a:fld>
                    <a:endParaRPr lang="en-US" baseline="0"/>
                  </a:p>
                  <a:p>
                    <a:fld id="{306500D3-4111-493A-80B8-11562A97170F}"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2C1-4699-B4E4-B60E53A497F9}"/>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F2C1-4699-B4E4-B60E53A497F9}"/>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F2C1-4699-B4E4-B60E53A497F9}"/>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F2C1-4699-B4E4-B60E53A497F9}"/>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F2C1-4699-B4E4-B60E53A497F9}"/>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F2C1-4699-B4E4-B60E53A497F9}"/>
                </c:ext>
              </c:extLst>
            </c:dLbl>
            <c:dLbl>
              <c:idx val="6"/>
              <c:tx>
                <c:rich>
                  <a:bodyPr/>
                  <a:lstStyle/>
                  <a:p>
                    <a:fld id="{A2CDF964-CA91-4091-A634-BE6D142C2D92}" type="CELLRANGE">
                      <a:rPr lang="en-US"/>
                      <a:pPr/>
                      <a:t>[CELLRANGE]</a:t>
                    </a:fld>
                    <a:endParaRPr lang="en-US" baseline="0"/>
                  </a:p>
                  <a:p>
                    <a:fld id="{0C8D5247-7597-4344-8435-0069CB74B81D}"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F2C1-4699-B4E4-B60E53A497F9}"/>
                </c:ext>
              </c:extLst>
            </c:dLbl>
            <c:dLbl>
              <c:idx val="7"/>
              <c:tx>
                <c:rich>
                  <a:bodyPr/>
                  <a:lstStyle/>
                  <a:p>
                    <a:fld id="{1A318B06-4215-4608-8BB6-B953E2C00B27}" type="CELLRANGE">
                      <a:rPr lang="en-US"/>
                      <a:pPr/>
                      <a:t>[CELLRANGE]</a:t>
                    </a:fld>
                    <a:endParaRPr lang="en-US" baseline="0"/>
                  </a:p>
                  <a:p>
                    <a:fld id="{C8631999-9191-4629-B85C-5999BCCD0FF6}"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F2C1-4699-B4E4-B60E53A497F9}"/>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F2C1-4699-B4E4-B60E53A497F9}"/>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F2C1-4699-B4E4-B60E53A497F9}"/>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F2C1-4699-B4E4-B60E53A497F9}"/>
                </c:ext>
              </c:extLst>
            </c:dLbl>
            <c:dLbl>
              <c:idx val="11"/>
              <c:tx>
                <c:rich>
                  <a:bodyPr/>
                  <a:lstStyle/>
                  <a:p>
                    <a:fld id="{2E59CAEA-7D72-4FFA-AFE9-6015E3043021}" type="CELLRANGE">
                      <a:rPr lang="en-US"/>
                      <a:pPr/>
                      <a:t>[CELLRANGE]</a:t>
                    </a:fld>
                    <a:endParaRPr lang="en-US" baseline="0"/>
                  </a:p>
                  <a:p>
                    <a:fld id="{DC28100F-B5D0-4149-9846-33D1ACF53274}"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F2C1-4699-B4E4-B60E53A497F9}"/>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13B5-485F-96B2-6B91CF4B14FD}"/>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13B5-485F-96B2-6B91CF4B14FD}"/>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E80A-47B9-A9FB-7AB2449C82BB}"/>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9C21-498B-A0D8-7C0B22A810A1}"/>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Graphs'!$D$183:$D$198</c:f>
              <c:strCache>
                <c:ptCount val="12"/>
                <c:pt idx="0">
                  <c:v>Cat1</c:v>
                </c:pt>
                <c:pt idx="6">
                  <c:v>Cat2</c:v>
                </c:pt>
                <c:pt idx="7">
                  <c:v>Cat3</c:v>
                </c:pt>
                <c:pt idx="11">
                  <c:v>Cat4</c:v>
                </c:pt>
              </c:strCache>
            </c:strRef>
          </c:cat>
          <c:val>
            <c:numRef>
              <c:f>'Tables &amp; Graphs'!$H$183:$H$198</c:f>
              <c:numCache>
                <c:formatCode>0%</c:formatCode>
                <c:ptCount val="16"/>
                <c:pt idx="0">
                  <c:v>0.38003255415077986</c:v>
                </c:pt>
                <c:pt idx="6">
                  <c:v>0.45033183904556523</c:v>
                </c:pt>
                <c:pt idx="7">
                  <c:v>1.1002795817905781E-2</c:v>
                </c:pt>
                <c:pt idx="11">
                  <c:v>0.15863281098574913</c:v>
                </c:pt>
              </c:numCache>
            </c:numRef>
          </c:val>
          <c:extLst>
            <c:ext xmlns:c15="http://schemas.microsoft.com/office/drawing/2012/chart" uri="{02D57815-91ED-43cb-92C2-25804820EDAC}">
              <c15:datalabelsRange>
                <c15:f>'Tables &amp; Graphs'!$D$183:$D$198</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F2C1-4699-B4E4-B60E53A497F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Cold Rolling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3307075460142956"/>
          <c:y val="0.19971467526138439"/>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1F14-454A-9584-4A7DA5799DD9}"/>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1F14-454A-9584-4A7DA5799DD9}"/>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1F14-454A-9584-4A7DA5799DD9}"/>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1F14-454A-9584-4A7DA5799DD9}"/>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1F14-454A-9584-4A7DA5799DD9}"/>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1F14-454A-9584-4A7DA5799DD9}"/>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1F14-454A-9584-4A7DA5799DD9}"/>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1F14-454A-9584-4A7DA5799DD9}"/>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1F14-454A-9584-4A7DA5799DD9}"/>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1F14-454A-9584-4A7DA5799DD9}"/>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1F14-454A-9584-4A7DA5799DD9}"/>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1F14-454A-9584-4A7DA5799DD9}"/>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B42D-4789-BEAE-03BFB74EF994}"/>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B42D-4789-BEAE-03BFB74EF994}"/>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611B-4F73-9316-E3AC4648D503}"/>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4A36-4569-860C-1E7779042785}"/>
              </c:ext>
            </c:extLst>
          </c:dPt>
          <c:dLbls>
            <c:dLbl>
              <c:idx val="0"/>
              <c:tx>
                <c:rich>
                  <a:bodyPr/>
                  <a:lstStyle/>
                  <a:p>
                    <a:fld id="{CE576E9B-9E80-4CAC-8771-ED14131AD571}" type="CELLRANGE">
                      <a:rPr lang="en-US"/>
                      <a:pPr/>
                      <a:t>[CELLRANGE]</a:t>
                    </a:fld>
                    <a:endParaRPr lang="en-US" baseline="0"/>
                  </a:p>
                  <a:p>
                    <a:fld id="{203A325F-6E3F-456C-8999-2971AC7B8F54}"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1F14-454A-9584-4A7DA5799DD9}"/>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1F14-454A-9584-4A7DA5799DD9}"/>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1F14-454A-9584-4A7DA5799DD9}"/>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1F14-454A-9584-4A7DA5799DD9}"/>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1F14-454A-9584-4A7DA5799DD9}"/>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1F14-454A-9584-4A7DA5799DD9}"/>
                </c:ext>
              </c:extLst>
            </c:dLbl>
            <c:dLbl>
              <c:idx val="6"/>
              <c:tx>
                <c:rich>
                  <a:bodyPr/>
                  <a:lstStyle/>
                  <a:p>
                    <a:fld id="{6EFA1BA2-9E18-480A-B0C2-EC2D67A1EE39}" type="CELLRANGE">
                      <a:rPr lang="en-US"/>
                      <a:pPr/>
                      <a:t>[CELLRANGE]</a:t>
                    </a:fld>
                    <a:endParaRPr lang="en-US" baseline="0"/>
                  </a:p>
                  <a:p>
                    <a:fld id="{A2695A96-E390-4FCE-A176-61F96F422CEA}"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1F14-454A-9584-4A7DA5799DD9}"/>
                </c:ext>
              </c:extLst>
            </c:dLbl>
            <c:dLbl>
              <c:idx val="7"/>
              <c:tx>
                <c:rich>
                  <a:bodyPr/>
                  <a:lstStyle/>
                  <a:p>
                    <a:fld id="{8A0338DA-2691-4772-8210-A0F261985259}" type="CELLRANGE">
                      <a:rPr lang="en-US"/>
                      <a:pPr/>
                      <a:t>[CELLRANGE]</a:t>
                    </a:fld>
                    <a:endParaRPr lang="en-US" baseline="0"/>
                  </a:p>
                  <a:p>
                    <a:fld id="{05BBDB60-165B-4A36-82D1-C5CE6B4BB86A}"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1F14-454A-9584-4A7DA5799DD9}"/>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1F14-454A-9584-4A7DA5799DD9}"/>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1F14-454A-9584-4A7DA5799DD9}"/>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1F14-454A-9584-4A7DA5799DD9}"/>
                </c:ext>
              </c:extLst>
            </c:dLbl>
            <c:dLbl>
              <c:idx val="11"/>
              <c:tx>
                <c:rich>
                  <a:bodyPr/>
                  <a:lstStyle/>
                  <a:p>
                    <a:fld id="{340C79E6-941A-48F1-9CBA-2FB012528D71}" type="CELLRANGE">
                      <a:rPr lang="en-US"/>
                      <a:pPr/>
                      <a:t>[CELLRANGE]</a:t>
                    </a:fld>
                    <a:endParaRPr lang="en-US" baseline="0"/>
                  </a:p>
                  <a:p>
                    <a:fld id="{5D77E294-D6CB-4553-97A0-3BD42C9BC4EE}"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1F14-454A-9584-4A7DA5799DD9}"/>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B42D-4789-BEAE-03BFB74EF994}"/>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B42D-4789-BEAE-03BFB74EF994}"/>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611B-4F73-9316-E3AC4648D503}"/>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4A36-4569-860C-1E7779042785}"/>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Graphs'!$D$208:$D$223</c:f>
              <c:strCache>
                <c:ptCount val="12"/>
                <c:pt idx="0">
                  <c:v>Cat1</c:v>
                </c:pt>
                <c:pt idx="6">
                  <c:v>Cat2</c:v>
                </c:pt>
                <c:pt idx="7">
                  <c:v>Cat3</c:v>
                </c:pt>
                <c:pt idx="11">
                  <c:v>Cat4</c:v>
                </c:pt>
              </c:strCache>
            </c:strRef>
          </c:cat>
          <c:val>
            <c:numRef>
              <c:f>'Tables &amp; Graphs'!$H$208:$H$223</c:f>
              <c:numCache>
                <c:formatCode>0%</c:formatCode>
                <c:ptCount val="16"/>
                <c:pt idx="0">
                  <c:v>0.11207232096217422</c:v>
                </c:pt>
                <c:pt idx="6">
                  <c:v>0.52798314895874754</c:v>
                </c:pt>
                <c:pt idx="7">
                  <c:v>0.15681180821318558</c:v>
                </c:pt>
                <c:pt idx="11">
                  <c:v>0.20313272186589268</c:v>
                </c:pt>
              </c:numCache>
            </c:numRef>
          </c:val>
          <c:extLst>
            <c:ext xmlns:c15="http://schemas.microsoft.com/office/drawing/2012/chart" uri="{02D57815-91ED-43cb-92C2-25804820EDAC}">
              <c15:datalabelsRange>
                <c15:f>'Tables &amp; Graphs'!$D$208:$D$223</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1F14-454A-9584-4A7DA5799DD9}"/>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Utility Emissions (Categories)</a:t>
            </a:r>
          </a:p>
        </c:rich>
      </c:tx>
      <c:layout>
        <c:manualLayout>
          <c:xMode val="edge"/>
          <c:yMode val="edge"/>
          <c:x val="0.20186592082377863"/>
          <c:y val="2.32867598137059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9925433462599038"/>
          <c:y val="0.19951522625936818"/>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F0FF-44B3-897A-BD48F95CDCD6}"/>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F0FF-44B3-897A-BD48F95CDCD6}"/>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F0FF-44B3-897A-BD48F95CDCD6}"/>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F0FF-44B3-897A-BD48F95CDCD6}"/>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F0FF-44B3-897A-BD48F95CDCD6}"/>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F0FF-44B3-897A-BD48F95CDCD6}"/>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F0FF-44B3-897A-BD48F95CDCD6}"/>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F0FF-44B3-897A-BD48F95CDCD6}"/>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F0FF-44B3-897A-BD48F95CDCD6}"/>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F0FF-44B3-897A-BD48F95CDCD6}"/>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F0FF-44B3-897A-BD48F95CDCD6}"/>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F0FF-44B3-897A-BD48F95CDCD6}"/>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B6A9-4602-B395-CD8E73DEE4F8}"/>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B6A9-4602-B395-CD8E73DEE4F8}"/>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20DC-428E-B2BB-586A6AB2E34A}"/>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3139-4E97-95B9-CF7C2FACED8D}"/>
              </c:ext>
            </c:extLst>
          </c:dPt>
          <c:dLbls>
            <c:dLbl>
              <c:idx val="0"/>
              <c:tx>
                <c:rich>
                  <a:bodyPr/>
                  <a:lstStyle/>
                  <a:p>
                    <a:fld id="{4E6328B3-7792-4252-B8BF-E538E9716B1F}" type="CELLRANGE">
                      <a:rPr lang="en-US"/>
                      <a:pPr/>
                      <a:t>[CELLRANGE]</a:t>
                    </a:fld>
                    <a:endParaRPr lang="en-US" baseline="0"/>
                  </a:p>
                  <a:p>
                    <a:fld id="{B07102DB-79BD-46E9-B4AC-55862F0FA264}"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F0FF-44B3-897A-BD48F95CDCD6}"/>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F0FF-44B3-897A-BD48F95CDCD6}"/>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F0FF-44B3-897A-BD48F95CDCD6}"/>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F0FF-44B3-897A-BD48F95CDCD6}"/>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F0FF-44B3-897A-BD48F95CDCD6}"/>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F0FF-44B3-897A-BD48F95CDCD6}"/>
                </c:ext>
              </c:extLst>
            </c:dLbl>
            <c:dLbl>
              <c:idx val="6"/>
              <c:tx>
                <c:rich>
                  <a:bodyPr/>
                  <a:lstStyle/>
                  <a:p>
                    <a:fld id="{14C8D6D7-D707-4976-AAD8-3F2F7EE4DA69}" type="CELLRANGE">
                      <a:rPr lang="en-US"/>
                      <a:pPr/>
                      <a:t>[CELLRANGE]</a:t>
                    </a:fld>
                    <a:endParaRPr lang="en-US" baseline="0"/>
                  </a:p>
                  <a:p>
                    <a:fld id="{88A734F1-9008-48DE-AF46-D62873946684}"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F0FF-44B3-897A-BD48F95CDCD6}"/>
                </c:ext>
              </c:extLst>
            </c:dLbl>
            <c:dLbl>
              <c:idx val="7"/>
              <c:tx>
                <c:rich>
                  <a:bodyPr/>
                  <a:lstStyle/>
                  <a:p>
                    <a:fld id="{85EA8BD2-D427-4C4A-862A-1D71B4BA6DB8}" type="CELLRANGE">
                      <a:rPr lang="en-US"/>
                      <a:pPr/>
                      <a:t>[CELLRANGE]</a:t>
                    </a:fld>
                    <a:endParaRPr lang="en-US" baseline="0"/>
                  </a:p>
                  <a:p>
                    <a:fld id="{3F46F4DA-096B-4D14-9A14-FE2D67CC072E}"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F0FF-44B3-897A-BD48F95CDCD6}"/>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F0FF-44B3-897A-BD48F95CDCD6}"/>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F0FF-44B3-897A-BD48F95CDCD6}"/>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F0FF-44B3-897A-BD48F95CDCD6}"/>
                </c:ext>
              </c:extLst>
            </c:dLbl>
            <c:dLbl>
              <c:idx val="11"/>
              <c:tx>
                <c:rich>
                  <a:bodyPr/>
                  <a:lstStyle/>
                  <a:p>
                    <a:fld id="{05AEEB8F-04F3-4854-B65D-2561C83B21EE}" type="CELLRANGE">
                      <a:rPr lang="en-US"/>
                      <a:pPr/>
                      <a:t>[CELLRANGE]</a:t>
                    </a:fld>
                    <a:endParaRPr lang="en-US" baseline="0"/>
                  </a:p>
                  <a:p>
                    <a:fld id="{AA62BB69-0955-4695-BD4C-564F527E8401}"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F0FF-44B3-897A-BD48F95CDCD6}"/>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B6A9-4602-B395-CD8E73DEE4F8}"/>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B6A9-4602-B395-CD8E73DEE4F8}"/>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20DC-428E-B2BB-586A6AB2E34A}"/>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3139-4E97-95B9-CF7C2FACED8D}"/>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Graphs'!$D$233:$D$248</c:f>
              <c:strCache>
                <c:ptCount val="12"/>
                <c:pt idx="0">
                  <c:v>Cat1</c:v>
                </c:pt>
                <c:pt idx="6">
                  <c:v>Cat2</c:v>
                </c:pt>
                <c:pt idx="7">
                  <c:v>Cat3</c:v>
                </c:pt>
                <c:pt idx="11">
                  <c:v>Cat4</c:v>
                </c:pt>
              </c:strCache>
            </c:strRef>
          </c:cat>
          <c:val>
            <c:numRef>
              <c:f>'Tables &amp; Graphs'!$H$233:$H$248</c:f>
              <c:numCache>
                <c:formatCode>0%</c:formatCode>
                <c:ptCount val="16"/>
                <c:pt idx="0">
                  <c:v>0.39938046933204124</c:v>
                </c:pt>
                <c:pt idx="6">
                  <c:v>0.21055263000179555</c:v>
                </c:pt>
                <c:pt idx="7">
                  <c:v>5.5074490844552026E-3</c:v>
                </c:pt>
                <c:pt idx="11">
                  <c:v>0.38455945158170818</c:v>
                </c:pt>
              </c:numCache>
            </c:numRef>
          </c:val>
          <c:extLst>
            <c:ext xmlns:c15="http://schemas.microsoft.com/office/drawing/2012/chart" uri="{02D57815-91ED-43cb-92C2-25804820EDAC}">
              <c15:datalabelsRange>
                <c15:f>'Tables &amp; Graphs'!$D$233:$D$248</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F0FF-44B3-897A-BD48F95CDCD6}"/>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Transportation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3983403859651739"/>
          <c:y val="0.22090684123050117"/>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416D-4144-897E-E58C9D2C5A98}"/>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416D-4144-897E-E58C9D2C5A98}"/>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416D-4144-897E-E58C9D2C5A98}"/>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416D-4144-897E-E58C9D2C5A98}"/>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416D-4144-897E-E58C9D2C5A98}"/>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416D-4144-897E-E58C9D2C5A98}"/>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416D-4144-897E-E58C9D2C5A98}"/>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416D-4144-897E-E58C9D2C5A98}"/>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416D-4144-897E-E58C9D2C5A98}"/>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416D-4144-897E-E58C9D2C5A98}"/>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416D-4144-897E-E58C9D2C5A98}"/>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416D-4144-897E-E58C9D2C5A98}"/>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2D2B-4953-B79B-B4EA188DE134}"/>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2D2B-4953-B79B-B4EA188DE134}"/>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CF0F-47BD-8677-EB47837C5EDE}"/>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A853-4545-B757-05F9E87F428D}"/>
              </c:ext>
            </c:extLst>
          </c:dPt>
          <c:dLbls>
            <c:dLbl>
              <c:idx val="0"/>
              <c:tx>
                <c:rich>
                  <a:bodyPr/>
                  <a:lstStyle/>
                  <a:p>
                    <a:fld id="{ACA99A07-3923-4B90-A9EF-762CF1258EA3}" type="CELLRANGE">
                      <a:rPr lang="en-US"/>
                      <a:pPr/>
                      <a:t>[CELLRANGE]</a:t>
                    </a:fld>
                    <a:endParaRPr lang="en-US" baseline="0"/>
                  </a:p>
                  <a:p>
                    <a:fld id="{BE33E30E-29B4-46A4-901B-6A65A46B50C8}"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416D-4144-897E-E58C9D2C5A98}"/>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416D-4144-897E-E58C9D2C5A98}"/>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416D-4144-897E-E58C9D2C5A98}"/>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416D-4144-897E-E58C9D2C5A98}"/>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416D-4144-897E-E58C9D2C5A98}"/>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416D-4144-897E-E58C9D2C5A98}"/>
                </c:ext>
              </c:extLst>
            </c:dLbl>
            <c:dLbl>
              <c:idx val="6"/>
              <c:tx>
                <c:rich>
                  <a:bodyPr/>
                  <a:lstStyle/>
                  <a:p>
                    <a:fld id="{4E975DBA-8998-4BAE-BFD8-C9FC85E15184}" type="CELLRANGE">
                      <a:rPr lang="en-US"/>
                      <a:pPr/>
                      <a:t>[CELLRANGE]</a:t>
                    </a:fld>
                    <a:endParaRPr lang="en-US" baseline="0"/>
                  </a:p>
                  <a:p>
                    <a:fld id="{8D0D38D3-72EE-411D-956A-AD8BB1484730}"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416D-4144-897E-E58C9D2C5A98}"/>
                </c:ext>
              </c:extLst>
            </c:dLbl>
            <c:dLbl>
              <c:idx val="7"/>
              <c:tx>
                <c:rich>
                  <a:bodyPr/>
                  <a:lstStyle/>
                  <a:p>
                    <a:fld id="{50AE6909-76EB-4EB4-8035-645D256EAB71}" type="CELLRANGE">
                      <a:rPr lang="en-US"/>
                      <a:pPr/>
                      <a:t>[CELLRANGE]</a:t>
                    </a:fld>
                    <a:endParaRPr lang="en-US" baseline="0"/>
                  </a:p>
                  <a:p>
                    <a:fld id="{6E9560D8-AF69-46C9-8581-C3E9B0F49147}"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416D-4144-897E-E58C9D2C5A98}"/>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416D-4144-897E-E58C9D2C5A98}"/>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416D-4144-897E-E58C9D2C5A98}"/>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416D-4144-897E-E58C9D2C5A98}"/>
                </c:ext>
              </c:extLst>
            </c:dLbl>
            <c:dLbl>
              <c:idx val="11"/>
              <c:tx>
                <c:rich>
                  <a:bodyPr/>
                  <a:lstStyle/>
                  <a:p>
                    <a:fld id="{0275132E-AFF8-40BB-8909-C46F7DE95527}" type="CELLRANGE">
                      <a:rPr lang="en-US"/>
                      <a:pPr/>
                      <a:t>[CELLRANGE]</a:t>
                    </a:fld>
                    <a:endParaRPr lang="en-US" baseline="0"/>
                  </a:p>
                  <a:p>
                    <a:fld id="{9C64AEA3-F1A9-4EB1-99FB-AB98CEAFF931}"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416D-4144-897E-E58C9D2C5A98}"/>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2D2B-4953-B79B-B4EA188DE134}"/>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2D2B-4953-B79B-B4EA188DE134}"/>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CF0F-47BD-8677-EB47837C5EDE}"/>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A853-4545-B757-05F9E87F428D}"/>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Graphs'!$D$258:$D$273</c:f>
              <c:strCache>
                <c:ptCount val="12"/>
                <c:pt idx="0">
                  <c:v>Cat1</c:v>
                </c:pt>
                <c:pt idx="6">
                  <c:v>Cat2</c:v>
                </c:pt>
                <c:pt idx="7">
                  <c:v>Cat3</c:v>
                </c:pt>
                <c:pt idx="11">
                  <c:v>Cat4</c:v>
                </c:pt>
              </c:strCache>
            </c:strRef>
          </c:cat>
          <c:val>
            <c:numRef>
              <c:f>'Tables &amp; Graphs'!$H$258:$H$273</c:f>
              <c:numCache>
                <c:formatCode>0%</c:formatCode>
                <c:ptCount val="16"/>
                <c:pt idx="0">
                  <c:v>0.16972736995855092</c:v>
                </c:pt>
                <c:pt idx="6">
                  <c:v>0</c:v>
                </c:pt>
                <c:pt idx="7">
                  <c:v>0.57672169291609965</c:v>
                </c:pt>
                <c:pt idx="11">
                  <c:v>0.25355093712534943</c:v>
                </c:pt>
              </c:numCache>
            </c:numRef>
          </c:val>
          <c:extLst>
            <c:ext xmlns:c15="http://schemas.microsoft.com/office/drawing/2012/chart" uri="{02D57815-91ED-43cb-92C2-25804820EDAC}">
              <c15:datalabelsRange>
                <c15:f>'Tables &amp; Graphs'!$D$258:$D$273</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416D-4144-897E-E58C9D2C5A98}"/>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Maintenance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4659732259160519"/>
          <c:y val="0.21290683871081534"/>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73DD-4AC7-B041-D1D4693734CF}"/>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73DD-4AC7-B041-D1D4693734CF}"/>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73DD-4AC7-B041-D1D4693734CF}"/>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73DD-4AC7-B041-D1D4693734CF}"/>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73DD-4AC7-B041-D1D4693734CF}"/>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73DD-4AC7-B041-D1D4693734CF}"/>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73DD-4AC7-B041-D1D4693734CF}"/>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73DD-4AC7-B041-D1D4693734CF}"/>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73DD-4AC7-B041-D1D4693734CF}"/>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73DD-4AC7-B041-D1D4693734CF}"/>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73DD-4AC7-B041-D1D4693734CF}"/>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73DD-4AC7-B041-D1D4693734CF}"/>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D9C9-4041-8FA6-4F4BF6D0B5B2}"/>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D9C9-4041-8FA6-4F4BF6D0B5B2}"/>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A3B5-40E9-B6CF-04C48C39EBB9}"/>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46CA-472D-BB64-19E8C75D607E}"/>
              </c:ext>
            </c:extLst>
          </c:dPt>
          <c:dLbls>
            <c:dLbl>
              <c:idx val="0"/>
              <c:tx>
                <c:rich>
                  <a:bodyPr/>
                  <a:lstStyle/>
                  <a:p>
                    <a:fld id="{4EA2DCAD-CB94-423D-899E-5709B1F96454}" type="CELLRANGE">
                      <a:rPr lang="en-US"/>
                      <a:pPr/>
                      <a:t>[CELLRANGE]</a:t>
                    </a:fld>
                    <a:endParaRPr lang="en-US" baseline="0"/>
                  </a:p>
                  <a:p>
                    <a:fld id="{12C73757-1705-4C88-9102-5EC645703CCC}"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73DD-4AC7-B041-D1D4693734CF}"/>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73DD-4AC7-B041-D1D4693734CF}"/>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73DD-4AC7-B041-D1D4693734CF}"/>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73DD-4AC7-B041-D1D4693734CF}"/>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73DD-4AC7-B041-D1D4693734CF}"/>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73DD-4AC7-B041-D1D4693734CF}"/>
                </c:ext>
              </c:extLst>
            </c:dLbl>
            <c:dLbl>
              <c:idx val="6"/>
              <c:tx>
                <c:rich>
                  <a:bodyPr/>
                  <a:lstStyle/>
                  <a:p>
                    <a:fld id="{C757CCF8-01A9-4935-9FA8-BC1E0A0949D6}" type="CELLRANGE">
                      <a:rPr lang="en-US"/>
                      <a:pPr/>
                      <a:t>[CELLRANGE]</a:t>
                    </a:fld>
                    <a:endParaRPr lang="en-US" baseline="0"/>
                  </a:p>
                  <a:p>
                    <a:fld id="{FCD19F4D-EB72-4D3B-A0FA-208B74C5CCFE}"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73DD-4AC7-B041-D1D4693734CF}"/>
                </c:ext>
              </c:extLst>
            </c:dLbl>
            <c:dLbl>
              <c:idx val="7"/>
              <c:tx>
                <c:rich>
                  <a:bodyPr/>
                  <a:lstStyle/>
                  <a:p>
                    <a:fld id="{9A727380-6A04-4718-A8A0-EFEA1854655B}" type="CELLRANGE">
                      <a:rPr lang="en-US"/>
                      <a:pPr/>
                      <a:t>[CELLRANGE]</a:t>
                    </a:fld>
                    <a:endParaRPr lang="en-US" baseline="0"/>
                  </a:p>
                  <a:p>
                    <a:fld id="{87CE8A6C-1F19-40DF-8968-9EE6B94BAC41}"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73DD-4AC7-B041-D1D4693734CF}"/>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73DD-4AC7-B041-D1D4693734CF}"/>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73DD-4AC7-B041-D1D4693734CF}"/>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73DD-4AC7-B041-D1D4693734CF}"/>
                </c:ext>
              </c:extLst>
            </c:dLbl>
            <c:dLbl>
              <c:idx val="11"/>
              <c:tx>
                <c:rich>
                  <a:bodyPr/>
                  <a:lstStyle/>
                  <a:p>
                    <a:fld id="{8E6A6F93-D35B-41F9-990E-05410094C99D}" type="CELLRANGE">
                      <a:rPr lang="en-US"/>
                      <a:pPr/>
                      <a:t>[CELLRANGE]</a:t>
                    </a:fld>
                    <a:endParaRPr lang="en-US" baseline="0"/>
                  </a:p>
                  <a:p>
                    <a:fld id="{B37F7BE7-C583-4497-90B4-EC761DB73A5C}"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73DD-4AC7-B041-D1D4693734CF}"/>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D9C9-4041-8FA6-4F4BF6D0B5B2}"/>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D9C9-4041-8FA6-4F4BF6D0B5B2}"/>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A3B5-40E9-B6CF-04C48C39EBB9}"/>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46CA-472D-BB64-19E8C75D607E}"/>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Graphs'!$D$283:$D$298</c:f>
              <c:strCache>
                <c:ptCount val="12"/>
                <c:pt idx="0">
                  <c:v>Cat1</c:v>
                </c:pt>
                <c:pt idx="6">
                  <c:v>Cat2</c:v>
                </c:pt>
                <c:pt idx="7">
                  <c:v>Cat3</c:v>
                </c:pt>
                <c:pt idx="11">
                  <c:v>Cat4</c:v>
                </c:pt>
              </c:strCache>
            </c:strRef>
          </c:cat>
          <c:val>
            <c:numRef>
              <c:f>'Tables &amp; Graphs'!$H$283:$H$298</c:f>
              <c:numCache>
                <c:formatCode>0%</c:formatCode>
                <c:ptCount val="16"/>
                <c:pt idx="0">
                  <c:v>0.18832571813471416</c:v>
                </c:pt>
                <c:pt idx="6">
                  <c:v>3.3996158184528384E-2</c:v>
                </c:pt>
                <c:pt idx="7">
                  <c:v>0.69768431877557779</c:v>
                </c:pt>
                <c:pt idx="11">
                  <c:v>7.9993804905179544E-2</c:v>
                </c:pt>
              </c:numCache>
            </c:numRef>
          </c:val>
          <c:extLst>
            <c:ext xmlns:c15="http://schemas.microsoft.com/office/drawing/2012/chart" uri="{02D57815-91ED-43cb-92C2-25804820EDAC}">
              <c15:datalabelsRange>
                <c15:f>'Tables &amp; Graphs'!$D$283:$D$298</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73DD-4AC7-B041-D1D4693734CF}"/>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t>TAS Emissions (Categories)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3645239659897346"/>
          <c:y val="0.21290683871081534"/>
          <c:w val="0.54536645815870399"/>
          <c:h val="0.65787228657308583"/>
        </c:manualLayout>
      </c:layout>
      <c:doughnutChart>
        <c:varyColors val="1"/>
        <c:ser>
          <c:idx val="0"/>
          <c:order val="0"/>
          <c:dPt>
            <c:idx val="0"/>
            <c:bubble3D val="0"/>
            <c:spPr>
              <a:solidFill>
                <a:schemeClr val="accent2"/>
              </a:solidFill>
              <a:ln w="19050">
                <a:solidFill>
                  <a:schemeClr val="lt1"/>
                </a:solidFill>
              </a:ln>
              <a:effectLst/>
            </c:spPr>
            <c:extLst>
              <c:ext xmlns:c16="http://schemas.microsoft.com/office/drawing/2014/chart" uri="{C3380CC4-5D6E-409C-BE32-E72D297353CC}">
                <c16:uniqueId val="{00000001-01DD-41E8-AF00-9AA6046816CD}"/>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1DD-41E8-AF00-9AA6046816CD}"/>
              </c:ext>
            </c:extLst>
          </c:dPt>
          <c:dPt>
            <c:idx val="2"/>
            <c:bubble3D val="0"/>
            <c:spPr>
              <a:solidFill>
                <a:schemeClr val="accent6"/>
              </a:solidFill>
              <a:ln w="19050">
                <a:solidFill>
                  <a:schemeClr val="lt1"/>
                </a:solidFill>
              </a:ln>
              <a:effectLst/>
            </c:spPr>
            <c:extLst>
              <c:ext xmlns:c16="http://schemas.microsoft.com/office/drawing/2014/chart" uri="{C3380CC4-5D6E-409C-BE32-E72D297353CC}">
                <c16:uniqueId val="{00000005-01DD-41E8-AF00-9AA6046816CD}"/>
              </c:ext>
            </c:extLst>
          </c:dPt>
          <c:dPt>
            <c:idx val="3"/>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7-01DD-41E8-AF00-9AA6046816CD}"/>
              </c:ext>
            </c:extLst>
          </c:dPt>
          <c:dPt>
            <c:idx val="4"/>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9-01DD-41E8-AF00-9AA6046816CD}"/>
              </c:ext>
            </c:extLst>
          </c:dPt>
          <c:dPt>
            <c:idx val="5"/>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B-01DD-41E8-AF00-9AA6046816CD}"/>
              </c:ext>
            </c:extLst>
          </c:dPt>
          <c:dPt>
            <c:idx val="6"/>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0D-01DD-41E8-AF00-9AA6046816CD}"/>
              </c:ext>
            </c:extLst>
          </c:dPt>
          <c:dPt>
            <c:idx val="7"/>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0F-01DD-41E8-AF00-9AA6046816CD}"/>
              </c:ext>
            </c:extLst>
          </c:dPt>
          <c:dPt>
            <c:idx val="8"/>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11-01DD-41E8-AF00-9AA6046816CD}"/>
              </c:ext>
            </c:extLst>
          </c:dPt>
          <c:dPt>
            <c:idx val="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13-01DD-41E8-AF00-9AA6046816CD}"/>
              </c:ext>
            </c:extLst>
          </c:dPt>
          <c:dPt>
            <c:idx val="10"/>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5-01DD-41E8-AF00-9AA6046816CD}"/>
              </c:ext>
            </c:extLst>
          </c:dPt>
          <c:dPt>
            <c:idx val="11"/>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7-01DD-41E8-AF00-9AA6046816CD}"/>
              </c:ext>
            </c:extLst>
          </c:dPt>
          <c:dPt>
            <c:idx val="12"/>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19-0925-4623-B7D9-6CA8D2FF71D9}"/>
              </c:ext>
            </c:extLst>
          </c:dPt>
          <c:dPt>
            <c:idx val="13"/>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A-0925-4623-B7D9-6CA8D2FF71D9}"/>
              </c:ext>
            </c:extLst>
          </c:dPt>
          <c:dPt>
            <c:idx val="14"/>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D-053E-4B88-8942-9D15955E99C9}"/>
              </c:ext>
            </c:extLst>
          </c:dPt>
          <c:dPt>
            <c:idx val="15"/>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1F-5FC6-49F3-B08C-B8D2612D81E3}"/>
              </c:ext>
            </c:extLst>
          </c:dPt>
          <c:dLbls>
            <c:dLbl>
              <c:idx val="0"/>
              <c:tx>
                <c:rich>
                  <a:bodyPr/>
                  <a:lstStyle/>
                  <a:p>
                    <a:fld id="{668B9417-128D-4BA6-A360-5DABA35AB7F7}" type="CELLRANGE">
                      <a:rPr lang="en-US"/>
                      <a:pPr/>
                      <a:t>[CELLRANGE]</a:t>
                    </a:fld>
                    <a:endParaRPr lang="en-US" baseline="0"/>
                  </a:p>
                  <a:p>
                    <a:fld id="{471A8BB9-75B0-4689-BDBE-57FF75FFAC3D}"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1-01DD-41E8-AF00-9AA6046816CD}"/>
                </c:ext>
              </c:extLst>
            </c:dLbl>
            <c:dLbl>
              <c:idx val="1"/>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3-01DD-41E8-AF00-9AA6046816CD}"/>
                </c:ext>
              </c:extLst>
            </c:dLbl>
            <c:dLbl>
              <c:idx val="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5-01DD-41E8-AF00-9AA6046816CD}"/>
                </c:ext>
              </c:extLst>
            </c:dLbl>
            <c:dLbl>
              <c:idx val="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7-01DD-41E8-AF00-9AA6046816CD}"/>
                </c:ext>
              </c:extLst>
            </c:dLbl>
            <c:dLbl>
              <c:idx val="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9-01DD-41E8-AF00-9AA6046816CD}"/>
                </c:ext>
              </c:extLst>
            </c:dLbl>
            <c:dLbl>
              <c:idx val="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0B-01DD-41E8-AF00-9AA6046816CD}"/>
                </c:ext>
              </c:extLst>
            </c:dLbl>
            <c:dLbl>
              <c:idx val="6"/>
              <c:tx>
                <c:rich>
                  <a:bodyPr/>
                  <a:lstStyle/>
                  <a:p>
                    <a:fld id="{91517485-CEFB-4FFE-900F-0DD2AD5E3D24}" type="CELLRANGE">
                      <a:rPr lang="en-US"/>
                      <a:pPr/>
                      <a:t>[CELLRANGE]</a:t>
                    </a:fld>
                    <a:endParaRPr lang="en-US" baseline="0"/>
                  </a:p>
                  <a:p>
                    <a:fld id="{CF13D179-B013-42E8-94FC-1458021B5621}"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D-01DD-41E8-AF00-9AA6046816CD}"/>
                </c:ext>
              </c:extLst>
            </c:dLbl>
            <c:dLbl>
              <c:idx val="7"/>
              <c:tx>
                <c:rich>
                  <a:bodyPr/>
                  <a:lstStyle/>
                  <a:p>
                    <a:fld id="{D06B4636-9FBA-44AF-AAB3-2EBBBD7E5AB1}" type="CELLRANGE">
                      <a:rPr lang="en-US"/>
                      <a:pPr/>
                      <a:t>[CELLRANGE]</a:t>
                    </a:fld>
                    <a:endParaRPr lang="en-US" baseline="0"/>
                  </a:p>
                  <a:p>
                    <a:fld id="{1F964260-CDAF-4AF0-8A53-A6291A60D9AE}"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0F-01DD-41E8-AF00-9AA6046816CD}"/>
                </c:ext>
              </c:extLst>
            </c:dLbl>
            <c:dLbl>
              <c:idx val="8"/>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1-01DD-41E8-AF00-9AA6046816CD}"/>
                </c:ext>
              </c:extLst>
            </c:dLbl>
            <c:dLbl>
              <c:idx val="9"/>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3-01DD-41E8-AF00-9AA6046816CD}"/>
                </c:ext>
              </c:extLst>
            </c:dLbl>
            <c:dLbl>
              <c:idx val="10"/>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5-01DD-41E8-AF00-9AA6046816CD}"/>
                </c:ext>
              </c:extLst>
            </c:dLbl>
            <c:dLbl>
              <c:idx val="11"/>
              <c:tx>
                <c:rich>
                  <a:bodyPr/>
                  <a:lstStyle/>
                  <a:p>
                    <a:fld id="{ACB4E82F-8A5D-45BA-BD57-4BEE4566B433}" type="CELLRANGE">
                      <a:rPr lang="en-US"/>
                      <a:pPr/>
                      <a:t>[CELLRANGE]</a:t>
                    </a:fld>
                    <a:endParaRPr lang="en-US" baseline="0"/>
                  </a:p>
                  <a:p>
                    <a:fld id="{3499DD9B-73B7-4F96-96F4-5F2E49C1A35B}" type="VALUE">
                      <a:rPr lang="en-US"/>
                      <a:pPr/>
                      <a:t>[VALUE]</a:t>
                    </a:fld>
                    <a:endParaRPr lang="fa-IR"/>
                  </a:p>
                </c:rich>
              </c:tx>
              <c:showLegendKey val="0"/>
              <c:showVal val="1"/>
              <c:showCatName val="0"/>
              <c:showSerName val="0"/>
              <c:showPercent val="0"/>
              <c:showBubbleSize val="0"/>
              <c:separator>
</c:separator>
              <c:extLst>
                <c:ext xmlns:c15="http://schemas.microsoft.com/office/drawing/2012/chart" uri="{CE6537A1-D6FC-4f65-9D91-7224C49458BB}">
                  <c15:dlblFieldTable/>
                  <c15:showDataLabelsRange val="1"/>
                </c:ext>
                <c:ext xmlns:c16="http://schemas.microsoft.com/office/drawing/2014/chart" uri="{C3380CC4-5D6E-409C-BE32-E72D297353CC}">
                  <c16:uniqueId val="{00000017-01DD-41E8-AF00-9AA6046816CD}"/>
                </c:ext>
              </c:extLst>
            </c:dLbl>
            <c:dLbl>
              <c:idx val="12"/>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9-0925-4623-B7D9-6CA8D2FF71D9}"/>
                </c:ext>
              </c:extLst>
            </c:dLbl>
            <c:dLbl>
              <c:idx val="13"/>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A-0925-4623-B7D9-6CA8D2FF71D9}"/>
                </c:ext>
              </c:extLst>
            </c:dLbl>
            <c:dLbl>
              <c:idx val="14"/>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D-053E-4B88-8942-9D15955E99C9}"/>
                </c:ext>
              </c:extLst>
            </c:dLbl>
            <c:dLbl>
              <c:idx val="15"/>
              <c:tx>
                <c:rich>
                  <a:bodyPr/>
                  <a:lstStyle/>
                  <a:p>
                    <a:endParaRPr lang="fa-IR"/>
                  </a:p>
                </c:rich>
              </c:tx>
              <c:showLegendKey val="0"/>
              <c:showVal val="1"/>
              <c:showCatName val="0"/>
              <c:showSerName val="0"/>
              <c:showPercent val="0"/>
              <c:showBubbleSize val="0"/>
              <c:separator>
</c:separator>
              <c:extLst>
                <c:ext xmlns:c15="http://schemas.microsoft.com/office/drawing/2012/chart" uri="{CE6537A1-D6FC-4f65-9D91-7224C49458BB}">
                  <c15:xForSave val="1"/>
                  <c15:showDataLabelsRange val="1"/>
                </c:ext>
                <c:ext xmlns:c16="http://schemas.microsoft.com/office/drawing/2014/chart" uri="{C3380CC4-5D6E-409C-BE32-E72D297353CC}">
                  <c16:uniqueId val="{0000001F-5FC6-49F3-B08C-B8D2612D81E3}"/>
                </c:ext>
              </c:extLst>
            </c:dLbl>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'Tables &amp; Graphs'!$D$308:$D$323</c:f>
              <c:strCache>
                <c:ptCount val="12"/>
                <c:pt idx="0">
                  <c:v>Cat1</c:v>
                </c:pt>
                <c:pt idx="6">
                  <c:v>Cat2</c:v>
                </c:pt>
                <c:pt idx="7">
                  <c:v>Cat3</c:v>
                </c:pt>
                <c:pt idx="11">
                  <c:v>Cat4</c:v>
                </c:pt>
              </c:strCache>
            </c:strRef>
          </c:cat>
          <c:val>
            <c:numRef>
              <c:f>'Tables &amp; Graphs'!$H$308:$H$323</c:f>
              <c:numCache>
                <c:formatCode>0%</c:formatCode>
                <c:ptCount val="16"/>
                <c:pt idx="0">
                  <c:v>0.16762974057888894</c:v>
                </c:pt>
                <c:pt idx="6">
                  <c:v>2.1428989444826122E-3</c:v>
                </c:pt>
                <c:pt idx="7">
                  <c:v>0.77060996952852268</c:v>
                </c:pt>
                <c:pt idx="11">
                  <c:v>5.9617390948105885E-2</c:v>
                </c:pt>
              </c:numCache>
            </c:numRef>
          </c:val>
          <c:extLst>
            <c:ext xmlns:c15="http://schemas.microsoft.com/office/drawing/2012/chart" uri="{02D57815-91ED-43cb-92C2-25804820EDAC}">
              <c15:datalabelsRange>
                <c15:f>'Tables &amp; Graphs'!$D$308:$D$323</c15:f>
                <c15:dlblRangeCache>
                  <c:ptCount val="16"/>
                  <c:pt idx="0">
                    <c:v>Cat1</c:v>
                  </c:pt>
                  <c:pt idx="6">
                    <c:v>Cat2</c:v>
                  </c:pt>
                  <c:pt idx="7">
                    <c:v>Cat3</c:v>
                  </c:pt>
                  <c:pt idx="11">
                    <c:v>Cat4</c:v>
                  </c:pt>
                </c15:dlblRangeCache>
              </c15:datalabelsRange>
            </c:ext>
            <c:ext xmlns:c16="http://schemas.microsoft.com/office/drawing/2014/chart" uri="{C3380CC4-5D6E-409C-BE32-E72D297353CC}">
              <c16:uniqueId val="{00000018-01DD-41E8-AF00-9AA6046816CD}"/>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solidFill>
      <a:round/>
    </a:ln>
    <a:effectLst/>
  </c:spPr>
  <c:txPr>
    <a:bodyPr/>
    <a:lstStyle/>
    <a:p>
      <a:pPr>
        <a:defRPr>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3DEE-4AD3-A74F-566B3D5403C7}"/>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3DEE-4AD3-A74F-566B3D5403C7}"/>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3DEE-4AD3-A74F-566B3D5403C7}"/>
              </c:ext>
            </c:extLst>
          </c:dPt>
          <c:dLbls>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Footprints'!$J$63:$L$63</c:f>
              <c:numCache>
                <c:formatCode>0%</c:formatCode>
                <c:ptCount val="3"/>
                <c:pt idx="0">
                  <c:v>0.45726663876097379</c:v>
                </c:pt>
                <c:pt idx="1">
                  <c:v>0.25573911139074385</c:v>
                </c:pt>
                <c:pt idx="2">
                  <c:v>0.28699424984828242</c:v>
                </c:pt>
              </c:numCache>
            </c:numRef>
          </c:val>
          <c:extLst>
            <c:ext xmlns:c16="http://schemas.microsoft.com/office/drawing/2014/chart" uri="{C3380CC4-5D6E-409C-BE32-E72D297353CC}">
              <c16:uniqueId val="{00000000-16D1-428F-B259-8F668ECBF48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Share of Unit Processes in CF in Life Cycle Stages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Footprints'!$J$48</c:f>
              <c:strCache>
                <c:ptCount val="1"/>
                <c:pt idx="0">
                  <c:v>Upstream
CF</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Footprints'!$J$50:$J$61</c:f>
              <c:numCache>
                <c:formatCode>_(* #,##0.00000_);_(* \(#,##0.00000\);_(* "-"??_);_(@_)</c:formatCode>
                <c:ptCount val="12"/>
                <c:pt idx="0">
                  <c:v>4.2551019694979569E-2</c:v>
                </c:pt>
                <c:pt idx="1">
                  <c:v>3.6995026855252952E-2</c:v>
                </c:pt>
                <c:pt idx="2">
                  <c:v>1.8674150990924033E-7</c:v>
                </c:pt>
                <c:pt idx="3">
                  <c:v>1.6767944881814817E-3</c:v>
                </c:pt>
                <c:pt idx="4">
                  <c:v>5.1479362934699284E-2</c:v>
                </c:pt>
                <c:pt idx="5">
                  <c:v>0.10505254668228003</c:v>
                </c:pt>
                <c:pt idx="6">
                  <c:v>8.6145143199219218E-2</c:v>
                </c:pt>
                <c:pt idx="7">
                  <c:v>0.71326555343180997</c:v>
                </c:pt>
                <c:pt idx="8">
                  <c:v>1.6180967639398715E-3</c:v>
                </c:pt>
                <c:pt idx="9">
                  <c:v>2.5558907346995507E-2</c:v>
                </c:pt>
                <c:pt idx="10">
                  <c:v>8.8354355303399391E-4</c:v>
                </c:pt>
                <c:pt idx="11">
                  <c:v>2.8198624707032451E-4</c:v>
                </c:pt>
              </c:numCache>
            </c:numRef>
          </c:val>
          <c:extLst>
            <c:ext xmlns:c16="http://schemas.microsoft.com/office/drawing/2014/chart" uri="{C3380CC4-5D6E-409C-BE32-E72D297353CC}">
              <c16:uniqueId val="{00000000-7DDB-4830-948E-A1CE6187F99A}"/>
            </c:ext>
          </c:extLst>
        </c:ser>
        <c:ser>
          <c:idx val="1"/>
          <c:order val="1"/>
          <c:tx>
            <c:strRef>
              <c:f>'Carbon Footprints'!$K$48</c:f>
              <c:strCache>
                <c:ptCount val="1"/>
                <c:pt idx="0">
                  <c:v>Direct
CF</c:v>
                </c:pt>
              </c:strCache>
            </c:strRef>
          </c:tx>
          <c:spPr>
            <a:solidFill>
              <a:schemeClr val="accent2"/>
            </a:solidFill>
            <a:ln>
              <a:noFill/>
            </a:ln>
            <a:effectLst/>
          </c:spPr>
          <c:invertIfNegative val="0"/>
          <c:dLbls>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23D-42DB-B64A-F3248465085E}"/>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Footprints'!$K$50:$K$61</c:f>
              <c:numCache>
                <c:formatCode>_(* #,##0.00000_);_(* \(#,##0.00000\);_(* "-"??_);_(@_)</c:formatCode>
                <c:ptCount val="12"/>
                <c:pt idx="0">
                  <c:v>8.7741153169102512E-4</c:v>
                </c:pt>
                <c:pt idx="1">
                  <c:v>2.9681918411561318E-2</c:v>
                </c:pt>
                <c:pt idx="2">
                  <c:v>1.2455414425771226E-5</c:v>
                </c:pt>
                <c:pt idx="3">
                  <c:v>1.622396291141048E-2</c:v>
                </c:pt>
                <c:pt idx="4">
                  <c:v>1.2525920479288723E-2</c:v>
                </c:pt>
                <c:pt idx="5">
                  <c:v>0.47145988501667424</c:v>
                </c:pt>
                <c:pt idx="6">
                  <c:v>3.9616755311109384E-6</c:v>
                </c:pt>
                <c:pt idx="7">
                  <c:v>6.036201654554757E-2</c:v>
                </c:pt>
                <c:pt idx="8">
                  <c:v>3.3607790088666957E-4</c:v>
                </c:pt>
                <c:pt idx="9">
                  <c:v>1.7926193542143407E-3</c:v>
                </c:pt>
                <c:pt idx="10">
                  <c:v>2.2367032426313526E-3</c:v>
                </c:pt>
                <c:pt idx="11">
                  <c:v>4.0220531548954892E-4</c:v>
                </c:pt>
              </c:numCache>
            </c:numRef>
          </c:val>
          <c:extLst>
            <c:ext xmlns:c16="http://schemas.microsoft.com/office/drawing/2014/chart" uri="{C3380CC4-5D6E-409C-BE32-E72D297353CC}">
              <c16:uniqueId val="{00000001-7DDB-4830-948E-A1CE6187F99A}"/>
            </c:ext>
          </c:extLst>
        </c:ser>
        <c:ser>
          <c:idx val="2"/>
          <c:order val="2"/>
          <c:tx>
            <c:strRef>
              <c:f>'Carbon Footprints'!$L$48</c:f>
              <c:strCache>
                <c:ptCount val="1"/>
                <c:pt idx="0">
                  <c:v>Utility
CF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Footprints'!$L$50:$L$61</c:f>
              <c:numCache>
                <c:formatCode>_(* #,##0.00000_);_(* \(#,##0.00000\);_(* "-"??_);_(@_)</c:formatCode>
                <c:ptCount val="12"/>
                <c:pt idx="0">
                  <c:v>6.0339041527742877E-3</c:v>
                </c:pt>
                <c:pt idx="1">
                  <c:v>1.6627515883298719E-3</c:v>
                </c:pt>
                <c:pt idx="2">
                  <c:v>1.1673899839341146E-4</c:v>
                </c:pt>
                <c:pt idx="3">
                  <c:v>8.5921909514652265E-4</c:v>
                </c:pt>
                <c:pt idx="4">
                  <c:v>1.8716148047711368E-2</c:v>
                </c:pt>
                <c:pt idx="5">
                  <c:v>8.9313522895433081E-2</c:v>
                </c:pt>
                <c:pt idx="6">
                  <c:v>1.0136027321913166E-3</c:v>
                </c:pt>
                <c:pt idx="7">
                  <c:v>0.50927687500047147</c:v>
                </c:pt>
                <c:pt idx="8">
                  <c:v>3.3515961050543538E-3</c:v>
                </c:pt>
                <c:pt idx="9">
                  <c:v>2.1142904411813511E-2</c:v>
                </c:pt>
                <c:pt idx="10">
                  <c:v>1.2376522504676867E-2</c:v>
                </c:pt>
                <c:pt idx="11">
                  <c:v>4.8810811249187019E-3</c:v>
                </c:pt>
              </c:numCache>
            </c:numRef>
          </c:val>
          <c:extLst>
            <c:ext xmlns:c16="http://schemas.microsoft.com/office/drawing/2014/chart" uri="{C3380CC4-5D6E-409C-BE32-E72D297353CC}">
              <c16:uniqueId val="{00000002-7DDB-4830-948E-A1CE6187F99A}"/>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7116633858267722"/>
          <c:y val="0.90145531577071381"/>
          <c:w val="0.26461167614464864"/>
          <c:h val="8.3112585463854055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Footprints'!$J$48</c:f>
              <c:strCache>
                <c:ptCount val="1"/>
                <c:pt idx="0">
                  <c:v>Upstream
CF</c:v>
                </c:pt>
              </c:strCache>
            </c:strRef>
          </c:tx>
          <c:spPr>
            <a:solidFill>
              <a:schemeClr val="accent1"/>
            </a:solidFill>
            <a:ln>
              <a:noFill/>
            </a:ln>
            <a:effectLst/>
          </c:spPr>
          <c:invertIfNegative val="0"/>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Footprints'!$J$50:$J$61</c:f>
              <c:numCache>
                <c:formatCode>_(* #,##0.00000_);_(* \(#,##0.00000\);_(* "-"??_);_(@_)</c:formatCode>
                <c:ptCount val="12"/>
                <c:pt idx="0">
                  <c:v>4.2551019694979569E-2</c:v>
                </c:pt>
                <c:pt idx="1">
                  <c:v>3.6995026855252952E-2</c:v>
                </c:pt>
                <c:pt idx="2">
                  <c:v>1.8674150990924033E-7</c:v>
                </c:pt>
                <c:pt idx="3">
                  <c:v>1.6767944881814817E-3</c:v>
                </c:pt>
                <c:pt idx="4">
                  <c:v>5.1479362934699284E-2</c:v>
                </c:pt>
                <c:pt idx="5">
                  <c:v>0.10505254668228003</c:v>
                </c:pt>
                <c:pt idx="6">
                  <c:v>8.6145143199219218E-2</c:v>
                </c:pt>
                <c:pt idx="7">
                  <c:v>0.71326555343180997</c:v>
                </c:pt>
                <c:pt idx="8">
                  <c:v>1.6180967639398715E-3</c:v>
                </c:pt>
                <c:pt idx="9">
                  <c:v>2.5558907346995507E-2</c:v>
                </c:pt>
                <c:pt idx="10">
                  <c:v>8.8354355303399391E-4</c:v>
                </c:pt>
                <c:pt idx="11">
                  <c:v>2.8198624707032451E-4</c:v>
                </c:pt>
              </c:numCache>
            </c:numRef>
          </c:val>
          <c:extLst>
            <c:ext xmlns:c16="http://schemas.microsoft.com/office/drawing/2014/chart" uri="{C3380CC4-5D6E-409C-BE32-E72D297353CC}">
              <c16:uniqueId val="{00000000-D4BC-4309-8109-81FCB5B1EFF3}"/>
            </c:ext>
          </c:extLst>
        </c:ser>
        <c:ser>
          <c:idx val="1"/>
          <c:order val="1"/>
          <c:tx>
            <c:strRef>
              <c:f>'Carbon Footprints'!$K$48</c:f>
              <c:strCache>
                <c:ptCount val="1"/>
                <c:pt idx="0">
                  <c:v>Direct
CF</c:v>
                </c:pt>
              </c:strCache>
            </c:strRef>
          </c:tx>
          <c:spPr>
            <a:solidFill>
              <a:schemeClr val="accent2"/>
            </a:solidFill>
            <a:ln>
              <a:noFill/>
            </a:ln>
            <a:effectLst/>
          </c:spPr>
          <c:invertIfNegative val="0"/>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Footprints'!$K$50:$K$61</c:f>
              <c:numCache>
                <c:formatCode>_(* #,##0.00000_);_(* \(#,##0.00000\);_(* "-"??_);_(@_)</c:formatCode>
                <c:ptCount val="12"/>
                <c:pt idx="0">
                  <c:v>8.7741153169102512E-4</c:v>
                </c:pt>
                <c:pt idx="1">
                  <c:v>2.9681918411561318E-2</c:v>
                </c:pt>
                <c:pt idx="2">
                  <c:v>1.2455414425771226E-5</c:v>
                </c:pt>
                <c:pt idx="3">
                  <c:v>1.622396291141048E-2</c:v>
                </c:pt>
                <c:pt idx="4">
                  <c:v>1.2525920479288723E-2</c:v>
                </c:pt>
                <c:pt idx="5">
                  <c:v>0.47145988501667424</c:v>
                </c:pt>
                <c:pt idx="6">
                  <c:v>3.9616755311109384E-6</c:v>
                </c:pt>
                <c:pt idx="7">
                  <c:v>6.036201654554757E-2</c:v>
                </c:pt>
                <c:pt idx="8">
                  <c:v>3.3607790088666957E-4</c:v>
                </c:pt>
                <c:pt idx="9">
                  <c:v>1.7926193542143407E-3</c:v>
                </c:pt>
                <c:pt idx="10">
                  <c:v>2.2367032426313526E-3</c:v>
                </c:pt>
                <c:pt idx="11">
                  <c:v>4.0220531548954892E-4</c:v>
                </c:pt>
              </c:numCache>
            </c:numRef>
          </c:val>
          <c:extLst>
            <c:ext xmlns:c16="http://schemas.microsoft.com/office/drawing/2014/chart" uri="{C3380CC4-5D6E-409C-BE32-E72D297353CC}">
              <c16:uniqueId val="{00000001-D4BC-4309-8109-81FCB5B1EFF3}"/>
            </c:ext>
          </c:extLst>
        </c:ser>
        <c:ser>
          <c:idx val="2"/>
          <c:order val="2"/>
          <c:tx>
            <c:strRef>
              <c:f>'Carbon Footprints'!$L$48</c:f>
              <c:strCache>
                <c:ptCount val="1"/>
                <c:pt idx="0">
                  <c:v>Utility
CF</c:v>
                </c:pt>
              </c:strCache>
            </c:strRef>
          </c:tx>
          <c:spPr>
            <a:solidFill>
              <a:schemeClr val="accent3"/>
            </a:solidFill>
            <a:ln>
              <a:noFill/>
            </a:ln>
            <a:effectLst/>
          </c:spPr>
          <c:invertIfNegative val="0"/>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Footprints'!$L$50:$L$61</c:f>
              <c:numCache>
                <c:formatCode>_(* #,##0.00000_);_(* \(#,##0.00000\);_(* "-"??_);_(@_)</c:formatCode>
                <c:ptCount val="12"/>
                <c:pt idx="0">
                  <c:v>6.0339041527742877E-3</c:v>
                </c:pt>
                <c:pt idx="1">
                  <c:v>1.6627515883298719E-3</c:v>
                </c:pt>
                <c:pt idx="2">
                  <c:v>1.1673899839341146E-4</c:v>
                </c:pt>
                <c:pt idx="3">
                  <c:v>8.5921909514652265E-4</c:v>
                </c:pt>
                <c:pt idx="4">
                  <c:v>1.8716148047711368E-2</c:v>
                </c:pt>
                <c:pt idx="5">
                  <c:v>8.9313522895433081E-2</c:v>
                </c:pt>
                <c:pt idx="6">
                  <c:v>1.0136027321913166E-3</c:v>
                </c:pt>
                <c:pt idx="7">
                  <c:v>0.50927687500047147</c:v>
                </c:pt>
                <c:pt idx="8">
                  <c:v>3.3515961050543538E-3</c:v>
                </c:pt>
                <c:pt idx="9">
                  <c:v>2.1142904411813511E-2</c:v>
                </c:pt>
                <c:pt idx="10">
                  <c:v>1.2376522504676867E-2</c:v>
                </c:pt>
                <c:pt idx="11">
                  <c:v>4.8810811249187019E-3</c:v>
                </c:pt>
              </c:numCache>
            </c:numRef>
          </c:val>
          <c:extLst>
            <c:ext xmlns:c16="http://schemas.microsoft.com/office/drawing/2014/chart" uri="{C3380CC4-5D6E-409C-BE32-E72D297353CC}">
              <c16:uniqueId val="{00000002-D4BC-4309-8109-81FCB5B1EFF3}"/>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0_);_(* \(#,##0.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Share of Unit Processes in CF</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27251633688518639"/>
          <c:y val="0.24413851223868582"/>
          <c:w val="0.47280838334102077"/>
          <c:h val="0.6350058279456281"/>
        </c:manualLayout>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A-9AF1-42AB-9D5D-4207D76CFD8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6-9AF1-42AB-9D5D-4207D76CFD8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9-9AF1-42AB-9D5D-4207D76CFD8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8-9AF1-42AB-9D5D-4207D76CFD8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7-9AF1-42AB-9D5D-4207D76CFD8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AF1-42AB-9D5D-4207D76CFD8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C-9AF1-42AB-9D5D-4207D76CFD8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D-9AF1-42AB-9D5D-4207D76CFD8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9AF1-42AB-9D5D-4207D76CFD8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3-9AF1-42AB-9D5D-4207D76CFD8A}"/>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4-9AF1-42AB-9D5D-4207D76CFD8A}"/>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2-9AF1-42AB-9D5D-4207D76CFD8A}"/>
              </c:ext>
            </c:extLst>
          </c:dPt>
          <c:dLbls>
            <c:dLbl>
              <c:idx val="0"/>
              <c:layout>
                <c:manualLayout>
                  <c:x val="0.1709840754210655"/>
                  <c:y val="-1.3521592933413444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A-9AF1-42AB-9D5D-4207D76CFD8A}"/>
                </c:ext>
              </c:extLst>
            </c:dLbl>
            <c:dLbl>
              <c:idx val="1"/>
              <c:layout>
                <c:manualLayout>
                  <c:x val="0.13334055216192148"/>
                  <c:y val="-3.411736183579471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9AF1-42AB-9D5D-4207D76CFD8A}"/>
                </c:ext>
              </c:extLst>
            </c:dLbl>
            <c:dLbl>
              <c:idx val="2"/>
              <c:layout>
                <c:manualLayout>
                  <c:x val="5.3566375951884938E-2"/>
                  <c:y val="2.9675658012627941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9-9AF1-42AB-9D5D-4207D76CFD8A}"/>
                </c:ext>
              </c:extLst>
            </c:dLbl>
            <c:dLbl>
              <c:idx val="3"/>
              <c:layout>
                <c:manualLayout>
                  <c:x val="6.3435456218196934E-2"/>
                  <c:y val="0.1121205030094128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8-9AF1-42AB-9D5D-4207D76CFD8A}"/>
                </c:ext>
              </c:extLst>
            </c:dLbl>
            <c:dLbl>
              <c:idx val="4"/>
              <c:layout>
                <c:manualLayout>
                  <c:x val="3.3689331434467555E-2"/>
                  <c:y val="0.18668289957731168"/>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9AF1-42AB-9D5D-4207D76CFD8A}"/>
                </c:ext>
              </c:extLst>
            </c:dLbl>
            <c:dLbl>
              <c:idx val="5"/>
              <c:layout>
                <c:manualLayout>
                  <c:x val="7.9294280899990091E-2"/>
                  <c:y val="0"/>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B-9AF1-42AB-9D5D-4207D76CFD8A}"/>
                </c:ext>
              </c:extLst>
            </c:dLbl>
            <c:dLbl>
              <c:idx val="6"/>
              <c:layout>
                <c:manualLayout>
                  <c:x val="-3.5682426404995575E-2"/>
                  <c:y val="2.1299254526091587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C-9AF1-42AB-9D5D-4207D76CFD8A}"/>
                </c:ext>
              </c:extLst>
            </c:dLbl>
            <c:dLbl>
              <c:idx val="7"/>
              <c:layout>
                <c:manualLayout>
                  <c:x val="-5.550599662999306E-2"/>
                  <c:y val="-4.8810227762376968E-17"/>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D-9AF1-42AB-9D5D-4207D76CFD8A}"/>
                </c:ext>
              </c:extLst>
            </c:dLbl>
            <c:dLbl>
              <c:idx val="8"/>
              <c:layout>
                <c:manualLayout>
                  <c:x val="-0.12508817563723823"/>
                  <c:y val="-0.15652299486660554"/>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9AF1-42AB-9D5D-4207D76CFD8A}"/>
                </c:ext>
              </c:extLst>
            </c:dLbl>
            <c:dLbl>
              <c:idx val="9"/>
              <c:layout>
                <c:manualLayout>
                  <c:x val="-2.5981819537131849E-2"/>
                  <c:y val="-0.16071003172796175"/>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9AF1-42AB-9D5D-4207D76CFD8A}"/>
                </c:ext>
              </c:extLst>
            </c:dLbl>
            <c:dLbl>
              <c:idx val="10"/>
              <c:layout>
                <c:manualLayout>
                  <c:x val="6.3996484744339693E-2"/>
                  <c:y val="-0.11233005512865109"/>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AF1-42AB-9D5D-4207D76CFD8A}"/>
                </c:ext>
              </c:extLst>
            </c:dLbl>
            <c:dLbl>
              <c:idx val="11"/>
              <c:layout>
                <c:manualLayout>
                  <c:x val="4.7832585949177879E-2"/>
                  <c:y val="-1.7654871454321221E-3"/>
                </c:manualLayout>
              </c:layout>
              <c:dLblPos val="bestFit"/>
              <c:showLegendKey val="0"/>
              <c:showVal val="1"/>
              <c:showCatName val="1"/>
              <c:showSerName val="0"/>
              <c:showPercent val="0"/>
              <c:showBubbleSize val="0"/>
              <c:separator>
</c:separator>
              <c:extLst>
                <c:ext xmlns:c15="http://schemas.microsoft.com/office/drawing/2012/chart" uri="{CE6537A1-D6FC-4f65-9D91-7224C49458BB}">
                  <c15:layout>
                    <c:manualLayout>
                      <c:w val="0.2101834131720082"/>
                      <c:h val="0.10700207654766045"/>
                    </c:manualLayout>
                  </c15:layout>
                </c:ext>
                <c:ext xmlns:c16="http://schemas.microsoft.com/office/drawing/2014/chart" uri="{C3380CC4-5D6E-409C-BE32-E72D297353CC}">
                  <c16:uniqueId val="{00000002-9AF1-42AB-9D5D-4207D76CFD8A}"/>
                </c:ext>
              </c:extLst>
            </c:dLbl>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dLblPos val="outEnd"/>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Footprints'!$E$50:$E$61</c:f>
              <c:strCache>
                <c:ptCount val="1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strCache>
            </c:strRef>
          </c:cat>
          <c:val>
            <c:numRef>
              <c:f>'Carbon Footprints'!$N$50:$N$61</c:f>
              <c:numCache>
                <c:formatCode>0.00%</c:formatCode>
                <c:ptCount val="12"/>
                <c:pt idx="0">
                  <c:v>2.1226938023362191E-2</c:v>
                </c:pt>
                <c:pt idx="1">
                  <c:v>2.9328225174793301E-2</c:v>
                </c:pt>
                <c:pt idx="2">
                  <c:v>5.5524384832746967E-5</c:v>
                </c:pt>
                <c:pt idx="3">
                  <c:v>8.050910967277794E-3</c:v>
                </c:pt>
                <c:pt idx="4">
                  <c:v>3.550019798642598E-2</c:v>
                </c:pt>
                <c:pt idx="5">
                  <c:v>0.28574158830346047</c:v>
                </c:pt>
                <c:pt idx="6">
                  <c:v>3.7406187518793925E-2</c:v>
                </c:pt>
                <c:pt idx="7">
                  <c:v>0.55056302810071389</c:v>
                </c:pt>
                <c:pt idx="8">
                  <c:v>2.2769904905305433E-3</c:v>
                </c:pt>
                <c:pt idx="9">
                  <c:v>2.0811558447807098E-2</c:v>
                </c:pt>
                <c:pt idx="10">
                  <c:v>6.6504939359860417E-3</c:v>
                </c:pt>
                <c:pt idx="11">
                  <c:v>2.3883566660160369E-3</c:v>
                </c:pt>
              </c:numCache>
            </c:numRef>
          </c:val>
          <c:extLst>
            <c:ext xmlns:c16="http://schemas.microsoft.com/office/drawing/2014/chart" uri="{C3380CC4-5D6E-409C-BE32-E72D297353CC}">
              <c16:uniqueId val="{00000000-9AF1-42AB-9D5D-4207D76CFD8A}"/>
            </c:ext>
          </c:extLst>
        </c:ser>
        <c:dLbls>
          <c:showLegendKey val="0"/>
          <c:showVal val="0"/>
          <c:showCatName val="0"/>
          <c:showSerName val="0"/>
          <c:showPercent val="0"/>
          <c:showBubbleSize val="0"/>
          <c:showLeaderLines val="1"/>
        </c:dLbls>
        <c:firstSliceAng val="69"/>
      </c:pieChart>
      <c:spPr>
        <a:noFill/>
        <a:ln>
          <a:noFill/>
        </a:ln>
        <a:effectLst/>
      </c:spPr>
    </c:plotArea>
    <c:plotVisOnly val="1"/>
    <c:dispBlanksAs val="gap"/>
    <c:showDLblsOverMax val="0"/>
  </c:chart>
  <c:spPr>
    <a:solidFill>
      <a:schemeClr val="bg1"/>
    </a:solidFill>
    <a:ln w="9525" cap="flat" cmpd="sng" algn="ctr">
      <a:solidFill>
        <a:sysClr val="windowText" lastClr="000000"/>
      </a:solidFill>
      <a:round/>
    </a:ln>
    <a:effectLst/>
  </c:spPr>
  <c:txPr>
    <a:bodyPr/>
    <a:lstStyle/>
    <a:p>
      <a:pPr>
        <a:defRPr sz="10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Footprints'!$J$155</c:f>
              <c:strCache>
                <c:ptCount val="1"/>
                <c:pt idx="0">
                  <c:v>Upstream
CF</c:v>
                </c:pt>
              </c:strCache>
            </c:strRef>
          </c:tx>
          <c:spPr>
            <a:solidFill>
              <a:schemeClr val="accent1"/>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Footprints'!$J$157:$J$170</c:f>
              <c:numCache>
                <c:formatCode>_(* #,##0.0000_);_(* \(#,##0.0000\);_(* "-"??_);_(@_)</c:formatCode>
                <c:ptCount val="14"/>
                <c:pt idx="0">
                  <c:v>4.8156526610865114E-2</c:v>
                </c:pt>
                <c:pt idx="1">
                  <c:v>4.1868608742996985E-2</c:v>
                </c:pt>
                <c:pt idx="2">
                  <c:v>2.1134211484850716E-7</c:v>
                </c:pt>
                <c:pt idx="3">
                  <c:v>1.8976889148579134E-3</c:v>
                </c:pt>
                <c:pt idx="4">
                  <c:v>5.8261055289533403E-2</c:v>
                </c:pt>
                <c:pt idx="5">
                  <c:v>0.11889176325523536</c:v>
                </c:pt>
                <c:pt idx="6">
                  <c:v>9.7493571496230114E-2</c:v>
                </c:pt>
                <c:pt idx="7">
                  <c:v>0.80722840135614937</c:v>
                </c:pt>
                <c:pt idx="8">
                  <c:v>1.8312585792349143E-3</c:v>
                </c:pt>
                <c:pt idx="9">
                  <c:v>2.8925939040315068E-2</c:v>
                </c:pt>
                <c:pt idx="10">
                  <c:v>9.9993816666536783E-4</c:v>
                </c:pt>
                <c:pt idx="11">
                  <c:v>3.1913402565396701E-4</c:v>
                </c:pt>
                <c:pt idx="12">
                  <c:v>1.2586648360039889E-2</c:v>
                </c:pt>
                <c:pt idx="13">
                  <c:v>9.7259676510522836E-3</c:v>
                </c:pt>
              </c:numCache>
            </c:numRef>
          </c:val>
          <c:extLst>
            <c:ext xmlns:c16="http://schemas.microsoft.com/office/drawing/2014/chart" uri="{C3380CC4-5D6E-409C-BE32-E72D297353CC}">
              <c16:uniqueId val="{00000000-A10E-4BAF-A91D-3C9BA840D29D}"/>
            </c:ext>
          </c:extLst>
        </c:ser>
        <c:ser>
          <c:idx val="1"/>
          <c:order val="1"/>
          <c:tx>
            <c:strRef>
              <c:f>'Carbon Footprints'!$K$155</c:f>
              <c:strCache>
                <c:ptCount val="1"/>
                <c:pt idx="0">
                  <c:v>Direct
CF</c:v>
                </c:pt>
              </c:strCache>
            </c:strRef>
          </c:tx>
          <c:spPr>
            <a:solidFill>
              <a:schemeClr val="accent2"/>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Footprints'!$K$157:$K$170</c:f>
              <c:numCache>
                <c:formatCode>_(* #,##0.0000_);_(* \(#,##0.0000\);_(* "-"??_);_(@_)</c:formatCode>
                <c:ptCount val="14"/>
                <c:pt idx="0">
                  <c:v>9.9299833652503606E-4</c:v>
                </c:pt>
                <c:pt idx="1">
                  <c:v>3.3592099651057868E-2</c:v>
                </c:pt>
                <c:pt idx="2">
                  <c:v>1.4096242594035284E-5</c:v>
                </c:pt>
                <c:pt idx="3">
                  <c:v>1.8361245095360402E-2</c:v>
                </c:pt>
                <c:pt idx="4">
                  <c:v>1.417603684260515E-2</c:v>
                </c:pt>
                <c:pt idx="5">
                  <c:v>0.53356818853014742</c:v>
                </c:pt>
                <c:pt idx="6">
                  <c:v>4.4835713575171152E-6</c:v>
                </c:pt>
                <c:pt idx="7">
                  <c:v>6.8313875364169163E-2</c:v>
                </c:pt>
                <c:pt idx="8">
                  <c:v>3.8035150493190457E-4</c:v>
                </c:pt>
                <c:pt idx="9">
                  <c:v>2.0287721011903277E-3</c:v>
                </c:pt>
                <c:pt idx="10">
                  <c:v>2.5313578851106481E-3</c:v>
                </c:pt>
                <c:pt idx="11">
                  <c:v>4.551902896157647E-4</c:v>
                </c:pt>
                <c:pt idx="12">
                  <c:v>3.5657877290087958E-2</c:v>
                </c:pt>
                <c:pt idx="13">
                  <c:v>2.7395704395816692E-2</c:v>
                </c:pt>
              </c:numCache>
            </c:numRef>
          </c:val>
          <c:extLst>
            <c:ext xmlns:c16="http://schemas.microsoft.com/office/drawing/2014/chart" uri="{C3380CC4-5D6E-409C-BE32-E72D297353CC}">
              <c16:uniqueId val="{00000001-A10E-4BAF-A91D-3C9BA840D29D}"/>
            </c:ext>
          </c:extLst>
        </c:ser>
        <c:ser>
          <c:idx val="2"/>
          <c:order val="2"/>
          <c:tx>
            <c:strRef>
              <c:f>'Carbon Footprints'!$L$155</c:f>
              <c:strCache>
                <c:ptCount val="1"/>
                <c:pt idx="0">
                  <c:v>Utility
CF</c:v>
                </c:pt>
              </c:strCache>
            </c:strRef>
          </c:tx>
          <c:spPr>
            <a:solidFill>
              <a:schemeClr val="accent3"/>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Footprints'!$L$157:$L$170</c:f>
              <c:numCache>
                <c:formatCode>_(* #,##0.0000_);_(* \(#,##0.0000\);_(* "-"??_);_(@_)</c:formatCode>
                <c:ptCount val="14"/>
                <c:pt idx="0">
                  <c:v>6.8287873706295212E-3</c:v>
                </c:pt>
                <c:pt idx="1">
                  <c:v>1.8817960576421422E-3</c:v>
                </c:pt>
                <c:pt idx="2">
                  <c:v>1.3211774295790487E-4</c:v>
                </c:pt>
                <c:pt idx="3">
                  <c:v>9.7240929868641602E-4</c:v>
                </c:pt>
                <c:pt idx="4">
                  <c:v>2.1181741071621015E-2</c:v>
                </c:pt>
                <c:pt idx="5">
                  <c:v>0.10107934129088555</c:v>
                </c:pt>
                <c:pt idx="6">
                  <c:v>1.1471308395313452E-3</c:v>
                </c:pt>
                <c:pt idx="7">
                  <c:v>0.57636704264814687</c:v>
                </c:pt>
                <c:pt idx="8">
                  <c:v>3.7931224252415493E-3</c:v>
                </c:pt>
                <c:pt idx="9">
                  <c:v>2.3928188942052651E-2</c:v>
                </c:pt>
                <c:pt idx="10">
                  <c:v>1.4006957756097284E-2</c:v>
                </c:pt>
                <c:pt idx="11">
                  <c:v>5.5240958916355238E-3</c:v>
                </c:pt>
                <c:pt idx="12">
                  <c:v>5.0250665268186542E-2</c:v>
                </c:pt>
                <c:pt idx="13">
                  <c:v>0.1223019928021345</c:v>
                </c:pt>
              </c:numCache>
            </c:numRef>
          </c:val>
          <c:extLst>
            <c:ext xmlns:c16="http://schemas.microsoft.com/office/drawing/2014/chart" uri="{C3380CC4-5D6E-409C-BE32-E72D297353CC}">
              <c16:uniqueId val="{00000002-A10E-4BAF-A91D-3C9BA840D29D}"/>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023173029297264"/>
          <c:y val="0.89899576981605267"/>
          <c:w val="0.36193762816684955"/>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Share of Unit Processes in CF in Life Cycle Stages</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Footprints'!$J$101</c:f>
              <c:strCache>
                <c:ptCount val="1"/>
                <c:pt idx="0">
                  <c:v>Upstream
CF</c:v>
                </c:pt>
              </c:strCache>
            </c:strRef>
          </c:tx>
          <c:spPr>
            <a:solidFill>
              <a:schemeClr val="accent1"/>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Footprints'!$J$103:$J$115</c:f>
              <c:numCache>
                <c:formatCode>_(* #,##0.0000_);_(* \(#,##0.0000\);_(* "-"??_);_(@_)</c:formatCode>
                <c:ptCount val="13"/>
                <c:pt idx="0">
                  <c:v>4.3737608130499248E-2</c:v>
                </c:pt>
                <c:pt idx="1">
                  <c:v>3.8026679477278426E-2</c:v>
                </c:pt>
                <c:pt idx="2">
                  <c:v>1.9194903061445935E-7</c:v>
                </c:pt>
                <c:pt idx="3">
                  <c:v>1.7235540009424427E-3</c:v>
                </c:pt>
                <c:pt idx="4">
                  <c:v>5.2914929395012383E-2</c:v>
                </c:pt>
                <c:pt idx="5">
                  <c:v>0.1079820684166274</c:v>
                </c:pt>
                <c:pt idx="6">
                  <c:v>8.8547408325392929E-2</c:v>
                </c:pt>
                <c:pt idx="7">
                  <c:v>0.73315585601970745</c:v>
                </c:pt>
                <c:pt idx="8">
                  <c:v>1.6632194172019131E-3</c:v>
                </c:pt>
                <c:pt idx="9">
                  <c:v>2.627164946457259E-2</c:v>
                </c:pt>
                <c:pt idx="10">
                  <c:v>9.0818227073860872E-4</c:v>
                </c:pt>
                <c:pt idx="11">
                  <c:v>2.8984978646721282E-4</c:v>
                </c:pt>
                <c:pt idx="12">
                  <c:v>1.1431677747364968E-2</c:v>
                </c:pt>
              </c:numCache>
            </c:numRef>
          </c:val>
          <c:extLst>
            <c:ext xmlns:c16="http://schemas.microsoft.com/office/drawing/2014/chart" uri="{C3380CC4-5D6E-409C-BE32-E72D297353CC}">
              <c16:uniqueId val="{00000000-955D-4542-99F4-459CF8F7C0DD}"/>
            </c:ext>
          </c:extLst>
        </c:ser>
        <c:ser>
          <c:idx val="1"/>
          <c:order val="1"/>
          <c:tx>
            <c:strRef>
              <c:f>'Carbon Footprints'!$K$101</c:f>
              <c:strCache>
                <c:ptCount val="1"/>
                <c:pt idx="0">
                  <c:v>Direct
CF</c:v>
                </c:pt>
              </c:strCache>
            </c:strRef>
          </c:tx>
          <c:spPr>
            <a:solidFill>
              <a:schemeClr val="accent2"/>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Footprints'!$K$103:$K$115</c:f>
              <c:numCache>
                <c:formatCode>_(* #,##0.0000_);_(* \(#,##0.0000\);_(* "-"??_);_(@_)</c:formatCode>
                <c:ptCount val="13"/>
                <c:pt idx="0">
                  <c:v>9.0187925030645044E-4</c:v>
                </c:pt>
                <c:pt idx="1">
                  <c:v>3.0509635852498527E-2</c:v>
                </c:pt>
                <c:pt idx="2">
                  <c:v>1.280274924461151E-5</c:v>
                </c:pt>
                <c:pt idx="3">
                  <c:v>1.667638842099824E-2</c:v>
                </c:pt>
                <c:pt idx="4">
                  <c:v>1.2875221447667557E-2</c:v>
                </c:pt>
                <c:pt idx="5">
                  <c:v>0.4846071339282727</c:v>
                </c:pt>
                <c:pt idx="6">
                  <c:v>4.0721518112140947E-6</c:v>
                </c:pt>
                <c:pt idx="7">
                  <c:v>6.2045286918173799E-2</c:v>
                </c:pt>
                <c:pt idx="8">
                  <c:v>3.4544985374430941E-4</c:v>
                </c:pt>
                <c:pt idx="9">
                  <c:v>1.842608788315974E-3</c:v>
                </c:pt>
                <c:pt idx="10">
                  <c:v>2.2990765117191646E-3</c:v>
                </c:pt>
                <c:pt idx="11">
                  <c:v>4.1342131405986641E-4</c:v>
                </c:pt>
                <c:pt idx="12">
                  <c:v>3.2385854492408925E-2</c:v>
                </c:pt>
              </c:numCache>
            </c:numRef>
          </c:val>
          <c:extLst>
            <c:ext xmlns:c16="http://schemas.microsoft.com/office/drawing/2014/chart" uri="{C3380CC4-5D6E-409C-BE32-E72D297353CC}">
              <c16:uniqueId val="{00000001-955D-4542-99F4-459CF8F7C0DD}"/>
            </c:ext>
          </c:extLst>
        </c:ser>
        <c:ser>
          <c:idx val="2"/>
          <c:order val="2"/>
          <c:tx>
            <c:strRef>
              <c:f>'Carbon Footprints'!$L$101</c:f>
              <c:strCache>
                <c:ptCount val="1"/>
                <c:pt idx="0">
                  <c:v>Utility
CF</c:v>
                </c:pt>
              </c:strCache>
            </c:strRef>
          </c:tx>
          <c:spPr>
            <a:solidFill>
              <a:schemeClr val="accent3"/>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Footprints'!$L$103:$L$115</c:f>
              <c:numCache>
                <c:formatCode>_(* #,##0.0000_);_(* \(#,##0.0000\);_(* "-"??_);_(@_)</c:formatCode>
                <c:ptCount val="13"/>
                <c:pt idx="0">
                  <c:v>6.2021671213245075E-3</c:v>
                </c:pt>
                <c:pt idx="1">
                  <c:v>1.7091194972542025E-3</c:v>
                </c:pt>
                <c:pt idx="2">
                  <c:v>1.199944114589676E-4</c:v>
                </c:pt>
                <c:pt idx="3">
                  <c:v>8.8317949490161578E-4</c:v>
                </c:pt>
                <c:pt idx="4">
                  <c:v>1.923807125871984E-2</c:v>
                </c:pt>
                <c:pt idx="5">
                  <c:v>9.18041422545679E-2</c:v>
                </c:pt>
                <c:pt idx="6">
                  <c:v>1.041868312871896E-3</c:v>
                </c:pt>
                <c:pt idx="7">
                  <c:v>0.52347869800459701</c:v>
                </c:pt>
                <c:pt idx="8">
                  <c:v>3.4450595568658155E-3</c:v>
                </c:pt>
                <c:pt idx="9">
                  <c:v>2.1732500761047793E-2</c:v>
                </c:pt>
                <c:pt idx="10">
                  <c:v>1.2721657323566563E-2</c:v>
                </c:pt>
                <c:pt idx="11">
                  <c:v>5.01719618061372E-3</c:v>
                </c:pt>
                <c:pt idx="12">
                  <c:v>4.5639585337140007E-2</c:v>
                </c:pt>
              </c:numCache>
            </c:numRef>
          </c:val>
          <c:extLst>
            <c:ext xmlns:c16="http://schemas.microsoft.com/office/drawing/2014/chart" uri="{C3380CC4-5D6E-409C-BE32-E72D297353CC}">
              <c16:uniqueId val="{00000002-955D-4542-99F4-459CF8F7C0DD}"/>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377515310586175"/>
          <c:y val="0.8892821617630966"/>
          <c:w val="0.34206510644502774"/>
          <c:h val="9.5160239186856163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Footprints'!$J$273</c:f>
              <c:strCache>
                <c:ptCount val="1"/>
                <c:pt idx="0">
                  <c:v>Upstream
CF</c:v>
                </c:pt>
              </c:strCache>
            </c:strRef>
          </c:tx>
          <c:spPr>
            <a:solidFill>
              <a:schemeClr val="accent1"/>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Footprints'!$J$275:$J$290</c:f>
              <c:numCache>
                <c:formatCode>_(* #,##0.0000_);_(* \(#,##0.0000\);_(* "-"??_);_(@_)</c:formatCode>
                <c:ptCount val="16"/>
                <c:pt idx="0">
                  <c:v>4.6033444549899064E-2</c:v>
                </c:pt>
                <c:pt idx="1">
                  <c:v>4.0022742805485463E-2</c:v>
                </c:pt>
                <c:pt idx="2">
                  <c:v>2.0202465189302365E-7</c:v>
                </c:pt>
                <c:pt idx="3">
                  <c:v>1.8140252959057948E-3</c:v>
                </c:pt>
                <c:pt idx="4">
                  <c:v>5.5692493766446888E-2</c:v>
                </c:pt>
                <c:pt idx="5">
                  <c:v>0.11365016907209378</c:v>
                </c:pt>
                <c:pt idx="6">
                  <c:v>9.3195361735884649E-2</c:v>
                </c:pt>
                <c:pt idx="7">
                  <c:v>0.77164003444858109</c:v>
                </c:pt>
                <c:pt idx="8">
                  <c:v>1.7505236817623327E-3</c:v>
                </c:pt>
                <c:pt idx="9">
                  <c:v>2.7650677998975047E-2</c:v>
                </c:pt>
                <c:pt idx="10">
                  <c:v>9.5585378323636162E-4</c:v>
                </c:pt>
                <c:pt idx="11">
                  <c:v>3.0506432892552919E-4</c:v>
                </c:pt>
                <c:pt idx="12">
                  <c:v>1.2031739415779374E-2</c:v>
                </c:pt>
                <c:pt idx="13">
                  <c:v>2.9896593218501966E-3</c:v>
                </c:pt>
                <c:pt idx="14">
                  <c:v>6.0447824743859141E-4</c:v>
                </c:pt>
                <c:pt idx="15">
                  <c:v>7.696101088549138E-4</c:v>
                </c:pt>
              </c:numCache>
            </c:numRef>
          </c:val>
          <c:extLst>
            <c:ext xmlns:c16="http://schemas.microsoft.com/office/drawing/2014/chart" uri="{C3380CC4-5D6E-409C-BE32-E72D297353CC}">
              <c16:uniqueId val="{00000000-BBEF-4B15-9246-CBC9C0E6CC3C}"/>
            </c:ext>
          </c:extLst>
        </c:ser>
        <c:ser>
          <c:idx val="1"/>
          <c:order val="1"/>
          <c:tx>
            <c:strRef>
              <c:f>'Carbon Footprints'!$K$273</c:f>
              <c:strCache>
                <c:ptCount val="1"/>
                <c:pt idx="0">
                  <c:v>Direct
CF</c:v>
                </c:pt>
              </c:strCache>
            </c:strRef>
          </c:tx>
          <c:spPr>
            <a:solidFill>
              <a:schemeClr val="accent2"/>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Footprints'!$K$275:$K$290</c:f>
              <c:numCache>
                <c:formatCode>_(* #,##0.0000_);_(* \(#,##0.0000\);_(* "-"??_);_(@_)</c:formatCode>
                <c:ptCount val="16"/>
                <c:pt idx="0">
                  <c:v>9.4921991014721308E-4</c:v>
                </c:pt>
                <c:pt idx="1">
                  <c:v>3.2111121076011433E-2</c:v>
                </c:pt>
                <c:pt idx="2">
                  <c:v>1.347478000350722E-5</c:v>
                </c:pt>
                <c:pt idx="3">
                  <c:v>1.7551750872615412E-2</c:v>
                </c:pt>
                <c:pt idx="4">
                  <c:v>1.355105635430435E-2</c:v>
                </c:pt>
                <c:pt idx="5">
                  <c:v>0.51004470938630653</c:v>
                </c:pt>
                <c:pt idx="6">
                  <c:v>4.2859036562078988E-6</c:v>
                </c:pt>
                <c:pt idx="7">
                  <c:v>6.530211406184934E-2</c:v>
                </c:pt>
                <c:pt idx="8">
                  <c:v>3.6358290649232829E-4</c:v>
                </c:pt>
                <c:pt idx="9">
                  <c:v>1.9393294034511233E-3</c:v>
                </c:pt>
                <c:pt idx="10">
                  <c:v>2.4197576328916512E-3</c:v>
                </c:pt>
                <c:pt idx="11">
                  <c:v>4.3512226548233129E-4</c:v>
                </c:pt>
                <c:pt idx="12">
                  <c:v>3.4085824550104137E-2</c:v>
                </c:pt>
                <c:pt idx="13">
                  <c:v>8.4211490274434895E-3</c:v>
                </c:pt>
                <c:pt idx="14">
                  <c:v>1.5057025940970862E-3</c:v>
                </c:pt>
                <c:pt idx="15">
                  <c:v>1.5383121536326795E-3</c:v>
                </c:pt>
              </c:numCache>
            </c:numRef>
          </c:val>
          <c:extLst>
            <c:ext xmlns:c16="http://schemas.microsoft.com/office/drawing/2014/chart" uri="{C3380CC4-5D6E-409C-BE32-E72D297353CC}">
              <c16:uniqueId val="{00000001-BBEF-4B15-9246-CBC9C0E6CC3C}"/>
            </c:ext>
          </c:extLst>
        </c:ser>
        <c:ser>
          <c:idx val="2"/>
          <c:order val="2"/>
          <c:tx>
            <c:strRef>
              <c:f>'Carbon Footprints'!$L$273</c:f>
              <c:strCache>
                <c:ptCount val="1"/>
                <c:pt idx="0">
                  <c:v>Utility
CF</c:v>
                </c:pt>
              </c:strCache>
            </c:strRef>
          </c:tx>
          <c:spPr>
            <a:solidFill>
              <a:schemeClr val="accent3"/>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Footprints'!$L$275:$L$290</c:f>
              <c:numCache>
                <c:formatCode>_(* #,##0.0000_);_(* \(#,##0.0000\);_(* "-"??_);_(@_)</c:formatCode>
                <c:ptCount val="16"/>
                <c:pt idx="0">
                  <c:v>6.5277258741912791E-3</c:v>
                </c:pt>
                <c:pt idx="1">
                  <c:v>1.7988331088260776E-3</c:v>
                </c:pt>
                <c:pt idx="2">
                  <c:v>1.26293053559605E-4</c:v>
                </c:pt>
                <c:pt idx="3">
                  <c:v>9.2953858347391333E-4</c:v>
                </c:pt>
                <c:pt idx="4">
                  <c:v>2.0247899333977085E-2</c:v>
                </c:pt>
                <c:pt idx="5">
                  <c:v>9.662304530502587E-2</c:v>
                </c:pt>
                <c:pt idx="6">
                  <c:v>1.0965571566187485E-3</c:v>
                </c:pt>
                <c:pt idx="7">
                  <c:v>0.55095668573710155</c:v>
                </c:pt>
                <c:pt idx="8">
                  <c:v>3.6258946216012966E-3</c:v>
                </c:pt>
                <c:pt idx="9">
                  <c:v>2.2873264256458397E-2</c:v>
                </c:pt>
                <c:pt idx="10">
                  <c:v>1.3389431475994477E-2</c:v>
                </c:pt>
                <c:pt idx="11">
                  <c:v>5.2805544712719223E-3</c:v>
                </c:pt>
                <c:pt idx="12">
                  <c:v>4.8035258686964684E-2</c:v>
                </c:pt>
                <c:pt idx="13">
                  <c:v>3.7594335698021487E-2</c:v>
                </c:pt>
                <c:pt idx="14">
                  <c:v>2.5423028768478496E-2</c:v>
                </c:pt>
                <c:pt idx="15">
                  <c:v>3.7930244486468354E-2</c:v>
                </c:pt>
              </c:numCache>
            </c:numRef>
          </c:val>
          <c:extLst>
            <c:ext xmlns:c16="http://schemas.microsoft.com/office/drawing/2014/chart" uri="{C3380CC4-5D6E-409C-BE32-E72D297353CC}">
              <c16:uniqueId val="{00000002-BBEF-4B15-9246-CBC9C0E6CC3C}"/>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Footprints'!$J$326</c:f>
              <c:strCache>
                <c:ptCount val="1"/>
                <c:pt idx="0">
                  <c:v>Upstream
CF</c:v>
                </c:pt>
              </c:strCache>
            </c:strRef>
          </c:tx>
          <c:spPr>
            <a:solidFill>
              <a:schemeClr val="accent1"/>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Footprints'!$J$328:$J$341</c:f>
              <c:numCache>
                <c:formatCode>_(* #,##0.0000_);_(* \(#,##0.0000\);_(* "-"??_);_(@_)</c:formatCode>
                <c:ptCount val="14"/>
                <c:pt idx="0">
                  <c:v>4.4540413870250942E-2</c:v>
                </c:pt>
                <c:pt idx="1">
                  <c:v>3.8724660867961037E-2</c:v>
                </c:pt>
                <c:pt idx="2">
                  <c:v>1.9547226359641119E-7</c:v>
                </c:pt>
                <c:pt idx="3">
                  <c:v>1.7551899111778657E-3</c:v>
                </c:pt>
                <c:pt idx="4">
                  <c:v>5.3886185274166165E-2</c:v>
                </c:pt>
                <c:pt idx="5">
                  <c:v>0.10996408407821721</c:v>
                </c:pt>
                <c:pt idx="6">
                  <c:v>9.0172699937857495E-2</c:v>
                </c:pt>
                <c:pt idx="7">
                  <c:v>0.74661296431856661</c:v>
                </c:pt>
                <c:pt idx="8">
                  <c:v>1.6937478834731419E-3</c:v>
                </c:pt>
                <c:pt idx="9">
                  <c:v>2.675386675729638E-2</c:v>
                </c:pt>
                <c:pt idx="10">
                  <c:v>9.2485199665307319E-4</c:v>
                </c:pt>
                <c:pt idx="11">
                  <c:v>2.9516999217090378E-4</c:v>
                </c:pt>
                <c:pt idx="12">
                  <c:v>1.1641506700132431E-2</c:v>
                </c:pt>
                <c:pt idx="13">
                  <c:v>1.6888853662598903E-3</c:v>
                </c:pt>
              </c:numCache>
            </c:numRef>
          </c:val>
          <c:extLst>
            <c:ext xmlns:c16="http://schemas.microsoft.com/office/drawing/2014/chart" uri="{C3380CC4-5D6E-409C-BE32-E72D297353CC}">
              <c16:uniqueId val="{00000000-0271-4799-ADEC-0F3E48929644}"/>
            </c:ext>
          </c:extLst>
        </c:ser>
        <c:ser>
          <c:idx val="1"/>
          <c:order val="1"/>
          <c:tx>
            <c:strRef>
              <c:f>'Carbon Footprints'!$K$326</c:f>
              <c:strCache>
                <c:ptCount val="1"/>
                <c:pt idx="0">
                  <c:v>Direct
CF</c:v>
                </c:pt>
              </c:strCache>
            </c:strRef>
          </c:tx>
          <c:spPr>
            <a:solidFill>
              <a:schemeClr val="accent2"/>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Footprints'!$K$328:$K$341</c:f>
              <c:numCache>
                <c:formatCode>_(* #,##0.0000_);_(* \(#,##0.0000\);_(* "-"??_);_(@_)</c:formatCode>
                <c:ptCount val="14"/>
                <c:pt idx="0">
                  <c:v>9.1843328400094686E-4</c:v>
                </c:pt>
                <c:pt idx="1">
                  <c:v>3.1069641573594195E-2</c:v>
                </c:pt>
                <c:pt idx="2">
                  <c:v>1.3037744275604269E-5</c:v>
                </c:pt>
                <c:pt idx="3">
                  <c:v>1.6982484271113336E-2</c:v>
                </c:pt>
                <c:pt idx="4">
                  <c:v>1.3111546709166111E-2</c:v>
                </c:pt>
                <c:pt idx="5">
                  <c:v>0.49350211939436045</c:v>
                </c:pt>
                <c:pt idx="6">
                  <c:v>4.146896338565221E-6</c:v>
                </c:pt>
                <c:pt idx="7">
                  <c:v>6.3184130915171346E-2</c:v>
                </c:pt>
                <c:pt idx="8">
                  <c:v>3.5179060115223465E-4</c:v>
                </c:pt>
                <c:pt idx="9">
                  <c:v>1.8764299544612132E-3</c:v>
                </c:pt>
                <c:pt idx="10">
                  <c:v>2.3412761632005492E-3</c:v>
                </c:pt>
                <c:pt idx="11">
                  <c:v>4.2100968064069709E-4</c:v>
                </c:pt>
                <c:pt idx="12">
                  <c:v>3.2980298289968554E-2</c:v>
                </c:pt>
                <c:pt idx="13">
                  <c:v>3.5184545895410183E-3</c:v>
                </c:pt>
              </c:numCache>
            </c:numRef>
          </c:val>
          <c:extLst>
            <c:ext xmlns:c16="http://schemas.microsoft.com/office/drawing/2014/chart" uri="{C3380CC4-5D6E-409C-BE32-E72D297353CC}">
              <c16:uniqueId val="{00000001-0271-4799-ADEC-0F3E48929644}"/>
            </c:ext>
          </c:extLst>
        </c:ser>
        <c:ser>
          <c:idx val="2"/>
          <c:order val="2"/>
          <c:tx>
            <c:strRef>
              <c:f>'Carbon Footprints'!$L$326</c:f>
              <c:strCache>
                <c:ptCount val="1"/>
                <c:pt idx="0">
                  <c:v>Utility
CF</c:v>
                </c:pt>
              </c:strCache>
            </c:strRef>
          </c:tx>
          <c:spPr>
            <a:solidFill>
              <a:schemeClr val="accent3"/>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Footprints'!$L$328:$L$341</c:f>
              <c:numCache>
                <c:formatCode>_(* #,##0.0000_);_(* \(#,##0.0000\);_(* "-"??_);_(@_)</c:formatCode>
                <c:ptCount val="14"/>
                <c:pt idx="0">
                  <c:v>6.3160081742929825E-3</c:v>
                </c:pt>
                <c:pt idx="1">
                  <c:v>1.7404904615333488E-3</c:v>
                </c:pt>
                <c:pt idx="2">
                  <c:v>1.2219691421060322E-4</c:v>
                </c:pt>
                <c:pt idx="3">
                  <c:v>8.9939029375514523E-4</c:v>
                </c:pt>
                <c:pt idx="4">
                  <c:v>1.9591186911093218E-2</c:v>
                </c:pt>
                <c:pt idx="5">
                  <c:v>9.3489211362943636E-2</c:v>
                </c:pt>
                <c:pt idx="6">
                  <c:v>1.0609918520271091E-3</c:v>
                </c:pt>
                <c:pt idx="7">
                  <c:v>0.53308717275570672</c:v>
                </c:pt>
                <c:pt idx="8">
                  <c:v>3.5082937780373594E-3</c:v>
                </c:pt>
                <c:pt idx="9">
                  <c:v>2.2131401777721382E-2</c:v>
                </c:pt>
                <c:pt idx="10">
                  <c:v>1.2955163908747007E-2</c:v>
                </c:pt>
                <c:pt idx="11">
                  <c:v>5.1092870393373872E-3</c:v>
                </c:pt>
                <c:pt idx="12">
                  <c:v>4.6477301952992017E-2</c:v>
                </c:pt>
                <c:pt idx="13">
                  <c:v>2.3984614055889052E-2</c:v>
                </c:pt>
              </c:numCache>
            </c:numRef>
          </c:val>
          <c:extLst>
            <c:ext xmlns:c16="http://schemas.microsoft.com/office/drawing/2014/chart" uri="{C3380CC4-5D6E-409C-BE32-E72D297353CC}">
              <c16:uniqueId val="{00000002-0271-4799-ADEC-0F3E48929644}"/>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Footprints'!$J$379</c:f>
              <c:strCache>
                <c:ptCount val="1"/>
                <c:pt idx="0">
                  <c:v>Upstream
CF</c:v>
                </c:pt>
              </c:strCache>
            </c:strRef>
          </c:tx>
          <c:spPr>
            <a:solidFill>
              <a:schemeClr val="accent1"/>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Footprints'!$J$381:$J$395</c:f>
              <c:numCache>
                <c:formatCode>_(* #,##0.0000_);_(* \(#,##0.0000\);_(* "-"??_);_(@_)</c:formatCode>
                <c:ptCount val="15"/>
                <c:pt idx="0">
                  <c:v>4.5567651733655651E-2</c:v>
                </c:pt>
                <c:pt idx="1">
                  <c:v>3.96177697197772E-2</c:v>
                </c:pt>
                <c:pt idx="2">
                  <c:v>1.9998045049823467E-7</c:v>
                </c:pt>
                <c:pt idx="3">
                  <c:v>1.7956699466683331E-3</c:v>
                </c:pt>
                <c:pt idx="4">
                  <c:v>5.5128965145707427E-2</c:v>
                </c:pt>
                <c:pt idx="5">
                  <c:v>0.11250019142353336</c:v>
                </c:pt>
                <c:pt idx="6">
                  <c:v>9.2252357569495874E-2</c:v>
                </c:pt>
                <c:pt idx="7">
                  <c:v>0.7638321376403735</c:v>
                </c:pt>
                <c:pt idx="8">
                  <c:v>1.7328108783082052E-3</c:v>
                </c:pt>
                <c:pt idx="9">
                  <c:v>2.7370892566837311E-2</c:v>
                </c:pt>
                <c:pt idx="10">
                  <c:v>9.4618190597486407E-4</c:v>
                </c:pt>
                <c:pt idx="11">
                  <c:v>3.0197751293131015E-4</c:v>
                </c:pt>
                <c:pt idx="12">
                  <c:v>1.1909995369867109E-2</c:v>
                </c:pt>
                <c:pt idx="13">
                  <c:v>1.7686224151742131E-4</c:v>
                </c:pt>
                <c:pt idx="14">
                  <c:v>3.5642353930372584E-3</c:v>
                </c:pt>
              </c:numCache>
            </c:numRef>
          </c:val>
          <c:extLst>
            <c:ext xmlns:c16="http://schemas.microsoft.com/office/drawing/2014/chart" uri="{C3380CC4-5D6E-409C-BE32-E72D297353CC}">
              <c16:uniqueId val="{00000000-F87C-4A3B-9691-B57F99425277}"/>
            </c:ext>
          </c:extLst>
        </c:ser>
        <c:ser>
          <c:idx val="1"/>
          <c:order val="1"/>
          <c:tx>
            <c:strRef>
              <c:f>'Carbon Footprints'!$K$379</c:f>
              <c:strCache>
                <c:ptCount val="1"/>
                <c:pt idx="0">
                  <c:v>Direct
CF</c:v>
                </c:pt>
              </c:strCache>
            </c:strRef>
          </c:tx>
          <c:spPr>
            <a:solidFill>
              <a:schemeClr val="accent2"/>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Footprints'!$K$381:$K$395</c:f>
              <c:numCache>
                <c:formatCode>_(* #,##0.0000_);_(* \(#,##0.0000\);_(* "-"??_);_(@_)</c:formatCode>
                <c:ptCount val="15"/>
                <c:pt idx="0">
                  <c:v>9.3961515822163196E-4</c:v>
                </c:pt>
                <c:pt idx="1">
                  <c:v>3.1786202320420259E-2</c:v>
                </c:pt>
                <c:pt idx="2">
                  <c:v>1.3338434444588845E-5</c:v>
                </c:pt>
                <c:pt idx="3">
                  <c:v>1.7374152182165557E-2</c:v>
                </c:pt>
                <c:pt idx="4">
                  <c:v>1.341393898748418E-2</c:v>
                </c:pt>
                <c:pt idx="5">
                  <c:v>0.50488378423899172</c:v>
                </c:pt>
                <c:pt idx="6">
                  <c:v>4.2425364228041729E-6</c:v>
                </c:pt>
                <c:pt idx="7">
                  <c:v>6.4641349786811325E-2</c:v>
                </c:pt>
                <c:pt idx="8">
                  <c:v>3.5990396593923876E-4</c:v>
                </c:pt>
                <c:pt idx="9">
                  <c:v>1.9197061553259916E-3</c:v>
                </c:pt>
                <c:pt idx="10">
                  <c:v>2.3952731361638574E-3</c:v>
                </c:pt>
                <c:pt idx="11">
                  <c:v>4.307194486296943E-4</c:v>
                </c:pt>
                <c:pt idx="12">
                  <c:v>3.3740924611235533E-2</c:v>
                </c:pt>
                <c:pt idx="13">
                  <c:v>3.6845707696642134E-4</c:v>
                </c:pt>
                <c:pt idx="14">
                  <c:v>3.5167174117290913E-3</c:v>
                </c:pt>
              </c:numCache>
            </c:numRef>
          </c:val>
          <c:extLst>
            <c:ext xmlns:c16="http://schemas.microsoft.com/office/drawing/2014/chart" uri="{C3380CC4-5D6E-409C-BE32-E72D297353CC}">
              <c16:uniqueId val="{00000001-F87C-4A3B-9691-B57F99425277}"/>
            </c:ext>
          </c:extLst>
        </c:ser>
        <c:ser>
          <c:idx val="2"/>
          <c:order val="2"/>
          <c:tx>
            <c:strRef>
              <c:f>'Carbon Footprints'!$L$379</c:f>
              <c:strCache>
                <c:ptCount val="1"/>
                <c:pt idx="0">
                  <c:v>Utility
CF</c:v>
                </c:pt>
              </c:strCache>
            </c:strRef>
          </c:tx>
          <c:spPr>
            <a:solidFill>
              <a:schemeClr val="accent3"/>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Footprints'!$L$381:$L$395</c:f>
              <c:numCache>
                <c:formatCode>_(* #,##0.0000_);_(* \(#,##0.0000\);_(* "-"??_);_(@_)</c:formatCode>
                <c:ptCount val="15"/>
                <c:pt idx="0">
                  <c:v>6.4616745967269436E-3</c:v>
                </c:pt>
                <c:pt idx="1">
                  <c:v>1.7806314828581634E-3</c:v>
                </c:pt>
                <c:pt idx="2">
                  <c:v>1.2501514794848478E-4</c:v>
                </c:pt>
                <c:pt idx="3">
                  <c:v>9.2013297850916014E-4</c:v>
                </c:pt>
                <c:pt idx="4">
                  <c:v>2.0043019465742096E-2</c:v>
                </c:pt>
                <c:pt idx="5">
                  <c:v>9.5645357868712977E-2</c:v>
                </c:pt>
                <c:pt idx="6">
                  <c:v>1.0854615618582988E-3</c:v>
                </c:pt>
                <c:pt idx="7">
                  <c:v>0.54538178972862594</c:v>
                </c:pt>
                <c:pt idx="8">
                  <c:v>3.589205738470538E-3</c:v>
                </c:pt>
                <c:pt idx="9">
                  <c:v>2.2641819438916088E-2</c:v>
                </c:pt>
                <c:pt idx="10">
                  <c:v>1.3253949522469553E-2</c:v>
                </c:pt>
                <c:pt idx="11">
                  <c:v>5.2271227899682512E-3</c:v>
                </c:pt>
                <c:pt idx="12">
                  <c:v>4.7549210366193716E-2</c:v>
                </c:pt>
                <c:pt idx="13">
                  <c:v>2.5116995437344685E-3</c:v>
                </c:pt>
                <c:pt idx="14">
                  <c:v>1.7640408155501646E-2</c:v>
                </c:pt>
              </c:numCache>
            </c:numRef>
          </c:val>
          <c:extLst>
            <c:ext xmlns:c16="http://schemas.microsoft.com/office/drawing/2014/chart" uri="{C3380CC4-5D6E-409C-BE32-E72D297353CC}">
              <c16:uniqueId val="{00000002-F87C-4A3B-9691-B57F99425277}"/>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Footprints'!$J$479</c:f>
              <c:strCache>
                <c:ptCount val="1"/>
                <c:pt idx="0">
                  <c:v>Upstream
CF</c:v>
                </c:pt>
              </c:strCache>
            </c:strRef>
          </c:tx>
          <c:spPr>
            <a:solidFill>
              <a:schemeClr val="accent1"/>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Footprints'!$J$481:$J$497</c:f>
              <c:numCache>
                <c:formatCode>_(* #,##0.0000_);_(* \(#,##0.0000\);_(* "-"??_);_(@_)</c:formatCode>
                <c:ptCount val="17"/>
                <c:pt idx="0">
                  <c:v>4.6388535387177549E-2</c:v>
                </c:pt>
                <c:pt idx="1">
                  <c:v>4.0331468545910472E-2</c:v>
                </c:pt>
                <c:pt idx="2">
                  <c:v>2.0358302110682054E-7</c:v>
                </c:pt>
                <c:pt idx="3">
                  <c:v>1.8280182474970953E-3</c:v>
                </c:pt>
                <c:pt idx="4">
                  <c:v>5.6122092168978302E-2</c:v>
                </c:pt>
                <c:pt idx="5">
                  <c:v>0.11452683893869275</c:v>
                </c:pt>
                <c:pt idx="6">
                  <c:v>9.3914248174925608E-2</c:v>
                </c:pt>
                <c:pt idx="7">
                  <c:v>0.7775922787046663</c:v>
                </c:pt>
                <c:pt idx="8">
                  <c:v>1.7640267972886766E-3</c:v>
                </c:pt>
                <c:pt idx="9">
                  <c:v>2.7863968629254322E-2</c:v>
                </c:pt>
                <c:pt idx="10">
                  <c:v>9.6322700771530093E-4</c:v>
                </c:pt>
                <c:pt idx="11">
                  <c:v>3.0741752124127138E-4</c:v>
                </c:pt>
                <c:pt idx="12">
                  <c:v>1.2124549338322421E-2</c:v>
                </c:pt>
                <c:pt idx="13">
                  <c:v>1.8004834651654428E-4</c:v>
                </c:pt>
                <c:pt idx="14">
                  <c:v>3.6284437175862177E-3</c:v>
                </c:pt>
                <c:pt idx="15">
                  <c:v>2.4037533083812925E-3</c:v>
                </c:pt>
                <c:pt idx="16">
                  <c:v>3.8509716021744805E-5</c:v>
                </c:pt>
              </c:numCache>
            </c:numRef>
          </c:val>
          <c:extLst>
            <c:ext xmlns:c16="http://schemas.microsoft.com/office/drawing/2014/chart" uri="{C3380CC4-5D6E-409C-BE32-E72D297353CC}">
              <c16:uniqueId val="{00000000-C921-4212-A1EC-7EC3426E3D65}"/>
            </c:ext>
          </c:extLst>
        </c:ser>
        <c:ser>
          <c:idx val="1"/>
          <c:order val="1"/>
          <c:tx>
            <c:strRef>
              <c:f>'Carbon Footprints'!$K$479</c:f>
              <c:strCache>
                <c:ptCount val="1"/>
                <c:pt idx="0">
                  <c:v>Direct
CF</c:v>
                </c:pt>
              </c:strCache>
            </c:strRef>
          </c:tx>
          <c:spPr>
            <a:solidFill>
              <a:schemeClr val="accent2"/>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Footprints'!$K$481:$K$497</c:f>
              <c:numCache>
                <c:formatCode>_(* #,##0.0000_);_(* \(#,##0.0000\);_(* "-"??_);_(@_)</c:formatCode>
                <c:ptCount val="17"/>
                <c:pt idx="0">
                  <c:v>9.5654196253654124E-4</c:v>
                </c:pt>
                <c:pt idx="1">
                  <c:v>3.2358818483414258E-2</c:v>
                </c:pt>
                <c:pt idx="2">
                  <c:v>1.3578721191492887E-5</c:v>
                </c:pt>
                <c:pt idx="3">
                  <c:v>1.7687140826028624E-2</c:v>
                </c:pt>
                <c:pt idx="4">
                  <c:v>1.3655585919578184E-2</c:v>
                </c:pt>
                <c:pt idx="5">
                  <c:v>0.51397907068983939</c:v>
                </c:pt>
                <c:pt idx="6">
                  <c:v>4.3189640785303722E-6</c:v>
                </c:pt>
                <c:pt idx="7">
                  <c:v>6.5805838746912662E-2</c:v>
                </c:pt>
                <c:pt idx="8">
                  <c:v>3.6638749693627308E-4</c:v>
                </c:pt>
                <c:pt idx="9">
                  <c:v>1.9542889205666361E-3</c:v>
                </c:pt>
                <c:pt idx="10">
                  <c:v>2.4384230569605178E-3</c:v>
                </c:pt>
                <c:pt idx="11">
                  <c:v>4.3847869320742041E-4</c:v>
                </c:pt>
                <c:pt idx="12">
                  <c:v>3.4348754341632218E-2</c:v>
                </c:pt>
                <c:pt idx="13">
                  <c:v>3.7509468895648152E-4</c:v>
                </c:pt>
                <c:pt idx="14">
                  <c:v>3.5800697181902139E-3</c:v>
                </c:pt>
                <c:pt idx="15">
                  <c:v>1.925911868312773E-4</c:v>
                </c:pt>
                <c:pt idx="16">
                  <c:v>3.1326936151514367E-6</c:v>
                </c:pt>
              </c:numCache>
            </c:numRef>
          </c:val>
          <c:extLst>
            <c:ext xmlns:c16="http://schemas.microsoft.com/office/drawing/2014/chart" uri="{C3380CC4-5D6E-409C-BE32-E72D297353CC}">
              <c16:uniqueId val="{00000001-C921-4212-A1EC-7EC3426E3D65}"/>
            </c:ext>
          </c:extLst>
        </c:ser>
        <c:ser>
          <c:idx val="2"/>
          <c:order val="2"/>
          <c:tx>
            <c:strRef>
              <c:f>'Carbon Footprints'!$L$479</c:f>
              <c:strCache>
                <c:ptCount val="1"/>
                <c:pt idx="0">
                  <c:v>Utility
CF</c:v>
                </c:pt>
              </c:strCache>
            </c:strRef>
          </c:tx>
          <c:spPr>
            <a:solidFill>
              <a:schemeClr val="accent3"/>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Footprints'!$L$481:$L$497</c:f>
              <c:numCache>
                <c:formatCode>_(* #,##0.0000_);_(* \(#,##0.0000\);_(* "-"??_);_(@_)</c:formatCode>
                <c:ptCount val="17"/>
                <c:pt idx="0">
                  <c:v>6.5780791699060594E-3</c:v>
                </c:pt>
                <c:pt idx="1">
                  <c:v>1.8127088715673369E-3</c:v>
                </c:pt>
                <c:pt idx="2">
                  <c:v>1.2726724757374891E-4</c:v>
                </c:pt>
                <c:pt idx="3">
                  <c:v>9.3670881887810147E-4</c:v>
                </c:pt>
                <c:pt idx="4">
                  <c:v>2.0404086723340029E-2</c:v>
                </c:pt>
                <c:pt idx="5">
                  <c:v>9.7368372064585804E-2</c:v>
                </c:pt>
                <c:pt idx="6">
                  <c:v>1.1050157328273006E-3</c:v>
                </c:pt>
                <c:pt idx="7">
                  <c:v>0.55520663211316523</c:v>
                </c:pt>
                <c:pt idx="8">
                  <c:v>3.6538638941520899E-3</c:v>
                </c:pt>
                <c:pt idx="9">
                  <c:v>2.3049703074703116E-2</c:v>
                </c:pt>
                <c:pt idx="10">
                  <c:v>1.3492714306119001E-2</c:v>
                </c:pt>
                <c:pt idx="11">
                  <c:v>5.3212873889762688E-3</c:v>
                </c:pt>
                <c:pt idx="12">
                  <c:v>4.8405791033453625E-2</c:v>
                </c:pt>
                <c:pt idx="13">
                  <c:v>2.5569468413143706E-3</c:v>
                </c:pt>
                <c:pt idx="14">
                  <c:v>1.7958193297930008E-2</c:v>
                </c:pt>
                <c:pt idx="15">
                  <c:v>7.3102489798171869E-2</c:v>
                </c:pt>
                <c:pt idx="16">
                  <c:v>2.6400539575502217E-3</c:v>
                </c:pt>
              </c:numCache>
            </c:numRef>
          </c:val>
          <c:extLst>
            <c:ext xmlns:c16="http://schemas.microsoft.com/office/drawing/2014/chart" uri="{C3380CC4-5D6E-409C-BE32-E72D297353CC}">
              <c16:uniqueId val="{00000002-C921-4212-A1EC-7EC3426E3D65}"/>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Footprints'!$J$532</c:f>
              <c:strCache>
                <c:ptCount val="1"/>
                <c:pt idx="0">
                  <c:v>Upstream
CF</c:v>
                </c:pt>
              </c:strCache>
            </c:strRef>
          </c:tx>
          <c:spPr>
            <a:solidFill>
              <a:schemeClr val="accent1"/>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Footprints'!$J$534:$J$555</c:f>
              <c:numCache>
                <c:formatCode>_(* #,##0.0000_);_(* \(#,##0.0000\);_(* "-"??_);_(@_)</c:formatCode>
                <c:ptCount val="22"/>
                <c:pt idx="0">
                  <c:v>4.7539321148722544E-2</c:v>
                </c:pt>
                <c:pt idx="1">
                  <c:v>4.133199333845787E-2</c:v>
                </c:pt>
                <c:pt idx="2">
                  <c:v>2.0863341642597953E-7</c:v>
                </c:pt>
                <c:pt idx="3">
                  <c:v>1.8733668956815248E-3</c:v>
                </c:pt>
                <c:pt idx="4">
                  <c:v>5.7514343595696717E-2</c:v>
                </c:pt>
                <c:pt idx="5">
                  <c:v>0.11736796885291365</c:v>
                </c:pt>
                <c:pt idx="6">
                  <c:v>9.6244030279574247E-2</c:v>
                </c:pt>
                <c:pt idx="7">
                  <c:v>0.79688243553225169</c:v>
                </c:pt>
                <c:pt idx="8">
                  <c:v>1.8077879745787174E-3</c:v>
                </c:pt>
                <c:pt idx="9">
                  <c:v>2.8555205334424051E-2</c:v>
                </c:pt>
                <c:pt idx="10">
                  <c:v>9.8712230676629769E-4</c:v>
                </c:pt>
                <c:pt idx="11">
                  <c:v>3.1504379577960696E-4</c:v>
                </c:pt>
                <c:pt idx="12">
                  <c:v>1.242532966318579E-2</c:v>
                </c:pt>
                <c:pt idx="13">
                  <c:v>1.8451490429491785E-4</c:v>
                </c:pt>
                <c:pt idx="14">
                  <c:v>3.7184565048388146E-3</c:v>
                </c:pt>
                <c:pt idx="15">
                  <c:v>2.3830033611429114E-3</c:v>
                </c:pt>
                <c:pt idx="16">
                  <c:v>4.1696356924366173E-3</c:v>
                </c:pt>
                <c:pt idx="17">
                  <c:v>2.7018247131226606E-3</c:v>
                </c:pt>
                <c:pt idx="18">
                  <c:v>1.082734988360573E-4</c:v>
                </c:pt>
                <c:pt idx="19">
                  <c:v>1.3311619975162062E-4</c:v>
                </c:pt>
                <c:pt idx="20">
                  <c:v>4.9743403967267947E-4</c:v>
                </c:pt>
                <c:pt idx="21">
                  <c:v>2.4422630244030365E-3</c:v>
                </c:pt>
              </c:numCache>
            </c:numRef>
          </c:val>
          <c:extLst>
            <c:ext xmlns:c16="http://schemas.microsoft.com/office/drawing/2014/chart" uri="{C3380CC4-5D6E-409C-BE32-E72D297353CC}">
              <c16:uniqueId val="{00000000-32AC-48AD-99B4-A1EED7DF694B}"/>
            </c:ext>
          </c:extLst>
        </c:ser>
        <c:ser>
          <c:idx val="1"/>
          <c:order val="1"/>
          <c:tx>
            <c:strRef>
              <c:f>'Carbon Footprints'!$K$532</c:f>
              <c:strCache>
                <c:ptCount val="1"/>
                <c:pt idx="0">
                  <c:v>Direct
CF</c:v>
                </c:pt>
              </c:strCache>
            </c:strRef>
          </c:tx>
          <c:spPr>
            <a:solidFill>
              <a:schemeClr val="accent2"/>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Footprints'!$K$534:$K$555</c:f>
              <c:numCache>
                <c:formatCode>_(* #,##0.0000_);_(* \(#,##0.0000\);_(* "-"??_);_(@_)</c:formatCode>
                <c:ptCount val="22"/>
                <c:pt idx="0">
                  <c:v>9.8027142201655777E-4</c:v>
                </c:pt>
                <c:pt idx="1">
                  <c:v>3.3161561386597725E-2</c:v>
                </c:pt>
                <c:pt idx="2">
                  <c:v>1.3915575952625925E-5</c:v>
                </c:pt>
                <c:pt idx="3">
                  <c:v>1.8125915399425933E-2</c:v>
                </c:pt>
                <c:pt idx="4">
                  <c:v>1.3994347506048716E-2</c:v>
                </c:pt>
                <c:pt idx="5">
                  <c:v>0.52672963052849908</c:v>
                </c:pt>
                <c:pt idx="6">
                  <c:v>4.426106981937727E-6</c:v>
                </c:pt>
                <c:pt idx="7">
                  <c:v>6.7438320169842109E-2</c:v>
                </c:pt>
                <c:pt idx="8">
                  <c:v>3.7547667190511496E-4</c:v>
                </c:pt>
                <c:pt idx="9">
                  <c:v>2.002770034379832E-3</c:v>
                </c:pt>
                <c:pt idx="10">
                  <c:v>2.4989143510087629E-3</c:v>
                </c:pt>
                <c:pt idx="11">
                  <c:v>4.493562738999859E-4</c:v>
                </c:pt>
                <c:pt idx="12">
                  <c:v>3.5200862671702124E-2</c:v>
                </c:pt>
                <c:pt idx="13">
                  <c:v>3.8439986799866302E-4</c:v>
                </c:pt>
                <c:pt idx="14">
                  <c:v>3.6688824651899925E-3</c:v>
                </c:pt>
                <c:pt idx="15">
                  <c:v>1.9092867972150346E-4</c:v>
                </c:pt>
                <c:pt idx="16">
                  <c:v>9.6910954950820277E-3</c:v>
                </c:pt>
                <c:pt idx="17">
                  <c:v>3.8965451153446513E-3</c:v>
                </c:pt>
                <c:pt idx="18">
                  <c:v>8.8078473053994562E-6</c:v>
                </c:pt>
                <c:pt idx="19">
                  <c:v>1.0964219959242051E-5</c:v>
                </c:pt>
                <c:pt idx="20">
                  <c:v>1.084614697967085E-3</c:v>
                </c:pt>
                <c:pt idx="21">
                  <c:v>1.9067821119931431E-4</c:v>
                </c:pt>
              </c:numCache>
            </c:numRef>
          </c:val>
          <c:extLst>
            <c:ext xmlns:c16="http://schemas.microsoft.com/office/drawing/2014/chart" uri="{C3380CC4-5D6E-409C-BE32-E72D297353CC}">
              <c16:uniqueId val="{00000001-32AC-48AD-99B4-A1EED7DF694B}"/>
            </c:ext>
          </c:extLst>
        </c:ser>
        <c:ser>
          <c:idx val="2"/>
          <c:order val="2"/>
          <c:tx>
            <c:strRef>
              <c:f>'Carbon Footprints'!$L$532</c:f>
              <c:strCache>
                <c:ptCount val="1"/>
                <c:pt idx="0">
                  <c:v>Utility
CF</c:v>
                </c:pt>
              </c:strCache>
            </c:strRef>
          </c:tx>
          <c:spPr>
            <a:solidFill>
              <a:schemeClr val="accent3"/>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Footprints'!$L$534:$L$555</c:f>
              <c:numCache>
                <c:formatCode>_(* #,##0.0000_);_(* \(#,##0.0000\);_(* "-"??_);_(@_)</c:formatCode>
                <c:ptCount val="22"/>
                <c:pt idx="0">
                  <c:v>6.7412651766178824E-3</c:v>
                </c:pt>
                <c:pt idx="1">
                  <c:v>1.8576777316922587E-3</c:v>
                </c:pt>
                <c:pt idx="2">
                  <c:v>1.304244357711451E-4</c:v>
                </c:pt>
                <c:pt idx="3">
                  <c:v>9.5994626671907167E-4</c:v>
                </c:pt>
                <c:pt idx="4">
                  <c:v>2.0910262059176121E-2</c:v>
                </c:pt>
                <c:pt idx="5">
                  <c:v>9.9783842509201581E-2</c:v>
                </c:pt>
                <c:pt idx="6">
                  <c:v>1.1324284623089982E-3</c:v>
                </c:pt>
                <c:pt idx="7">
                  <c:v>0.56897994661034557</c:v>
                </c:pt>
                <c:pt idx="8">
                  <c:v>3.7445072936239309E-3</c:v>
                </c:pt>
                <c:pt idx="9">
                  <c:v>2.362150966193027E-2</c:v>
                </c:pt>
                <c:pt idx="10">
                  <c:v>1.3827435447419963E-2</c:v>
                </c:pt>
                <c:pt idx="11">
                  <c:v>5.4532954747934263E-3</c:v>
                </c:pt>
                <c:pt idx="12">
                  <c:v>4.9606619958805255E-2</c:v>
                </c:pt>
                <c:pt idx="13">
                  <c:v>2.6203784196871882E-3</c:v>
                </c:pt>
                <c:pt idx="14">
                  <c:v>1.8403692018203095E-2</c:v>
                </c:pt>
                <c:pt idx="15">
                  <c:v>7.2471446337506656E-2</c:v>
                </c:pt>
                <c:pt idx="16">
                  <c:v>9.0621157417166375E-4</c:v>
                </c:pt>
                <c:pt idx="17">
                  <c:v>1.9491952739690292E-2</c:v>
                </c:pt>
                <c:pt idx="18">
                  <c:v>7.4227470007448585E-3</c:v>
                </c:pt>
                <c:pt idx="19">
                  <c:v>3.2378700204762395E-3</c:v>
                </c:pt>
                <c:pt idx="20">
                  <c:v>9.9715597402724271E-5</c:v>
                </c:pt>
                <c:pt idx="21">
                  <c:v>7.1028219924012884E-3</c:v>
                </c:pt>
              </c:numCache>
            </c:numRef>
          </c:val>
          <c:extLst>
            <c:ext xmlns:c16="http://schemas.microsoft.com/office/drawing/2014/chart" uri="{C3380CC4-5D6E-409C-BE32-E72D297353CC}">
              <c16:uniqueId val="{00000002-32AC-48AD-99B4-A1EED7DF694B}"/>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Footprints'!$J$586</c:f>
              <c:strCache>
                <c:ptCount val="1"/>
                <c:pt idx="0">
                  <c:v>Upstream
CF</c:v>
                </c:pt>
              </c:strCache>
            </c:strRef>
          </c:tx>
          <c:spPr>
            <a:solidFill>
              <a:schemeClr val="accent1"/>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Footprints'!$J$588:$J$607</c:f>
              <c:numCache>
                <c:formatCode>_(* #,##0.0000_);_(* \(#,##0.0000\);_(* "-"??_);_(@_)</c:formatCode>
                <c:ptCount val="20"/>
                <c:pt idx="0">
                  <c:v>5.112378686682667E-2</c:v>
                </c:pt>
                <c:pt idx="1">
                  <c:v>4.4448426421697038E-2</c:v>
                </c:pt>
                <c:pt idx="2">
                  <c:v>2.2436437998960125E-7</c:v>
                </c:pt>
                <c:pt idx="3">
                  <c:v>2.0146187952194724E-3</c:v>
                </c:pt>
                <c:pt idx="4">
                  <c:v>6.1850926195879181E-2</c:v>
                </c:pt>
                <c:pt idx="5">
                  <c:v>0.12621751593501554</c:v>
                </c:pt>
                <c:pt idx="6">
                  <c:v>0.10350083199178338</c:v>
                </c:pt>
                <c:pt idx="7">
                  <c:v>0.85696738631622893</c:v>
                </c:pt>
                <c:pt idx="8">
                  <c:v>1.944095222219178E-3</c:v>
                </c:pt>
                <c:pt idx="9">
                  <c:v>3.0708268359334694E-2</c:v>
                </c:pt>
                <c:pt idx="10">
                  <c:v>1.0615513474568532E-3</c:v>
                </c:pt>
                <c:pt idx="11">
                  <c:v>3.3879810396883416E-4</c:v>
                </c:pt>
                <c:pt idx="12">
                  <c:v>1.3362199755934863E-2</c:v>
                </c:pt>
                <c:pt idx="13">
                  <c:v>1.9842733158548237E-4</c:v>
                </c:pt>
                <c:pt idx="14">
                  <c:v>3.9988281959733689E-3</c:v>
                </c:pt>
                <c:pt idx="15">
                  <c:v>3.9488017221486716E-4</c:v>
                </c:pt>
                <c:pt idx="16">
                  <c:v>2.0292747251261564E-3</c:v>
                </c:pt>
                <c:pt idx="17">
                  <c:v>2.4948795648492505E-3</c:v>
                </c:pt>
                <c:pt idx="18">
                  <c:v>9.3229676234403633E-3</c:v>
                </c:pt>
                <c:pt idx="19">
                  <c:v>2.442263024403037E-3</c:v>
                </c:pt>
              </c:numCache>
            </c:numRef>
          </c:val>
          <c:extLst>
            <c:ext xmlns:c16="http://schemas.microsoft.com/office/drawing/2014/chart" uri="{C3380CC4-5D6E-409C-BE32-E72D297353CC}">
              <c16:uniqueId val="{00000000-F59E-444E-8EF5-4175EB5B629E}"/>
            </c:ext>
          </c:extLst>
        </c:ser>
        <c:ser>
          <c:idx val="1"/>
          <c:order val="1"/>
          <c:tx>
            <c:strRef>
              <c:f>'Carbon Footprints'!$K$586</c:f>
              <c:strCache>
                <c:ptCount val="1"/>
                <c:pt idx="0">
                  <c:v>Direct
CF</c:v>
                </c:pt>
              </c:strCache>
            </c:strRef>
          </c:tx>
          <c:spPr>
            <a:solidFill>
              <a:schemeClr val="accent2"/>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Footprints'!$K$588:$K$607</c:f>
              <c:numCache>
                <c:formatCode>_(* #,##0.0000_);_(* \(#,##0.0000\);_(* "-"??_);_(@_)</c:formatCode>
                <c:ptCount val="20"/>
                <c:pt idx="0">
                  <c:v>1.0541839058667813E-3</c:v>
                </c:pt>
                <c:pt idx="1">
                  <c:v>3.5661943745386608E-2</c:v>
                </c:pt>
                <c:pt idx="2">
                  <c:v>1.4964810643921094E-5</c:v>
                </c:pt>
                <c:pt idx="3">
                  <c:v>1.9492609765027823E-2</c:v>
                </c:pt>
                <c:pt idx="4">
                  <c:v>1.5049521573969027E-2</c:v>
                </c:pt>
                <c:pt idx="5">
                  <c:v>0.56644505468090711</c:v>
                </c:pt>
                <c:pt idx="6">
                  <c:v>4.759835532494521E-6</c:v>
                </c:pt>
                <c:pt idx="7">
                  <c:v>7.2523170792321498E-2</c:v>
                </c:pt>
                <c:pt idx="8">
                  <c:v>4.0378762010273946E-4</c:v>
                </c:pt>
                <c:pt idx="9">
                  <c:v>2.1537789330349538E-3</c:v>
                </c:pt>
                <c:pt idx="10">
                  <c:v>2.6873325405669876E-3</c:v>
                </c:pt>
                <c:pt idx="11">
                  <c:v>4.8323774549211424E-4</c:v>
                </c:pt>
                <c:pt idx="12">
                  <c:v>3.7855008386145042E-2</c:v>
                </c:pt>
                <c:pt idx="13">
                  <c:v>4.1338362535132738E-4</c:v>
                </c:pt>
                <c:pt idx="14">
                  <c:v>3.9455162727928652E-3</c:v>
                </c:pt>
                <c:pt idx="15">
                  <c:v>3.1638205450547421E-5</c:v>
                </c:pt>
                <c:pt idx="16">
                  <c:v>1.6507771626260022E-4</c:v>
                </c:pt>
                <c:pt idx="17">
                  <c:v>2.0549270766342056E-4</c:v>
                </c:pt>
                <c:pt idx="18">
                  <c:v>2.0327976991097046E-2</c:v>
                </c:pt>
                <c:pt idx="19">
                  <c:v>1.9342003241625751E-4</c:v>
                </c:pt>
              </c:numCache>
            </c:numRef>
          </c:val>
          <c:extLst>
            <c:ext xmlns:c16="http://schemas.microsoft.com/office/drawing/2014/chart" uri="{C3380CC4-5D6E-409C-BE32-E72D297353CC}">
              <c16:uniqueId val="{00000001-F59E-444E-8EF5-4175EB5B629E}"/>
            </c:ext>
          </c:extLst>
        </c:ser>
        <c:ser>
          <c:idx val="2"/>
          <c:order val="2"/>
          <c:tx>
            <c:strRef>
              <c:f>'Carbon Footprints'!$L$586</c:f>
              <c:strCache>
                <c:ptCount val="1"/>
                <c:pt idx="0">
                  <c:v>Utility
CF</c:v>
                </c:pt>
              </c:strCache>
            </c:strRef>
          </c:tx>
          <c:spPr>
            <a:solidFill>
              <a:schemeClr val="accent3"/>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Footprints'!$L$588:$L$607</c:f>
              <c:numCache>
                <c:formatCode>_(* #,##0.0000_);_(* \(#,##0.0000\);_(* "-"??_);_(@_)</c:formatCode>
                <c:ptCount val="20"/>
                <c:pt idx="0">
                  <c:v>7.2495566990534157E-3</c:v>
                </c:pt>
                <c:pt idx="1">
                  <c:v>1.9977466679672409E-3</c:v>
                </c:pt>
                <c:pt idx="2">
                  <c:v>1.4025844070702134E-4</c:v>
                </c:pt>
                <c:pt idx="3">
                  <c:v>1.0323262334735826E-3</c:v>
                </c:pt>
                <c:pt idx="4">
                  <c:v>2.2486896215840015E-2</c:v>
                </c:pt>
                <c:pt idx="5">
                  <c:v>0.10730754613079917</c:v>
                </c:pt>
                <c:pt idx="6">
                  <c:v>1.217813589889034E-3</c:v>
                </c:pt>
                <c:pt idx="7">
                  <c:v>0.61188104539829713</c:v>
                </c:pt>
                <c:pt idx="8">
                  <c:v>4.0268432147279815E-3</c:v>
                </c:pt>
                <c:pt idx="9">
                  <c:v>2.5402571939369407E-2</c:v>
                </c:pt>
                <c:pt idx="10">
                  <c:v>1.487002434294748E-2</c:v>
                </c:pt>
                <c:pt idx="11">
                  <c:v>5.8644740572333792E-3</c:v>
                </c:pt>
                <c:pt idx="12">
                  <c:v>5.3346960046478875E-2</c:v>
                </c:pt>
                <c:pt idx="13">
                  <c:v>2.8179550023322056E-3</c:v>
                </c:pt>
                <c:pt idx="14">
                  <c:v>1.9791330746139962E-2</c:v>
                </c:pt>
                <c:pt idx="15">
                  <c:v>1.2009020917490391E-2</c:v>
                </c:pt>
                <c:pt idx="16">
                  <c:v>0.13911800248022746</c:v>
                </c:pt>
                <c:pt idx="17">
                  <c:v>6.0684542999251662E-2</c:v>
                </c:pt>
                <c:pt idx="18">
                  <c:v>1.8688815239691588E-3</c:v>
                </c:pt>
                <c:pt idx="19">
                  <c:v>8.5941259158721209E-2</c:v>
                </c:pt>
              </c:numCache>
            </c:numRef>
          </c:val>
          <c:extLst>
            <c:ext xmlns:c16="http://schemas.microsoft.com/office/drawing/2014/chart" uri="{C3380CC4-5D6E-409C-BE32-E72D297353CC}">
              <c16:uniqueId val="{00000002-F59E-444E-8EF5-4175EB5B629E}"/>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Footprints'!$J$640</c:f>
              <c:strCache>
                <c:ptCount val="1"/>
                <c:pt idx="0">
                  <c:v>Upstream
CF</c:v>
                </c:pt>
              </c:strCache>
            </c:strRef>
          </c:tx>
          <c:spPr>
            <a:solidFill>
              <a:schemeClr val="accent1"/>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Footprints'!$J$642:$J$664</c:f>
              <c:numCache>
                <c:formatCode>_(* #,##0.0000_);_(* \(#,##0.0000\);_(* "-"??_);_(@_)</c:formatCode>
                <c:ptCount val="23"/>
                <c:pt idx="0">
                  <c:v>4.8819012996355632E-2</c:v>
                </c:pt>
                <c:pt idx="1">
                  <c:v>4.2444592627711095E-2</c:v>
                </c:pt>
                <c:pt idx="2">
                  <c:v>2.1424953537115592E-7</c:v>
                </c:pt>
                <c:pt idx="3">
                  <c:v>1.9237953049667464E-3</c:v>
                </c:pt>
                <c:pt idx="4">
                  <c:v>5.9062549056837575E-2</c:v>
                </c:pt>
                <c:pt idx="5">
                  <c:v>0.12052734995649435</c:v>
                </c:pt>
                <c:pt idx="6">
                  <c:v>9.8834784584769728E-2</c:v>
                </c:pt>
                <c:pt idx="7">
                  <c:v>0.81833339300559016</c:v>
                </c:pt>
                <c:pt idx="8">
                  <c:v>1.8564510912875197E-3</c:v>
                </c:pt>
                <c:pt idx="9">
                  <c:v>2.932387141107318E-2</c:v>
                </c:pt>
                <c:pt idx="10">
                  <c:v>1.0136942547466601E-3</c:v>
                </c:pt>
                <c:pt idx="11">
                  <c:v>3.2352433288793673E-4</c:v>
                </c:pt>
                <c:pt idx="12">
                  <c:v>1.2759802110202625E-2</c:v>
                </c:pt>
                <c:pt idx="13">
                  <c:v>1.8948178672166348E-4</c:v>
                </c:pt>
                <c:pt idx="14">
                  <c:v>3.818552138517175E-3</c:v>
                </c:pt>
                <c:pt idx="15">
                  <c:v>2.4494080512548018E-3</c:v>
                </c:pt>
                <c:pt idx="16">
                  <c:v>4.285826617951273E-3</c:v>
                </c:pt>
                <c:pt idx="17">
                  <c:v>2.7771136681183049E-3</c:v>
                </c:pt>
                <c:pt idx="18">
                  <c:v>1.1129064444935185E-4</c:v>
                </c:pt>
                <c:pt idx="19">
                  <c:v>1.368256112184762E-4</c:v>
                </c:pt>
                <c:pt idx="20">
                  <c:v>5.1129551959930763E-4</c:v>
                </c:pt>
                <c:pt idx="21">
                  <c:v>2.5103190422633842E-3</c:v>
                </c:pt>
                <c:pt idx="22">
                  <c:v>2.4422630244030374E-3</c:v>
                </c:pt>
              </c:numCache>
            </c:numRef>
          </c:val>
          <c:extLst>
            <c:ext xmlns:c16="http://schemas.microsoft.com/office/drawing/2014/chart" uri="{C3380CC4-5D6E-409C-BE32-E72D297353CC}">
              <c16:uniqueId val="{00000000-71C3-412D-BBCB-7DE0F64DA546}"/>
            </c:ext>
          </c:extLst>
        </c:ser>
        <c:ser>
          <c:idx val="1"/>
          <c:order val="1"/>
          <c:tx>
            <c:strRef>
              <c:f>'Carbon Footprints'!$K$640</c:f>
              <c:strCache>
                <c:ptCount val="1"/>
                <c:pt idx="0">
                  <c:v>Direct
CF</c:v>
                </c:pt>
              </c:strCache>
            </c:strRef>
          </c:tx>
          <c:spPr>
            <a:solidFill>
              <a:schemeClr val="accent2"/>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Footprints'!$K$642:$K$664</c:f>
              <c:numCache>
                <c:formatCode>_(* #,##0.0000_);_(* \(#,##0.0000\);_(* "-"??_);_(@_)</c:formatCode>
                <c:ptCount val="23"/>
                <c:pt idx="0">
                  <c:v>1.0066589537883698E-3</c:v>
                </c:pt>
                <c:pt idx="1">
                  <c:v>3.4054224107389515E-2</c:v>
                </c:pt>
                <c:pt idx="2">
                  <c:v>1.4290163739565179E-5</c:v>
                </c:pt>
                <c:pt idx="3">
                  <c:v>1.8613839618936076E-2</c:v>
                </c:pt>
                <c:pt idx="4">
                  <c:v>1.4371055712722723E-2</c:v>
                </c:pt>
                <c:pt idx="5">
                  <c:v>0.54090845340199789</c:v>
                </c:pt>
                <c:pt idx="6">
                  <c:v>4.5452515739233412E-6</c:v>
                </c:pt>
                <c:pt idx="7">
                  <c:v>6.9253665161190095E-2</c:v>
                </c:pt>
                <c:pt idx="8">
                  <c:v>3.855839772768134E-4</c:v>
                </c:pt>
                <c:pt idx="9">
                  <c:v>2.0566817946605859E-3</c:v>
                </c:pt>
                <c:pt idx="10">
                  <c:v>2.5661816204111823E-3</c:v>
                </c:pt>
                <c:pt idx="11">
                  <c:v>4.6145231453535046E-4</c:v>
                </c:pt>
                <c:pt idx="12">
                  <c:v>3.6148420522806181E-2</c:v>
                </c:pt>
                <c:pt idx="13">
                  <c:v>3.9474737329370539E-4</c:v>
                </c:pt>
                <c:pt idx="14">
                  <c:v>3.7676436352525517E-3</c:v>
                </c:pt>
                <c:pt idx="15">
                  <c:v>1.9624909177677562E-4</c:v>
                </c:pt>
                <c:pt idx="16">
                  <c:v>9.9611472305051012E-3</c:v>
                </c:pt>
                <c:pt idx="17">
                  <c:v>4.0051261081836048E-3</c:v>
                </c:pt>
                <c:pt idx="18">
                  <c:v>9.0532864769948257E-6</c:v>
                </c:pt>
                <c:pt idx="19">
                  <c:v>1.1269748537415299E-5</c:v>
                </c:pt>
                <c:pt idx="20">
                  <c:v>1.1148385340235992E-3</c:v>
                </c:pt>
                <c:pt idx="21">
                  <c:v>1.959916437073185E-4</c:v>
                </c:pt>
                <c:pt idx="22">
                  <c:v>1.9057881470082753E-4</c:v>
                </c:pt>
              </c:numCache>
            </c:numRef>
          </c:val>
          <c:extLst>
            <c:ext xmlns:c16="http://schemas.microsoft.com/office/drawing/2014/chart" uri="{C3380CC4-5D6E-409C-BE32-E72D297353CC}">
              <c16:uniqueId val="{00000001-71C3-412D-BBCB-7DE0F64DA546}"/>
            </c:ext>
          </c:extLst>
        </c:ser>
        <c:ser>
          <c:idx val="2"/>
          <c:order val="2"/>
          <c:tx>
            <c:strRef>
              <c:f>'Carbon Footprints'!$L$640</c:f>
              <c:strCache>
                <c:ptCount val="1"/>
                <c:pt idx="0">
                  <c:v>Utility
CF</c:v>
                </c:pt>
              </c:strCache>
            </c:strRef>
          </c:tx>
          <c:spPr>
            <a:solidFill>
              <a:schemeClr val="accent3"/>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Footprints'!$L$642:$L$664</c:f>
              <c:numCache>
                <c:formatCode>_(* #,##0.0000_);_(* \(#,##0.0000\);_(* "-"??_);_(@_)</c:formatCode>
                <c:ptCount val="23"/>
                <c:pt idx="0">
                  <c:v>6.922730580010218E-3</c:v>
                </c:pt>
                <c:pt idx="1">
                  <c:v>1.9076838106881929E-3</c:v>
                </c:pt>
                <c:pt idx="2">
                  <c:v>1.3393527865142809E-4</c:v>
                </c:pt>
                <c:pt idx="3">
                  <c:v>9.8578667381792702E-4</c:v>
                </c:pt>
                <c:pt idx="4">
                  <c:v>2.1473136985498416E-2</c:v>
                </c:pt>
                <c:pt idx="5">
                  <c:v>0.10246988359474957</c:v>
                </c:pt>
                <c:pt idx="6">
                  <c:v>1.1629118481930947E-3</c:v>
                </c:pt>
                <c:pt idx="7">
                  <c:v>0.58429608873332861</c:v>
                </c:pt>
                <c:pt idx="8">
                  <c:v>3.8453041779980771E-3</c:v>
                </c:pt>
                <c:pt idx="9">
                  <c:v>2.4257367570977646E-2</c:v>
                </c:pt>
                <c:pt idx="10">
                  <c:v>1.4199650615583162E-2</c:v>
                </c:pt>
                <c:pt idx="11">
                  <c:v>5.6000905402929079E-3</c:v>
                </c:pt>
                <c:pt idx="12">
                  <c:v>5.0941960590854263E-2</c:v>
                </c:pt>
                <c:pt idx="13">
                  <c:v>2.6909153314553843E-3</c:v>
                </c:pt>
                <c:pt idx="14">
                  <c:v>1.8899093594686847E-2</c:v>
                </c:pt>
                <c:pt idx="15">
                  <c:v>7.4490933181073055E-2</c:v>
                </c:pt>
                <c:pt idx="16">
                  <c:v>9.3146403488569981E-4</c:v>
                </c:pt>
                <c:pt idx="17">
                  <c:v>2.0035114827692532E-2</c:v>
                </c:pt>
                <c:pt idx="18">
                  <c:v>7.6295890146507979E-3</c:v>
                </c:pt>
                <c:pt idx="19">
                  <c:v>3.3280963956623761E-3</c:v>
                </c:pt>
                <c:pt idx="20">
                  <c:v>1.0249426882754096E-4</c:v>
                </c:pt>
                <c:pt idx="21">
                  <c:v>7.3007489869730104E-3</c:v>
                </c:pt>
                <c:pt idx="22">
                  <c:v>1.0243478567981627E-2</c:v>
                </c:pt>
              </c:numCache>
            </c:numRef>
          </c:val>
          <c:extLst>
            <c:ext xmlns:c16="http://schemas.microsoft.com/office/drawing/2014/chart" uri="{C3380CC4-5D6E-409C-BE32-E72D297353CC}">
              <c16:uniqueId val="{00000002-71C3-412D-BBCB-7DE0F64DA546}"/>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Footprints'!$J$754</c:f>
              <c:strCache>
                <c:ptCount val="1"/>
                <c:pt idx="0">
                  <c:v>Upstream
CF</c:v>
                </c:pt>
              </c:strCache>
            </c:strRef>
          </c:tx>
          <c:spPr>
            <a:solidFill>
              <a:schemeClr val="accent1"/>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Footprints'!$J$756:$J$778</c:f>
              <c:numCache>
                <c:formatCode>_(* #,##0.0000_);_(* \(#,##0.0000\);_(* "-"??_);_(@_)</c:formatCode>
                <c:ptCount val="23"/>
                <c:pt idx="0">
                  <c:v>4.8953393409087227E-2</c:v>
                </c:pt>
                <c:pt idx="1">
                  <c:v>4.2561426654567851E-2</c:v>
                </c:pt>
                <c:pt idx="2">
                  <c:v>2.148392838978801E-7</c:v>
                </c:pt>
                <c:pt idx="3">
                  <c:v>1.9290907911149778E-3</c:v>
                </c:pt>
                <c:pt idx="4">
                  <c:v>5.9225126078208949E-2</c:v>
                </c:pt>
                <c:pt idx="5">
                  <c:v>0.12085911649658823</c:v>
                </c:pt>
                <c:pt idx="6">
                  <c:v>9.9106839637290584E-2</c:v>
                </c:pt>
                <c:pt idx="7">
                  <c:v>0.82058595757735531</c:v>
                </c:pt>
                <c:pt idx="8">
                  <c:v>1.8615612041011865E-3</c:v>
                </c:pt>
                <c:pt idx="9">
                  <c:v>2.9404589018850347E-2</c:v>
                </c:pt>
                <c:pt idx="10">
                  <c:v>1.0164845744187656E-3</c:v>
                </c:pt>
                <c:pt idx="11">
                  <c:v>3.2441487390287783E-4</c:v>
                </c:pt>
                <c:pt idx="12">
                  <c:v>1.2794925054496286E-2</c:v>
                </c:pt>
                <c:pt idx="13">
                  <c:v>1.9000335893588826E-4</c:v>
                </c:pt>
                <c:pt idx="14">
                  <c:v>3.8290631788048873E-3</c:v>
                </c:pt>
                <c:pt idx="15">
                  <c:v>2.4561503519420413E-3</c:v>
                </c:pt>
                <c:pt idx="16">
                  <c:v>4.297623889433581E-3</c:v>
                </c:pt>
                <c:pt idx="17">
                  <c:v>2.7847580193253261E-3</c:v>
                </c:pt>
                <c:pt idx="18">
                  <c:v>1.1159698580728518E-4</c:v>
                </c:pt>
                <c:pt idx="19">
                  <c:v>1.3720224075232531E-4</c:v>
                </c:pt>
                <c:pt idx="20">
                  <c:v>5.1270292418892317E-4</c:v>
                </c:pt>
                <c:pt idx="21">
                  <c:v>2.5172290080386558E-3</c:v>
                </c:pt>
                <c:pt idx="22">
                  <c:v>2.4422630244030374E-3</c:v>
                </c:pt>
              </c:numCache>
            </c:numRef>
          </c:val>
          <c:extLst>
            <c:ext xmlns:c16="http://schemas.microsoft.com/office/drawing/2014/chart" uri="{C3380CC4-5D6E-409C-BE32-E72D297353CC}">
              <c16:uniqueId val="{00000000-021C-4957-9913-39DD65A87D37}"/>
            </c:ext>
          </c:extLst>
        </c:ser>
        <c:ser>
          <c:idx val="1"/>
          <c:order val="1"/>
          <c:tx>
            <c:strRef>
              <c:f>'Carbon Footprints'!$K$754</c:f>
              <c:strCache>
                <c:ptCount val="1"/>
                <c:pt idx="0">
                  <c:v>Direct
CF</c:v>
                </c:pt>
              </c:strCache>
            </c:strRef>
          </c:tx>
          <c:spPr>
            <a:solidFill>
              <a:schemeClr val="accent2"/>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Footprints'!$K$756:$K$778</c:f>
              <c:numCache>
                <c:formatCode>_(* #,##0.0000_);_(* \(#,##0.0000\);_(* "-"??_);_(@_)</c:formatCode>
                <c:ptCount val="23"/>
                <c:pt idx="0">
                  <c:v>1.0094299079184777E-3</c:v>
                </c:pt>
                <c:pt idx="1">
                  <c:v>3.4147962600036774E-2</c:v>
                </c:pt>
                <c:pt idx="2">
                  <c:v>1.4329499194820454E-5</c:v>
                </c:pt>
                <c:pt idx="3">
                  <c:v>1.8665076530479108E-2</c:v>
                </c:pt>
                <c:pt idx="4">
                  <c:v>1.4410613833207638E-2</c:v>
                </c:pt>
                <c:pt idx="5">
                  <c:v>0.54239737127962062</c:v>
                </c:pt>
                <c:pt idx="6">
                  <c:v>4.557762944903298E-6</c:v>
                </c:pt>
                <c:pt idx="7">
                  <c:v>6.9444294498744119E-2</c:v>
                </c:pt>
                <c:pt idx="8">
                  <c:v>3.8664534519125727E-4</c:v>
                </c:pt>
                <c:pt idx="9">
                  <c:v>2.0623430674201293E-3</c:v>
                </c:pt>
                <c:pt idx="10">
                  <c:v>2.5732453548894035E-3</c:v>
                </c:pt>
                <c:pt idx="11">
                  <c:v>4.6272251949602507E-4</c:v>
                </c:pt>
                <c:pt idx="12">
                  <c:v>3.6247923551878329E-2</c:v>
                </c:pt>
                <c:pt idx="13">
                  <c:v>3.9583396459680863E-4</c:v>
                </c:pt>
                <c:pt idx="14">
                  <c:v>3.7780145435453638E-3</c:v>
                </c:pt>
                <c:pt idx="15">
                  <c:v>1.9678929184090087E-4</c:v>
                </c:pt>
                <c:pt idx="16">
                  <c:v>9.9885665287243273E-3</c:v>
                </c:pt>
                <c:pt idx="17">
                  <c:v>4.0161507165569852E-3</c:v>
                </c:pt>
                <c:pt idx="18">
                  <c:v>9.0782067754336066E-6</c:v>
                </c:pt>
                <c:pt idx="19">
                  <c:v>1.1300769923692657E-5</c:v>
                </c:pt>
                <c:pt idx="20">
                  <c:v>1.1179072659199684E-3</c:v>
                </c:pt>
                <c:pt idx="21">
                  <c:v>1.9653113511357244E-4</c:v>
                </c:pt>
                <c:pt idx="22">
                  <c:v>1.9127528302651908E-4</c:v>
                </c:pt>
              </c:numCache>
            </c:numRef>
          </c:val>
          <c:extLst>
            <c:ext xmlns:c16="http://schemas.microsoft.com/office/drawing/2014/chart" uri="{C3380CC4-5D6E-409C-BE32-E72D297353CC}">
              <c16:uniqueId val="{00000001-021C-4957-9913-39DD65A87D37}"/>
            </c:ext>
          </c:extLst>
        </c:ser>
        <c:ser>
          <c:idx val="2"/>
          <c:order val="2"/>
          <c:tx>
            <c:strRef>
              <c:f>'Carbon Footprints'!$L$754</c:f>
              <c:strCache>
                <c:ptCount val="1"/>
                <c:pt idx="0">
                  <c:v>Utility
CF</c:v>
                </c:pt>
              </c:strCache>
            </c:strRef>
          </c:tx>
          <c:spPr>
            <a:solidFill>
              <a:schemeClr val="accent3"/>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Footprints'!$L$756:$L$778</c:f>
              <c:numCache>
                <c:formatCode>_(* #,##0.0000_);_(* \(#,##0.0000\);_(* "-"??_);_(@_)</c:formatCode>
                <c:ptCount val="23"/>
                <c:pt idx="0">
                  <c:v>6.9417862580232262E-3</c:v>
                </c:pt>
                <c:pt idx="1">
                  <c:v>1.9129349479420495E-3</c:v>
                </c:pt>
                <c:pt idx="2">
                  <c:v>1.3430395218495169E-4</c:v>
                </c:pt>
                <c:pt idx="3">
                  <c:v>9.885001743981795E-4</c:v>
                </c:pt>
                <c:pt idx="4">
                  <c:v>2.1532244469112817E-2</c:v>
                </c:pt>
                <c:pt idx="5">
                  <c:v>0.10275194470997633</c:v>
                </c:pt>
                <c:pt idx="6">
                  <c:v>1.1661129078733123E-3</c:v>
                </c:pt>
                <c:pt idx="7">
                  <c:v>0.58590443648028745</c:v>
                </c:pt>
                <c:pt idx="8">
                  <c:v>3.8558888566059069E-3</c:v>
                </c:pt>
                <c:pt idx="9">
                  <c:v>2.4324138996000378E-2</c:v>
                </c:pt>
                <c:pt idx="10">
                  <c:v>1.4238736922193027E-2</c:v>
                </c:pt>
                <c:pt idx="11">
                  <c:v>5.6155054868874867E-3</c:v>
                </c:pt>
                <c:pt idx="12">
                  <c:v>5.1082184681211569E-2</c:v>
                </c:pt>
                <c:pt idx="13">
                  <c:v>2.6983224110064138E-3</c:v>
                </c:pt>
                <c:pt idx="14">
                  <c:v>1.8951115703320972E-2</c:v>
                </c:pt>
                <c:pt idx="15">
                  <c:v>7.4695978751051717E-2</c:v>
                </c:pt>
                <c:pt idx="16">
                  <c:v>9.3402800563746255E-4</c:v>
                </c:pt>
                <c:pt idx="17">
                  <c:v>2.0090263976239867E-2</c:v>
                </c:pt>
                <c:pt idx="18">
                  <c:v>7.6505904085306334E-3</c:v>
                </c:pt>
                <c:pt idx="19">
                  <c:v>3.3372573954411513E-3</c:v>
                </c:pt>
                <c:pt idx="20">
                  <c:v>1.0277639706615766E-4</c:v>
                </c:pt>
                <c:pt idx="21">
                  <c:v>7.3208452077260277E-3</c:v>
                </c:pt>
                <c:pt idx="22">
                  <c:v>1.5132365711033286E-2</c:v>
                </c:pt>
              </c:numCache>
            </c:numRef>
          </c:val>
          <c:extLst>
            <c:ext xmlns:c16="http://schemas.microsoft.com/office/drawing/2014/chart" uri="{C3380CC4-5D6E-409C-BE32-E72D297353CC}">
              <c16:uniqueId val="{00000002-021C-4957-9913-39DD65A87D37}"/>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Footprints'!$J$807</c:f>
              <c:strCache>
                <c:ptCount val="1"/>
                <c:pt idx="0">
                  <c:v>Upstream
CF</c:v>
                </c:pt>
              </c:strCache>
            </c:strRef>
          </c:tx>
          <c:spPr>
            <a:solidFill>
              <a:schemeClr val="accent1"/>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Footprints'!$J$809:$J$829</c:f>
              <c:numCache>
                <c:formatCode>_(* #,##0.0000_);_(* \(#,##0.0000\);_(* "-"??_);_(@_)</c:formatCode>
                <c:ptCount val="21"/>
                <c:pt idx="0">
                  <c:v>5.2759988717786831E-2</c:v>
                </c:pt>
                <c:pt idx="1">
                  <c:v>4.5870985313370971E-2</c:v>
                </c:pt>
                <c:pt idx="2">
                  <c:v>2.3154509637089739E-7</c:v>
                </c:pt>
                <c:pt idx="3">
                  <c:v>2.0790960807207186E-3</c:v>
                </c:pt>
                <c:pt idx="4">
                  <c:v>6.3830447004635332E-2</c:v>
                </c:pt>
                <c:pt idx="5">
                  <c:v>0.13025707062869318</c:v>
                </c:pt>
                <c:pt idx="6">
                  <c:v>0.10681334585782409</c:v>
                </c:pt>
                <c:pt idx="7">
                  <c:v>0.88439437695281164</c:v>
                </c:pt>
                <c:pt idx="8">
                  <c:v>2.0063154213864247E-3</c:v>
                </c:pt>
                <c:pt idx="9">
                  <c:v>3.1691077509607715E-2</c:v>
                </c:pt>
                <c:pt idx="10">
                  <c:v>1.0955259879529234E-3</c:v>
                </c:pt>
                <c:pt idx="11">
                  <c:v>3.4964123822764045E-4</c:v>
                </c:pt>
                <c:pt idx="12">
                  <c:v>1.3789853052247048E-2</c:v>
                </c:pt>
                <c:pt idx="13">
                  <c:v>2.0477794031614982E-4</c:v>
                </c:pt>
                <c:pt idx="14">
                  <c:v>4.1268095231971726E-3</c:v>
                </c:pt>
                <c:pt idx="15">
                  <c:v>4.0751819667045921E-4</c:v>
                </c:pt>
                <c:pt idx="16">
                  <c:v>2.0942210693789248E-3</c:v>
                </c:pt>
                <c:pt idx="17">
                  <c:v>2.5747274558625402E-3</c:v>
                </c:pt>
                <c:pt idx="18">
                  <c:v>9.6213464763538013E-3</c:v>
                </c:pt>
                <c:pt idx="19">
                  <c:v>2.5204269384235135E-3</c:v>
                </c:pt>
                <c:pt idx="20">
                  <c:v>1.8522128952337135E-2</c:v>
                </c:pt>
              </c:numCache>
            </c:numRef>
          </c:val>
          <c:extLst>
            <c:ext xmlns:c16="http://schemas.microsoft.com/office/drawing/2014/chart" uri="{C3380CC4-5D6E-409C-BE32-E72D297353CC}">
              <c16:uniqueId val="{00000000-62BE-4778-9F7B-872BB9B36A51}"/>
            </c:ext>
          </c:extLst>
        </c:ser>
        <c:ser>
          <c:idx val="1"/>
          <c:order val="1"/>
          <c:tx>
            <c:strRef>
              <c:f>'Carbon Footprints'!$K$807</c:f>
              <c:strCache>
                <c:ptCount val="1"/>
                <c:pt idx="0">
                  <c:v>Direct
CF</c:v>
                </c:pt>
              </c:strCache>
            </c:strRef>
          </c:tx>
          <c:spPr>
            <a:solidFill>
              <a:schemeClr val="accent2"/>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Footprints'!$K$809:$K$829</c:f>
              <c:numCache>
                <c:formatCode>_(* #,##0.0000_);_(* \(#,##0.0000\);_(* "-"??_);_(@_)</c:formatCode>
                <c:ptCount val="21"/>
                <c:pt idx="0">
                  <c:v>1.087922753548874E-3</c:v>
                </c:pt>
                <c:pt idx="1">
                  <c:v>3.6803293828021062E-2</c:v>
                </c:pt>
                <c:pt idx="2">
                  <c:v>1.5443755033127526E-5</c:v>
                </c:pt>
                <c:pt idx="3">
                  <c:v>2.0116465041254986E-2</c:v>
                </c:pt>
                <c:pt idx="4">
                  <c:v>1.5531177111723629E-2</c:v>
                </c:pt>
                <c:pt idx="5">
                  <c:v>0.58457396303721532</c:v>
                </c:pt>
                <c:pt idx="6">
                  <c:v>4.9121726770182773E-6</c:v>
                </c:pt>
                <c:pt idx="7">
                  <c:v>7.4844253669006711E-2</c:v>
                </c:pt>
                <c:pt idx="8">
                  <c:v>4.1671072482359891E-4</c:v>
                </c:pt>
                <c:pt idx="9">
                  <c:v>2.222709998058963E-3</c:v>
                </c:pt>
                <c:pt idx="10">
                  <c:v>2.773339832798196E-3</c:v>
                </c:pt>
                <c:pt idx="11">
                  <c:v>4.9870362824621566E-4</c:v>
                </c:pt>
                <c:pt idx="12">
                  <c:v>3.9066546861392729E-2</c:v>
                </c:pt>
                <c:pt idx="13">
                  <c:v>4.2661384741446163E-4</c:v>
                </c:pt>
                <c:pt idx="14">
                  <c:v>4.0717913675027617E-3</c:v>
                </c:pt>
                <c:pt idx="15">
                  <c:v>3.2650776965527155E-5</c:v>
                </c:pt>
                <c:pt idx="16">
                  <c:v>1.7036098030571056E-4</c:v>
                </c:pt>
                <c:pt idx="17">
                  <c:v>2.1206944168966843E-4</c:v>
                </c:pt>
                <c:pt idx="18">
                  <c:v>2.0978567951147598E-2</c:v>
                </c:pt>
                <c:pt idx="19">
                  <c:v>1.9961038400106174E-4</c:v>
                </c:pt>
                <c:pt idx="20">
                  <c:v>3.1416645417968133E-3</c:v>
                </c:pt>
              </c:numCache>
            </c:numRef>
          </c:val>
          <c:extLst>
            <c:ext xmlns:c16="http://schemas.microsoft.com/office/drawing/2014/chart" uri="{C3380CC4-5D6E-409C-BE32-E72D297353CC}">
              <c16:uniqueId val="{00000001-62BE-4778-9F7B-872BB9B36A51}"/>
            </c:ext>
          </c:extLst>
        </c:ser>
        <c:ser>
          <c:idx val="2"/>
          <c:order val="2"/>
          <c:tx>
            <c:strRef>
              <c:f>'Carbon Footprints'!$L$807</c:f>
              <c:strCache>
                <c:ptCount val="1"/>
                <c:pt idx="0">
                  <c:v>Utility
CF</c:v>
                </c:pt>
              </c:strCache>
            </c:strRef>
          </c:tx>
          <c:spPr>
            <a:solidFill>
              <a:schemeClr val="accent3"/>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Footprints'!$L$809:$L$829</c:f>
              <c:numCache>
                <c:formatCode>_(* #,##0.0000_);_(* \(#,##0.0000\);_(* "-"??_);_(@_)</c:formatCode>
                <c:ptCount val="21"/>
                <c:pt idx="0">
                  <c:v>7.4815766415614066E-3</c:v>
                </c:pt>
                <c:pt idx="1">
                  <c:v>2.0616839659688981E-3</c:v>
                </c:pt>
                <c:pt idx="2">
                  <c:v>1.4474737109270306E-4</c:v>
                </c:pt>
                <c:pt idx="3">
                  <c:v>1.0653655327415371E-3</c:v>
                </c:pt>
                <c:pt idx="4">
                  <c:v>2.3206582754447758E-2</c:v>
                </c:pt>
                <c:pt idx="5">
                  <c:v>0.11074189276984157</c:v>
                </c:pt>
                <c:pt idx="6">
                  <c:v>1.2567893577657646E-3</c:v>
                </c:pt>
                <c:pt idx="7">
                  <c:v>0.6314641193528161</c:v>
                </c:pt>
                <c:pt idx="8">
                  <c:v>4.1557211544359183E-3</c:v>
                </c:pt>
                <c:pt idx="9">
                  <c:v>2.6215573827015469E-2</c:v>
                </c:pt>
                <c:pt idx="10">
                  <c:v>1.5345935124305128E-2</c:v>
                </c:pt>
                <c:pt idx="11">
                  <c:v>6.0521648347641697E-3</c:v>
                </c:pt>
                <c:pt idx="12">
                  <c:v>5.5054313905036359E-2</c:v>
                </c:pt>
                <c:pt idx="13">
                  <c:v>2.9081428282604575E-3</c:v>
                </c:pt>
                <c:pt idx="14">
                  <c:v>2.042474650002676E-2</c:v>
                </c:pt>
                <c:pt idx="15">
                  <c:v>1.2393366120724288E-2</c:v>
                </c:pt>
                <c:pt idx="16">
                  <c:v>0.14357043347390508</c:v>
                </c:pt>
                <c:pt idx="17">
                  <c:v>6.2626734054830061E-2</c:v>
                </c:pt>
                <c:pt idx="18">
                  <c:v>1.9286945307151005E-3</c:v>
                </c:pt>
                <c:pt idx="19">
                  <c:v>8.8691784030355672E-2</c:v>
                </c:pt>
                <c:pt idx="20">
                  <c:v>0.11088977714791698</c:v>
                </c:pt>
              </c:numCache>
            </c:numRef>
          </c:val>
          <c:extLst>
            <c:ext xmlns:c16="http://schemas.microsoft.com/office/drawing/2014/chart" uri="{C3380CC4-5D6E-409C-BE32-E72D297353CC}">
              <c16:uniqueId val="{00000002-62BE-4778-9F7B-872BB9B36A51}"/>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Footprints'!$J$861</c:f>
              <c:strCache>
                <c:ptCount val="1"/>
                <c:pt idx="0">
                  <c:v>Upstream
CF</c:v>
                </c:pt>
              </c:strCache>
            </c:strRef>
          </c:tx>
          <c:spPr>
            <a:solidFill>
              <a:schemeClr val="accent1"/>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Footprints'!$J$863:$J$884</c:f>
              <c:numCache>
                <c:formatCode>_(* #,##0.0000_);_(* \(#,##0.0000\);_(* "-"??_);_(@_)</c:formatCode>
                <c:ptCount val="22"/>
                <c:pt idx="0">
                  <c:v>5.3981433238760916E-2</c:v>
                </c:pt>
                <c:pt idx="1">
                  <c:v>4.6932942774779808E-2</c:v>
                </c:pt>
                <c:pt idx="2">
                  <c:v>2.3690558821697136E-7</c:v>
                </c:pt>
                <c:pt idx="3">
                  <c:v>2.1272291561457118E-3</c:v>
                </c:pt>
                <c:pt idx="4">
                  <c:v>6.5308183290406274E-2</c:v>
                </c:pt>
                <c:pt idx="5">
                  <c:v>0.13327264718782758</c:v>
                </c:pt>
                <c:pt idx="6">
                  <c:v>0.10928617762363085</c:v>
                </c:pt>
                <c:pt idx="7">
                  <c:v>0.90486895802005751</c:v>
                </c:pt>
                <c:pt idx="8">
                  <c:v>2.0527635544955224E-3</c:v>
                </c:pt>
                <c:pt idx="9">
                  <c:v>3.2424756457018596E-2</c:v>
                </c:pt>
                <c:pt idx="10">
                  <c:v>1.1208884690316716E-3</c:v>
                </c:pt>
                <c:pt idx="11">
                  <c:v>3.5773576942673015E-4</c:v>
                </c:pt>
                <c:pt idx="12">
                  <c:v>1.4109101423314774E-2</c:v>
                </c:pt>
                <c:pt idx="13">
                  <c:v>2.0951874673582965E-4</c:v>
                </c:pt>
                <c:pt idx="14">
                  <c:v>4.2223491357656169E-3</c:v>
                </c:pt>
                <c:pt idx="15">
                  <c:v>4.1695263516480574E-4</c:v>
                </c:pt>
                <c:pt idx="16">
                  <c:v>2.1427043028493489E-3</c:v>
                </c:pt>
                <c:pt idx="17">
                  <c:v>2.6343348746735423E-3</c:v>
                </c:pt>
                <c:pt idx="18">
                  <c:v>9.8440899079492248E-3</c:v>
                </c:pt>
                <c:pt idx="19">
                  <c:v>2.5787772479908661E-3</c:v>
                </c:pt>
                <c:pt idx="20">
                  <c:v>1.8950934065367436E-2</c:v>
                </c:pt>
                <c:pt idx="21">
                  <c:v>2.442263024403037E-3</c:v>
                </c:pt>
              </c:numCache>
            </c:numRef>
          </c:val>
          <c:extLst>
            <c:ext xmlns:c16="http://schemas.microsoft.com/office/drawing/2014/chart" uri="{C3380CC4-5D6E-409C-BE32-E72D297353CC}">
              <c16:uniqueId val="{00000000-611E-432B-9F02-015C74DA2A52}"/>
            </c:ext>
          </c:extLst>
        </c:ser>
        <c:ser>
          <c:idx val="1"/>
          <c:order val="1"/>
          <c:tx>
            <c:strRef>
              <c:f>'Carbon Footprints'!$K$861</c:f>
              <c:strCache>
                <c:ptCount val="1"/>
                <c:pt idx="0">
                  <c:v>Direct
CF</c:v>
                </c:pt>
              </c:strCache>
            </c:strRef>
          </c:tx>
          <c:spPr>
            <a:solidFill>
              <a:schemeClr val="accent2"/>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Footprints'!$K$863:$K$884</c:f>
              <c:numCache>
                <c:formatCode>_(* #,##0.0000_);_(* \(#,##0.0000\);_(* "-"??_);_(@_)</c:formatCode>
                <c:ptCount val="22"/>
                <c:pt idx="0">
                  <c:v>1.1131092124329587E-3</c:v>
                </c:pt>
                <c:pt idx="1">
                  <c:v>3.7655325503776156E-2</c:v>
                </c:pt>
                <c:pt idx="2">
                  <c:v>1.5801292826954233E-5</c:v>
                </c:pt>
                <c:pt idx="3">
                  <c:v>2.0582180569312408E-2</c:v>
                </c:pt>
                <c:pt idx="4">
                  <c:v>1.5890738810814695E-2</c:v>
                </c:pt>
                <c:pt idx="5">
                  <c:v>0.5981074129413696</c:v>
                </c:pt>
                <c:pt idx="6">
                  <c:v>5.0258942025196619E-6</c:v>
                </c:pt>
                <c:pt idx="7">
                  <c:v>7.6576970179986242E-2</c:v>
                </c:pt>
                <c:pt idx="8">
                  <c:v>4.2635797919261532E-4</c:v>
                </c:pt>
                <c:pt idx="9">
                  <c:v>2.2741678739005501E-3</c:v>
                </c:pt>
                <c:pt idx="10">
                  <c:v>2.8375453193021866E-3</c:v>
                </c:pt>
                <c:pt idx="11">
                  <c:v>5.1024909724867358E-4</c:v>
                </c:pt>
                <c:pt idx="12">
                  <c:v>3.9970975023280092E-2</c:v>
                </c:pt>
                <c:pt idx="13">
                  <c:v>4.3649036860333746E-4</c:v>
                </c:pt>
                <c:pt idx="14">
                  <c:v>4.1660572568112094E-3</c:v>
                </c:pt>
                <c:pt idx="15">
                  <c:v>3.3406673879065449E-5</c:v>
                </c:pt>
                <c:pt idx="16">
                  <c:v>1.7430500097438887E-4</c:v>
                </c:pt>
                <c:pt idx="17">
                  <c:v>2.1697905338430767E-4</c:v>
                </c:pt>
                <c:pt idx="18">
                  <c:v>2.1464241991354001E-2</c:v>
                </c:pt>
                <c:pt idx="19">
                  <c:v>2.0423155651820891E-4</c:v>
                </c:pt>
                <c:pt idx="20">
                  <c:v>3.2143970998313193E-3</c:v>
                </c:pt>
                <c:pt idx="21">
                  <c:v>1.905319527296172E-4</c:v>
                </c:pt>
              </c:numCache>
            </c:numRef>
          </c:val>
          <c:extLst>
            <c:ext xmlns:c16="http://schemas.microsoft.com/office/drawing/2014/chart" uri="{C3380CC4-5D6E-409C-BE32-E72D297353CC}">
              <c16:uniqueId val="{00000001-611E-432B-9F02-015C74DA2A52}"/>
            </c:ext>
          </c:extLst>
        </c:ser>
        <c:ser>
          <c:idx val="2"/>
          <c:order val="2"/>
          <c:tx>
            <c:strRef>
              <c:f>'Carbon Footprints'!$L$861</c:f>
              <c:strCache>
                <c:ptCount val="1"/>
                <c:pt idx="0">
                  <c:v>Utility
CF</c:v>
                </c:pt>
              </c:strCache>
            </c:strRef>
          </c:tx>
          <c:spPr>
            <a:solidFill>
              <a:schemeClr val="accent3"/>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Footprints'!$L$863:$L$884</c:f>
              <c:numCache>
                <c:formatCode>_(* #,##0.0000_);_(* \(#,##0.0000\);_(* "-"??_);_(@_)</c:formatCode>
                <c:ptCount val="22"/>
                <c:pt idx="0">
                  <c:v>7.6547823419258216E-3</c:v>
                </c:pt>
                <c:pt idx="1">
                  <c:v>2.1094139341780059E-3</c:v>
                </c:pt>
                <c:pt idx="2">
                  <c:v>1.4809841205467696E-4</c:v>
                </c:pt>
                <c:pt idx="3">
                  <c:v>1.0900297702523213E-3</c:v>
                </c:pt>
                <c:pt idx="4">
                  <c:v>2.3743837481843024E-2</c:v>
                </c:pt>
                <c:pt idx="5">
                  <c:v>0.1133056741779377</c:v>
                </c:pt>
                <c:pt idx="6">
                  <c:v>1.2858852410737155E-3</c:v>
                </c:pt>
                <c:pt idx="7">
                  <c:v>0.64608312150804581</c:v>
                </c:pt>
                <c:pt idx="8">
                  <c:v>4.251930099095351E-3</c:v>
                </c:pt>
                <c:pt idx="9">
                  <c:v>2.6822489593932693E-2</c:v>
                </c:pt>
                <c:pt idx="10">
                  <c:v>1.57012082930897E-2</c:v>
                </c:pt>
                <c:pt idx="11">
                  <c:v>6.1922782759742624E-3</c:v>
                </c:pt>
                <c:pt idx="12">
                  <c:v>5.6328874262412322E-2</c:v>
                </c:pt>
                <c:pt idx="13">
                  <c:v>2.9754691338589895E-3</c:v>
                </c:pt>
                <c:pt idx="14">
                  <c:v>2.0897599040579553E-2</c:v>
                </c:pt>
                <c:pt idx="15">
                  <c:v>1.2680284475190904E-2</c:v>
                </c:pt>
                <c:pt idx="16">
                  <c:v>0.14689422719718648</c:v>
                </c:pt>
                <c:pt idx="17">
                  <c:v>6.4076603227224041E-2</c:v>
                </c:pt>
                <c:pt idx="18">
                  <c:v>1.973345665494067E-3</c:v>
                </c:pt>
                <c:pt idx="19">
                  <c:v>9.0745084197623796E-2</c:v>
                </c:pt>
                <c:pt idx="20">
                  <c:v>0.11345698222170615</c:v>
                </c:pt>
                <c:pt idx="21">
                  <c:v>3.8088763700082759E-3</c:v>
                </c:pt>
              </c:numCache>
            </c:numRef>
          </c:val>
          <c:extLst>
            <c:ext xmlns:c16="http://schemas.microsoft.com/office/drawing/2014/chart" uri="{C3380CC4-5D6E-409C-BE32-E72D297353CC}">
              <c16:uniqueId val="{00000002-611E-432B-9F02-015C74DA2A52}"/>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Footprints'!$J$915</c:f>
              <c:strCache>
                <c:ptCount val="1"/>
                <c:pt idx="0">
                  <c:v>Upstream
CF</c:v>
                </c:pt>
              </c:strCache>
            </c:strRef>
          </c:tx>
          <c:spPr>
            <a:solidFill>
              <a:schemeClr val="accent1"/>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Footprints'!$J$917:$J$933</c:f>
              <c:numCache>
                <c:formatCode>_(* #,##0.0000_);_(* \(#,##0.0000\);_(* "-"??_);_(@_)</c:formatCode>
                <c:ptCount val="17"/>
                <c:pt idx="0">
                  <c:v>4.7241157762954643E-2</c:v>
                </c:pt>
                <c:pt idx="1">
                  <c:v>4.107276189012108E-2</c:v>
                </c:pt>
                <c:pt idx="2">
                  <c:v>2.0732488184191835E-7</c:v>
                </c:pt>
                <c:pt idx="3">
                  <c:v>1.861617266050625E-3</c:v>
                </c:pt>
                <c:pt idx="4">
                  <c:v>5.7153617548240901E-2</c:v>
                </c:pt>
                <c:pt idx="5">
                  <c:v>0.11663184494267927</c:v>
                </c:pt>
                <c:pt idx="6">
                  <c:v>9.5640394273954155E-2</c:v>
                </c:pt>
                <c:pt idx="7">
                  <c:v>0.79188444314834805</c:v>
                </c:pt>
                <c:pt idx="8">
                  <c:v>1.7964496514763612E-3</c:v>
                </c:pt>
                <c:pt idx="9">
                  <c:v>2.8376109030604869E-2</c:v>
                </c:pt>
                <c:pt idx="10">
                  <c:v>9.8093114286154398E-4</c:v>
                </c:pt>
                <c:pt idx="11">
                  <c:v>3.130678625406583E-4</c:v>
                </c:pt>
                <c:pt idx="12">
                  <c:v>1.2347398841454707E-2</c:v>
                </c:pt>
                <c:pt idx="13">
                  <c:v>1.8335763937695447E-4</c:v>
                </c:pt>
                <c:pt idx="14">
                  <c:v>3.6951345987929771E-3</c:v>
                </c:pt>
                <c:pt idx="15">
                  <c:v>2.4924301947488645E-3</c:v>
                </c:pt>
                <c:pt idx="16">
                  <c:v>8.0422083968169356E-2</c:v>
                </c:pt>
              </c:numCache>
            </c:numRef>
          </c:val>
          <c:extLst>
            <c:ext xmlns:c16="http://schemas.microsoft.com/office/drawing/2014/chart" uri="{C3380CC4-5D6E-409C-BE32-E72D297353CC}">
              <c16:uniqueId val="{00000000-CA3B-4374-B007-F870124C8E39}"/>
            </c:ext>
          </c:extLst>
        </c:ser>
        <c:ser>
          <c:idx val="1"/>
          <c:order val="1"/>
          <c:tx>
            <c:strRef>
              <c:f>'Carbon Footprints'!$K$915</c:f>
              <c:strCache>
                <c:ptCount val="1"/>
                <c:pt idx="0">
                  <c:v>Direct
CF</c:v>
                </c:pt>
              </c:strCache>
            </c:strRef>
          </c:tx>
          <c:spPr>
            <a:solidFill>
              <a:schemeClr val="accent2"/>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Footprints'!$K$917:$K$933</c:f>
              <c:numCache>
                <c:formatCode>_(* #,##0.0000_);_(* \(#,##0.0000\);_(* "-"??_);_(@_)</c:formatCode>
                <c:ptCount val="17"/>
                <c:pt idx="0">
                  <c:v>9.7412322639454636E-4</c:v>
                </c:pt>
                <c:pt idx="1">
                  <c:v>3.2953574331220016E-2</c:v>
                </c:pt>
                <c:pt idx="2">
                  <c:v>1.3828298407623437E-5</c:v>
                </c:pt>
                <c:pt idx="3">
                  <c:v>1.8012230892053019E-2</c:v>
                </c:pt>
                <c:pt idx="4">
                  <c:v>1.3906575911225927E-2</c:v>
                </c:pt>
                <c:pt idx="5">
                  <c:v>0.52342601814557654</c:v>
                </c:pt>
                <c:pt idx="6">
                  <c:v>4.3983467402763687E-6</c:v>
                </c:pt>
                <c:pt idx="7">
                  <c:v>6.7015351616937557E-2</c:v>
                </c:pt>
                <c:pt idx="8">
                  <c:v>3.7312170778137715E-4</c:v>
                </c:pt>
                <c:pt idx="9">
                  <c:v>1.9902087970727817E-3</c:v>
                </c:pt>
                <c:pt idx="10">
                  <c:v>2.4832413303253198E-3</c:v>
                </c:pt>
                <c:pt idx="11">
                  <c:v>4.4653794194225938E-4</c:v>
                </c:pt>
                <c:pt idx="12">
                  <c:v>3.498008525749987E-2</c:v>
                </c:pt>
                <c:pt idx="13">
                  <c:v>3.8198893819651764E-4</c:v>
                </c:pt>
                <c:pt idx="14">
                  <c:v>3.6458714841458312E-3</c:v>
                </c:pt>
                <c:pt idx="15">
                  <c:v>1.9969607015290803E-4</c:v>
                </c:pt>
                <c:pt idx="16">
                  <c:v>2.082700521695211E-4</c:v>
                </c:pt>
              </c:numCache>
            </c:numRef>
          </c:val>
          <c:extLst>
            <c:ext xmlns:c16="http://schemas.microsoft.com/office/drawing/2014/chart" uri="{C3380CC4-5D6E-409C-BE32-E72D297353CC}">
              <c16:uniqueId val="{00000001-CA3B-4374-B007-F870124C8E39}"/>
            </c:ext>
          </c:extLst>
        </c:ser>
        <c:ser>
          <c:idx val="2"/>
          <c:order val="2"/>
          <c:tx>
            <c:strRef>
              <c:f>'Carbon Footprints'!$L$915</c:f>
              <c:strCache>
                <c:ptCount val="1"/>
                <c:pt idx="0">
                  <c:v>Utility
CF</c:v>
                </c:pt>
              </c:strCache>
            </c:strRef>
          </c:tx>
          <c:spPr>
            <a:solidFill>
              <a:schemeClr val="accent3"/>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Footprints'!$L$917:$L$933</c:f>
              <c:numCache>
                <c:formatCode>_(* #,##0.0000_);_(* \(#,##0.0000\);_(* "-"??_);_(@_)</c:formatCode>
                <c:ptCount val="17"/>
                <c:pt idx="0">
                  <c:v>6.6989844203754539E-3</c:v>
                </c:pt>
                <c:pt idx="1">
                  <c:v>1.8460265034297811E-3</c:v>
                </c:pt>
                <c:pt idx="2">
                  <c:v>1.2960642258928379E-4</c:v>
                </c:pt>
                <c:pt idx="3">
                  <c:v>9.5392554908734959E-4</c:v>
                </c:pt>
                <c:pt idx="4">
                  <c:v>2.0779114319111565E-2</c:v>
                </c:pt>
                <c:pt idx="5">
                  <c:v>9.9158005042267669E-2</c:v>
                </c:pt>
                <c:pt idx="6">
                  <c:v>1.1253259480891234E-3</c:v>
                </c:pt>
                <c:pt idx="7">
                  <c:v>0.5654113431213591</c:v>
                </c:pt>
                <c:pt idx="8">
                  <c:v>3.7210219988043701E-3</c:v>
                </c:pt>
                <c:pt idx="9">
                  <c:v>2.3473357161482973E-2</c:v>
                </c:pt>
                <c:pt idx="10">
                  <c:v>1.3740710713665522E-2</c:v>
                </c:pt>
                <c:pt idx="11">
                  <c:v>5.4190927768358677E-3</c:v>
                </c:pt>
                <c:pt idx="12">
                  <c:v>4.9295490615642215E-2</c:v>
                </c:pt>
                <c:pt idx="13">
                  <c:v>2.6039435846342681E-3</c:v>
                </c:pt>
                <c:pt idx="14">
                  <c:v>1.8288265314788242E-2</c:v>
                </c:pt>
                <c:pt idx="15">
                  <c:v>7.5799314450858218E-2</c:v>
                </c:pt>
                <c:pt idx="16">
                  <c:v>1.5247202785152647E-2</c:v>
                </c:pt>
              </c:numCache>
            </c:numRef>
          </c:val>
          <c:extLst>
            <c:ext xmlns:c16="http://schemas.microsoft.com/office/drawing/2014/chart" uri="{C3380CC4-5D6E-409C-BE32-E72D297353CC}">
              <c16:uniqueId val="{00000002-CA3B-4374-B007-F870124C8E39}"/>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kern="1200" spc="0" baseline="0">
                <a:solidFill>
                  <a:srgbClr val="000000"/>
                </a:solidFill>
                <a:effectLst/>
                <a:latin typeface="Times New Roman" panose="02020603050405020304" pitchFamily="18" charset="0"/>
                <a:cs typeface="Times New Roman" panose="02020603050405020304" pitchFamily="18" charset="0"/>
              </a:rPr>
              <a:t>Share of Unit Processes in CF in Life Cycle Stages</a:t>
            </a:r>
            <a:endParaRPr lang="en-US" sz="1600">
              <a:effectLs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barChart>
        <c:barDir val="col"/>
        <c:grouping val="percentStacked"/>
        <c:varyColors val="0"/>
        <c:ser>
          <c:idx val="0"/>
          <c:order val="0"/>
          <c:tx>
            <c:strRef>
              <c:f>'Carbon Footprints'!$J$969</c:f>
              <c:strCache>
                <c:ptCount val="1"/>
                <c:pt idx="0">
                  <c:v>Upstream
CF</c:v>
                </c:pt>
              </c:strCache>
            </c:strRef>
          </c:tx>
          <c:spPr>
            <a:solidFill>
              <a:schemeClr val="accent1"/>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Footprints'!$J$971:$J$988</c:f>
              <c:numCache>
                <c:formatCode>_(* #,##0.0000_);_(* \(#,##0.0000\);_(* "-"??_);_(@_)</c:formatCode>
                <c:ptCount val="18"/>
                <c:pt idx="0">
                  <c:v>4.5901054095795681E-2</c:v>
                </c:pt>
                <c:pt idx="1">
                  <c:v>3.9907638903392328E-2</c:v>
                </c:pt>
                <c:pt idx="2">
                  <c:v>2.0144363659717275E-7</c:v>
                </c:pt>
                <c:pt idx="3">
                  <c:v>1.8088082274237769E-3</c:v>
                </c:pt>
                <c:pt idx="4">
                  <c:v>5.5532324250305264E-2</c:v>
                </c:pt>
                <c:pt idx="5">
                  <c:v>0.1133233154629516</c:v>
                </c:pt>
                <c:pt idx="6">
                  <c:v>9.2927335382845408E-2</c:v>
                </c:pt>
                <c:pt idx="7">
                  <c:v>0.76942082674939916</c:v>
                </c:pt>
                <c:pt idx="8">
                  <c:v>1.7454892415327728E-3</c:v>
                </c:pt>
                <c:pt idx="9">
                  <c:v>2.7571155689655298E-2</c:v>
                </c:pt>
                <c:pt idx="10">
                  <c:v>9.5310478372836419E-4</c:v>
                </c:pt>
                <c:pt idx="11">
                  <c:v>3.0418697539632688E-4</c:v>
                </c:pt>
                <c:pt idx="12">
                  <c:v>1.1997136586021936E-2</c:v>
                </c:pt>
                <c:pt idx="13">
                  <c:v>1.7815627987252349E-4</c:v>
                </c:pt>
                <c:pt idx="14">
                  <c:v>3.5903136405231609E-3</c:v>
                </c:pt>
                <c:pt idx="15">
                  <c:v>2.421726702237512E-3</c:v>
                </c:pt>
                <c:pt idx="16">
                  <c:v>7.8140727313298713E-2</c:v>
                </c:pt>
                <c:pt idx="17">
                  <c:v>0.10927157343412916</c:v>
                </c:pt>
              </c:numCache>
            </c:numRef>
          </c:val>
          <c:extLst>
            <c:ext xmlns:c16="http://schemas.microsoft.com/office/drawing/2014/chart" uri="{C3380CC4-5D6E-409C-BE32-E72D297353CC}">
              <c16:uniqueId val="{00000000-70B7-4B6C-AA2B-490AFAC5428E}"/>
            </c:ext>
          </c:extLst>
        </c:ser>
        <c:ser>
          <c:idx val="1"/>
          <c:order val="1"/>
          <c:tx>
            <c:strRef>
              <c:f>'Carbon Footprints'!$K$969</c:f>
              <c:strCache>
                <c:ptCount val="1"/>
                <c:pt idx="0">
                  <c:v>Direct
CF</c:v>
                </c:pt>
              </c:strCache>
            </c:strRef>
          </c:tx>
          <c:spPr>
            <a:solidFill>
              <a:schemeClr val="accent2"/>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Footprints'!$K$971:$K$988</c:f>
              <c:numCache>
                <c:formatCode>_(* #,##0.0000_);_(* \(#,##0.0000\);_(* "-"??_);_(@_)</c:formatCode>
                <c:ptCount val="18"/>
                <c:pt idx="0">
                  <c:v>9.4648998940856095E-4</c:v>
                </c:pt>
                <c:pt idx="1">
                  <c:v>3.2018770700266382E-2</c:v>
                </c:pt>
                <c:pt idx="2">
                  <c:v>1.3436027043326849E-5</c:v>
                </c:pt>
                <c:pt idx="3">
                  <c:v>1.750127269764816E-2</c:v>
                </c:pt>
                <c:pt idx="4">
                  <c:v>1.351208402620967E-2</c:v>
                </c:pt>
                <c:pt idx="5">
                  <c:v>0.50857783999712824</c:v>
                </c:pt>
                <c:pt idx="6">
                  <c:v>4.273577558588295E-6</c:v>
                </c:pt>
                <c:pt idx="7">
                  <c:v>6.5114307639386471E-2</c:v>
                </c:pt>
                <c:pt idx="8">
                  <c:v>3.6253725573633138E-4</c:v>
                </c:pt>
                <c:pt idx="9">
                  <c:v>1.933751965071498E-3</c:v>
                </c:pt>
                <c:pt idx="10">
                  <c:v>2.4127985010045862E-3</c:v>
                </c:pt>
                <c:pt idx="11">
                  <c:v>4.3387087022219047E-4</c:v>
                </c:pt>
                <c:pt idx="12">
                  <c:v>3.3987795001483564E-2</c:v>
                </c:pt>
                <c:pt idx="13">
                  <c:v>3.7115294684634935E-4</c:v>
                </c:pt>
                <c:pt idx="14">
                  <c:v>3.5424479869824005E-3</c:v>
                </c:pt>
                <c:pt idx="15">
                  <c:v>1.9403123362896063E-4</c:v>
                </c:pt>
                <c:pt idx="16">
                  <c:v>2.0236199500309342E-4</c:v>
                </c:pt>
                <c:pt idx="17">
                  <c:v>4.6111545796547304E-2</c:v>
                </c:pt>
              </c:numCache>
            </c:numRef>
          </c:val>
          <c:extLst>
            <c:ext xmlns:c16="http://schemas.microsoft.com/office/drawing/2014/chart" uri="{C3380CC4-5D6E-409C-BE32-E72D297353CC}">
              <c16:uniqueId val="{00000001-70B7-4B6C-AA2B-490AFAC5428E}"/>
            </c:ext>
          </c:extLst>
        </c:ser>
        <c:ser>
          <c:idx val="2"/>
          <c:order val="2"/>
          <c:tx>
            <c:strRef>
              <c:f>'Carbon Footprints'!$L$969</c:f>
              <c:strCache>
                <c:ptCount val="1"/>
                <c:pt idx="0">
                  <c:v>Utility
CF</c:v>
                </c:pt>
              </c:strCache>
            </c:strRef>
          </c:tx>
          <c:spPr>
            <a:solidFill>
              <a:schemeClr val="accent3"/>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Footprints'!$L$971:$L$988</c:f>
              <c:numCache>
                <c:formatCode>_(* #,##0.0000_);_(* \(#,##0.0000\);_(* "-"??_);_(@_)</c:formatCode>
                <c:ptCount val="18"/>
                <c:pt idx="0">
                  <c:v>6.5089523802414661E-3</c:v>
                </c:pt>
                <c:pt idx="1">
                  <c:v>1.7936597325023584E-3</c:v>
                </c:pt>
                <c:pt idx="2">
                  <c:v>1.2592983949047892E-4</c:v>
                </c:pt>
                <c:pt idx="3">
                  <c:v>9.2686526549008675E-4</c:v>
                </c:pt>
                <c:pt idx="4">
                  <c:v>2.0189667137501782E-2</c:v>
                </c:pt>
                <c:pt idx="5">
                  <c:v>9.6345161063039197E-2</c:v>
                </c:pt>
                <c:pt idx="6">
                  <c:v>1.0934034995041325E-3</c:v>
                </c:pt>
                <c:pt idx="7">
                  <c:v>0.54937215504361925</c:v>
                </c:pt>
                <c:pt idx="8">
                  <c:v>3.6154666851264477E-3</c:v>
                </c:pt>
                <c:pt idx="9">
                  <c:v>2.2807481609268987E-2</c:v>
                </c:pt>
                <c:pt idx="10">
                  <c:v>1.3350923974967229E-2</c:v>
                </c:pt>
                <c:pt idx="11">
                  <c:v>5.2653677953408713E-3</c:v>
                </c:pt>
                <c:pt idx="12">
                  <c:v>4.7897111090739332E-2</c:v>
                </c:pt>
                <c:pt idx="13">
                  <c:v>2.5300767593470215E-3</c:v>
                </c:pt>
                <c:pt idx="14">
                  <c:v>1.7769476771600956E-2</c:v>
                </c:pt>
                <c:pt idx="15">
                  <c:v>7.3649093243888006E-2</c:v>
                </c:pt>
                <c:pt idx="16">
                  <c:v>1.4814680947545981E-2</c:v>
                </c:pt>
                <c:pt idx="17">
                  <c:v>0.16791121491867686</c:v>
                </c:pt>
              </c:numCache>
            </c:numRef>
          </c:val>
          <c:extLst>
            <c:ext xmlns:c16="http://schemas.microsoft.com/office/drawing/2014/chart" uri="{C3380CC4-5D6E-409C-BE32-E72D297353CC}">
              <c16:uniqueId val="{00000002-70B7-4B6C-AA2B-490AFAC5428E}"/>
            </c:ext>
          </c:extLst>
        </c:ser>
        <c:dLbls>
          <c:showLegendKey val="0"/>
          <c:showVal val="0"/>
          <c:showCatName val="0"/>
          <c:showSerName val="0"/>
          <c:showPercent val="0"/>
          <c:showBubbleSize val="0"/>
        </c:dLbls>
        <c:gapWidth val="150"/>
        <c:overlap val="100"/>
        <c:axId val="1813761759"/>
        <c:axId val="1813762175"/>
      </c:barChart>
      <c:catAx>
        <c:axId val="181376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2175"/>
        <c:crosses val="autoZero"/>
        <c:auto val="1"/>
        <c:lblAlgn val="ctr"/>
        <c:lblOffset val="100"/>
        <c:noMultiLvlLbl val="0"/>
      </c:catAx>
      <c:valAx>
        <c:axId val="181376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1813761759"/>
        <c:crosses val="autoZero"/>
        <c:crossBetween val="between"/>
      </c:valAx>
      <c:spPr>
        <a:noFill/>
        <a:ln>
          <a:noFill/>
        </a:ln>
        <a:effectLst/>
      </c:spPr>
    </c:plotArea>
    <c:legend>
      <c:legendPos val="b"/>
      <c:layout>
        <c:manualLayout>
          <c:xMode val="edge"/>
          <c:yMode val="edge"/>
          <c:x val="0.32846218296786978"/>
          <c:y val="0.88852630108087993"/>
          <c:w val="0.35370717549195246"/>
          <c:h val="8.5186966491687319E-2"/>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2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Footprints'!$J$101</c:f>
              <c:strCache>
                <c:ptCount val="1"/>
                <c:pt idx="0">
                  <c:v>Upstream
CF</c:v>
                </c:pt>
              </c:strCache>
            </c:strRef>
          </c:tx>
          <c:spPr>
            <a:solidFill>
              <a:schemeClr val="accent1"/>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Footprints'!$J$103:$J$115</c:f>
              <c:numCache>
                <c:formatCode>_(* #,##0.0000_);_(* \(#,##0.0000\);_(* "-"??_);_(@_)</c:formatCode>
                <c:ptCount val="13"/>
                <c:pt idx="0">
                  <c:v>4.3737608130499248E-2</c:v>
                </c:pt>
                <c:pt idx="1">
                  <c:v>3.8026679477278426E-2</c:v>
                </c:pt>
                <c:pt idx="2">
                  <c:v>1.9194903061445935E-7</c:v>
                </c:pt>
                <c:pt idx="3">
                  <c:v>1.7235540009424427E-3</c:v>
                </c:pt>
                <c:pt idx="4">
                  <c:v>5.2914929395012383E-2</c:v>
                </c:pt>
                <c:pt idx="5">
                  <c:v>0.1079820684166274</c:v>
                </c:pt>
                <c:pt idx="6">
                  <c:v>8.8547408325392929E-2</c:v>
                </c:pt>
                <c:pt idx="7">
                  <c:v>0.73315585601970745</c:v>
                </c:pt>
                <c:pt idx="8">
                  <c:v>1.6632194172019131E-3</c:v>
                </c:pt>
                <c:pt idx="9">
                  <c:v>2.627164946457259E-2</c:v>
                </c:pt>
                <c:pt idx="10">
                  <c:v>9.0818227073860872E-4</c:v>
                </c:pt>
                <c:pt idx="11">
                  <c:v>2.8984978646721282E-4</c:v>
                </c:pt>
                <c:pt idx="12">
                  <c:v>1.1431677747364968E-2</c:v>
                </c:pt>
              </c:numCache>
            </c:numRef>
          </c:val>
          <c:extLst>
            <c:ext xmlns:c16="http://schemas.microsoft.com/office/drawing/2014/chart" uri="{C3380CC4-5D6E-409C-BE32-E72D297353CC}">
              <c16:uniqueId val="{00000000-CA3E-4E4B-8F15-88FC480FC045}"/>
            </c:ext>
          </c:extLst>
        </c:ser>
        <c:ser>
          <c:idx val="1"/>
          <c:order val="1"/>
          <c:tx>
            <c:strRef>
              <c:f>'Carbon Footprints'!$K$101</c:f>
              <c:strCache>
                <c:ptCount val="1"/>
                <c:pt idx="0">
                  <c:v>Direct
CF</c:v>
                </c:pt>
              </c:strCache>
            </c:strRef>
          </c:tx>
          <c:spPr>
            <a:solidFill>
              <a:schemeClr val="accent2"/>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Footprints'!$K$103:$K$115</c:f>
              <c:numCache>
                <c:formatCode>_(* #,##0.0000_);_(* \(#,##0.0000\);_(* "-"??_);_(@_)</c:formatCode>
                <c:ptCount val="13"/>
                <c:pt idx="0">
                  <c:v>9.0187925030645044E-4</c:v>
                </c:pt>
                <c:pt idx="1">
                  <c:v>3.0509635852498527E-2</c:v>
                </c:pt>
                <c:pt idx="2">
                  <c:v>1.280274924461151E-5</c:v>
                </c:pt>
                <c:pt idx="3">
                  <c:v>1.667638842099824E-2</c:v>
                </c:pt>
                <c:pt idx="4">
                  <c:v>1.2875221447667557E-2</c:v>
                </c:pt>
                <c:pt idx="5">
                  <c:v>0.4846071339282727</c:v>
                </c:pt>
                <c:pt idx="6">
                  <c:v>4.0721518112140947E-6</c:v>
                </c:pt>
                <c:pt idx="7">
                  <c:v>6.2045286918173799E-2</c:v>
                </c:pt>
                <c:pt idx="8">
                  <c:v>3.4544985374430941E-4</c:v>
                </c:pt>
                <c:pt idx="9">
                  <c:v>1.842608788315974E-3</c:v>
                </c:pt>
                <c:pt idx="10">
                  <c:v>2.2990765117191646E-3</c:v>
                </c:pt>
                <c:pt idx="11">
                  <c:v>4.1342131405986641E-4</c:v>
                </c:pt>
                <c:pt idx="12">
                  <c:v>3.2385854492408925E-2</c:v>
                </c:pt>
              </c:numCache>
            </c:numRef>
          </c:val>
          <c:extLst>
            <c:ext xmlns:c16="http://schemas.microsoft.com/office/drawing/2014/chart" uri="{C3380CC4-5D6E-409C-BE32-E72D297353CC}">
              <c16:uniqueId val="{00000001-CA3E-4E4B-8F15-88FC480FC045}"/>
            </c:ext>
          </c:extLst>
        </c:ser>
        <c:ser>
          <c:idx val="2"/>
          <c:order val="2"/>
          <c:tx>
            <c:strRef>
              <c:f>'Carbon Footprints'!$L$101</c:f>
              <c:strCache>
                <c:ptCount val="1"/>
                <c:pt idx="0">
                  <c:v>Utility
CF</c:v>
                </c:pt>
              </c:strCache>
            </c:strRef>
          </c:tx>
          <c:spPr>
            <a:solidFill>
              <a:schemeClr val="accent3"/>
            </a:solidFill>
            <a:ln>
              <a:noFill/>
            </a:ln>
            <a:effectLst/>
          </c:spPr>
          <c:invertIfNegative val="0"/>
          <c:cat>
            <c:strRef>
              <c:f>'Carbon Footprints'!$E$103:$E$115</c:f>
              <c:strCache>
                <c:ptCount val="1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strCache>
            </c:strRef>
          </c:cat>
          <c:val>
            <c:numRef>
              <c:f>'Carbon Footprints'!$L$103:$L$115</c:f>
              <c:numCache>
                <c:formatCode>_(* #,##0.0000_);_(* \(#,##0.0000\);_(* "-"??_);_(@_)</c:formatCode>
                <c:ptCount val="13"/>
                <c:pt idx="0">
                  <c:v>6.2021671213245075E-3</c:v>
                </c:pt>
                <c:pt idx="1">
                  <c:v>1.7091194972542025E-3</c:v>
                </c:pt>
                <c:pt idx="2">
                  <c:v>1.199944114589676E-4</c:v>
                </c:pt>
                <c:pt idx="3">
                  <c:v>8.8317949490161578E-4</c:v>
                </c:pt>
                <c:pt idx="4">
                  <c:v>1.923807125871984E-2</c:v>
                </c:pt>
                <c:pt idx="5">
                  <c:v>9.18041422545679E-2</c:v>
                </c:pt>
                <c:pt idx="6">
                  <c:v>1.041868312871896E-3</c:v>
                </c:pt>
                <c:pt idx="7">
                  <c:v>0.52347869800459701</c:v>
                </c:pt>
                <c:pt idx="8">
                  <c:v>3.4450595568658155E-3</c:v>
                </c:pt>
                <c:pt idx="9">
                  <c:v>2.1732500761047793E-2</c:v>
                </c:pt>
                <c:pt idx="10">
                  <c:v>1.2721657323566563E-2</c:v>
                </c:pt>
                <c:pt idx="11">
                  <c:v>5.01719618061372E-3</c:v>
                </c:pt>
                <c:pt idx="12">
                  <c:v>4.5639585337140007E-2</c:v>
                </c:pt>
              </c:numCache>
            </c:numRef>
          </c:val>
          <c:extLst>
            <c:ext xmlns:c16="http://schemas.microsoft.com/office/drawing/2014/chart" uri="{C3380CC4-5D6E-409C-BE32-E72D297353CC}">
              <c16:uniqueId val="{00000002-CA3E-4E4B-8F15-88FC480FC045}"/>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Footprints'!$J$155</c:f>
              <c:strCache>
                <c:ptCount val="1"/>
                <c:pt idx="0">
                  <c:v>Upstream
CF</c:v>
                </c:pt>
              </c:strCache>
            </c:strRef>
          </c:tx>
          <c:spPr>
            <a:solidFill>
              <a:schemeClr val="accent1"/>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Footprints'!$J$157:$J$170</c:f>
              <c:numCache>
                <c:formatCode>_(* #,##0.0000_);_(* \(#,##0.0000\);_(* "-"??_);_(@_)</c:formatCode>
                <c:ptCount val="14"/>
                <c:pt idx="0">
                  <c:v>4.8156526610865114E-2</c:v>
                </c:pt>
                <c:pt idx="1">
                  <c:v>4.1868608742996985E-2</c:v>
                </c:pt>
                <c:pt idx="2">
                  <c:v>2.1134211484850716E-7</c:v>
                </c:pt>
                <c:pt idx="3">
                  <c:v>1.8976889148579134E-3</c:v>
                </c:pt>
                <c:pt idx="4">
                  <c:v>5.8261055289533403E-2</c:v>
                </c:pt>
                <c:pt idx="5">
                  <c:v>0.11889176325523536</c:v>
                </c:pt>
                <c:pt idx="6">
                  <c:v>9.7493571496230114E-2</c:v>
                </c:pt>
                <c:pt idx="7">
                  <c:v>0.80722840135614937</c:v>
                </c:pt>
                <c:pt idx="8">
                  <c:v>1.8312585792349143E-3</c:v>
                </c:pt>
                <c:pt idx="9">
                  <c:v>2.8925939040315068E-2</c:v>
                </c:pt>
                <c:pt idx="10">
                  <c:v>9.9993816666536783E-4</c:v>
                </c:pt>
                <c:pt idx="11">
                  <c:v>3.1913402565396701E-4</c:v>
                </c:pt>
                <c:pt idx="12">
                  <c:v>1.2586648360039889E-2</c:v>
                </c:pt>
                <c:pt idx="13">
                  <c:v>9.7259676510522836E-3</c:v>
                </c:pt>
              </c:numCache>
            </c:numRef>
          </c:val>
          <c:extLst>
            <c:ext xmlns:c16="http://schemas.microsoft.com/office/drawing/2014/chart" uri="{C3380CC4-5D6E-409C-BE32-E72D297353CC}">
              <c16:uniqueId val="{00000000-0389-4BF3-A514-4EE1342E782F}"/>
            </c:ext>
          </c:extLst>
        </c:ser>
        <c:ser>
          <c:idx val="1"/>
          <c:order val="1"/>
          <c:tx>
            <c:strRef>
              <c:f>'Carbon Footprints'!$K$155</c:f>
              <c:strCache>
                <c:ptCount val="1"/>
                <c:pt idx="0">
                  <c:v>Direct
CF</c:v>
                </c:pt>
              </c:strCache>
            </c:strRef>
          </c:tx>
          <c:spPr>
            <a:solidFill>
              <a:schemeClr val="accent2"/>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Footprints'!$K$157:$K$170</c:f>
              <c:numCache>
                <c:formatCode>_(* #,##0.0000_);_(* \(#,##0.0000\);_(* "-"??_);_(@_)</c:formatCode>
                <c:ptCount val="14"/>
                <c:pt idx="0">
                  <c:v>9.9299833652503606E-4</c:v>
                </c:pt>
                <c:pt idx="1">
                  <c:v>3.3592099651057868E-2</c:v>
                </c:pt>
                <c:pt idx="2">
                  <c:v>1.4096242594035284E-5</c:v>
                </c:pt>
                <c:pt idx="3">
                  <c:v>1.8361245095360402E-2</c:v>
                </c:pt>
                <c:pt idx="4">
                  <c:v>1.417603684260515E-2</c:v>
                </c:pt>
                <c:pt idx="5">
                  <c:v>0.53356818853014742</c:v>
                </c:pt>
                <c:pt idx="6">
                  <c:v>4.4835713575171152E-6</c:v>
                </c:pt>
                <c:pt idx="7">
                  <c:v>6.8313875364169163E-2</c:v>
                </c:pt>
                <c:pt idx="8">
                  <c:v>3.8035150493190457E-4</c:v>
                </c:pt>
                <c:pt idx="9">
                  <c:v>2.0287721011903277E-3</c:v>
                </c:pt>
                <c:pt idx="10">
                  <c:v>2.5313578851106481E-3</c:v>
                </c:pt>
                <c:pt idx="11">
                  <c:v>4.551902896157647E-4</c:v>
                </c:pt>
                <c:pt idx="12">
                  <c:v>3.5657877290087958E-2</c:v>
                </c:pt>
                <c:pt idx="13">
                  <c:v>2.7395704395816692E-2</c:v>
                </c:pt>
              </c:numCache>
            </c:numRef>
          </c:val>
          <c:extLst>
            <c:ext xmlns:c16="http://schemas.microsoft.com/office/drawing/2014/chart" uri="{C3380CC4-5D6E-409C-BE32-E72D297353CC}">
              <c16:uniqueId val="{00000001-0389-4BF3-A514-4EE1342E782F}"/>
            </c:ext>
          </c:extLst>
        </c:ser>
        <c:ser>
          <c:idx val="2"/>
          <c:order val="2"/>
          <c:tx>
            <c:strRef>
              <c:f>'Carbon Footprints'!$L$155</c:f>
              <c:strCache>
                <c:ptCount val="1"/>
                <c:pt idx="0">
                  <c:v>Utility
CF</c:v>
                </c:pt>
              </c:strCache>
            </c:strRef>
          </c:tx>
          <c:spPr>
            <a:solidFill>
              <a:schemeClr val="accent3"/>
            </a:solidFill>
            <a:ln>
              <a:noFill/>
            </a:ln>
            <a:effectLst/>
          </c:spPr>
          <c:invertIfNegative val="0"/>
          <c:cat>
            <c:strRef>
              <c:f>'Carbon Footprints'!$E$157:$E$170</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strCache>
            </c:strRef>
          </c:cat>
          <c:val>
            <c:numRef>
              <c:f>'Carbon Footprints'!$L$157:$L$170</c:f>
              <c:numCache>
                <c:formatCode>_(* #,##0.0000_);_(* \(#,##0.0000\);_(* "-"??_);_(@_)</c:formatCode>
                <c:ptCount val="14"/>
                <c:pt idx="0">
                  <c:v>6.8287873706295212E-3</c:v>
                </c:pt>
                <c:pt idx="1">
                  <c:v>1.8817960576421422E-3</c:v>
                </c:pt>
                <c:pt idx="2">
                  <c:v>1.3211774295790487E-4</c:v>
                </c:pt>
                <c:pt idx="3">
                  <c:v>9.7240929868641602E-4</c:v>
                </c:pt>
                <c:pt idx="4">
                  <c:v>2.1181741071621015E-2</c:v>
                </c:pt>
                <c:pt idx="5">
                  <c:v>0.10107934129088555</c:v>
                </c:pt>
                <c:pt idx="6">
                  <c:v>1.1471308395313452E-3</c:v>
                </c:pt>
                <c:pt idx="7">
                  <c:v>0.57636704264814687</c:v>
                </c:pt>
                <c:pt idx="8">
                  <c:v>3.7931224252415493E-3</c:v>
                </c:pt>
                <c:pt idx="9">
                  <c:v>2.3928188942052651E-2</c:v>
                </c:pt>
                <c:pt idx="10">
                  <c:v>1.4006957756097284E-2</c:v>
                </c:pt>
                <c:pt idx="11">
                  <c:v>5.5240958916355238E-3</c:v>
                </c:pt>
                <c:pt idx="12">
                  <c:v>5.0250665268186542E-2</c:v>
                </c:pt>
                <c:pt idx="13">
                  <c:v>0.1223019928021345</c:v>
                </c:pt>
              </c:numCache>
            </c:numRef>
          </c:val>
          <c:extLst>
            <c:ext xmlns:c16="http://schemas.microsoft.com/office/drawing/2014/chart" uri="{C3380CC4-5D6E-409C-BE32-E72D297353CC}">
              <c16:uniqueId val="{00000002-0389-4BF3-A514-4EE1342E782F}"/>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Footprints'!$J$273</c:f>
              <c:strCache>
                <c:ptCount val="1"/>
                <c:pt idx="0">
                  <c:v>Upstream
CF</c:v>
                </c:pt>
              </c:strCache>
            </c:strRef>
          </c:tx>
          <c:spPr>
            <a:solidFill>
              <a:schemeClr val="accent1"/>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Footprints'!$J$275:$J$290</c:f>
              <c:numCache>
                <c:formatCode>_(* #,##0.0000_);_(* \(#,##0.0000\);_(* "-"??_);_(@_)</c:formatCode>
                <c:ptCount val="16"/>
                <c:pt idx="0">
                  <c:v>4.6033444549899064E-2</c:v>
                </c:pt>
                <c:pt idx="1">
                  <c:v>4.0022742805485463E-2</c:v>
                </c:pt>
                <c:pt idx="2">
                  <c:v>2.0202465189302365E-7</c:v>
                </c:pt>
                <c:pt idx="3">
                  <c:v>1.8140252959057948E-3</c:v>
                </c:pt>
                <c:pt idx="4">
                  <c:v>5.5692493766446888E-2</c:v>
                </c:pt>
                <c:pt idx="5">
                  <c:v>0.11365016907209378</c:v>
                </c:pt>
                <c:pt idx="6">
                  <c:v>9.3195361735884649E-2</c:v>
                </c:pt>
                <c:pt idx="7">
                  <c:v>0.77164003444858109</c:v>
                </c:pt>
                <c:pt idx="8">
                  <c:v>1.7505236817623327E-3</c:v>
                </c:pt>
                <c:pt idx="9">
                  <c:v>2.7650677998975047E-2</c:v>
                </c:pt>
                <c:pt idx="10">
                  <c:v>9.5585378323636162E-4</c:v>
                </c:pt>
                <c:pt idx="11">
                  <c:v>3.0506432892552919E-4</c:v>
                </c:pt>
                <c:pt idx="12">
                  <c:v>1.2031739415779374E-2</c:v>
                </c:pt>
                <c:pt idx="13">
                  <c:v>2.9896593218501966E-3</c:v>
                </c:pt>
                <c:pt idx="14">
                  <c:v>6.0447824743859141E-4</c:v>
                </c:pt>
                <c:pt idx="15">
                  <c:v>7.696101088549138E-4</c:v>
                </c:pt>
              </c:numCache>
            </c:numRef>
          </c:val>
          <c:extLst>
            <c:ext xmlns:c16="http://schemas.microsoft.com/office/drawing/2014/chart" uri="{C3380CC4-5D6E-409C-BE32-E72D297353CC}">
              <c16:uniqueId val="{00000000-7840-4411-8F46-D6A527253708}"/>
            </c:ext>
          </c:extLst>
        </c:ser>
        <c:ser>
          <c:idx val="1"/>
          <c:order val="1"/>
          <c:tx>
            <c:strRef>
              <c:f>'Carbon Footprints'!$K$273</c:f>
              <c:strCache>
                <c:ptCount val="1"/>
                <c:pt idx="0">
                  <c:v>Direct
CF</c:v>
                </c:pt>
              </c:strCache>
            </c:strRef>
          </c:tx>
          <c:spPr>
            <a:solidFill>
              <a:schemeClr val="accent2"/>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Footprints'!$K$275:$K$290</c:f>
              <c:numCache>
                <c:formatCode>_(* #,##0.0000_);_(* \(#,##0.0000\);_(* "-"??_);_(@_)</c:formatCode>
                <c:ptCount val="16"/>
                <c:pt idx="0">
                  <c:v>9.4921991014721308E-4</c:v>
                </c:pt>
                <c:pt idx="1">
                  <c:v>3.2111121076011433E-2</c:v>
                </c:pt>
                <c:pt idx="2">
                  <c:v>1.347478000350722E-5</c:v>
                </c:pt>
                <c:pt idx="3">
                  <c:v>1.7551750872615412E-2</c:v>
                </c:pt>
                <c:pt idx="4">
                  <c:v>1.355105635430435E-2</c:v>
                </c:pt>
                <c:pt idx="5">
                  <c:v>0.51004470938630653</c:v>
                </c:pt>
                <c:pt idx="6">
                  <c:v>4.2859036562078988E-6</c:v>
                </c:pt>
                <c:pt idx="7">
                  <c:v>6.530211406184934E-2</c:v>
                </c:pt>
                <c:pt idx="8">
                  <c:v>3.6358290649232829E-4</c:v>
                </c:pt>
                <c:pt idx="9">
                  <c:v>1.9393294034511233E-3</c:v>
                </c:pt>
                <c:pt idx="10">
                  <c:v>2.4197576328916512E-3</c:v>
                </c:pt>
                <c:pt idx="11">
                  <c:v>4.3512226548233129E-4</c:v>
                </c:pt>
                <c:pt idx="12">
                  <c:v>3.4085824550104137E-2</c:v>
                </c:pt>
                <c:pt idx="13">
                  <c:v>8.4211490274434895E-3</c:v>
                </c:pt>
                <c:pt idx="14">
                  <c:v>1.5057025940970862E-3</c:v>
                </c:pt>
                <c:pt idx="15">
                  <c:v>1.5383121536326795E-3</c:v>
                </c:pt>
              </c:numCache>
            </c:numRef>
          </c:val>
          <c:extLst>
            <c:ext xmlns:c16="http://schemas.microsoft.com/office/drawing/2014/chart" uri="{C3380CC4-5D6E-409C-BE32-E72D297353CC}">
              <c16:uniqueId val="{00000001-7840-4411-8F46-D6A527253708}"/>
            </c:ext>
          </c:extLst>
        </c:ser>
        <c:ser>
          <c:idx val="2"/>
          <c:order val="2"/>
          <c:tx>
            <c:strRef>
              <c:f>'Carbon Footprints'!$L$273</c:f>
              <c:strCache>
                <c:ptCount val="1"/>
                <c:pt idx="0">
                  <c:v>Utility
CF</c:v>
                </c:pt>
              </c:strCache>
            </c:strRef>
          </c:tx>
          <c:spPr>
            <a:solidFill>
              <a:schemeClr val="accent3"/>
            </a:solidFill>
            <a:ln>
              <a:noFill/>
            </a:ln>
            <a:effectLst/>
          </c:spPr>
          <c:invertIfNegative val="0"/>
          <c:cat>
            <c:strRef>
              <c:f>'Carbon Footprints'!$E$275:$E$290</c:f>
              <c:strCache>
                <c:ptCount val="16"/>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Shearing Line 1</c:v>
                </c:pt>
                <c:pt idx="14">
                  <c:v>Shearing Line 2</c:v>
                </c:pt>
                <c:pt idx="15">
                  <c:v>Heavy Shearing Line</c:v>
                </c:pt>
              </c:strCache>
            </c:strRef>
          </c:cat>
          <c:val>
            <c:numRef>
              <c:f>'Carbon Footprints'!$L$275:$L$290</c:f>
              <c:numCache>
                <c:formatCode>_(* #,##0.0000_);_(* \(#,##0.0000\);_(* "-"??_);_(@_)</c:formatCode>
                <c:ptCount val="16"/>
                <c:pt idx="0">
                  <c:v>6.5277258741912791E-3</c:v>
                </c:pt>
                <c:pt idx="1">
                  <c:v>1.7988331088260776E-3</c:v>
                </c:pt>
                <c:pt idx="2">
                  <c:v>1.26293053559605E-4</c:v>
                </c:pt>
                <c:pt idx="3">
                  <c:v>9.2953858347391333E-4</c:v>
                </c:pt>
                <c:pt idx="4">
                  <c:v>2.0247899333977085E-2</c:v>
                </c:pt>
                <c:pt idx="5">
                  <c:v>9.662304530502587E-2</c:v>
                </c:pt>
                <c:pt idx="6">
                  <c:v>1.0965571566187485E-3</c:v>
                </c:pt>
                <c:pt idx="7">
                  <c:v>0.55095668573710155</c:v>
                </c:pt>
                <c:pt idx="8">
                  <c:v>3.6258946216012966E-3</c:v>
                </c:pt>
                <c:pt idx="9">
                  <c:v>2.2873264256458397E-2</c:v>
                </c:pt>
                <c:pt idx="10">
                  <c:v>1.3389431475994477E-2</c:v>
                </c:pt>
                <c:pt idx="11">
                  <c:v>5.2805544712719223E-3</c:v>
                </c:pt>
                <c:pt idx="12">
                  <c:v>4.8035258686964684E-2</c:v>
                </c:pt>
                <c:pt idx="13">
                  <c:v>3.7594335698021487E-2</c:v>
                </c:pt>
                <c:pt idx="14">
                  <c:v>2.5423028768478496E-2</c:v>
                </c:pt>
                <c:pt idx="15">
                  <c:v>3.7930244486468354E-2</c:v>
                </c:pt>
              </c:numCache>
            </c:numRef>
          </c:val>
          <c:extLst>
            <c:ext xmlns:c16="http://schemas.microsoft.com/office/drawing/2014/chart" uri="{C3380CC4-5D6E-409C-BE32-E72D297353CC}">
              <c16:uniqueId val="{00000002-7840-4411-8F46-D6A527253708}"/>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Footprints'!$J$326</c:f>
              <c:strCache>
                <c:ptCount val="1"/>
                <c:pt idx="0">
                  <c:v>Upstream
CF</c:v>
                </c:pt>
              </c:strCache>
            </c:strRef>
          </c:tx>
          <c:spPr>
            <a:solidFill>
              <a:schemeClr val="accent1"/>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Footprints'!$J$328:$J$341</c:f>
              <c:numCache>
                <c:formatCode>_(* #,##0.0000_);_(* \(#,##0.0000\);_(* "-"??_);_(@_)</c:formatCode>
                <c:ptCount val="14"/>
                <c:pt idx="0">
                  <c:v>4.4540413870250942E-2</c:v>
                </c:pt>
                <c:pt idx="1">
                  <c:v>3.8724660867961037E-2</c:v>
                </c:pt>
                <c:pt idx="2">
                  <c:v>1.9547226359641119E-7</c:v>
                </c:pt>
                <c:pt idx="3">
                  <c:v>1.7551899111778657E-3</c:v>
                </c:pt>
                <c:pt idx="4">
                  <c:v>5.3886185274166165E-2</c:v>
                </c:pt>
                <c:pt idx="5">
                  <c:v>0.10996408407821721</c:v>
                </c:pt>
                <c:pt idx="6">
                  <c:v>9.0172699937857495E-2</c:v>
                </c:pt>
                <c:pt idx="7">
                  <c:v>0.74661296431856661</c:v>
                </c:pt>
                <c:pt idx="8">
                  <c:v>1.6937478834731419E-3</c:v>
                </c:pt>
                <c:pt idx="9">
                  <c:v>2.675386675729638E-2</c:v>
                </c:pt>
                <c:pt idx="10">
                  <c:v>9.2485199665307319E-4</c:v>
                </c:pt>
                <c:pt idx="11">
                  <c:v>2.9516999217090378E-4</c:v>
                </c:pt>
                <c:pt idx="12">
                  <c:v>1.1641506700132431E-2</c:v>
                </c:pt>
                <c:pt idx="13">
                  <c:v>1.6888853662598903E-3</c:v>
                </c:pt>
              </c:numCache>
            </c:numRef>
          </c:val>
          <c:extLst>
            <c:ext xmlns:c16="http://schemas.microsoft.com/office/drawing/2014/chart" uri="{C3380CC4-5D6E-409C-BE32-E72D297353CC}">
              <c16:uniqueId val="{00000000-3567-4F00-BBE2-E9339CEF2CD5}"/>
            </c:ext>
          </c:extLst>
        </c:ser>
        <c:ser>
          <c:idx val="1"/>
          <c:order val="1"/>
          <c:tx>
            <c:strRef>
              <c:f>'Carbon Footprints'!$K$326</c:f>
              <c:strCache>
                <c:ptCount val="1"/>
                <c:pt idx="0">
                  <c:v>Direct
CF</c:v>
                </c:pt>
              </c:strCache>
            </c:strRef>
          </c:tx>
          <c:spPr>
            <a:solidFill>
              <a:schemeClr val="accent2"/>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Footprints'!$K$328:$K$341</c:f>
              <c:numCache>
                <c:formatCode>_(* #,##0.0000_);_(* \(#,##0.0000\);_(* "-"??_);_(@_)</c:formatCode>
                <c:ptCount val="14"/>
                <c:pt idx="0">
                  <c:v>9.1843328400094686E-4</c:v>
                </c:pt>
                <c:pt idx="1">
                  <c:v>3.1069641573594195E-2</c:v>
                </c:pt>
                <c:pt idx="2">
                  <c:v>1.3037744275604269E-5</c:v>
                </c:pt>
                <c:pt idx="3">
                  <c:v>1.6982484271113336E-2</c:v>
                </c:pt>
                <c:pt idx="4">
                  <c:v>1.3111546709166111E-2</c:v>
                </c:pt>
                <c:pt idx="5">
                  <c:v>0.49350211939436045</c:v>
                </c:pt>
                <c:pt idx="6">
                  <c:v>4.146896338565221E-6</c:v>
                </c:pt>
                <c:pt idx="7">
                  <c:v>6.3184130915171346E-2</c:v>
                </c:pt>
                <c:pt idx="8">
                  <c:v>3.5179060115223465E-4</c:v>
                </c:pt>
                <c:pt idx="9">
                  <c:v>1.8764299544612132E-3</c:v>
                </c:pt>
                <c:pt idx="10">
                  <c:v>2.3412761632005492E-3</c:v>
                </c:pt>
                <c:pt idx="11">
                  <c:v>4.2100968064069709E-4</c:v>
                </c:pt>
                <c:pt idx="12">
                  <c:v>3.2980298289968554E-2</c:v>
                </c:pt>
                <c:pt idx="13">
                  <c:v>3.5184545895410183E-3</c:v>
                </c:pt>
              </c:numCache>
            </c:numRef>
          </c:val>
          <c:extLst>
            <c:ext xmlns:c16="http://schemas.microsoft.com/office/drawing/2014/chart" uri="{C3380CC4-5D6E-409C-BE32-E72D297353CC}">
              <c16:uniqueId val="{00000001-3567-4F00-BBE2-E9339CEF2CD5}"/>
            </c:ext>
          </c:extLst>
        </c:ser>
        <c:ser>
          <c:idx val="2"/>
          <c:order val="2"/>
          <c:tx>
            <c:strRef>
              <c:f>'Carbon Footprints'!$L$326</c:f>
              <c:strCache>
                <c:ptCount val="1"/>
                <c:pt idx="0">
                  <c:v>Utility
CF</c:v>
                </c:pt>
              </c:strCache>
            </c:strRef>
          </c:tx>
          <c:spPr>
            <a:solidFill>
              <a:schemeClr val="accent3"/>
            </a:solidFill>
            <a:ln>
              <a:noFill/>
            </a:ln>
            <a:effectLst/>
          </c:spPr>
          <c:invertIfNegative val="0"/>
          <c:cat>
            <c:strRef>
              <c:f>'Carbon Footprints'!$E$328:$E$341</c:f>
              <c:strCache>
                <c:ptCount val="14"/>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strCache>
            </c:strRef>
          </c:cat>
          <c:val>
            <c:numRef>
              <c:f>'Carbon Footprints'!$L$328:$L$341</c:f>
              <c:numCache>
                <c:formatCode>_(* #,##0.0000_);_(* \(#,##0.0000\);_(* "-"??_);_(@_)</c:formatCode>
                <c:ptCount val="14"/>
                <c:pt idx="0">
                  <c:v>6.3160081742929825E-3</c:v>
                </c:pt>
                <c:pt idx="1">
                  <c:v>1.7404904615333488E-3</c:v>
                </c:pt>
                <c:pt idx="2">
                  <c:v>1.2219691421060322E-4</c:v>
                </c:pt>
                <c:pt idx="3">
                  <c:v>8.9939029375514523E-4</c:v>
                </c:pt>
                <c:pt idx="4">
                  <c:v>1.9591186911093218E-2</c:v>
                </c:pt>
                <c:pt idx="5">
                  <c:v>9.3489211362943636E-2</c:v>
                </c:pt>
                <c:pt idx="6">
                  <c:v>1.0609918520271091E-3</c:v>
                </c:pt>
                <c:pt idx="7">
                  <c:v>0.53308717275570672</c:v>
                </c:pt>
                <c:pt idx="8">
                  <c:v>3.5082937780373594E-3</c:v>
                </c:pt>
                <c:pt idx="9">
                  <c:v>2.2131401777721382E-2</c:v>
                </c:pt>
                <c:pt idx="10">
                  <c:v>1.2955163908747007E-2</c:v>
                </c:pt>
                <c:pt idx="11">
                  <c:v>5.1092870393373872E-3</c:v>
                </c:pt>
                <c:pt idx="12">
                  <c:v>4.6477301952992017E-2</c:v>
                </c:pt>
                <c:pt idx="13">
                  <c:v>2.3984614055889052E-2</c:v>
                </c:pt>
              </c:numCache>
            </c:numRef>
          </c:val>
          <c:extLst>
            <c:ext xmlns:c16="http://schemas.microsoft.com/office/drawing/2014/chart" uri="{C3380CC4-5D6E-409C-BE32-E72D297353CC}">
              <c16:uniqueId val="{00000002-3567-4F00-BBE2-E9339CEF2CD5}"/>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Footprints'!$J$379</c:f>
              <c:strCache>
                <c:ptCount val="1"/>
                <c:pt idx="0">
                  <c:v>Upstream
CF</c:v>
                </c:pt>
              </c:strCache>
            </c:strRef>
          </c:tx>
          <c:spPr>
            <a:solidFill>
              <a:schemeClr val="accent1"/>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Footprints'!$J$381:$J$395</c:f>
              <c:numCache>
                <c:formatCode>_(* #,##0.0000_);_(* \(#,##0.0000\);_(* "-"??_);_(@_)</c:formatCode>
                <c:ptCount val="15"/>
                <c:pt idx="0">
                  <c:v>4.5567651733655651E-2</c:v>
                </c:pt>
                <c:pt idx="1">
                  <c:v>3.96177697197772E-2</c:v>
                </c:pt>
                <c:pt idx="2">
                  <c:v>1.9998045049823467E-7</c:v>
                </c:pt>
                <c:pt idx="3">
                  <c:v>1.7956699466683331E-3</c:v>
                </c:pt>
                <c:pt idx="4">
                  <c:v>5.5128965145707427E-2</c:v>
                </c:pt>
                <c:pt idx="5">
                  <c:v>0.11250019142353336</c:v>
                </c:pt>
                <c:pt idx="6">
                  <c:v>9.2252357569495874E-2</c:v>
                </c:pt>
                <c:pt idx="7">
                  <c:v>0.7638321376403735</c:v>
                </c:pt>
                <c:pt idx="8">
                  <c:v>1.7328108783082052E-3</c:v>
                </c:pt>
                <c:pt idx="9">
                  <c:v>2.7370892566837311E-2</c:v>
                </c:pt>
                <c:pt idx="10">
                  <c:v>9.4618190597486407E-4</c:v>
                </c:pt>
                <c:pt idx="11">
                  <c:v>3.0197751293131015E-4</c:v>
                </c:pt>
                <c:pt idx="12">
                  <c:v>1.1909995369867109E-2</c:v>
                </c:pt>
                <c:pt idx="13">
                  <c:v>1.7686224151742131E-4</c:v>
                </c:pt>
                <c:pt idx="14">
                  <c:v>3.5642353930372584E-3</c:v>
                </c:pt>
              </c:numCache>
            </c:numRef>
          </c:val>
          <c:extLst>
            <c:ext xmlns:c16="http://schemas.microsoft.com/office/drawing/2014/chart" uri="{C3380CC4-5D6E-409C-BE32-E72D297353CC}">
              <c16:uniqueId val="{00000000-C553-4AFC-B2B5-26974DB742A6}"/>
            </c:ext>
          </c:extLst>
        </c:ser>
        <c:ser>
          <c:idx val="1"/>
          <c:order val="1"/>
          <c:tx>
            <c:strRef>
              <c:f>'Carbon Footprints'!$K$379</c:f>
              <c:strCache>
                <c:ptCount val="1"/>
                <c:pt idx="0">
                  <c:v>Direct
CF</c:v>
                </c:pt>
              </c:strCache>
            </c:strRef>
          </c:tx>
          <c:spPr>
            <a:solidFill>
              <a:schemeClr val="accent2"/>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Footprints'!$K$381:$K$395</c:f>
              <c:numCache>
                <c:formatCode>_(* #,##0.0000_);_(* \(#,##0.0000\);_(* "-"??_);_(@_)</c:formatCode>
                <c:ptCount val="15"/>
                <c:pt idx="0">
                  <c:v>9.3961515822163196E-4</c:v>
                </c:pt>
                <c:pt idx="1">
                  <c:v>3.1786202320420259E-2</c:v>
                </c:pt>
                <c:pt idx="2">
                  <c:v>1.3338434444588845E-5</c:v>
                </c:pt>
                <c:pt idx="3">
                  <c:v>1.7374152182165557E-2</c:v>
                </c:pt>
                <c:pt idx="4">
                  <c:v>1.341393898748418E-2</c:v>
                </c:pt>
                <c:pt idx="5">
                  <c:v>0.50488378423899172</c:v>
                </c:pt>
                <c:pt idx="6">
                  <c:v>4.2425364228041729E-6</c:v>
                </c:pt>
                <c:pt idx="7">
                  <c:v>6.4641349786811325E-2</c:v>
                </c:pt>
                <c:pt idx="8">
                  <c:v>3.5990396593923876E-4</c:v>
                </c:pt>
                <c:pt idx="9">
                  <c:v>1.9197061553259916E-3</c:v>
                </c:pt>
                <c:pt idx="10">
                  <c:v>2.3952731361638574E-3</c:v>
                </c:pt>
                <c:pt idx="11">
                  <c:v>4.307194486296943E-4</c:v>
                </c:pt>
                <c:pt idx="12">
                  <c:v>3.3740924611235533E-2</c:v>
                </c:pt>
                <c:pt idx="13">
                  <c:v>3.6845707696642134E-4</c:v>
                </c:pt>
                <c:pt idx="14">
                  <c:v>3.5167174117290913E-3</c:v>
                </c:pt>
              </c:numCache>
            </c:numRef>
          </c:val>
          <c:extLst>
            <c:ext xmlns:c16="http://schemas.microsoft.com/office/drawing/2014/chart" uri="{C3380CC4-5D6E-409C-BE32-E72D297353CC}">
              <c16:uniqueId val="{00000001-C553-4AFC-B2B5-26974DB742A6}"/>
            </c:ext>
          </c:extLst>
        </c:ser>
        <c:ser>
          <c:idx val="2"/>
          <c:order val="2"/>
          <c:tx>
            <c:strRef>
              <c:f>'Carbon Footprints'!$L$379</c:f>
              <c:strCache>
                <c:ptCount val="1"/>
                <c:pt idx="0">
                  <c:v>Utility
CF</c:v>
                </c:pt>
              </c:strCache>
            </c:strRef>
          </c:tx>
          <c:spPr>
            <a:solidFill>
              <a:schemeClr val="accent3"/>
            </a:solidFill>
            <a:ln>
              <a:noFill/>
            </a:ln>
            <a:effectLst/>
          </c:spPr>
          <c:invertIfNegative val="0"/>
          <c:cat>
            <c:strRef>
              <c:f>'Carbon Footprints'!$E$381:$E$395</c:f>
              <c:strCache>
                <c:ptCount val="15"/>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strCache>
            </c:strRef>
          </c:cat>
          <c:val>
            <c:numRef>
              <c:f>'Carbon Footprints'!$L$381:$L$395</c:f>
              <c:numCache>
                <c:formatCode>_(* #,##0.0000_);_(* \(#,##0.0000\);_(* "-"??_);_(@_)</c:formatCode>
                <c:ptCount val="15"/>
                <c:pt idx="0">
                  <c:v>6.4616745967269436E-3</c:v>
                </c:pt>
                <c:pt idx="1">
                  <c:v>1.7806314828581634E-3</c:v>
                </c:pt>
                <c:pt idx="2">
                  <c:v>1.2501514794848478E-4</c:v>
                </c:pt>
                <c:pt idx="3">
                  <c:v>9.2013297850916014E-4</c:v>
                </c:pt>
                <c:pt idx="4">
                  <c:v>2.0043019465742096E-2</c:v>
                </c:pt>
                <c:pt idx="5">
                  <c:v>9.5645357868712977E-2</c:v>
                </c:pt>
                <c:pt idx="6">
                  <c:v>1.0854615618582988E-3</c:v>
                </c:pt>
                <c:pt idx="7">
                  <c:v>0.54538178972862594</c:v>
                </c:pt>
                <c:pt idx="8">
                  <c:v>3.589205738470538E-3</c:v>
                </c:pt>
                <c:pt idx="9">
                  <c:v>2.2641819438916088E-2</c:v>
                </c:pt>
                <c:pt idx="10">
                  <c:v>1.3253949522469553E-2</c:v>
                </c:pt>
                <c:pt idx="11">
                  <c:v>5.2271227899682512E-3</c:v>
                </c:pt>
                <c:pt idx="12">
                  <c:v>4.7549210366193716E-2</c:v>
                </c:pt>
                <c:pt idx="13">
                  <c:v>2.5116995437344685E-3</c:v>
                </c:pt>
                <c:pt idx="14">
                  <c:v>1.7640408155501646E-2</c:v>
                </c:pt>
              </c:numCache>
            </c:numRef>
          </c:val>
          <c:extLst>
            <c:ext xmlns:c16="http://schemas.microsoft.com/office/drawing/2014/chart" uri="{C3380CC4-5D6E-409C-BE32-E72D297353CC}">
              <c16:uniqueId val="{00000002-C553-4AFC-B2B5-26974DB742A6}"/>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Footprints'!$J$479</c:f>
              <c:strCache>
                <c:ptCount val="1"/>
                <c:pt idx="0">
                  <c:v>Upstream
CF</c:v>
                </c:pt>
              </c:strCache>
            </c:strRef>
          </c:tx>
          <c:spPr>
            <a:solidFill>
              <a:schemeClr val="accent1"/>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Footprints'!$J$481:$J$497</c:f>
              <c:numCache>
                <c:formatCode>_(* #,##0.0000_);_(* \(#,##0.0000\);_(* "-"??_);_(@_)</c:formatCode>
                <c:ptCount val="17"/>
                <c:pt idx="0">
                  <c:v>4.6388535387177549E-2</c:v>
                </c:pt>
                <c:pt idx="1">
                  <c:v>4.0331468545910472E-2</c:v>
                </c:pt>
                <c:pt idx="2">
                  <c:v>2.0358302110682054E-7</c:v>
                </c:pt>
                <c:pt idx="3">
                  <c:v>1.8280182474970953E-3</c:v>
                </c:pt>
                <c:pt idx="4">
                  <c:v>5.6122092168978302E-2</c:v>
                </c:pt>
                <c:pt idx="5">
                  <c:v>0.11452683893869275</c:v>
                </c:pt>
                <c:pt idx="6">
                  <c:v>9.3914248174925608E-2</c:v>
                </c:pt>
                <c:pt idx="7">
                  <c:v>0.7775922787046663</c:v>
                </c:pt>
                <c:pt idx="8">
                  <c:v>1.7640267972886766E-3</c:v>
                </c:pt>
                <c:pt idx="9">
                  <c:v>2.7863968629254322E-2</c:v>
                </c:pt>
                <c:pt idx="10">
                  <c:v>9.6322700771530093E-4</c:v>
                </c:pt>
                <c:pt idx="11">
                  <c:v>3.0741752124127138E-4</c:v>
                </c:pt>
                <c:pt idx="12">
                  <c:v>1.2124549338322421E-2</c:v>
                </c:pt>
                <c:pt idx="13">
                  <c:v>1.8004834651654428E-4</c:v>
                </c:pt>
                <c:pt idx="14">
                  <c:v>3.6284437175862177E-3</c:v>
                </c:pt>
                <c:pt idx="15">
                  <c:v>2.4037533083812925E-3</c:v>
                </c:pt>
                <c:pt idx="16">
                  <c:v>3.8509716021744805E-5</c:v>
                </c:pt>
              </c:numCache>
            </c:numRef>
          </c:val>
          <c:extLst>
            <c:ext xmlns:c16="http://schemas.microsoft.com/office/drawing/2014/chart" uri="{C3380CC4-5D6E-409C-BE32-E72D297353CC}">
              <c16:uniqueId val="{00000000-C9B0-4997-B92B-AFEEFA7D986C}"/>
            </c:ext>
          </c:extLst>
        </c:ser>
        <c:ser>
          <c:idx val="1"/>
          <c:order val="1"/>
          <c:tx>
            <c:strRef>
              <c:f>'Carbon Footprints'!$K$479</c:f>
              <c:strCache>
                <c:ptCount val="1"/>
                <c:pt idx="0">
                  <c:v>Direct
CF</c:v>
                </c:pt>
              </c:strCache>
            </c:strRef>
          </c:tx>
          <c:spPr>
            <a:solidFill>
              <a:schemeClr val="accent2"/>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Footprints'!$K$481:$K$497</c:f>
              <c:numCache>
                <c:formatCode>_(* #,##0.0000_);_(* \(#,##0.0000\);_(* "-"??_);_(@_)</c:formatCode>
                <c:ptCount val="17"/>
                <c:pt idx="0">
                  <c:v>9.5654196253654124E-4</c:v>
                </c:pt>
                <c:pt idx="1">
                  <c:v>3.2358818483414258E-2</c:v>
                </c:pt>
                <c:pt idx="2">
                  <c:v>1.3578721191492887E-5</c:v>
                </c:pt>
                <c:pt idx="3">
                  <c:v>1.7687140826028624E-2</c:v>
                </c:pt>
                <c:pt idx="4">
                  <c:v>1.3655585919578184E-2</c:v>
                </c:pt>
                <c:pt idx="5">
                  <c:v>0.51397907068983939</c:v>
                </c:pt>
                <c:pt idx="6">
                  <c:v>4.3189640785303722E-6</c:v>
                </c:pt>
                <c:pt idx="7">
                  <c:v>6.5805838746912662E-2</c:v>
                </c:pt>
                <c:pt idx="8">
                  <c:v>3.6638749693627308E-4</c:v>
                </c:pt>
                <c:pt idx="9">
                  <c:v>1.9542889205666361E-3</c:v>
                </c:pt>
                <c:pt idx="10">
                  <c:v>2.4384230569605178E-3</c:v>
                </c:pt>
                <c:pt idx="11">
                  <c:v>4.3847869320742041E-4</c:v>
                </c:pt>
                <c:pt idx="12">
                  <c:v>3.4348754341632218E-2</c:v>
                </c:pt>
                <c:pt idx="13">
                  <c:v>3.7509468895648152E-4</c:v>
                </c:pt>
                <c:pt idx="14">
                  <c:v>3.5800697181902139E-3</c:v>
                </c:pt>
                <c:pt idx="15">
                  <c:v>1.925911868312773E-4</c:v>
                </c:pt>
                <c:pt idx="16">
                  <c:v>3.1326936151514367E-6</c:v>
                </c:pt>
              </c:numCache>
            </c:numRef>
          </c:val>
          <c:extLst>
            <c:ext xmlns:c16="http://schemas.microsoft.com/office/drawing/2014/chart" uri="{C3380CC4-5D6E-409C-BE32-E72D297353CC}">
              <c16:uniqueId val="{00000001-C9B0-4997-B92B-AFEEFA7D986C}"/>
            </c:ext>
          </c:extLst>
        </c:ser>
        <c:ser>
          <c:idx val="2"/>
          <c:order val="2"/>
          <c:tx>
            <c:strRef>
              <c:f>'Carbon Footprints'!$L$479</c:f>
              <c:strCache>
                <c:ptCount val="1"/>
                <c:pt idx="0">
                  <c:v>Utility
CF</c:v>
                </c:pt>
              </c:strCache>
            </c:strRef>
          </c:tx>
          <c:spPr>
            <a:solidFill>
              <a:schemeClr val="accent3"/>
            </a:solidFill>
            <a:ln>
              <a:noFill/>
            </a:ln>
            <a:effectLst/>
          </c:spPr>
          <c:invertIfNegative val="0"/>
          <c:cat>
            <c:strRef>
              <c:f>'Carbon Footprints'!$E$481:$E$497</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strCache>
            </c:strRef>
          </c:cat>
          <c:val>
            <c:numRef>
              <c:f>'Carbon Footprints'!$L$481:$L$497</c:f>
              <c:numCache>
                <c:formatCode>_(* #,##0.0000_);_(* \(#,##0.0000\);_(* "-"??_);_(@_)</c:formatCode>
                <c:ptCount val="17"/>
                <c:pt idx="0">
                  <c:v>6.5780791699060594E-3</c:v>
                </c:pt>
                <c:pt idx="1">
                  <c:v>1.8127088715673369E-3</c:v>
                </c:pt>
                <c:pt idx="2">
                  <c:v>1.2726724757374891E-4</c:v>
                </c:pt>
                <c:pt idx="3">
                  <c:v>9.3670881887810147E-4</c:v>
                </c:pt>
                <c:pt idx="4">
                  <c:v>2.0404086723340029E-2</c:v>
                </c:pt>
                <c:pt idx="5">
                  <c:v>9.7368372064585804E-2</c:v>
                </c:pt>
                <c:pt idx="6">
                  <c:v>1.1050157328273006E-3</c:v>
                </c:pt>
                <c:pt idx="7">
                  <c:v>0.55520663211316523</c:v>
                </c:pt>
                <c:pt idx="8">
                  <c:v>3.6538638941520899E-3</c:v>
                </c:pt>
                <c:pt idx="9">
                  <c:v>2.3049703074703116E-2</c:v>
                </c:pt>
                <c:pt idx="10">
                  <c:v>1.3492714306119001E-2</c:v>
                </c:pt>
                <c:pt idx="11">
                  <c:v>5.3212873889762688E-3</c:v>
                </c:pt>
                <c:pt idx="12">
                  <c:v>4.8405791033453625E-2</c:v>
                </c:pt>
                <c:pt idx="13">
                  <c:v>2.5569468413143706E-3</c:v>
                </c:pt>
                <c:pt idx="14">
                  <c:v>1.7958193297930008E-2</c:v>
                </c:pt>
                <c:pt idx="15">
                  <c:v>7.3102489798171869E-2</c:v>
                </c:pt>
                <c:pt idx="16">
                  <c:v>2.6400539575502217E-3</c:v>
                </c:pt>
              </c:numCache>
            </c:numRef>
          </c:val>
          <c:extLst>
            <c:ext xmlns:c16="http://schemas.microsoft.com/office/drawing/2014/chart" uri="{C3380CC4-5D6E-409C-BE32-E72D297353CC}">
              <c16:uniqueId val="{00000002-C9B0-4997-B92B-AFEEFA7D986C}"/>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Footprints'!$J$532</c:f>
              <c:strCache>
                <c:ptCount val="1"/>
                <c:pt idx="0">
                  <c:v>Upstream
CF</c:v>
                </c:pt>
              </c:strCache>
            </c:strRef>
          </c:tx>
          <c:spPr>
            <a:solidFill>
              <a:schemeClr val="accent1"/>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Footprints'!$J$534:$J$555</c:f>
              <c:numCache>
                <c:formatCode>_(* #,##0.0000_);_(* \(#,##0.0000\);_(* "-"??_);_(@_)</c:formatCode>
                <c:ptCount val="22"/>
                <c:pt idx="0">
                  <c:v>4.7539321148722544E-2</c:v>
                </c:pt>
                <c:pt idx="1">
                  <c:v>4.133199333845787E-2</c:v>
                </c:pt>
                <c:pt idx="2">
                  <c:v>2.0863341642597953E-7</c:v>
                </c:pt>
                <c:pt idx="3">
                  <c:v>1.8733668956815248E-3</c:v>
                </c:pt>
                <c:pt idx="4">
                  <c:v>5.7514343595696717E-2</c:v>
                </c:pt>
                <c:pt idx="5">
                  <c:v>0.11736796885291365</c:v>
                </c:pt>
                <c:pt idx="6">
                  <c:v>9.6244030279574247E-2</c:v>
                </c:pt>
                <c:pt idx="7">
                  <c:v>0.79688243553225169</c:v>
                </c:pt>
                <c:pt idx="8">
                  <c:v>1.8077879745787174E-3</c:v>
                </c:pt>
                <c:pt idx="9">
                  <c:v>2.8555205334424051E-2</c:v>
                </c:pt>
                <c:pt idx="10">
                  <c:v>9.8712230676629769E-4</c:v>
                </c:pt>
                <c:pt idx="11">
                  <c:v>3.1504379577960696E-4</c:v>
                </c:pt>
                <c:pt idx="12">
                  <c:v>1.242532966318579E-2</c:v>
                </c:pt>
                <c:pt idx="13">
                  <c:v>1.8451490429491785E-4</c:v>
                </c:pt>
                <c:pt idx="14">
                  <c:v>3.7184565048388146E-3</c:v>
                </c:pt>
                <c:pt idx="15">
                  <c:v>2.3830033611429114E-3</c:v>
                </c:pt>
                <c:pt idx="16">
                  <c:v>4.1696356924366173E-3</c:v>
                </c:pt>
                <c:pt idx="17">
                  <c:v>2.7018247131226606E-3</c:v>
                </c:pt>
                <c:pt idx="18">
                  <c:v>1.082734988360573E-4</c:v>
                </c:pt>
                <c:pt idx="19">
                  <c:v>1.3311619975162062E-4</c:v>
                </c:pt>
                <c:pt idx="20">
                  <c:v>4.9743403967267947E-4</c:v>
                </c:pt>
                <c:pt idx="21">
                  <c:v>2.4422630244030365E-3</c:v>
                </c:pt>
              </c:numCache>
            </c:numRef>
          </c:val>
          <c:extLst>
            <c:ext xmlns:c16="http://schemas.microsoft.com/office/drawing/2014/chart" uri="{C3380CC4-5D6E-409C-BE32-E72D297353CC}">
              <c16:uniqueId val="{00000000-845D-42BB-840A-65476E6E737C}"/>
            </c:ext>
          </c:extLst>
        </c:ser>
        <c:ser>
          <c:idx val="1"/>
          <c:order val="1"/>
          <c:tx>
            <c:strRef>
              <c:f>'Carbon Footprints'!$K$532</c:f>
              <c:strCache>
                <c:ptCount val="1"/>
                <c:pt idx="0">
                  <c:v>Direct
CF</c:v>
                </c:pt>
              </c:strCache>
            </c:strRef>
          </c:tx>
          <c:spPr>
            <a:solidFill>
              <a:schemeClr val="accent2"/>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Footprints'!$K$534:$K$555</c:f>
              <c:numCache>
                <c:formatCode>_(* #,##0.0000_);_(* \(#,##0.0000\);_(* "-"??_);_(@_)</c:formatCode>
                <c:ptCount val="22"/>
                <c:pt idx="0">
                  <c:v>9.8027142201655777E-4</c:v>
                </c:pt>
                <c:pt idx="1">
                  <c:v>3.3161561386597725E-2</c:v>
                </c:pt>
                <c:pt idx="2">
                  <c:v>1.3915575952625925E-5</c:v>
                </c:pt>
                <c:pt idx="3">
                  <c:v>1.8125915399425933E-2</c:v>
                </c:pt>
                <c:pt idx="4">
                  <c:v>1.3994347506048716E-2</c:v>
                </c:pt>
                <c:pt idx="5">
                  <c:v>0.52672963052849908</c:v>
                </c:pt>
                <c:pt idx="6">
                  <c:v>4.426106981937727E-6</c:v>
                </c:pt>
                <c:pt idx="7">
                  <c:v>6.7438320169842109E-2</c:v>
                </c:pt>
                <c:pt idx="8">
                  <c:v>3.7547667190511496E-4</c:v>
                </c:pt>
                <c:pt idx="9">
                  <c:v>2.002770034379832E-3</c:v>
                </c:pt>
                <c:pt idx="10">
                  <c:v>2.4989143510087629E-3</c:v>
                </c:pt>
                <c:pt idx="11">
                  <c:v>4.493562738999859E-4</c:v>
                </c:pt>
                <c:pt idx="12">
                  <c:v>3.5200862671702124E-2</c:v>
                </c:pt>
                <c:pt idx="13">
                  <c:v>3.8439986799866302E-4</c:v>
                </c:pt>
                <c:pt idx="14">
                  <c:v>3.6688824651899925E-3</c:v>
                </c:pt>
                <c:pt idx="15">
                  <c:v>1.9092867972150346E-4</c:v>
                </c:pt>
                <c:pt idx="16">
                  <c:v>9.6910954950820277E-3</c:v>
                </c:pt>
                <c:pt idx="17">
                  <c:v>3.8965451153446513E-3</c:v>
                </c:pt>
                <c:pt idx="18">
                  <c:v>8.8078473053994562E-6</c:v>
                </c:pt>
                <c:pt idx="19">
                  <c:v>1.0964219959242051E-5</c:v>
                </c:pt>
                <c:pt idx="20">
                  <c:v>1.084614697967085E-3</c:v>
                </c:pt>
                <c:pt idx="21">
                  <c:v>1.9067821119931431E-4</c:v>
                </c:pt>
              </c:numCache>
            </c:numRef>
          </c:val>
          <c:extLst>
            <c:ext xmlns:c16="http://schemas.microsoft.com/office/drawing/2014/chart" uri="{C3380CC4-5D6E-409C-BE32-E72D297353CC}">
              <c16:uniqueId val="{00000001-845D-42BB-840A-65476E6E737C}"/>
            </c:ext>
          </c:extLst>
        </c:ser>
        <c:ser>
          <c:idx val="2"/>
          <c:order val="2"/>
          <c:tx>
            <c:strRef>
              <c:f>'Carbon Footprints'!$L$532</c:f>
              <c:strCache>
                <c:ptCount val="1"/>
                <c:pt idx="0">
                  <c:v>Utility
CF</c:v>
                </c:pt>
              </c:strCache>
            </c:strRef>
          </c:tx>
          <c:spPr>
            <a:solidFill>
              <a:schemeClr val="accent3"/>
            </a:solidFill>
            <a:ln>
              <a:noFill/>
            </a:ln>
            <a:effectLst/>
          </c:spPr>
          <c:invertIfNegative val="0"/>
          <c:cat>
            <c:strRef>
              <c:f>'Carbon Footprints'!$E$534:$E$555</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strCache>
            </c:strRef>
          </c:cat>
          <c:val>
            <c:numRef>
              <c:f>'Carbon Footprints'!$L$534:$L$555</c:f>
              <c:numCache>
                <c:formatCode>_(* #,##0.0000_);_(* \(#,##0.0000\);_(* "-"??_);_(@_)</c:formatCode>
                <c:ptCount val="22"/>
                <c:pt idx="0">
                  <c:v>6.7412651766178824E-3</c:v>
                </c:pt>
                <c:pt idx="1">
                  <c:v>1.8576777316922587E-3</c:v>
                </c:pt>
                <c:pt idx="2">
                  <c:v>1.304244357711451E-4</c:v>
                </c:pt>
                <c:pt idx="3">
                  <c:v>9.5994626671907167E-4</c:v>
                </c:pt>
                <c:pt idx="4">
                  <c:v>2.0910262059176121E-2</c:v>
                </c:pt>
                <c:pt idx="5">
                  <c:v>9.9783842509201581E-2</c:v>
                </c:pt>
                <c:pt idx="6">
                  <c:v>1.1324284623089982E-3</c:v>
                </c:pt>
                <c:pt idx="7">
                  <c:v>0.56897994661034557</c:v>
                </c:pt>
                <c:pt idx="8">
                  <c:v>3.7445072936239309E-3</c:v>
                </c:pt>
                <c:pt idx="9">
                  <c:v>2.362150966193027E-2</c:v>
                </c:pt>
                <c:pt idx="10">
                  <c:v>1.3827435447419963E-2</c:v>
                </c:pt>
                <c:pt idx="11">
                  <c:v>5.4532954747934263E-3</c:v>
                </c:pt>
                <c:pt idx="12">
                  <c:v>4.9606619958805255E-2</c:v>
                </c:pt>
                <c:pt idx="13">
                  <c:v>2.6203784196871882E-3</c:v>
                </c:pt>
                <c:pt idx="14">
                  <c:v>1.8403692018203095E-2</c:v>
                </c:pt>
                <c:pt idx="15">
                  <c:v>7.2471446337506656E-2</c:v>
                </c:pt>
                <c:pt idx="16">
                  <c:v>9.0621157417166375E-4</c:v>
                </c:pt>
                <c:pt idx="17">
                  <c:v>1.9491952739690292E-2</c:v>
                </c:pt>
                <c:pt idx="18">
                  <c:v>7.4227470007448585E-3</c:v>
                </c:pt>
                <c:pt idx="19">
                  <c:v>3.2378700204762395E-3</c:v>
                </c:pt>
                <c:pt idx="20">
                  <c:v>9.9715597402724271E-5</c:v>
                </c:pt>
                <c:pt idx="21">
                  <c:v>7.1028219924012884E-3</c:v>
                </c:pt>
              </c:numCache>
            </c:numRef>
          </c:val>
          <c:extLst>
            <c:ext xmlns:c16="http://schemas.microsoft.com/office/drawing/2014/chart" uri="{C3380CC4-5D6E-409C-BE32-E72D297353CC}">
              <c16:uniqueId val="{00000002-845D-42BB-840A-65476E6E737C}"/>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Footprints'!$J$586</c:f>
              <c:strCache>
                <c:ptCount val="1"/>
                <c:pt idx="0">
                  <c:v>Upstream
CF</c:v>
                </c:pt>
              </c:strCache>
            </c:strRef>
          </c:tx>
          <c:spPr>
            <a:solidFill>
              <a:schemeClr val="accent1"/>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Footprints'!$J$588:$J$607</c:f>
              <c:numCache>
                <c:formatCode>_(* #,##0.0000_);_(* \(#,##0.0000\);_(* "-"??_);_(@_)</c:formatCode>
                <c:ptCount val="20"/>
                <c:pt idx="0">
                  <c:v>5.112378686682667E-2</c:v>
                </c:pt>
                <c:pt idx="1">
                  <c:v>4.4448426421697038E-2</c:v>
                </c:pt>
                <c:pt idx="2">
                  <c:v>2.2436437998960125E-7</c:v>
                </c:pt>
                <c:pt idx="3">
                  <c:v>2.0146187952194724E-3</c:v>
                </c:pt>
                <c:pt idx="4">
                  <c:v>6.1850926195879181E-2</c:v>
                </c:pt>
                <c:pt idx="5">
                  <c:v>0.12621751593501554</c:v>
                </c:pt>
                <c:pt idx="6">
                  <c:v>0.10350083199178338</c:v>
                </c:pt>
                <c:pt idx="7">
                  <c:v>0.85696738631622893</c:v>
                </c:pt>
                <c:pt idx="8">
                  <c:v>1.944095222219178E-3</c:v>
                </c:pt>
                <c:pt idx="9">
                  <c:v>3.0708268359334694E-2</c:v>
                </c:pt>
                <c:pt idx="10">
                  <c:v>1.0615513474568532E-3</c:v>
                </c:pt>
                <c:pt idx="11">
                  <c:v>3.3879810396883416E-4</c:v>
                </c:pt>
                <c:pt idx="12">
                  <c:v>1.3362199755934863E-2</c:v>
                </c:pt>
                <c:pt idx="13">
                  <c:v>1.9842733158548237E-4</c:v>
                </c:pt>
                <c:pt idx="14">
                  <c:v>3.9988281959733689E-3</c:v>
                </c:pt>
                <c:pt idx="15">
                  <c:v>3.9488017221486716E-4</c:v>
                </c:pt>
                <c:pt idx="16">
                  <c:v>2.0292747251261564E-3</c:v>
                </c:pt>
                <c:pt idx="17">
                  <c:v>2.4948795648492505E-3</c:v>
                </c:pt>
                <c:pt idx="18">
                  <c:v>9.3229676234403633E-3</c:v>
                </c:pt>
                <c:pt idx="19">
                  <c:v>2.442263024403037E-3</c:v>
                </c:pt>
              </c:numCache>
            </c:numRef>
          </c:val>
          <c:extLst>
            <c:ext xmlns:c16="http://schemas.microsoft.com/office/drawing/2014/chart" uri="{C3380CC4-5D6E-409C-BE32-E72D297353CC}">
              <c16:uniqueId val="{00000000-2891-46FA-8CB1-2DD7C7880323}"/>
            </c:ext>
          </c:extLst>
        </c:ser>
        <c:ser>
          <c:idx val="1"/>
          <c:order val="1"/>
          <c:tx>
            <c:strRef>
              <c:f>'Carbon Footprints'!$K$586</c:f>
              <c:strCache>
                <c:ptCount val="1"/>
                <c:pt idx="0">
                  <c:v>Direct
CF</c:v>
                </c:pt>
              </c:strCache>
            </c:strRef>
          </c:tx>
          <c:spPr>
            <a:solidFill>
              <a:schemeClr val="accent2"/>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Footprints'!$K$588:$K$607</c:f>
              <c:numCache>
                <c:formatCode>_(* #,##0.0000_);_(* \(#,##0.0000\);_(* "-"??_);_(@_)</c:formatCode>
                <c:ptCount val="20"/>
                <c:pt idx="0">
                  <c:v>1.0541839058667813E-3</c:v>
                </c:pt>
                <c:pt idx="1">
                  <c:v>3.5661943745386608E-2</c:v>
                </c:pt>
                <c:pt idx="2">
                  <c:v>1.4964810643921094E-5</c:v>
                </c:pt>
                <c:pt idx="3">
                  <c:v>1.9492609765027823E-2</c:v>
                </c:pt>
                <c:pt idx="4">
                  <c:v>1.5049521573969027E-2</c:v>
                </c:pt>
                <c:pt idx="5">
                  <c:v>0.56644505468090711</c:v>
                </c:pt>
                <c:pt idx="6">
                  <c:v>4.759835532494521E-6</c:v>
                </c:pt>
                <c:pt idx="7">
                  <c:v>7.2523170792321498E-2</c:v>
                </c:pt>
                <c:pt idx="8">
                  <c:v>4.0378762010273946E-4</c:v>
                </c:pt>
                <c:pt idx="9">
                  <c:v>2.1537789330349538E-3</c:v>
                </c:pt>
                <c:pt idx="10">
                  <c:v>2.6873325405669876E-3</c:v>
                </c:pt>
                <c:pt idx="11">
                  <c:v>4.8323774549211424E-4</c:v>
                </c:pt>
                <c:pt idx="12">
                  <c:v>3.7855008386145042E-2</c:v>
                </c:pt>
                <c:pt idx="13">
                  <c:v>4.1338362535132738E-4</c:v>
                </c:pt>
                <c:pt idx="14">
                  <c:v>3.9455162727928652E-3</c:v>
                </c:pt>
                <c:pt idx="15">
                  <c:v>3.1638205450547421E-5</c:v>
                </c:pt>
                <c:pt idx="16">
                  <c:v>1.6507771626260022E-4</c:v>
                </c:pt>
                <c:pt idx="17">
                  <c:v>2.0549270766342056E-4</c:v>
                </c:pt>
                <c:pt idx="18">
                  <c:v>2.0327976991097046E-2</c:v>
                </c:pt>
                <c:pt idx="19">
                  <c:v>1.9342003241625751E-4</c:v>
                </c:pt>
              </c:numCache>
            </c:numRef>
          </c:val>
          <c:extLst>
            <c:ext xmlns:c16="http://schemas.microsoft.com/office/drawing/2014/chart" uri="{C3380CC4-5D6E-409C-BE32-E72D297353CC}">
              <c16:uniqueId val="{00000001-2891-46FA-8CB1-2DD7C7880323}"/>
            </c:ext>
          </c:extLst>
        </c:ser>
        <c:ser>
          <c:idx val="2"/>
          <c:order val="2"/>
          <c:tx>
            <c:strRef>
              <c:f>'Carbon Footprints'!$L$586</c:f>
              <c:strCache>
                <c:ptCount val="1"/>
                <c:pt idx="0">
                  <c:v>Utility
CF</c:v>
                </c:pt>
              </c:strCache>
            </c:strRef>
          </c:tx>
          <c:spPr>
            <a:solidFill>
              <a:schemeClr val="accent3"/>
            </a:solidFill>
            <a:ln>
              <a:noFill/>
            </a:ln>
            <a:effectLst/>
          </c:spPr>
          <c:invertIfNegative val="0"/>
          <c:cat>
            <c:strRef>
              <c:f>'Carbon Footprints'!$E$588:$E$607</c:f>
              <c:strCache>
                <c:ptCount val="20"/>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strCache>
            </c:strRef>
          </c:cat>
          <c:val>
            <c:numRef>
              <c:f>'Carbon Footprints'!$L$588:$L$607</c:f>
              <c:numCache>
                <c:formatCode>_(* #,##0.0000_);_(* \(#,##0.0000\);_(* "-"??_);_(@_)</c:formatCode>
                <c:ptCount val="20"/>
                <c:pt idx="0">
                  <c:v>7.2495566990534157E-3</c:v>
                </c:pt>
                <c:pt idx="1">
                  <c:v>1.9977466679672409E-3</c:v>
                </c:pt>
                <c:pt idx="2">
                  <c:v>1.4025844070702134E-4</c:v>
                </c:pt>
                <c:pt idx="3">
                  <c:v>1.0323262334735826E-3</c:v>
                </c:pt>
                <c:pt idx="4">
                  <c:v>2.2486896215840015E-2</c:v>
                </c:pt>
                <c:pt idx="5">
                  <c:v>0.10730754613079917</c:v>
                </c:pt>
                <c:pt idx="6">
                  <c:v>1.217813589889034E-3</c:v>
                </c:pt>
                <c:pt idx="7">
                  <c:v>0.61188104539829713</c:v>
                </c:pt>
                <c:pt idx="8">
                  <c:v>4.0268432147279815E-3</c:v>
                </c:pt>
                <c:pt idx="9">
                  <c:v>2.5402571939369407E-2</c:v>
                </c:pt>
                <c:pt idx="10">
                  <c:v>1.487002434294748E-2</c:v>
                </c:pt>
                <c:pt idx="11">
                  <c:v>5.8644740572333792E-3</c:v>
                </c:pt>
                <c:pt idx="12">
                  <c:v>5.3346960046478875E-2</c:v>
                </c:pt>
                <c:pt idx="13">
                  <c:v>2.8179550023322056E-3</c:v>
                </c:pt>
                <c:pt idx="14">
                  <c:v>1.9791330746139962E-2</c:v>
                </c:pt>
                <c:pt idx="15">
                  <c:v>1.2009020917490391E-2</c:v>
                </c:pt>
                <c:pt idx="16">
                  <c:v>0.13911800248022746</c:v>
                </c:pt>
                <c:pt idx="17">
                  <c:v>6.0684542999251662E-2</c:v>
                </c:pt>
                <c:pt idx="18">
                  <c:v>1.8688815239691588E-3</c:v>
                </c:pt>
                <c:pt idx="19">
                  <c:v>8.5941259158721209E-2</c:v>
                </c:pt>
              </c:numCache>
            </c:numRef>
          </c:val>
          <c:extLst>
            <c:ext xmlns:c16="http://schemas.microsoft.com/office/drawing/2014/chart" uri="{C3380CC4-5D6E-409C-BE32-E72D297353CC}">
              <c16:uniqueId val="{00000002-2891-46FA-8CB1-2DD7C7880323}"/>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Footprints'!$J$640</c:f>
              <c:strCache>
                <c:ptCount val="1"/>
                <c:pt idx="0">
                  <c:v>Upstream
CF</c:v>
                </c:pt>
              </c:strCache>
            </c:strRef>
          </c:tx>
          <c:spPr>
            <a:solidFill>
              <a:schemeClr val="accent1"/>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Footprints'!$J$642:$J$664</c:f>
              <c:numCache>
                <c:formatCode>_(* #,##0.0000_);_(* \(#,##0.0000\);_(* "-"??_);_(@_)</c:formatCode>
                <c:ptCount val="23"/>
                <c:pt idx="0">
                  <c:v>4.8819012996355632E-2</c:v>
                </c:pt>
                <c:pt idx="1">
                  <c:v>4.2444592627711095E-2</c:v>
                </c:pt>
                <c:pt idx="2">
                  <c:v>2.1424953537115592E-7</c:v>
                </c:pt>
                <c:pt idx="3">
                  <c:v>1.9237953049667464E-3</c:v>
                </c:pt>
                <c:pt idx="4">
                  <c:v>5.9062549056837575E-2</c:v>
                </c:pt>
                <c:pt idx="5">
                  <c:v>0.12052734995649435</c:v>
                </c:pt>
                <c:pt idx="6">
                  <c:v>9.8834784584769728E-2</c:v>
                </c:pt>
                <c:pt idx="7">
                  <c:v>0.81833339300559016</c:v>
                </c:pt>
                <c:pt idx="8">
                  <c:v>1.8564510912875197E-3</c:v>
                </c:pt>
                <c:pt idx="9">
                  <c:v>2.932387141107318E-2</c:v>
                </c:pt>
                <c:pt idx="10">
                  <c:v>1.0136942547466601E-3</c:v>
                </c:pt>
                <c:pt idx="11">
                  <c:v>3.2352433288793673E-4</c:v>
                </c:pt>
                <c:pt idx="12">
                  <c:v>1.2759802110202625E-2</c:v>
                </c:pt>
                <c:pt idx="13">
                  <c:v>1.8948178672166348E-4</c:v>
                </c:pt>
                <c:pt idx="14">
                  <c:v>3.818552138517175E-3</c:v>
                </c:pt>
                <c:pt idx="15">
                  <c:v>2.4494080512548018E-3</c:v>
                </c:pt>
                <c:pt idx="16">
                  <c:v>4.285826617951273E-3</c:v>
                </c:pt>
                <c:pt idx="17">
                  <c:v>2.7771136681183049E-3</c:v>
                </c:pt>
                <c:pt idx="18">
                  <c:v>1.1129064444935185E-4</c:v>
                </c:pt>
                <c:pt idx="19">
                  <c:v>1.368256112184762E-4</c:v>
                </c:pt>
                <c:pt idx="20">
                  <c:v>5.1129551959930763E-4</c:v>
                </c:pt>
                <c:pt idx="21">
                  <c:v>2.5103190422633842E-3</c:v>
                </c:pt>
                <c:pt idx="22">
                  <c:v>2.4422630244030374E-3</c:v>
                </c:pt>
              </c:numCache>
            </c:numRef>
          </c:val>
          <c:extLst>
            <c:ext xmlns:c16="http://schemas.microsoft.com/office/drawing/2014/chart" uri="{C3380CC4-5D6E-409C-BE32-E72D297353CC}">
              <c16:uniqueId val="{00000000-499A-4663-8D94-F27E60B2DA48}"/>
            </c:ext>
          </c:extLst>
        </c:ser>
        <c:ser>
          <c:idx val="1"/>
          <c:order val="1"/>
          <c:tx>
            <c:strRef>
              <c:f>'Carbon Footprints'!$K$640</c:f>
              <c:strCache>
                <c:ptCount val="1"/>
                <c:pt idx="0">
                  <c:v>Direct
CF</c:v>
                </c:pt>
              </c:strCache>
            </c:strRef>
          </c:tx>
          <c:spPr>
            <a:solidFill>
              <a:schemeClr val="accent2"/>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Footprints'!$K$642:$K$664</c:f>
              <c:numCache>
                <c:formatCode>_(* #,##0.0000_);_(* \(#,##0.0000\);_(* "-"??_);_(@_)</c:formatCode>
                <c:ptCount val="23"/>
                <c:pt idx="0">
                  <c:v>1.0066589537883698E-3</c:v>
                </c:pt>
                <c:pt idx="1">
                  <c:v>3.4054224107389515E-2</c:v>
                </c:pt>
                <c:pt idx="2">
                  <c:v>1.4290163739565179E-5</c:v>
                </c:pt>
                <c:pt idx="3">
                  <c:v>1.8613839618936076E-2</c:v>
                </c:pt>
                <c:pt idx="4">
                  <c:v>1.4371055712722723E-2</c:v>
                </c:pt>
                <c:pt idx="5">
                  <c:v>0.54090845340199789</c:v>
                </c:pt>
                <c:pt idx="6">
                  <c:v>4.5452515739233412E-6</c:v>
                </c:pt>
                <c:pt idx="7">
                  <c:v>6.9253665161190095E-2</c:v>
                </c:pt>
                <c:pt idx="8">
                  <c:v>3.855839772768134E-4</c:v>
                </c:pt>
                <c:pt idx="9">
                  <c:v>2.0566817946605859E-3</c:v>
                </c:pt>
                <c:pt idx="10">
                  <c:v>2.5661816204111823E-3</c:v>
                </c:pt>
                <c:pt idx="11">
                  <c:v>4.6145231453535046E-4</c:v>
                </c:pt>
                <c:pt idx="12">
                  <c:v>3.6148420522806181E-2</c:v>
                </c:pt>
                <c:pt idx="13">
                  <c:v>3.9474737329370539E-4</c:v>
                </c:pt>
                <c:pt idx="14">
                  <c:v>3.7676436352525517E-3</c:v>
                </c:pt>
                <c:pt idx="15">
                  <c:v>1.9624909177677562E-4</c:v>
                </c:pt>
                <c:pt idx="16">
                  <c:v>9.9611472305051012E-3</c:v>
                </c:pt>
                <c:pt idx="17">
                  <c:v>4.0051261081836048E-3</c:v>
                </c:pt>
                <c:pt idx="18">
                  <c:v>9.0532864769948257E-6</c:v>
                </c:pt>
                <c:pt idx="19">
                  <c:v>1.1269748537415299E-5</c:v>
                </c:pt>
                <c:pt idx="20">
                  <c:v>1.1148385340235992E-3</c:v>
                </c:pt>
                <c:pt idx="21">
                  <c:v>1.959916437073185E-4</c:v>
                </c:pt>
                <c:pt idx="22">
                  <c:v>1.9057881470082753E-4</c:v>
                </c:pt>
              </c:numCache>
            </c:numRef>
          </c:val>
          <c:extLst>
            <c:ext xmlns:c16="http://schemas.microsoft.com/office/drawing/2014/chart" uri="{C3380CC4-5D6E-409C-BE32-E72D297353CC}">
              <c16:uniqueId val="{00000001-499A-4663-8D94-F27E60B2DA48}"/>
            </c:ext>
          </c:extLst>
        </c:ser>
        <c:ser>
          <c:idx val="2"/>
          <c:order val="2"/>
          <c:tx>
            <c:strRef>
              <c:f>'Carbon Footprints'!$L$640</c:f>
              <c:strCache>
                <c:ptCount val="1"/>
                <c:pt idx="0">
                  <c:v>Utility
CF</c:v>
                </c:pt>
              </c:strCache>
            </c:strRef>
          </c:tx>
          <c:spPr>
            <a:solidFill>
              <a:schemeClr val="accent3"/>
            </a:solidFill>
            <a:ln>
              <a:noFill/>
            </a:ln>
            <a:effectLst/>
          </c:spPr>
          <c:invertIfNegative val="0"/>
          <c:cat>
            <c:strRef>
              <c:f>'Carbon Footprints'!$E$642:$E$664</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Corrective Line 1-4</c:v>
                </c:pt>
              </c:strCache>
            </c:strRef>
          </c:cat>
          <c:val>
            <c:numRef>
              <c:f>'Carbon Footprints'!$L$642:$L$664</c:f>
              <c:numCache>
                <c:formatCode>_(* #,##0.0000_);_(* \(#,##0.0000\);_(* "-"??_);_(@_)</c:formatCode>
                <c:ptCount val="23"/>
                <c:pt idx="0">
                  <c:v>6.922730580010218E-3</c:v>
                </c:pt>
                <c:pt idx="1">
                  <c:v>1.9076838106881929E-3</c:v>
                </c:pt>
                <c:pt idx="2">
                  <c:v>1.3393527865142809E-4</c:v>
                </c:pt>
                <c:pt idx="3">
                  <c:v>9.8578667381792702E-4</c:v>
                </c:pt>
                <c:pt idx="4">
                  <c:v>2.1473136985498416E-2</c:v>
                </c:pt>
                <c:pt idx="5">
                  <c:v>0.10246988359474957</c:v>
                </c:pt>
                <c:pt idx="6">
                  <c:v>1.1629118481930947E-3</c:v>
                </c:pt>
                <c:pt idx="7">
                  <c:v>0.58429608873332861</c:v>
                </c:pt>
                <c:pt idx="8">
                  <c:v>3.8453041779980771E-3</c:v>
                </c:pt>
                <c:pt idx="9">
                  <c:v>2.4257367570977646E-2</c:v>
                </c:pt>
                <c:pt idx="10">
                  <c:v>1.4199650615583162E-2</c:v>
                </c:pt>
                <c:pt idx="11">
                  <c:v>5.6000905402929079E-3</c:v>
                </c:pt>
                <c:pt idx="12">
                  <c:v>5.0941960590854263E-2</c:v>
                </c:pt>
                <c:pt idx="13">
                  <c:v>2.6909153314553843E-3</c:v>
                </c:pt>
                <c:pt idx="14">
                  <c:v>1.8899093594686847E-2</c:v>
                </c:pt>
                <c:pt idx="15">
                  <c:v>7.4490933181073055E-2</c:v>
                </c:pt>
                <c:pt idx="16">
                  <c:v>9.3146403488569981E-4</c:v>
                </c:pt>
                <c:pt idx="17">
                  <c:v>2.0035114827692532E-2</c:v>
                </c:pt>
                <c:pt idx="18">
                  <c:v>7.6295890146507979E-3</c:v>
                </c:pt>
                <c:pt idx="19">
                  <c:v>3.3280963956623761E-3</c:v>
                </c:pt>
                <c:pt idx="20">
                  <c:v>1.0249426882754096E-4</c:v>
                </c:pt>
                <c:pt idx="21">
                  <c:v>7.3007489869730104E-3</c:v>
                </c:pt>
                <c:pt idx="22">
                  <c:v>1.0243478567981627E-2</c:v>
                </c:pt>
              </c:numCache>
            </c:numRef>
          </c:val>
          <c:extLst>
            <c:ext xmlns:c16="http://schemas.microsoft.com/office/drawing/2014/chart" uri="{C3380CC4-5D6E-409C-BE32-E72D297353CC}">
              <c16:uniqueId val="{00000002-499A-4663-8D94-F27E60B2DA48}"/>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Footprints'!$J$754</c:f>
              <c:strCache>
                <c:ptCount val="1"/>
                <c:pt idx="0">
                  <c:v>Upstream
CF</c:v>
                </c:pt>
              </c:strCache>
            </c:strRef>
          </c:tx>
          <c:spPr>
            <a:solidFill>
              <a:schemeClr val="accent1"/>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Footprints'!$J$756:$J$778</c:f>
              <c:numCache>
                <c:formatCode>_(* #,##0.0000_);_(* \(#,##0.0000\);_(* "-"??_);_(@_)</c:formatCode>
                <c:ptCount val="23"/>
                <c:pt idx="0">
                  <c:v>4.8953393409087227E-2</c:v>
                </c:pt>
                <c:pt idx="1">
                  <c:v>4.2561426654567851E-2</c:v>
                </c:pt>
                <c:pt idx="2">
                  <c:v>2.148392838978801E-7</c:v>
                </c:pt>
                <c:pt idx="3">
                  <c:v>1.9290907911149778E-3</c:v>
                </c:pt>
                <c:pt idx="4">
                  <c:v>5.9225126078208949E-2</c:v>
                </c:pt>
                <c:pt idx="5">
                  <c:v>0.12085911649658823</c:v>
                </c:pt>
                <c:pt idx="6">
                  <c:v>9.9106839637290584E-2</c:v>
                </c:pt>
                <c:pt idx="7">
                  <c:v>0.82058595757735531</c:v>
                </c:pt>
                <c:pt idx="8">
                  <c:v>1.8615612041011865E-3</c:v>
                </c:pt>
                <c:pt idx="9">
                  <c:v>2.9404589018850347E-2</c:v>
                </c:pt>
                <c:pt idx="10">
                  <c:v>1.0164845744187656E-3</c:v>
                </c:pt>
                <c:pt idx="11">
                  <c:v>3.2441487390287783E-4</c:v>
                </c:pt>
                <c:pt idx="12">
                  <c:v>1.2794925054496286E-2</c:v>
                </c:pt>
                <c:pt idx="13">
                  <c:v>1.9000335893588826E-4</c:v>
                </c:pt>
                <c:pt idx="14">
                  <c:v>3.8290631788048873E-3</c:v>
                </c:pt>
                <c:pt idx="15">
                  <c:v>2.4561503519420413E-3</c:v>
                </c:pt>
                <c:pt idx="16">
                  <c:v>4.297623889433581E-3</c:v>
                </c:pt>
                <c:pt idx="17">
                  <c:v>2.7847580193253261E-3</c:v>
                </c:pt>
                <c:pt idx="18">
                  <c:v>1.1159698580728518E-4</c:v>
                </c:pt>
                <c:pt idx="19">
                  <c:v>1.3720224075232531E-4</c:v>
                </c:pt>
                <c:pt idx="20">
                  <c:v>5.1270292418892317E-4</c:v>
                </c:pt>
                <c:pt idx="21">
                  <c:v>2.5172290080386558E-3</c:v>
                </c:pt>
                <c:pt idx="22">
                  <c:v>2.4422630244030374E-3</c:v>
                </c:pt>
              </c:numCache>
            </c:numRef>
          </c:val>
          <c:extLst>
            <c:ext xmlns:c16="http://schemas.microsoft.com/office/drawing/2014/chart" uri="{C3380CC4-5D6E-409C-BE32-E72D297353CC}">
              <c16:uniqueId val="{00000000-3F0C-4992-8D34-9D2259513B5F}"/>
            </c:ext>
          </c:extLst>
        </c:ser>
        <c:ser>
          <c:idx val="1"/>
          <c:order val="1"/>
          <c:tx>
            <c:strRef>
              <c:f>'Carbon Footprints'!$K$754</c:f>
              <c:strCache>
                <c:ptCount val="1"/>
                <c:pt idx="0">
                  <c:v>Direct
CF</c:v>
                </c:pt>
              </c:strCache>
            </c:strRef>
          </c:tx>
          <c:spPr>
            <a:solidFill>
              <a:schemeClr val="accent2"/>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Footprints'!$K$756:$K$778</c:f>
              <c:numCache>
                <c:formatCode>_(* #,##0.0000_);_(* \(#,##0.0000\);_(* "-"??_);_(@_)</c:formatCode>
                <c:ptCount val="23"/>
                <c:pt idx="0">
                  <c:v>1.0094299079184777E-3</c:v>
                </c:pt>
                <c:pt idx="1">
                  <c:v>3.4147962600036774E-2</c:v>
                </c:pt>
                <c:pt idx="2">
                  <c:v>1.4329499194820454E-5</c:v>
                </c:pt>
                <c:pt idx="3">
                  <c:v>1.8665076530479108E-2</c:v>
                </c:pt>
                <c:pt idx="4">
                  <c:v>1.4410613833207638E-2</c:v>
                </c:pt>
                <c:pt idx="5">
                  <c:v>0.54239737127962062</c:v>
                </c:pt>
                <c:pt idx="6">
                  <c:v>4.557762944903298E-6</c:v>
                </c:pt>
                <c:pt idx="7">
                  <c:v>6.9444294498744119E-2</c:v>
                </c:pt>
                <c:pt idx="8">
                  <c:v>3.8664534519125727E-4</c:v>
                </c:pt>
                <c:pt idx="9">
                  <c:v>2.0623430674201293E-3</c:v>
                </c:pt>
                <c:pt idx="10">
                  <c:v>2.5732453548894035E-3</c:v>
                </c:pt>
                <c:pt idx="11">
                  <c:v>4.6272251949602507E-4</c:v>
                </c:pt>
                <c:pt idx="12">
                  <c:v>3.6247923551878329E-2</c:v>
                </c:pt>
                <c:pt idx="13">
                  <c:v>3.9583396459680863E-4</c:v>
                </c:pt>
                <c:pt idx="14">
                  <c:v>3.7780145435453638E-3</c:v>
                </c:pt>
                <c:pt idx="15">
                  <c:v>1.9678929184090087E-4</c:v>
                </c:pt>
                <c:pt idx="16">
                  <c:v>9.9885665287243273E-3</c:v>
                </c:pt>
                <c:pt idx="17">
                  <c:v>4.0161507165569852E-3</c:v>
                </c:pt>
                <c:pt idx="18">
                  <c:v>9.0782067754336066E-6</c:v>
                </c:pt>
                <c:pt idx="19">
                  <c:v>1.1300769923692657E-5</c:v>
                </c:pt>
                <c:pt idx="20">
                  <c:v>1.1179072659199684E-3</c:v>
                </c:pt>
                <c:pt idx="21">
                  <c:v>1.9653113511357244E-4</c:v>
                </c:pt>
                <c:pt idx="22">
                  <c:v>1.9127528302651908E-4</c:v>
                </c:pt>
              </c:numCache>
            </c:numRef>
          </c:val>
          <c:extLst>
            <c:ext xmlns:c16="http://schemas.microsoft.com/office/drawing/2014/chart" uri="{C3380CC4-5D6E-409C-BE32-E72D297353CC}">
              <c16:uniqueId val="{00000001-3F0C-4992-8D34-9D2259513B5F}"/>
            </c:ext>
          </c:extLst>
        </c:ser>
        <c:ser>
          <c:idx val="2"/>
          <c:order val="2"/>
          <c:tx>
            <c:strRef>
              <c:f>'Carbon Footprints'!$L$754</c:f>
              <c:strCache>
                <c:ptCount val="1"/>
                <c:pt idx="0">
                  <c:v>Utility
CF</c:v>
                </c:pt>
              </c:strCache>
            </c:strRef>
          </c:tx>
          <c:spPr>
            <a:solidFill>
              <a:schemeClr val="accent3"/>
            </a:solidFill>
            <a:ln>
              <a:noFill/>
            </a:ln>
            <a:effectLst/>
          </c:spPr>
          <c:invertIfNegative val="0"/>
          <c:cat>
            <c:strRef>
              <c:f>'Carbon Footprints'!$E$756:$E$778</c:f>
              <c:strCache>
                <c:ptCount val="23"/>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Box Annealing 1</c:v>
                </c:pt>
                <c:pt idx="17">
                  <c:v>Box Annealing 2</c:v>
                </c:pt>
                <c:pt idx="18">
                  <c:v>Two Stand Reversible Mill</c:v>
                </c:pt>
                <c:pt idx="19">
                  <c:v>Electrolytic Cleaning Line</c:v>
                </c:pt>
                <c:pt idx="20">
                  <c:v>Box Annealing 3</c:v>
                </c:pt>
                <c:pt idx="21">
                  <c:v>Skin Pass Line 1,2</c:v>
                </c:pt>
                <c:pt idx="22">
                  <c:v>Heavy Shearing Line (CRM)</c:v>
                </c:pt>
              </c:strCache>
            </c:strRef>
          </c:cat>
          <c:val>
            <c:numRef>
              <c:f>'Carbon Footprints'!$L$756:$L$778</c:f>
              <c:numCache>
                <c:formatCode>_(* #,##0.0000_);_(* \(#,##0.0000\);_(* "-"??_);_(@_)</c:formatCode>
                <c:ptCount val="23"/>
                <c:pt idx="0">
                  <c:v>6.9417862580232262E-3</c:v>
                </c:pt>
                <c:pt idx="1">
                  <c:v>1.9129349479420495E-3</c:v>
                </c:pt>
                <c:pt idx="2">
                  <c:v>1.3430395218495169E-4</c:v>
                </c:pt>
                <c:pt idx="3">
                  <c:v>9.885001743981795E-4</c:v>
                </c:pt>
                <c:pt idx="4">
                  <c:v>2.1532244469112817E-2</c:v>
                </c:pt>
                <c:pt idx="5">
                  <c:v>0.10275194470997633</c:v>
                </c:pt>
                <c:pt idx="6">
                  <c:v>1.1661129078733123E-3</c:v>
                </c:pt>
                <c:pt idx="7">
                  <c:v>0.58590443648028745</c:v>
                </c:pt>
                <c:pt idx="8">
                  <c:v>3.8558888566059069E-3</c:v>
                </c:pt>
                <c:pt idx="9">
                  <c:v>2.4324138996000378E-2</c:v>
                </c:pt>
                <c:pt idx="10">
                  <c:v>1.4238736922193027E-2</c:v>
                </c:pt>
                <c:pt idx="11">
                  <c:v>5.6155054868874867E-3</c:v>
                </c:pt>
                <c:pt idx="12">
                  <c:v>5.1082184681211569E-2</c:v>
                </c:pt>
                <c:pt idx="13">
                  <c:v>2.6983224110064138E-3</c:v>
                </c:pt>
                <c:pt idx="14">
                  <c:v>1.8951115703320972E-2</c:v>
                </c:pt>
                <c:pt idx="15">
                  <c:v>7.4695978751051717E-2</c:v>
                </c:pt>
                <c:pt idx="16">
                  <c:v>9.3402800563746255E-4</c:v>
                </c:pt>
                <c:pt idx="17">
                  <c:v>2.0090263976239867E-2</c:v>
                </c:pt>
                <c:pt idx="18">
                  <c:v>7.6505904085306334E-3</c:v>
                </c:pt>
                <c:pt idx="19">
                  <c:v>3.3372573954411513E-3</c:v>
                </c:pt>
                <c:pt idx="20">
                  <c:v>1.0277639706615766E-4</c:v>
                </c:pt>
                <c:pt idx="21">
                  <c:v>7.3208452077260277E-3</c:v>
                </c:pt>
                <c:pt idx="22">
                  <c:v>1.5132365711033286E-2</c:v>
                </c:pt>
              </c:numCache>
            </c:numRef>
          </c:val>
          <c:extLst>
            <c:ext xmlns:c16="http://schemas.microsoft.com/office/drawing/2014/chart" uri="{C3380CC4-5D6E-409C-BE32-E72D297353CC}">
              <c16:uniqueId val="{00000002-3F0C-4992-8D34-9D2259513B5F}"/>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Footprints'!$J$807</c:f>
              <c:strCache>
                <c:ptCount val="1"/>
                <c:pt idx="0">
                  <c:v>Upstream
CF</c:v>
                </c:pt>
              </c:strCache>
            </c:strRef>
          </c:tx>
          <c:spPr>
            <a:solidFill>
              <a:schemeClr val="accent1"/>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Footprints'!$J$809:$J$829</c:f>
              <c:numCache>
                <c:formatCode>_(* #,##0.0000_);_(* \(#,##0.0000\);_(* "-"??_);_(@_)</c:formatCode>
                <c:ptCount val="21"/>
                <c:pt idx="0">
                  <c:v>5.2759988717786831E-2</c:v>
                </c:pt>
                <c:pt idx="1">
                  <c:v>4.5870985313370971E-2</c:v>
                </c:pt>
                <c:pt idx="2">
                  <c:v>2.3154509637089739E-7</c:v>
                </c:pt>
                <c:pt idx="3">
                  <c:v>2.0790960807207186E-3</c:v>
                </c:pt>
                <c:pt idx="4">
                  <c:v>6.3830447004635332E-2</c:v>
                </c:pt>
                <c:pt idx="5">
                  <c:v>0.13025707062869318</c:v>
                </c:pt>
                <c:pt idx="6">
                  <c:v>0.10681334585782409</c:v>
                </c:pt>
                <c:pt idx="7">
                  <c:v>0.88439437695281164</c:v>
                </c:pt>
                <c:pt idx="8">
                  <c:v>2.0063154213864247E-3</c:v>
                </c:pt>
                <c:pt idx="9">
                  <c:v>3.1691077509607715E-2</c:v>
                </c:pt>
                <c:pt idx="10">
                  <c:v>1.0955259879529234E-3</c:v>
                </c:pt>
                <c:pt idx="11">
                  <c:v>3.4964123822764045E-4</c:v>
                </c:pt>
                <c:pt idx="12">
                  <c:v>1.3789853052247048E-2</c:v>
                </c:pt>
                <c:pt idx="13">
                  <c:v>2.0477794031614982E-4</c:v>
                </c:pt>
                <c:pt idx="14">
                  <c:v>4.1268095231971726E-3</c:v>
                </c:pt>
                <c:pt idx="15">
                  <c:v>4.0751819667045921E-4</c:v>
                </c:pt>
                <c:pt idx="16">
                  <c:v>2.0942210693789248E-3</c:v>
                </c:pt>
                <c:pt idx="17">
                  <c:v>2.5747274558625402E-3</c:v>
                </c:pt>
                <c:pt idx="18">
                  <c:v>9.6213464763538013E-3</c:v>
                </c:pt>
                <c:pt idx="19">
                  <c:v>2.5204269384235135E-3</c:v>
                </c:pt>
                <c:pt idx="20">
                  <c:v>1.8522128952337135E-2</c:v>
                </c:pt>
              </c:numCache>
            </c:numRef>
          </c:val>
          <c:extLst>
            <c:ext xmlns:c16="http://schemas.microsoft.com/office/drawing/2014/chart" uri="{C3380CC4-5D6E-409C-BE32-E72D297353CC}">
              <c16:uniqueId val="{00000000-75FC-4CD6-AA89-F96B910ED827}"/>
            </c:ext>
          </c:extLst>
        </c:ser>
        <c:ser>
          <c:idx val="1"/>
          <c:order val="1"/>
          <c:tx>
            <c:strRef>
              <c:f>'Carbon Footprints'!$K$807</c:f>
              <c:strCache>
                <c:ptCount val="1"/>
                <c:pt idx="0">
                  <c:v>Direct
CF</c:v>
                </c:pt>
              </c:strCache>
            </c:strRef>
          </c:tx>
          <c:spPr>
            <a:solidFill>
              <a:schemeClr val="accent2"/>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Footprints'!$K$809:$K$829</c:f>
              <c:numCache>
                <c:formatCode>_(* #,##0.0000_);_(* \(#,##0.0000\);_(* "-"??_);_(@_)</c:formatCode>
                <c:ptCount val="21"/>
                <c:pt idx="0">
                  <c:v>1.087922753548874E-3</c:v>
                </c:pt>
                <c:pt idx="1">
                  <c:v>3.6803293828021062E-2</c:v>
                </c:pt>
                <c:pt idx="2">
                  <c:v>1.5443755033127526E-5</c:v>
                </c:pt>
                <c:pt idx="3">
                  <c:v>2.0116465041254986E-2</c:v>
                </c:pt>
                <c:pt idx="4">
                  <c:v>1.5531177111723629E-2</c:v>
                </c:pt>
                <c:pt idx="5">
                  <c:v>0.58457396303721532</c:v>
                </c:pt>
                <c:pt idx="6">
                  <c:v>4.9121726770182773E-6</c:v>
                </c:pt>
                <c:pt idx="7">
                  <c:v>7.4844253669006711E-2</c:v>
                </c:pt>
                <c:pt idx="8">
                  <c:v>4.1671072482359891E-4</c:v>
                </c:pt>
                <c:pt idx="9">
                  <c:v>2.222709998058963E-3</c:v>
                </c:pt>
                <c:pt idx="10">
                  <c:v>2.773339832798196E-3</c:v>
                </c:pt>
                <c:pt idx="11">
                  <c:v>4.9870362824621566E-4</c:v>
                </c:pt>
                <c:pt idx="12">
                  <c:v>3.9066546861392729E-2</c:v>
                </c:pt>
                <c:pt idx="13">
                  <c:v>4.2661384741446163E-4</c:v>
                </c:pt>
                <c:pt idx="14">
                  <c:v>4.0717913675027617E-3</c:v>
                </c:pt>
                <c:pt idx="15">
                  <c:v>3.2650776965527155E-5</c:v>
                </c:pt>
                <c:pt idx="16">
                  <c:v>1.7036098030571056E-4</c:v>
                </c:pt>
                <c:pt idx="17">
                  <c:v>2.1206944168966843E-4</c:v>
                </c:pt>
                <c:pt idx="18">
                  <c:v>2.0978567951147598E-2</c:v>
                </c:pt>
                <c:pt idx="19">
                  <c:v>1.9961038400106174E-4</c:v>
                </c:pt>
                <c:pt idx="20">
                  <c:v>3.1416645417968133E-3</c:v>
                </c:pt>
              </c:numCache>
            </c:numRef>
          </c:val>
          <c:extLst>
            <c:ext xmlns:c16="http://schemas.microsoft.com/office/drawing/2014/chart" uri="{C3380CC4-5D6E-409C-BE32-E72D297353CC}">
              <c16:uniqueId val="{00000001-75FC-4CD6-AA89-F96B910ED827}"/>
            </c:ext>
          </c:extLst>
        </c:ser>
        <c:ser>
          <c:idx val="2"/>
          <c:order val="2"/>
          <c:tx>
            <c:strRef>
              <c:f>'Carbon Footprints'!$L$807</c:f>
              <c:strCache>
                <c:ptCount val="1"/>
                <c:pt idx="0">
                  <c:v>Utility
CF</c:v>
                </c:pt>
              </c:strCache>
            </c:strRef>
          </c:tx>
          <c:spPr>
            <a:solidFill>
              <a:schemeClr val="accent3"/>
            </a:solidFill>
            <a:ln>
              <a:noFill/>
            </a:ln>
            <a:effectLst/>
          </c:spPr>
          <c:invertIfNegative val="0"/>
          <c:cat>
            <c:strRef>
              <c:f>'Carbon Footprints'!$E$809:$E$829</c:f>
              <c:strCache>
                <c:ptCount val="21"/>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strCache>
            </c:strRef>
          </c:cat>
          <c:val>
            <c:numRef>
              <c:f>'Carbon Footprints'!$L$809:$L$829</c:f>
              <c:numCache>
                <c:formatCode>_(* #,##0.0000_);_(* \(#,##0.0000\);_(* "-"??_);_(@_)</c:formatCode>
                <c:ptCount val="21"/>
                <c:pt idx="0">
                  <c:v>7.4815766415614066E-3</c:v>
                </c:pt>
                <c:pt idx="1">
                  <c:v>2.0616839659688981E-3</c:v>
                </c:pt>
                <c:pt idx="2">
                  <c:v>1.4474737109270306E-4</c:v>
                </c:pt>
                <c:pt idx="3">
                  <c:v>1.0653655327415371E-3</c:v>
                </c:pt>
                <c:pt idx="4">
                  <c:v>2.3206582754447758E-2</c:v>
                </c:pt>
                <c:pt idx="5">
                  <c:v>0.11074189276984157</c:v>
                </c:pt>
                <c:pt idx="6">
                  <c:v>1.2567893577657646E-3</c:v>
                </c:pt>
                <c:pt idx="7">
                  <c:v>0.6314641193528161</c:v>
                </c:pt>
                <c:pt idx="8">
                  <c:v>4.1557211544359183E-3</c:v>
                </c:pt>
                <c:pt idx="9">
                  <c:v>2.6215573827015469E-2</c:v>
                </c:pt>
                <c:pt idx="10">
                  <c:v>1.5345935124305128E-2</c:v>
                </c:pt>
                <c:pt idx="11">
                  <c:v>6.0521648347641697E-3</c:v>
                </c:pt>
                <c:pt idx="12">
                  <c:v>5.5054313905036359E-2</c:v>
                </c:pt>
                <c:pt idx="13">
                  <c:v>2.9081428282604575E-3</c:v>
                </c:pt>
                <c:pt idx="14">
                  <c:v>2.042474650002676E-2</c:v>
                </c:pt>
                <c:pt idx="15">
                  <c:v>1.2393366120724288E-2</c:v>
                </c:pt>
                <c:pt idx="16">
                  <c:v>0.14357043347390508</c:v>
                </c:pt>
                <c:pt idx="17">
                  <c:v>6.2626734054830061E-2</c:v>
                </c:pt>
                <c:pt idx="18">
                  <c:v>1.9286945307151005E-3</c:v>
                </c:pt>
                <c:pt idx="19">
                  <c:v>8.8691784030355672E-2</c:v>
                </c:pt>
                <c:pt idx="20">
                  <c:v>0.11088977714791698</c:v>
                </c:pt>
              </c:numCache>
            </c:numRef>
          </c:val>
          <c:extLst>
            <c:ext xmlns:c16="http://schemas.microsoft.com/office/drawing/2014/chart" uri="{C3380CC4-5D6E-409C-BE32-E72D297353CC}">
              <c16:uniqueId val="{00000002-75FC-4CD6-AA89-F96B910ED827}"/>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Footprints'!$J$861</c:f>
              <c:strCache>
                <c:ptCount val="1"/>
                <c:pt idx="0">
                  <c:v>Upstream
CF</c:v>
                </c:pt>
              </c:strCache>
            </c:strRef>
          </c:tx>
          <c:spPr>
            <a:solidFill>
              <a:schemeClr val="accent1"/>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Footprints'!$J$863:$J$884</c:f>
              <c:numCache>
                <c:formatCode>_(* #,##0.0000_);_(* \(#,##0.0000\);_(* "-"??_);_(@_)</c:formatCode>
                <c:ptCount val="22"/>
                <c:pt idx="0">
                  <c:v>5.3981433238760916E-2</c:v>
                </c:pt>
                <c:pt idx="1">
                  <c:v>4.6932942774779808E-2</c:v>
                </c:pt>
                <c:pt idx="2">
                  <c:v>2.3690558821697136E-7</c:v>
                </c:pt>
                <c:pt idx="3">
                  <c:v>2.1272291561457118E-3</c:v>
                </c:pt>
                <c:pt idx="4">
                  <c:v>6.5308183290406274E-2</c:v>
                </c:pt>
                <c:pt idx="5">
                  <c:v>0.13327264718782758</c:v>
                </c:pt>
                <c:pt idx="6">
                  <c:v>0.10928617762363085</c:v>
                </c:pt>
                <c:pt idx="7">
                  <c:v>0.90486895802005751</c:v>
                </c:pt>
                <c:pt idx="8">
                  <c:v>2.0527635544955224E-3</c:v>
                </c:pt>
                <c:pt idx="9">
                  <c:v>3.2424756457018596E-2</c:v>
                </c:pt>
                <c:pt idx="10">
                  <c:v>1.1208884690316716E-3</c:v>
                </c:pt>
                <c:pt idx="11">
                  <c:v>3.5773576942673015E-4</c:v>
                </c:pt>
                <c:pt idx="12">
                  <c:v>1.4109101423314774E-2</c:v>
                </c:pt>
                <c:pt idx="13">
                  <c:v>2.0951874673582965E-4</c:v>
                </c:pt>
                <c:pt idx="14">
                  <c:v>4.2223491357656169E-3</c:v>
                </c:pt>
                <c:pt idx="15">
                  <c:v>4.1695263516480574E-4</c:v>
                </c:pt>
                <c:pt idx="16">
                  <c:v>2.1427043028493489E-3</c:v>
                </c:pt>
                <c:pt idx="17">
                  <c:v>2.6343348746735423E-3</c:v>
                </c:pt>
                <c:pt idx="18">
                  <c:v>9.8440899079492248E-3</c:v>
                </c:pt>
                <c:pt idx="19">
                  <c:v>2.5787772479908661E-3</c:v>
                </c:pt>
                <c:pt idx="20">
                  <c:v>1.8950934065367436E-2</c:v>
                </c:pt>
                <c:pt idx="21">
                  <c:v>2.442263024403037E-3</c:v>
                </c:pt>
              </c:numCache>
            </c:numRef>
          </c:val>
          <c:extLst>
            <c:ext xmlns:c16="http://schemas.microsoft.com/office/drawing/2014/chart" uri="{C3380CC4-5D6E-409C-BE32-E72D297353CC}">
              <c16:uniqueId val="{00000000-3007-40D9-BA71-DCB4A02CA80E}"/>
            </c:ext>
          </c:extLst>
        </c:ser>
        <c:ser>
          <c:idx val="1"/>
          <c:order val="1"/>
          <c:tx>
            <c:strRef>
              <c:f>'Carbon Footprints'!$K$861</c:f>
              <c:strCache>
                <c:ptCount val="1"/>
                <c:pt idx="0">
                  <c:v>Direct
CF</c:v>
                </c:pt>
              </c:strCache>
            </c:strRef>
          </c:tx>
          <c:spPr>
            <a:solidFill>
              <a:schemeClr val="accent2"/>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Footprints'!$K$863:$K$884</c:f>
              <c:numCache>
                <c:formatCode>_(* #,##0.0000_);_(* \(#,##0.0000\);_(* "-"??_);_(@_)</c:formatCode>
                <c:ptCount val="22"/>
                <c:pt idx="0">
                  <c:v>1.1131092124329587E-3</c:v>
                </c:pt>
                <c:pt idx="1">
                  <c:v>3.7655325503776156E-2</c:v>
                </c:pt>
                <c:pt idx="2">
                  <c:v>1.5801292826954233E-5</c:v>
                </c:pt>
                <c:pt idx="3">
                  <c:v>2.0582180569312408E-2</c:v>
                </c:pt>
                <c:pt idx="4">
                  <c:v>1.5890738810814695E-2</c:v>
                </c:pt>
                <c:pt idx="5">
                  <c:v>0.5981074129413696</c:v>
                </c:pt>
                <c:pt idx="6">
                  <c:v>5.0258942025196619E-6</c:v>
                </c:pt>
                <c:pt idx="7">
                  <c:v>7.6576970179986242E-2</c:v>
                </c:pt>
                <c:pt idx="8">
                  <c:v>4.2635797919261532E-4</c:v>
                </c:pt>
                <c:pt idx="9">
                  <c:v>2.2741678739005501E-3</c:v>
                </c:pt>
                <c:pt idx="10">
                  <c:v>2.8375453193021866E-3</c:v>
                </c:pt>
                <c:pt idx="11">
                  <c:v>5.1024909724867358E-4</c:v>
                </c:pt>
                <c:pt idx="12">
                  <c:v>3.9970975023280092E-2</c:v>
                </c:pt>
                <c:pt idx="13">
                  <c:v>4.3649036860333746E-4</c:v>
                </c:pt>
                <c:pt idx="14">
                  <c:v>4.1660572568112094E-3</c:v>
                </c:pt>
                <c:pt idx="15">
                  <c:v>3.3406673879065449E-5</c:v>
                </c:pt>
                <c:pt idx="16">
                  <c:v>1.7430500097438887E-4</c:v>
                </c:pt>
                <c:pt idx="17">
                  <c:v>2.1697905338430767E-4</c:v>
                </c:pt>
                <c:pt idx="18">
                  <c:v>2.1464241991354001E-2</c:v>
                </c:pt>
                <c:pt idx="19">
                  <c:v>2.0423155651820891E-4</c:v>
                </c:pt>
                <c:pt idx="20">
                  <c:v>3.2143970998313193E-3</c:v>
                </c:pt>
                <c:pt idx="21">
                  <c:v>1.905319527296172E-4</c:v>
                </c:pt>
              </c:numCache>
            </c:numRef>
          </c:val>
          <c:extLst>
            <c:ext xmlns:c16="http://schemas.microsoft.com/office/drawing/2014/chart" uri="{C3380CC4-5D6E-409C-BE32-E72D297353CC}">
              <c16:uniqueId val="{00000001-3007-40D9-BA71-DCB4A02CA80E}"/>
            </c:ext>
          </c:extLst>
        </c:ser>
        <c:ser>
          <c:idx val="2"/>
          <c:order val="2"/>
          <c:tx>
            <c:strRef>
              <c:f>'Carbon Footprints'!$L$861</c:f>
              <c:strCache>
                <c:ptCount val="1"/>
                <c:pt idx="0">
                  <c:v>Utility
CF</c:v>
                </c:pt>
              </c:strCache>
            </c:strRef>
          </c:tx>
          <c:spPr>
            <a:solidFill>
              <a:schemeClr val="accent3"/>
            </a:solidFill>
            <a:ln>
              <a:noFill/>
            </a:ln>
            <a:effectLst/>
          </c:spPr>
          <c:invertIfNegative val="0"/>
          <c:cat>
            <c:strRef>
              <c:f>'Carbon Footprints'!$E$863:$E$884</c:f>
              <c:strCache>
                <c:ptCount val="22"/>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Two Stand Reversible Mill</c:v>
                </c:pt>
                <c:pt idx="17">
                  <c:v>Electrolytic Cleaning Line</c:v>
                </c:pt>
                <c:pt idx="18">
                  <c:v>Box Annealing 3</c:v>
                </c:pt>
                <c:pt idx="19">
                  <c:v>Temper Mill</c:v>
                </c:pt>
                <c:pt idx="20">
                  <c:v>Tinning Line</c:v>
                </c:pt>
                <c:pt idx="21">
                  <c:v>Shearing Line of Tinning 1,2</c:v>
                </c:pt>
              </c:strCache>
            </c:strRef>
          </c:cat>
          <c:val>
            <c:numRef>
              <c:f>'Carbon Footprints'!$L$863:$L$884</c:f>
              <c:numCache>
                <c:formatCode>_(* #,##0.0000_);_(* \(#,##0.0000\);_(* "-"??_);_(@_)</c:formatCode>
                <c:ptCount val="22"/>
                <c:pt idx="0">
                  <c:v>7.6547823419258216E-3</c:v>
                </c:pt>
                <c:pt idx="1">
                  <c:v>2.1094139341780059E-3</c:v>
                </c:pt>
                <c:pt idx="2">
                  <c:v>1.4809841205467696E-4</c:v>
                </c:pt>
                <c:pt idx="3">
                  <c:v>1.0900297702523213E-3</c:v>
                </c:pt>
                <c:pt idx="4">
                  <c:v>2.3743837481843024E-2</c:v>
                </c:pt>
                <c:pt idx="5">
                  <c:v>0.1133056741779377</c:v>
                </c:pt>
                <c:pt idx="6">
                  <c:v>1.2858852410737155E-3</c:v>
                </c:pt>
                <c:pt idx="7">
                  <c:v>0.64608312150804581</c:v>
                </c:pt>
                <c:pt idx="8">
                  <c:v>4.251930099095351E-3</c:v>
                </c:pt>
                <c:pt idx="9">
                  <c:v>2.6822489593932693E-2</c:v>
                </c:pt>
                <c:pt idx="10">
                  <c:v>1.57012082930897E-2</c:v>
                </c:pt>
                <c:pt idx="11">
                  <c:v>6.1922782759742624E-3</c:v>
                </c:pt>
                <c:pt idx="12">
                  <c:v>5.6328874262412322E-2</c:v>
                </c:pt>
                <c:pt idx="13">
                  <c:v>2.9754691338589895E-3</c:v>
                </c:pt>
                <c:pt idx="14">
                  <c:v>2.0897599040579553E-2</c:v>
                </c:pt>
                <c:pt idx="15">
                  <c:v>1.2680284475190904E-2</c:v>
                </c:pt>
                <c:pt idx="16">
                  <c:v>0.14689422719718648</c:v>
                </c:pt>
                <c:pt idx="17">
                  <c:v>6.4076603227224041E-2</c:v>
                </c:pt>
                <c:pt idx="18">
                  <c:v>1.973345665494067E-3</c:v>
                </c:pt>
                <c:pt idx="19">
                  <c:v>9.0745084197623796E-2</c:v>
                </c:pt>
                <c:pt idx="20">
                  <c:v>0.11345698222170615</c:v>
                </c:pt>
                <c:pt idx="21">
                  <c:v>3.8088763700082759E-3</c:v>
                </c:pt>
              </c:numCache>
            </c:numRef>
          </c:val>
          <c:extLst>
            <c:ext xmlns:c16="http://schemas.microsoft.com/office/drawing/2014/chart" uri="{C3380CC4-5D6E-409C-BE32-E72D297353CC}">
              <c16:uniqueId val="{00000002-3007-40D9-BA71-DCB4A02CA80E}"/>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Footprints'!$J$915</c:f>
              <c:strCache>
                <c:ptCount val="1"/>
                <c:pt idx="0">
                  <c:v>Upstream
CF</c:v>
                </c:pt>
              </c:strCache>
            </c:strRef>
          </c:tx>
          <c:spPr>
            <a:solidFill>
              <a:schemeClr val="accent1"/>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Footprints'!$J$917:$J$933</c:f>
              <c:numCache>
                <c:formatCode>_(* #,##0.0000_);_(* \(#,##0.0000\);_(* "-"??_);_(@_)</c:formatCode>
                <c:ptCount val="17"/>
                <c:pt idx="0">
                  <c:v>4.7241157762954643E-2</c:v>
                </c:pt>
                <c:pt idx="1">
                  <c:v>4.107276189012108E-2</c:v>
                </c:pt>
                <c:pt idx="2">
                  <c:v>2.0732488184191835E-7</c:v>
                </c:pt>
                <c:pt idx="3">
                  <c:v>1.861617266050625E-3</c:v>
                </c:pt>
                <c:pt idx="4">
                  <c:v>5.7153617548240901E-2</c:v>
                </c:pt>
                <c:pt idx="5">
                  <c:v>0.11663184494267927</c:v>
                </c:pt>
                <c:pt idx="6">
                  <c:v>9.5640394273954155E-2</c:v>
                </c:pt>
                <c:pt idx="7">
                  <c:v>0.79188444314834805</c:v>
                </c:pt>
                <c:pt idx="8">
                  <c:v>1.7964496514763612E-3</c:v>
                </c:pt>
                <c:pt idx="9">
                  <c:v>2.8376109030604869E-2</c:v>
                </c:pt>
                <c:pt idx="10">
                  <c:v>9.8093114286154398E-4</c:v>
                </c:pt>
                <c:pt idx="11">
                  <c:v>3.130678625406583E-4</c:v>
                </c:pt>
                <c:pt idx="12">
                  <c:v>1.2347398841454707E-2</c:v>
                </c:pt>
                <c:pt idx="13">
                  <c:v>1.8335763937695447E-4</c:v>
                </c:pt>
                <c:pt idx="14">
                  <c:v>3.6951345987929771E-3</c:v>
                </c:pt>
                <c:pt idx="15">
                  <c:v>2.4924301947488645E-3</c:v>
                </c:pt>
                <c:pt idx="16">
                  <c:v>8.0422083968169356E-2</c:v>
                </c:pt>
              </c:numCache>
            </c:numRef>
          </c:val>
          <c:extLst>
            <c:ext xmlns:c16="http://schemas.microsoft.com/office/drawing/2014/chart" uri="{C3380CC4-5D6E-409C-BE32-E72D297353CC}">
              <c16:uniqueId val="{00000000-4534-4B2F-881C-9248247EBD53}"/>
            </c:ext>
          </c:extLst>
        </c:ser>
        <c:ser>
          <c:idx val="1"/>
          <c:order val="1"/>
          <c:tx>
            <c:strRef>
              <c:f>'Carbon Footprints'!$K$915</c:f>
              <c:strCache>
                <c:ptCount val="1"/>
                <c:pt idx="0">
                  <c:v>Direct
CF</c:v>
                </c:pt>
              </c:strCache>
            </c:strRef>
          </c:tx>
          <c:spPr>
            <a:solidFill>
              <a:schemeClr val="accent2"/>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Footprints'!$K$917:$K$933</c:f>
              <c:numCache>
                <c:formatCode>_(* #,##0.0000_);_(* \(#,##0.0000\);_(* "-"??_);_(@_)</c:formatCode>
                <c:ptCount val="17"/>
                <c:pt idx="0">
                  <c:v>9.7412322639454636E-4</c:v>
                </c:pt>
                <c:pt idx="1">
                  <c:v>3.2953574331220016E-2</c:v>
                </c:pt>
                <c:pt idx="2">
                  <c:v>1.3828298407623437E-5</c:v>
                </c:pt>
                <c:pt idx="3">
                  <c:v>1.8012230892053019E-2</c:v>
                </c:pt>
                <c:pt idx="4">
                  <c:v>1.3906575911225927E-2</c:v>
                </c:pt>
                <c:pt idx="5">
                  <c:v>0.52342601814557654</c:v>
                </c:pt>
                <c:pt idx="6">
                  <c:v>4.3983467402763687E-6</c:v>
                </c:pt>
                <c:pt idx="7">
                  <c:v>6.7015351616937557E-2</c:v>
                </c:pt>
                <c:pt idx="8">
                  <c:v>3.7312170778137715E-4</c:v>
                </c:pt>
                <c:pt idx="9">
                  <c:v>1.9902087970727817E-3</c:v>
                </c:pt>
                <c:pt idx="10">
                  <c:v>2.4832413303253198E-3</c:v>
                </c:pt>
                <c:pt idx="11">
                  <c:v>4.4653794194225938E-4</c:v>
                </c:pt>
                <c:pt idx="12">
                  <c:v>3.498008525749987E-2</c:v>
                </c:pt>
                <c:pt idx="13">
                  <c:v>3.8198893819651764E-4</c:v>
                </c:pt>
                <c:pt idx="14">
                  <c:v>3.6458714841458312E-3</c:v>
                </c:pt>
                <c:pt idx="15">
                  <c:v>1.9969607015290803E-4</c:v>
                </c:pt>
                <c:pt idx="16">
                  <c:v>2.082700521695211E-4</c:v>
                </c:pt>
              </c:numCache>
            </c:numRef>
          </c:val>
          <c:extLst>
            <c:ext xmlns:c16="http://schemas.microsoft.com/office/drawing/2014/chart" uri="{C3380CC4-5D6E-409C-BE32-E72D297353CC}">
              <c16:uniqueId val="{00000001-4534-4B2F-881C-9248247EBD53}"/>
            </c:ext>
          </c:extLst>
        </c:ser>
        <c:ser>
          <c:idx val="2"/>
          <c:order val="2"/>
          <c:tx>
            <c:strRef>
              <c:f>'Carbon Footprints'!$L$915</c:f>
              <c:strCache>
                <c:ptCount val="1"/>
                <c:pt idx="0">
                  <c:v>Utility
CF</c:v>
                </c:pt>
              </c:strCache>
            </c:strRef>
          </c:tx>
          <c:spPr>
            <a:solidFill>
              <a:schemeClr val="accent3"/>
            </a:solidFill>
            <a:ln>
              <a:noFill/>
            </a:ln>
            <a:effectLst/>
          </c:spPr>
          <c:invertIfNegative val="0"/>
          <c:cat>
            <c:strRef>
              <c:f>'Carbon Footprints'!$E$917:$E$933</c:f>
              <c:strCache>
                <c:ptCount val="17"/>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strCache>
            </c:strRef>
          </c:cat>
          <c:val>
            <c:numRef>
              <c:f>'Carbon Footprints'!$L$917:$L$933</c:f>
              <c:numCache>
                <c:formatCode>_(* #,##0.0000_);_(* \(#,##0.0000\);_(* "-"??_);_(@_)</c:formatCode>
                <c:ptCount val="17"/>
                <c:pt idx="0">
                  <c:v>6.6989844203754539E-3</c:v>
                </c:pt>
                <c:pt idx="1">
                  <c:v>1.8460265034297811E-3</c:v>
                </c:pt>
                <c:pt idx="2">
                  <c:v>1.2960642258928379E-4</c:v>
                </c:pt>
                <c:pt idx="3">
                  <c:v>9.5392554908734959E-4</c:v>
                </c:pt>
                <c:pt idx="4">
                  <c:v>2.0779114319111565E-2</c:v>
                </c:pt>
                <c:pt idx="5">
                  <c:v>9.9158005042267669E-2</c:v>
                </c:pt>
                <c:pt idx="6">
                  <c:v>1.1253259480891234E-3</c:v>
                </c:pt>
                <c:pt idx="7">
                  <c:v>0.5654113431213591</c:v>
                </c:pt>
                <c:pt idx="8">
                  <c:v>3.7210219988043701E-3</c:v>
                </c:pt>
                <c:pt idx="9">
                  <c:v>2.3473357161482973E-2</c:v>
                </c:pt>
                <c:pt idx="10">
                  <c:v>1.3740710713665522E-2</c:v>
                </c:pt>
                <c:pt idx="11">
                  <c:v>5.4190927768358677E-3</c:v>
                </c:pt>
                <c:pt idx="12">
                  <c:v>4.9295490615642215E-2</c:v>
                </c:pt>
                <c:pt idx="13">
                  <c:v>2.6039435846342681E-3</c:v>
                </c:pt>
                <c:pt idx="14">
                  <c:v>1.8288265314788242E-2</c:v>
                </c:pt>
                <c:pt idx="15">
                  <c:v>7.5799314450858218E-2</c:v>
                </c:pt>
                <c:pt idx="16">
                  <c:v>1.5247202785152647E-2</c:v>
                </c:pt>
              </c:numCache>
            </c:numRef>
          </c:val>
          <c:extLst>
            <c:ext xmlns:c16="http://schemas.microsoft.com/office/drawing/2014/chart" uri="{C3380CC4-5D6E-409C-BE32-E72D297353CC}">
              <c16:uniqueId val="{00000002-4534-4B2F-881C-9248247EBD53}"/>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a:t>CF of Unit Processes in Life Cycle Stages</a:t>
            </a:r>
          </a:p>
        </c:rich>
      </c:tx>
      <c:overlay val="0"/>
      <c:spPr>
        <a:noFill/>
        <a:ln>
          <a:noFill/>
        </a:ln>
        <a:effectLst/>
      </c:spPr>
      <c:txPr>
        <a:bodyPr rot="0" spcFirstLastPara="1" vertOverflow="ellipsis" vert="horz" wrap="square" anchor="ctr" anchorCtr="1"/>
        <a:lstStyle/>
        <a:p>
          <a:pPr>
            <a:defRPr sz="1680" b="0"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plotArea>
      <c:layout>
        <c:manualLayout>
          <c:layoutTarget val="inner"/>
          <c:xMode val="edge"/>
          <c:yMode val="edge"/>
          <c:x val="0.12358012332983241"/>
          <c:y val="0.11431815908729837"/>
          <c:w val="0.85751953047048335"/>
          <c:h val="0.54641078569763502"/>
        </c:manualLayout>
      </c:layout>
      <c:barChart>
        <c:barDir val="col"/>
        <c:grouping val="stacked"/>
        <c:varyColors val="0"/>
        <c:ser>
          <c:idx val="0"/>
          <c:order val="0"/>
          <c:tx>
            <c:strRef>
              <c:f>'Carbon Footprints'!$J$969</c:f>
              <c:strCache>
                <c:ptCount val="1"/>
                <c:pt idx="0">
                  <c:v>Upstream
CF</c:v>
                </c:pt>
              </c:strCache>
            </c:strRef>
          </c:tx>
          <c:spPr>
            <a:solidFill>
              <a:schemeClr val="accent1"/>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Footprints'!$J$971:$J$988</c:f>
              <c:numCache>
                <c:formatCode>_(* #,##0.0000_);_(* \(#,##0.0000\);_(* "-"??_);_(@_)</c:formatCode>
                <c:ptCount val="18"/>
                <c:pt idx="0">
                  <c:v>4.5901054095795681E-2</c:v>
                </c:pt>
                <c:pt idx="1">
                  <c:v>3.9907638903392328E-2</c:v>
                </c:pt>
                <c:pt idx="2">
                  <c:v>2.0144363659717275E-7</c:v>
                </c:pt>
                <c:pt idx="3">
                  <c:v>1.8088082274237769E-3</c:v>
                </c:pt>
                <c:pt idx="4">
                  <c:v>5.5532324250305264E-2</c:v>
                </c:pt>
                <c:pt idx="5">
                  <c:v>0.1133233154629516</c:v>
                </c:pt>
                <c:pt idx="6">
                  <c:v>9.2927335382845408E-2</c:v>
                </c:pt>
                <c:pt idx="7">
                  <c:v>0.76942082674939916</c:v>
                </c:pt>
                <c:pt idx="8">
                  <c:v>1.7454892415327728E-3</c:v>
                </c:pt>
                <c:pt idx="9">
                  <c:v>2.7571155689655298E-2</c:v>
                </c:pt>
                <c:pt idx="10">
                  <c:v>9.5310478372836419E-4</c:v>
                </c:pt>
                <c:pt idx="11">
                  <c:v>3.0418697539632688E-4</c:v>
                </c:pt>
                <c:pt idx="12">
                  <c:v>1.1997136586021936E-2</c:v>
                </c:pt>
                <c:pt idx="13">
                  <c:v>1.7815627987252349E-4</c:v>
                </c:pt>
                <c:pt idx="14">
                  <c:v>3.5903136405231609E-3</c:v>
                </c:pt>
                <c:pt idx="15">
                  <c:v>2.421726702237512E-3</c:v>
                </c:pt>
                <c:pt idx="16">
                  <c:v>7.8140727313298713E-2</c:v>
                </c:pt>
                <c:pt idx="17">
                  <c:v>0.10927157343412916</c:v>
                </c:pt>
              </c:numCache>
            </c:numRef>
          </c:val>
          <c:extLst>
            <c:ext xmlns:c16="http://schemas.microsoft.com/office/drawing/2014/chart" uri="{C3380CC4-5D6E-409C-BE32-E72D297353CC}">
              <c16:uniqueId val="{00000000-EBD7-4074-80AF-C6F24FF82CFC}"/>
            </c:ext>
          </c:extLst>
        </c:ser>
        <c:ser>
          <c:idx val="1"/>
          <c:order val="1"/>
          <c:tx>
            <c:strRef>
              <c:f>'Carbon Footprints'!$K$969</c:f>
              <c:strCache>
                <c:ptCount val="1"/>
                <c:pt idx="0">
                  <c:v>Direct
CF</c:v>
                </c:pt>
              </c:strCache>
            </c:strRef>
          </c:tx>
          <c:spPr>
            <a:solidFill>
              <a:schemeClr val="accent2"/>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Footprints'!$K$971:$K$988</c:f>
              <c:numCache>
                <c:formatCode>_(* #,##0.0000_);_(* \(#,##0.0000\);_(* "-"??_);_(@_)</c:formatCode>
                <c:ptCount val="18"/>
                <c:pt idx="0">
                  <c:v>9.4648998940856095E-4</c:v>
                </c:pt>
                <c:pt idx="1">
                  <c:v>3.2018770700266382E-2</c:v>
                </c:pt>
                <c:pt idx="2">
                  <c:v>1.3436027043326849E-5</c:v>
                </c:pt>
                <c:pt idx="3">
                  <c:v>1.750127269764816E-2</c:v>
                </c:pt>
                <c:pt idx="4">
                  <c:v>1.351208402620967E-2</c:v>
                </c:pt>
                <c:pt idx="5">
                  <c:v>0.50857783999712824</c:v>
                </c:pt>
                <c:pt idx="6">
                  <c:v>4.273577558588295E-6</c:v>
                </c:pt>
                <c:pt idx="7">
                  <c:v>6.5114307639386471E-2</c:v>
                </c:pt>
                <c:pt idx="8">
                  <c:v>3.6253725573633138E-4</c:v>
                </c:pt>
                <c:pt idx="9">
                  <c:v>1.933751965071498E-3</c:v>
                </c:pt>
                <c:pt idx="10">
                  <c:v>2.4127985010045862E-3</c:v>
                </c:pt>
                <c:pt idx="11">
                  <c:v>4.3387087022219047E-4</c:v>
                </c:pt>
                <c:pt idx="12">
                  <c:v>3.3987795001483564E-2</c:v>
                </c:pt>
                <c:pt idx="13">
                  <c:v>3.7115294684634935E-4</c:v>
                </c:pt>
                <c:pt idx="14">
                  <c:v>3.5424479869824005E-3</c:v>
                </c:pt>
                <c:pt idx="15">
                  <c:v>1.9403123362896063E-4</c:v>
                </c:pt>
                <c:pt idx="16">
                  <c:v>2.0236199500309342E-4</c:v>
                </c:pt>
                <c:pt idx="17">
                  <c:v>4.6111545796547304E-2</c:v>
                </c:pt>
              </c:numCache>
            </c:numRef>
          </c:val>
          <c:extLst>
            <c:ext xmlns:c16="http://schemas.microsoft.com/office/drawing/2014/chart" uri="{C3380CC4-5D6E-409C-BE32-E72D297353CC}">
              <c16:uniqueId val="{00000001-EBD7-4074-80AF-C6F24FF82CFC}"/>
            </c:ext>
          </c:extLst>
        </c:ser>
        <c:ser>
          <c:idx val="2"/>
          <c:order val="2"/>
          <c:tx>
            <c:strRef>
              <c:f>'Carbon Footprints'!$L$969</c:f>
              <c:strCache>
                <c:ptCount val="1"/>
                <c:pt idx="0">
                  <c:v>Utility
CF</c:v>
                </c:pt>
              </c:strCache>
            </c:strRef>
          </c:tx>
          <c:spPr>
            <a:solidFill>
              <a:schemeClr val="accent3"/>
            </a:solidFill>
            <a:ln>
              <a:noFill/>
            </a:ln>
            <a:effectLst/>
          </c:spPr>
          <c:invertIfNegative val="0"/>
          <c:cat>
            <c:strRef>
              <c:f>'Carbon Footprints'!$E$971:$E$988</c:f>
              <c:strCache>
                <c:ptCount val="18"/>
                <c:pt idx="0">
                  <c:v>Yard</c:v>
                </c:pt>
                <c:pt idx="1">
                  <c:v>Lime Plant</c:v>
                </c:pt>
                <c:pt idx="2">
                  <c:v>Lime Dehydration</c:v>
                </c:pt>
                <c:pt idx="3">
                  <c:v>Dolomite Plant</c:v>
                </c:pt>
                <c:pt idx="4">
                  <c:v>Pelletizing</c:v>
                </c:pt>
                <c:pt idx="5">
                  <c:v>Direct Reduction</c:v>
                </c:pt>
                <c:pt idx="6">
                  <c:v>Briquetting</c:v>
                </c:pt>
                <c:pt idx="7">
                  <c:v>EAF</c:v>
                </c:pt>
                <c:pt idx="8">
                  <c:v>Degassing</c:v>
                </c:pt>
                <c:pt idx="9">
                  <c:v>Ladle Furnaces</c:v>
                </c:pt>
                <c:pt idx="10">
                  <c:v>Continuous Casting</c:v>
                </c:pt>
                <c:pt idx="11">
                  <c:v>Slab Conditioning</c:v>
                </c:pt>
                <c:pt idx="12">
                  <c:v>Hot Rolling Mill</c:v>
                </c:pt>
                <c:pt idx="13">
                  <c:v>Skin Pass Mill</c:v>
                </c:pt>
                <c:pt idx="14">
                  <c:v>Pickling Line NO: 1,2</c:v>
                </c:pt>
                <c:pt idx="15">
                  <c:v>Tandem Mill</c:v>
                </c:pt>
                <c:pt idx="16">
                  <c:v>Galvanizing Line</c:v>
                </c:pt>
                <c:pt idx="17">
                  <c:v>Coating Line</c:v>
                </c:pt>
              </c:strCache>
            </c:strRef>
          </c:cat>
          <c:val>
            <c:numRef>
              <c:f>'Carbon Footprints'!$L$971:$L$988</c:f>
              <c:numCache>
                <c:formatCode>_(* #,##0.0000_);_(* \(#,##0.0000\);_(* "-"??_);_(@_)</c:formatCode>
                <c:ptCount val="18"/>
                <c:pt idx="0">
                  <c:v>6.5089523802414661E-3</c:v>
                </c:pt>
                <c:pt idx="1">
                  <c:v>1.7936597325023584E-3</c:v>
                </c:pt>
                <c:pt idx="2">
                  <c:v>1.2592983949047892E-4</c:v>
                </c:pt>
                <c:pt idx="3">
                  <c:v>9.2686526549008675E-4</c:v>
                </c:pt>
                <c:pt idx="4">
                  <c:v>2.0189667137501782E-2</c:v>
                </c:pt>
                <c:pt idx="5">
                  <c:v>9.6345161063039197E-2</c:v>
                </c:pt>
                <c:pt idx="6">
                  <c:v>1.0934034995041325E-3</c:v>
                </c:pt>
                <c:pt idx="7">
                  <c:v>0.54937215504361925</c:v>
                </c:pt>
                <c:pt idx="8">
                  <c:v>3.6154666851264477E-3</c:v>
                </c:pt>
                <c:pt idx="9">
                  <c:v>2.2807481609268987E-2</c:v>
                </c:pt>
                <c:pt idx="10">
                  <c:v>1.3350923974967229E-2</c:v>
                </c:pt>
                <c:pt idx="11">
                  <c:v>5.2653677953408713E-3</c:v>
                </c:pt>
                <c:pt idx="12">
                  <c:v>4.7897111090739332E-2</c:v>
                </c:pt>
                <c:pt idx="13">
                  <c:v>2.5300767593470215E-3</c:v>
                </c:pt>
                <c:pt idx="14">
                  <c:v>1.7769476771600956E-2</c:v>
                </c:pt>
                <c:pt idx="15">
                  <c:v>7.3649093243888006E-2</c:v>
                </c:pt>
                <c:pt idx="16">
                  <c:v>1.4814680947545981E-2</c:v>
                </c:pt>
                <c:pt idx="17">
                  <c:v>0.16791121491867686</c:v>
                </c:pt>
              </c:numCache>
            </c:numRef>
          </c:val>
          <c:extLst>
            <c:ext xmlns:c16="http://schemas.microsoft.com/office/drawing/2014/chart" uri="{C3380CC4-5D6E-409C-BE32-E72D297353CC}">
              <c16:uniqueId val="{00000002-EBD7-4074-80AF-C6F24FF82CFC}"/>
            </c:ext>
          </c:extLst>
        </c:ser>
        <c:dLbls>
          <c:showLegendKey val="0"/>
          <c:showVal val="0"/>
          <c:showCatName val="0"/>
          <c:showSerName val="0"/>
          <c:showPercent val="0"/>
          <c:showBubbleSize val="0"/>
        </c:dLbls>
        <c:gapWidth val="150"/>
        <c:overlap val="100"/>
        <c:axId val="389034415"/>
        <c:axId val="389035663"/>
      </c:barChart>
      <c:catAx>
        <c:axId val="389034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5663"/>
        <c:crosses val="autoZero"/>
        <c:auto val="1"/>
        <c:lblAlgn val="ctr"/>
        <c:lblOffset val="100"/>
        <c:noMultiLvlLbl val="0"/>
      </c:catAx>
      <c:valAx>
        <c:axId val="38903566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rich>
          </c:tx>
          <c:layout>
            <c:manualLayout>
              <c:xMode val="edge"/>
              <c:yMode val="edge"/>
              <c:x val="1.1830899530993822E-2"/>
              <c:y val="0.299193767472197"/>
            </c:manualLayout>
          </c:layout>
          <c:overlay val="0"/>
          <c:spPr>
            <a:noFill/>
            <a:ln>
              <a:noFill/>
            </a:ln>
            <a:effectLst/>
          </c:spPr>
          <c:txPr>
            <a:bodyPr rot="-54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numFmt formatCode="_(* #,##0.0000_);_(* \(#,##0.0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crossAx val="389034415"/>
        <c:crosses val="autoZero"/>
        <c:crossBetween val="between"/>
      </c:valAx>
      <c:spPr>
        <a:noFill/>
        <a:ln>
          <a:noFill/>
        </a:ln>
        <a:effectLst/>
      </c:spPr>
    </c:plotArea>
    <c:legend>
      <c:legendPos val="b"/>
      <c:layout>
        <c:manualLayout>
          <c:xMode val="edge"/>
          <c:yMode val="edge"/>
          <c:x val="0.32007870000613531"/>
          <c:y val="0.89469002013191479"/>
          <c:w val="0.352962240980914"/>
          <c:h val="0.10530997986808517"/>
        </c:manualLayout>
      </c:layout>
      <c:overlay val="0"/>
      <c:spPr>
        <a:noFill/>
        <a:ln>
          <a:noFill/>
        </a:ln>
        <a:effectLst/>
      </c:spPr>
      <c:txPr>
        <a:bodyPr rot="0" spcFirstLastPara="1" vertOverflow="ellipsis" vert="horz" wrap="square" anchor="ctr" anchorCtr="1"/>
        <a:lstStyle/>
        <a:p>
          <a:pPr>
            <a:defRPr sz="14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400">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Footprints'!$J$101:$L$101</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C5C0-42B4-8FBA-A81BC64BCCE1}"/>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C5C0-42B4-8FBA-A81BC64BCCE1}"/>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C5C0-42B4-8FBA-A81BC64BCCE1}"/>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Footprints'!$J$117:$L$117</c:f>
              <c:numCache>
                <c:formatCode>0%</c:formatCode>
                <c:ptCount val="3"/>
                <c:pt idx="0">
                  <c:v>0.44540395702055008</c:v>
                </c:pt>
                <c:pt idx="1">
                  <c:v>0.25956594541221234</c:v>
                </c:pt>
                <c:pt idx="2">
                  <c:v>0.29503009756723747</c:v>
                </c:pt>
              </c:numCache>
            </c:numRef>
          </c:val>
          <c:extLst>
            <c:ext xmlns:c16="http://schemas.microsoft.com/office/drawing/2014/chart" uri="{C3380CC4-5D6E-409C-BE32-E72D297353CC}">
              <c16:uniqueId val="{00000006-C5C0-42B4-8FBA-A81BC64BCCE1}"/>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Footprints'!$J$155:$L$155</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56E4-488F-8ECE-E6430F1BA5F6}"/>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56E4-488F-8ECE-E6430F1BA5F6}"/>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56E4-488F-8ECE-E6430F1BA5F6}"/>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Footprints'!$J$172:$L$172</c:f>
              <c:numCache>
                <c:formatCode>0%</c:formatCode>
                <c:ptCount val="3"/>
                <c:pt idx="0">
                  <c:v>0.42423614616601052</c:v>
                </c:pt>
                <c:pt idx="1">
                  <c:v>0.25473520717405962</c:v>
                </c:pt>
                <c:pt idx="2">
                  <c:v>0.32102864665992992</c:v>
                </c:pt>
              </c:numCache>
            </c:numRef>
          </c:val>
          <c:extLst>
            <c:ext xmlns:c16="http://schemas.microsoft.com/office/drawing/2014/chart" uri="{C3380CC4-5D6E-409C-BE32-E72D297353CC}">
              <c16:uniqueId val="{00000006-56E4-488F-8ECE-E6430F1BA5F6}"/>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Footprints'!$J$273:$L$273</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C7-44C8-89C4-4EB7C0A08EA4}"/>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C7-44C8-89C4-4EB7C0A08EA4}"/>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C7-44C8-89C4-4EB7C0A08EA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Footprints'!$J$292:$L$292</c:f>
              <c:numCache>
                <c:formatCode>0%</c:formatCode>
                <c:ptCount val="3"/>
                <c:pt idx="0">
                  <c:v>0.42796162744124228</c:v>
                </c:pt>
                <c:pt idx="1">
                  <c:v>0.2526671841641957</c:v>
                </c:pt>
                <c:pt idx="2">
                  <c:v>0.31937118839456186</c:v>
                </c:pt>
              </c:numCache>
            </c:numRef>
          </c:val>
          <c:extLst>
            <c:ext xmlns:c16="http://schemas.microsoft.com/office/drawing/2014/chart" uri="{C3380CC4-5D6E-409C-BE32-E72D297353CC}">
              <c16:uniqueId val="{00000006-7EC7-44C8-89C4-4EB7C0A08EA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Footprints'!$J$326:$L$326</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AA65-46DF-9E32-34DF53E37E2A}"/>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AA65-46DF-9E32-34DF53E37E2A}"/>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AA65-46DF-9E32-34DF53E37E2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Footprints'!$J$343:$L$343</c:f>
              <c:numCache>
                <c:formatCode>0%</c:formatCode>
                <c:ptCount val="3"/>
                <c:pt idx="0">
                  <c:v>0.44098365620159558</c:v>
                </c:pt>
                <c:pt idx="1">
                  <c:v>0.25798011299627166</c:v>
                </c:pt>
                <c:pt idx="2">
                  <c:v>0.30103623080213299</c:v>
                </c:pt>
              </c:numCache>
            </c:numRef>
          </c:val>
          <c:extLst>
            <c:ext xmlns:c16="http://schemas.microsoft.com/office/drawing/2014/chart" uri="{C3380CC4-5D6E-409C-BE32-E72D297353CC}">
              <c16:uniqueId val="{00000006-AA65-46DF-9E32-34DF53E37E2A}"/>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Footprints'!$J$379:$L$379</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00-4B8D-9D32-CC2E8CABE71A}"/>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00-4B8D-9D32-CC2E8CABE71A}"/>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00-4B8D-9D32-CC2E8CABE71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900-4B8D-9D32-CC2E8CABE71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900-4B8D-9D32-CC2E8CABE71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900-4B8D-9D32-CC2E8CABE71A}"/>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0"/>
            <c:showCatName val="0"/>
            <c:showSerName val="0"/>
            <c:showPercent val="0"/>
            <c:showBubbleSize val="0"/>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Footprints'!$J$397:$L$397</c:f>
              <c:numCache>
                <c:formatCode>0%</c:formatCode>
                <c:ptCount val="3"/>
                <c:pt idx="0">
                  <c:v>0.44210488515868512</c:v>
                </c:pt>
                <c:pt idx="1">
                  <c:v>0.25829503128353654</c:v>
                </c:pt>
                <c:pt idx="2">
                  <c:v>0.29960008355777834</c:v>
                </c:pt>
              </c:numCache>
            </c:numRef>
          </c:val>
          <c:extLst>
            <c:ext xmlns:c16="http://schemas.microsoft.com/office/drawing/2014/chart" uri="{C3380CC4-5D6E-409C-BE32-E72D297353CC}">
              <c16:uniqueId val="{00000006-6900-4B8D-9D32-CC2E8CABE71A}"/>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Footprints'!$J$479:$L$479</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AE2-4C82-88F0-1EF997159434}"/>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AE2-4C82-88F0-1EF997159434}"/>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AE2-4C82-88F0-1EF99715943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Footprints'!$J$499:$L$499</c:f>
              <c:numCache>
                <c:formatCode>0%</c:formatCode>
                <c:ptCount val="3"/>
                <c:pt idx="0">
                  <c:v>0.43035731106850872</c:v>
                </c:pt>
                <c:pt idx="1">
                  <c:v>0.25098261945648304</c:v>
                </c:pt>
                <c:pt idx="2">
                  <c:v>0.31866006947500836</c:v>
                </c:pt>
              </c:numCache>
            </c:numRef>
          </c:val>
          <c:extLst>
            <c:ext xmlns:c16="http://schemas.microsoft.com/office/drawing/2014/chart" uri="{C3380CC4-5D6E-409C-BE32-E72D297353CC}">
              <c16:uniqueId val="{00000006-2AE2-4C82-88F0-1EF99715943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Footprints'!$J$532:$L$532</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5625-41CB-BC75-ECE7F284D6DF}"/>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5625-41CB-BC75-ECE7F284D6DF}"/>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5625-41CB-BC75-ECE7F284D6DF}"/>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Footprints'!$J$557:$L$557</c:f>
              <c:numCache>
                <c:formatCode>0%</c:formatCode>
                <c:ptCount val="3"/>
                <c:pt idx="0">
                  <c:v>0.42512949022894214</c:v>
                </c:pt>
                <c:pt idx="1">
                  <c:v>0.25110009554635365</c:v>
                </c:pt>
                <c:pt idx="2">
                  <c:v>0.32377041422470432</c:v>
                </c:pt>
              </c:numCache>
            </c:numRef>
          </c:val>
          <c:extLst>
            <c:ext xmlns:c16="http://schemas.microsoft.com/office/drawing/2014/chart" uri="{C3380CC4-5D6E-409C-BE32-E72D297353CC}">
              <c16:uniqueId val="{00000006-5625-41CB-BC75-ECE7F284D6DF}"/>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Footprints'!$J$586:$L$586</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6277-4C2F-A8A4-D96F8BE524C4}"/>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6277-4C2F-A8A4-D96F8BE524C4}"/>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6277-4C2F-A8A4-D96F8BE524C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Footprints'!$J$609:$L$609</c:f>
              <c:numCache>
                <c:formatCode>0%</c:formatCode>
                <c:ptCount val="3"/>
                <c:pt idx="0">
                  <c:v>0.40164558613816143</c:v>
                </c:pt>
                <c:pt idx="1">
                  <c:v>0.23807215642309937</c:v>
                </c:pt>
                <c:pt idx="2">
                  <c:v>0.36028225743873926</c:v>
                </c:pt>
              </c:numCache>
            </c:numRef>
          </c:val>
          <c:extLst>
            <c:ext xmlns:c16="http://schemas.microsoft.com/office/drawing/2014/chart" uri="{C3380CC4-5D6E-409C-BE32-E72D297353CC}">
              <c16:uniqueId val="{00000006-6277-4C2F-A8A4-D96F8BE524C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Footprints'!$J$640:$L$640</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DA8-49CE-9CD1-3EB969A67E2D}"/>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DA8-49CE-9CD1-3EB969A67E2D}"/>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DA8-49CE-9CD1-3EB969A67E2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Footprints'!$J$666:$L$666</c:f>
              <c:numCache>
                <c:formatCode>0%</c:formatCode>
                <c:ptCount val="3"/>
                <c:pt idx="0">
                  <c:v>0.4240896857674798</c:v>
                </c:pt>
                <c:pt idx="1">
                  <c:v>0.25006518129364524</c:v>
                </c:pt>
                <c:pt idx="2">
                  <c:v>0.32584513293887468</c:v>
                </c:pt>
              </c:numCache>
            </c:numRef>
          </c:val>
          <c:extLst>
            <c:ext xmlns:c16="http://schemas.microsoft.com/office/drawing/2014/chart" uri="{C3380CC4-5D6E-409C-BE32-E72D297353CC}">
              <c16:uniqueId val="{00000006-2DA8-49CE-9CD1-3EB969A67E2D}"/>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Footprints'!$J$754:$L$754</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0335-48A4-9C25-6FC71A46983C}"/>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0335-48A4-9C25-6FC71A46983C}"/>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0335-48A4-9C25-6FC71A46983C}"/>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Footprints'!$J$780:$L$780</c:f>
              <c:numCache>
                <c:formatCode>0%</c:formatCode>
                <c:ptCount val="3"/>
                <c:pt idx="0">
                  <c:v>0.42339452625799345</c:v>
                </c:pt>
                <c:pt idx="1">
                  <c:v>0.24965667143455864</c:v>
                </c:pt>
                <c:pt idx="2">
                  <c:v>0.32694880230744766</c:v>
                </c:pt>
              </c:numCache>
            </c:numRef>
          </c:val>
          <c:extLst>
            <c:ext xmlns:c16="http://schemas.microsoft.com/office/drawing/2014/chart" uri="{C3380CC4-5D6E-409C-BE32-E72D297353CC}">
              <c16:uniqueId val="{00000006-0335-48A4-9C25-6FC71A46983C}"/>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Footprints'!$J$807:$L$807</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276B-47B6-B9E9-5AA57E1F0F2D}"/>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276B-47B6-B9E9-5AA57E1F0F2D}"/>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276B-47B6-B9E9-5AA57E1F0F2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Footprints'!$J$831:$L$831</c:f>
              <c:numCache>
                <c:formatCode>0%</c:formatCode>
                <c:ptCount val="3"/>
                <c:pt idx="0">
                  <c:v>0.39175423965133421</c:v>
                </c:pt>
                <c:pt idx="1">
                  <c:v>0.22997625019721973</c:v>
                </c:pt>
                <c:pt idx="2">
                  <c:v>0.37826951015144594</c:v>
                </c:pt>
              </c:numCache>
            </c:numRef>
          </c:val>
          <c:extLst>
            <c:ext xmlns:c16="http://schemas.microsoft.com/office/drawing/2014/chart" uri="{C3380CC4-5D6E-409C-BE32-E72D297353CC}">
              <c16:uniqueId val="{00000006-276B-47B6-B9E9-5AA57E1F0F2D}"/>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Footprints'!$J$861:$L$861</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1F36-4D91-98ED-C6194C5DE4B4}"/>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1F36-4D91-98ED-C6194C5DE4B4}"/>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1F36-4D91-98ED-C6194C5DE4B4}"/>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Footprints'!$J$886:$L$886</c:f>
              <c:numCache>
                <c:formatCode>0%</c:formatCode>
                <c:ptCount val="3"/>
                <c:pt idx="0">
                  <c:v>0.39173164415905598</c:v>
                </c:pt>
                <c:pt idx="1">
                  <c:v>0.22961742555970824</c:v>
                </c:pt>
                <c:pt idx="2">
                  <c:v>0.37865093028123581</c:v>
                </c:pt>
              </c:numCache>
            </c:numRef>
          </c:val>
          <c:extLst>
            <c:ext xmlns:c16="http://schemas.microsoft.com/office/drawing/2014/chart" uri="{C3380CC4-5D6E-409C-BE32-E72D297353CC}">
              <c16:uniqueId val="{00000006-1F36-4D91-98ED-C6194C5DE4B4}"/>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Footprints'!$J$915:$L$915</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02F-47B6-9207-F0383A2633F9}"/>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02F-47B6-9207-F0383A2633F9}"/>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802F-47B6-9207-F0383A2633F9}"/>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Footprints'!$J$935:$L$935</c:f>
              <c:numCache>
                <c:formatCode>0%</c:formatCode>
                <c:ptCount val="3"/>
                <c:pt idx="0">
                  <c:v>0.44412273566394017</c:v>
                </c:pt>
                <c:pt idx="1">
                  <c:v>0.24283476483990077</c:v>
                </c:pt>
                <c:pt idx="2">
                  <c:v>0.31304249949615898</c:v>
                </c:pt>
              </c:numCache>
            </c:numRef>
          </c:val>
          <c:extLst>
            <c:ext xmlns:c16="http://schemas.microsoft.com/office/drawing/2014/chart" uri="{C3380CC4-5D6E-409C-BE32-E72D297353CC}">
              <c16:uniqueId val="{00000006-802F-47B6-9207-F0383A2633F9}"/>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a:t>Share of Life Cycle Stages in CF</a:t>
            </a:r>
          </a:p>
        </c:rich>
      </c:tx>
      <c:layout>
        <c:manualLayout>
          <c:xMode val="edge"/>
          <c:yMode val="edge"/>
          <c:x val="0.24867218395992549"/>
          <c:y val="2.2222227082726833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77794000202398"/>
          <c:y val="0.15819447904516168"/>
          <c:w val="0.71411433446510852"/>
          <c:h val="0.59803129795655519"/>
        </c:manualLayout>
      </c:layout>
      <c:pie3DChart>
        <c:varyColors val="1"/>
        <c:ser>
          <c:idx val="0"/>
          <c:order val="0"/>
          <c:tx>
            <c:strRef>
              <c:f>'Carbon Footprints'!$J$969:$L$969</c:f>
              <c:strCache>
                <c:ptCount val="3"/>
                <c:pt idx="0">
                  <c:v>Upstream
CF</c:v>
                </c:pt>
                <c:pt idx="1">
                  <c:v>Direct
CF</c:v>
                </c:pt>
                <c:pt idx="2">
                  <c:v>Utility
CF</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6E6C-4521-AD73-7F664B55ACBA}"/>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6E6C-4521-AD73-7F664B55ACBA}"/>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6E6C-4521-AD73-7F664B55ACBA}"/>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'Carbon Footprints'!$J$48:$L$48</c:f>
              <c:strCache>
                <c:ptCount val="3"/>
                <c:pt idx="0">
                  <c:v>Upstream
CF</c:v>
                </c:pt>
                <c:pt idx="1">
                  <c:v>Direct
CF</c:v>
                </c:pt>
                <c:pt idx="2">
                  <c:v>Utility
CF</c:v>
                </c:pt>
              </c:strCache>
            </c:strRef>
          </c:cat>
          <c:val>
            <c:numRef>
              <c:f>'Carbon Footprints'!$J$990:$L$990</c:f>
              <c:numCache>
                <c:formatCode>0%</c:formatCode>
                <c:ptCount val="3"/>
                <c:pt idx="0">
                  <c:v>0.43315452298220891</c:v>
                </c:pt>
                <c:pt idx="1">
                  <c:v>0.23247879923718459</c:v>
                </c:pt>
                <c:pt idx="2">
                  <c:v>0.33436667778060669</c:v>
                </c:pt>
              </c:numCache>
            </c:numRef>
          </c:val>
          <c:extLst>
            <c:ext xmlns:c16="http://schemas.microsoft.com/office/drawing/2014/chart" uri="{C3380CC4-5D6E-409C-BE32-E72D297353CC}">
              <c16:uniqueId val="{00000006-6E6C-4521-AD73-7F664B55ACBA}"/>
            </c:ext>
          </c:extLst>
        </c:ser>
        <c:dLbls>
          <c:showLegendKey val="0"/>
          <c:showVal val="0"/>
          <c:showCatName val="0"/>
          <c:showSerName val="0"/>
          <c:showPercent val="0"/>
          <c:showBubbleSize val="0"/>
          <c:showLeaderLines val="1"/>
        </c:dLbls>
      </c:pie3DChart>
      <c:spPr>
        <a:noFill/>
        <a:ln>
          <a:noFill/>
        </a:ln>
        <a:effectLst/>
      </c:spPr>
    </c:plotArea>
    <c:legend>
      <c:legendPos val="b"/>
      <c:layout>
        <c:manualLayout>
          <c:xMode val="edge"/>
          <c:yMode val="edge"/>
          <c:x val="5.7263940688530024E-2"/>
          <c:y val="0.77660688810726797"/>
          <c:w val="0.8813472309528908"/>
          <c:h val="0.17339318660614739"/>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sz="1600" b="1">
          <a:solidFill>
            <a:sysClr val="windowText" lastClr="000000"/>
          </a:solidFill>
          <a:latin typeface="Times New Roman" panose="02020603050405020304" pitchFamily="18" charset="0"/>
          <a:cs typeface="Times New Roman" panose="02020603050405020304" pitchFamily="18" charset="0"/>
        </a:defRPr>
      </a:pPr>
      <a:endParaRPr lang="fa-IR"/>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44203849518812E-2"/>
          <c:y val="5.0925925925925923E-2"/>
          <c:w val="0.87122462817147861"/>
          <c:h val="0.73577136191309422"/>
        </c:manualLayout>
      </c:layout>
      <c:lineChart>
        <c:grouping val="standard"/>
        <c:varyColors val="0"/>
        <c:ser>
          <c:idx val="0"/>
          <c:order val="0"/>
          <c:tx>
            <c:strRef>
              <c:f>End!$B$14</c:f>
              <c:strCache>
                <c:ptCount val="1"/>
                <c:pt idx="0">
                  <c:v> Industrial Water </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End!$D$14:$M$14</c:f>
              <c:numCache>
                <c:formatCode>0.0000000</c:formatCode>
                <c:ptCount val="10"/>
                <c:pt idx="0">
                  <c:v>9.307825420028211E-4</c:v>
                </c:pt>
                <c:pt idx="1">
                  <c:v>9.3112018751186413E-4</c:v>
                </c:pt>
                <c:pt idx="2">
                  <c:v>9.3115671018540694E-4</c:v>
                </c:pt>
                <c:pt idx="3">
                  <c:v>9.311605554735877E-4</c:v>
                </c:pt>
                <c:pt idx="4">
                  <c:v>9.3116105490896703E-4</c:v>
                </c:pt>
              </c:numCache>
            </c:numRef>
          </c:val>
          <c:smooth val="0"/>
          <c:extLst>
            <c:ext xmlns:c16="http://schemas.microsoft.com/office/drawing/2014/chart" uri="{C3380CC4-5D6E-409C-BE32-E72D297353CC}">
              <c16:uniqueId val="{00000000-B203-4F2E-A738-EE571D2C1538}"/>
            </c:ext>
          </c:extLst>
        </c:ser>
        <c:ser>
          <c:idx val="1"/>
          <c:order val="1"/>
          <c:tx>
            <c:strRef>
              <c:f>End!$B$20</c:f>
              <c:strCache>
                <c:ptCount val="1"/>
                <c:pt idx="0">
                  <c:v>Light Water</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End!$D$20:$M$20</c:f>
              <c:numCache>
                <c:formatCode>0.0000000</c:formatCode>
                <c:ptCount val="10"/>
                <c:pt idx="0">
                  <c:v>2.8291910244092342E-3</c:v>
                </c:pt>
                <c:pt idx="1">
                  <c:v>2.831040619829315E-3</c:v>
                </c:pt>
                <c:pt idx="2">
                  <c:v>2.8315327184546641E-3</c:v>
                </c:pt>
                <c:pt idx="3">
                  <c:v>2.8315867747164543E-3</c:v>
                </c:pt>
                <c:pt idx="4">
                  <c:v>2.8315926027264421E-3</c:v>
                </c:pt>
              </c:numCache>
            </c:numRef>
          </c:val>
          <c:smooth val="0"/>
          <c:extLst>
            <c:ext xmlns:c16="http://schemas.microsoft.com/office/drawing/2014/chart" uri="{C3380CC4-5D6E-409C-BE32-E72D297353CC}">
              <c16:uniqueId val="{00000001-B203-4F2E-A738-EE571D2C1538}"/>
            </c:ext>
          </c:extLst>
        </c:ser>
        <c:ser>
          <c:idx val="2"/>
          <c:order val="2"/>
          <c:tx>
            <c:strRef>
              <c:f>End!$B$23</c:f>
              <c:strCache>
                <c:ptCount val="1"/>
                <c:pt idx="0">
                  <c:v>DM Water</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val>
            <c:numRef>
              <c:f>End!$D$23:$M$23</c:f>
              <c:numCache>
                <c:formatCode>0.0000000</c:formatCode>
                <c:ptCount val="10"/>
                <c:pt idx="0">
                  <c:v>1.0558856916025554E-2</c:v>
                </c:pt>
                <c:pt idx="1">
                  <c:v>1.056105878915823E-2</c:v>
                </c:pt>
                <c:pt idx="2">
                  <c:v>1.056136655184747E-2</c:v>
                </c:pt>
                <c:pt idx="3">
                  <c:v>1.0561392382622716E-2</c:v>
                </c:pt>
                <c:pt idx="4">
                  <c:v>1.0561396062369015E-2</c:v>
                </c:pt>
              </c:numCache>
            </c:numRef>
          </c:val>
          <c:smooth val="0"/>
          <c:extLst>
            <c:ext xmlns:c16="http://schemas.microsoft.com/office/drawing/2014/chart" uri="{C3380CC4-5D6E-409C-BE32-E72D297353CC}">
              <c16:uniqueId val="{00000002-B203-4F2E-A738-EE571D2C1538}"/>
            </c:ext>
          </c:extLst>
        </c:ser>
        <c:dLbls>
          <c:showLegendKey val="0"/>
          <c:showVal val="0"/>
          <c:showCatName val="0"/>
          <c:showSerName val="0"/>
          <c:showPercent val="0"/>
          <c:showBubbleSize val="0"/>
        </c:dLbls>
        <c:marker val="1"/>
        <c:smooth val="0"/>
        <c:axId val="1146438656"/>
        <c:axId val="1146439072"/>
      </c:lineChart>
      <c:catAx>
        <c:axId val="11464386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46439072"/>
        <c:crosses val="autoZero"/>
        <c:auto val="1"/>
        <c:lblAlgn val="ctr"/>
        <c:lblOffset val="100"/>
        <c:noMultiLvlLbl val="0"/>
      </c:catAx>
      <c:valAx>
        <c:axId val="1146439072"/>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46438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fa-IR"/>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End!$B$22</c:f>
              <c:strCache>
                <c:ptCount val="1"/>
                <c:pt idx="0">
                  <c:v>Saturated Steam</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End!$D$22:$M$22</c:f>
              <c:numCache>
                <c:formatCode>0.0000000</c:formatCode>
                <c:ptCount val="10"/>
                <c:pt idx="0">
                  <c:v>0.20591430976019254</c:v>
                </c:pt>
                <c:pt idx="1">
                  <c:v>0.20593493446622874</c:v>
                </c:pt>
                <c:pt idx="2">
                  <c:v>0.20593591860588251</c:v>
                </c:pt>
                <c:pt idx="3">
                  <c:v>0.20593612119553176</c:v>
                </c:pt>
                <c:pt idx="4">
                  <c:v>0.20593614336348284</c:v>
                </c:pt>
              </c:numCache>
            </c:numRef>
          </c:val>
          <c:smooth val="0"/>
          <c:extLst>
            <c:ext xmlns:c16="http://schemas.microsoft.com/office/drawing/2014/chart" uri="{C3380CC4-5D6E-409C-BE32-E72D297353CC}">
              <c16:uniqueId val="{00000000-C72D-4E6E-BC95-CAA8452CC983}"/>
            </c:ext>
          </c:extLst>
        </c:ser>
        <c:ser>
          <c:idx val="1"/>
          <c:order val="1"/>
          <c:tx>
            <c:strRef>
              <c:f>End!$B$24</c:f>
              <c:strCache>
                <c:ptCount val="1"/>
                <c:pt idx="0">
                  <c:v>Hot Steam</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End!$D$24:$M$24</c:f>
              <c:numCache>
                <c:formatCode>0.0000000</c:formatCode>
                <c:ptCount val="10"/>
                <c:pt idx="0">
                  <c:v>0.1576192953279251</c:v>
                </c:pt>
                <c:pt idx="1">
                  <c:v>0.15762147967727316</c:v>
                </c:pt>
                <c:pt idx="2">
                  <c:v>0.15762186021365393</c:v>
                </c:pt>
                <c:pt idx="3">
                  <c:v>0.15762189674642696</c:v>
                </c:pt>
                <c:pt idx="4">
                  <c:v>0.15762190125391443</c:v>
                </c:pt>
              </c:numCache>
            </c:numRef>
          </c:val>
          <c:smooth val="0"/>
          <c:extLst>
            <c:ext xmlns:c16="http://schemas.microsoft.com/office/drawing/2014/chart" uri="{C3380CC4-5D6E-409C-BE32-E72D297353CC}">
              <c16:uniqueId val="{00000001-C72D-4E6E-BC95-CAA8452CC983}"/>
            </c:ext>
          </c:extLst>
        </c:ser>
        <c:dLbls>
          <c:showLegendKey val="0"/>
          <c:showVal val="0"/>
          <c:showCatName val="0"/>
          <c:showSerName val="0"/>
          <c:showPercent val="0"/>
          <c:showBubbleSize val="0"/>
        </c:dLbls>
        <c:marker val="1"/>
        <c:smooth val="0"/>
        <c:axId val="1077151776"/>
        <c:axId val="1077143040"/>
      </c:lineChart>
      <c:catAx>
        <c:axId val="107715177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077143040"/>
        <c:crosses val="autoZero"/>
        <c:auto val="1"/>
        <c:lblAlgn val="ctr"/>
        <c:lblOffset val="100"/>
        <c:noMultiLvlLbl val="0"/>
      </c:catAx>
      <c:valAx>
        <c:axId val="107714304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077151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fa-IR"/>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End!$B$25</c:f>
              <c:strCache>
                <c:ptCount val="1"/>
                <c:pt idx="0">
                  <c:v>Compressed Air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End!$D$25:$M$25</c:f>
              <c:numCache>
                <c:formatCode>0.0000000</c:formatCode>
                <c:ptCount val="10"/>
                <c:pt idx="0">
                  <c:v>1.0577033973452252E-4</c:v>
                </c:pt>
                <c:pt idx="1">
                  <c:v>1.058057446854208E-4</c:v>
                </c:pt>
                <c:pt idx="2">
                  <c:v>1.0580791083421649E-4</c:v>
                </c:pt>
                <c:pt idx="3">
                  <c:v>1.0580813208312243E-4</c:v>
                </c:pt>
                <c:pt idx="4">
                  <c:v>1.0580816710638495E-4</c:v>
                </c:pt>
              </c:numCache>
            </c:numRef>
          </c:val>
          <c:smooth val="0"/>
          <c:extLst>
            <c:ext xmlns:c16="http://schemas.microsoft.com/office/drawing/2014/chart" uri="{C3380CC4-5D6E-409C-BE32-E72D297353CC}">
              <c16:uniqueId val="{00000000-853A-4399-B9D2-4AE7FF1DAD84}"/>
            </c:ext>
          </c:extLst>
        </c:ser>
        <c:ser>
          <c:idx val="1"/>
          <c:order val="1"/>
          <c:tx>
            <c:strRef>
              <c:f>End!$B$27</c:f>
              <c:strCache>
                <c:ptCount val="1"/>
                <c:pt idx="0">
                  <c:v> Nitrogen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End!$D$27:$M$27</c:f>
              <c:numCache>
                <c:formatCode>0.0000000</c:formatCode>
                <c:ptCount val="10"/>
                <c:pt idx="0">
                  <c:v>4.021195008277026E-4</c:v>
                </c:pt>
                <c:pt idx="1">
                  <c:v>4.0225344386042903E-4</c:v>
                </c:pt>
                <c:pt idx="2">
                  <c:v>4.0226126988334804E-4</c:v>
                </c:pt>
                <c:pt idx="3">
                  <c:v>4.022620665563955E-4</c:v>
                </c:pt>
                <c:pt idx="4">
                  <c:v>4.0226219520883105E-4</c:v>
                </c:pt>
              </c:numCache>
            </c:numRef>
          </c:val>
          <c:smooth val="0"/>
          <c:extLst>
            <c:ext xmlns:c16="http://schemas.microsoft.com/office/drawing/2014/chart" uri="{C3380CC4-5D6E-409C-BE32-E72D297353CC}">
              <c16:uniqueId val="{00000001-853A-4399-B9D2-4AE7FF1DAD84}"/>
            </c:ext>
          </c:extLst>
        </c:ser>
        <c:dLbls>
          <c:showLegendKey val="0"/>
          <c:showVal val="0"/>
          <c:showCatName val="0"/>
          <c:showSerName val="0"/>
          <c:showPercent val="0"/>
          <c:showBubbleSize val="0"/>
        </c:dLbls>
        <c:marker val="1"/>
        <c:smooth val="0"/>
        <c:axId val="1142342144"/>
        <c:axId val="1142340480"/>
      </c:lineChart>
      <c:catAx>
        <c:axId val="114234214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42340480"/>
        <c:crosses val="autoZero"/>
        <c:auto val="1"/>
        <c:lblAlgn val="ctr"/>
        <c:lblOffset val="100"/>
        <c:noMultiLvlLbl val="0"/>
      </c:catAx>
      <c:valAx>
        <c:axId val="1142340480"/>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142342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fa-IR"/>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End!$B$32</c:f>
              <c:strCache>
                <c:ptCount val="1"/>
                <c:pt idx="0">
                  <c:v>Mix Electricity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End!$D$32:$M$32</c:f>
              <c:numCache>
                <c:formatCode>0.0000000</c:formatCode>
                <c:ptCount val="10"/>
                <c:pt idx="0">
                  <c:v>7.5224387864043958E-4</c:v>
                </c:pt>
                <c:pt idx="1">
                  <c:v>7.5225853114516106E-4</c:v>
                </c:pt>
                <c:pt idx="2">
                  <c:v>7.5226002274002475E-4</c:v>
                </c:pt>
                <c:pt idx="3">
                  <c:v>7.5226026361338268E-4</c:v>
                </c:pt>
                <c:pt idx="4">
                  <c:v>7.5226028762958533E-4</c:v>
                </c:pt>
              </c:numCache>
            </c:numRef>
          </c:val>
          <c:smooth val="0"/>
          <c:extLst>
            <c:ext xmlns:c16="http://schemas.microsoft.com/office/drawing/2014/chart" uri="{C3380CC4-5D6E-409C-BE32-E72D297353CC}">
              <c16:uniqueId val="{00000000-F597-44CA-B5D8-38071FB1885A}"/>
            </c:ext>
          </c:extLst>
        </c:ser>
        <c:dLbls>
          <c:showLegendKey val="0"/>
          <c:showVal val="0"/>
          <c:showCatName val="0"/>
          <c:showSerName val="0"/>
          <c:showPercent val="0"/>
          <c:showBubbleSize val="0"/>
        </c:dLbls>
        <c:marker val="1"/>
        <c:smooth val="0"/>
        <c:axId val="1645769792"/>
        <c:axId val="1645773536"/>
      </c:lineChart>
      <c:catAx>
        <c:axId val="164576979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645773536"/>
        <c:crosses val="autoZero"/>
        <c:auto val="1"/>
        <c:lblAlgn val="ctr"/>
        <c:lblOffset val="100"/>
        <c:noMultiLvlLbl val="0"/>
      </c:catAx>
      <c:valAx>
        <c:axId val="1645773536"/>
        <c:scaling>
          <c:orientation val="minMax"/>
        </c:scaling>
        <c:delete val="0"/>
        <c:axPos val="l"/>
        <c:majorGridlines>
          <c:spPr>
            <a:ln w="9525" cap="flat" cmpd="sng" algn="ctr">
              <a:solidFill>
                <a:schemeClr val="tx1">
                  <a:lumMod val="15000"/>
                  <a:lumOff val="85000"/>
                </a:schemeClr>
              </a:solidFill>
              <a:round/>
            </a:ln>
            <a:effectLst/>
          </c:spPr>
        </c:majorGridlines>
        <c:numFmt formatCode="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crossAx val="16457697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a-I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ysClr val="windowText" lastClr="000000"/>
      </a:solidFill>
      <a:round/>
    </a:ln>
    <a:effectLst/>
  </c:spPr>
  <c:txPr>
    <a:bodyPr/>
    <a:lstStyle/>
    <a:p>
      <a:pPr>
        <a:defRPr/>
      </a:pPr>
      <a:endParaRPr lang="fa-IR"/>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End!$C$61</c:f>
              <c:strCache>
                <c:ptCount val="1"/>
                <c:pt idx="0">
                  <c:v>1402</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End!$B$62:$B$69</c:f>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f>End!$C$62:$C$69</c:f>
              <c:numCache>
                <c:formatCode>_(* #,##0_);_(* \(#,##0\);_(* "-"??_);_(@_)</c:formatCode>
                <c:ptCount val="8"/>
                <c:pt idx="0">
                  <c:v>6813496.8220420517</c:v>
                </c:pt>
                <c:pt idx="1">
                  <c:v>8166755.206218143</c:v>
                </c:pt>
                <c:pt idx="2">
                  <c:v>640512.76394800656</c:v>
                </c:pt>
                <c:pt idx="3">
                  <c:v>241223.08110415033</c:v>
                </c:pt>
                <c:pt idx="4">
                  <c:v>2436834.8822107511</c:v>
                </c:pt>
                <c:pt idx="5">
                  <c:v>33573.712883497494</c:v>
                </c:pt>
                <c:pt idx="6">
                  <c:v>47427.152190593697</c:v>
                </c:pt>
                <c:pt idx="7">
                  <c:v>290131.3217262851</c:v>
                </c:pt>
              </c:numCache>
            </c:numRef>
          </c:val>
          <c:extLst>
            <c:ext xmlns:c16="http://schemas.microsoft.com/office/drawing/2014/chart" uri="{C3380CC4-5D6E-409C-BE32-E72D297353CC}">
              <c16:uniqueId val="{00000000-F8A6-496F-B908-1F423FAE8CBD}"/>
            </c:ext>
          </c:extLst>
        </c:ser>
        <c:ser>
          <c:idx val="1"/>
          <c:order val="1"/>
          <c:tx>
            <c:strRef>
              <c:f>End!$D$61</c:f>
              <c:strCache>
                <c:ptCount val="1"/>
                <c:pt idx="0">
                  <c:v>1403</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End!$B$62:$B$69</c:f>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f>End!$D$62:$D$69</c:f>
              <c:numCache>
                <c:formatCode>_(* #,##0_);_(* \(#,##0\);_(* "-"??_);_(@_)</c:formatCode>
                <c:ptCount val="8"/>
                <c:pt idx="0">
                  <c:v>7182736.2314968714</c:v>
                </c:pt>
                <c:pt idx="1">
                  <c:v>9305750.0108622964</c:v>
                </c:pt>
                <c:pt idx="2">
                  <c:v>463713.19685769925</c:v>
                </c:pt>
                <c:pt idx="3">
                  <c:v>260650.52944576315</c:v>
                </c:pt>
                <c:pt idx="4">
                  <c:v>2099578.6974632288</c:v>
                </c:pt>
                <c:pt idx="5">
                  <c:v>35746.12735550385</c:v>
                </c:pt>
                <c:pt idx="6">
                  <c:v>74832.069815460767</c:v>
                </c:pt>
                <c:pt idx="7">
                  <c:v>739460.04685461009</c:v>
                </c:pt>
              </c:numCache>
            </c:numRef>
          </c:val>
          <c:extLst>
            <c:ext xmlns:c16="http://schemas.microsoft.com/office/drawing/2014/chart" uri="{C3380CC4-5D6E-409C-BE32-E72D297353CC}">
              <c16:uniqueId val="{00000001-F8A6-496F-B908-1F423FAE8CBD}"/>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2"/>
                <c:tx>
                  <c:strRef>
                    <c:extLst>
                      <c:ext uri="{02D57815-91ED-43cb-92C2-25804820EDAC}">
                        <c15:formulaRef>
                          <c15:sqref>End!$E$61</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End!$B$62:$B$69</c15:sqref>
                        </c15:formulaRef>
                      </c:ext>
                    </c:extLst>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extLst>
                      <c:ext uri="{02D57815-91ED-43cb-92C2-25804820EDAC}">
                        <c15:formulaRef>
                          <c15:sqref>End!$E$62:$E$69</c15:sqref>
                        </c15:formulaRef>
                      </c:ext>
                    </c:extLst>
                    <c:numCache>
                      <c:formatCode>_(* #,##0_);_(* \(#,##0\);_(* "-"??_);_(@_)</c:formatCode>
                      <c:ptCount val="8"/>
                    </c:numCache>
                  </c:numRef>
                </c:val>
                <c:extLst>
                  <c:ext xmlns:c16="http://schemas.microsoft.com/office/drawing/2014/chart" uri="{C3380CC4-5D6E-409C-BE32-E72D297353CC}">
                    <c16:uniqueId val="{00000002-F8A6-496F-B908-1F423FAE8CB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End!$F$61</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End!$B$62:$B$69</c15:sqref>
                        </c15:formulaRef>
                      </c:ext>
                    </c:extLst>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extLst xmlns:c15="http://schemas.microsoft.com/office/drawing/2012/chart">
                      <c:ext xmlns:c15="http://schemas.microsoft.com/office/drawing/2012/chart" uri="{02D57815-91ED-43cb-92C2-25804820EDAC}">
                        <c15:formulaRef>
                          <c15:sqref>End!$F$62:$F$69</c15:sqref>
                        </c15:formulaRef>
                      </c:ext>
                    </c:extLst>
                    <c:numCache>
                      <c:formatCode>_(* #,##0_);_(* \(#,##0\);_(* "-"??_);_(@_)</c:formatCode>
                      <c:ptCount val="8"/>
                    </c:numCache>
                  </c:numRef>
                </c:val>
                <c:extLst xmlns:c15="http://schemas.microsoft.com/office/drawing/2012/chart">
                  <c:ext xmlns:c16="http://schemas.microsoft.com/office/drawing/2014/chart" uri="{C3380CC4-5D6E-409C-BE32-E72D297353CC}">
                    <c16:uniqueId val="{00000003-F8A6-496F-B908-1F423FAE8CB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End!$G$61</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End!$B$62:$B$69</c15:sqref>
                        </c15:formulaRef>
                      </c:ext>
                    </c:extLst>
                    <c:strCache>
                      <c:ptCount val="8"/>
                      <c:pt idx="0">
                        <c:v>Iron Making</c:v>
                      </c:pt>
                      <c:pt idx="1">
                        <c:v>Steel Making</c:v>
                      </c:pt>
                      <c:pt idx="2">
                        <c:v>Hot Rolling</c:v>
                      </c:pt>
                      <c:pt idx="3">
                        <c:v>Cold Rolling</c:v>
                      </c:pt>
                      <c:pt idx="4">
                        <c:v>Utility</c:v>
                      </c:pt>
                      <c:pt idx="5">
                        <c:v>Transportation</c:v>
                      </c:pt>
                      <c:pt idx="6">
                        <c:v>Maintenance</c:v>
                      </c:pt>
                      <c:pt idx="7">
                        <c:v>TAS</c:v>
                      </c:pt>
                    </c:strCache>
                  </c:strRef>
                </c:cat>
                <c:val>
                  <c:numRef>
                    <c:extLst xmlns:c15="http://schemas.microsoft.com/office/drawing/2012/chart">
                      <c:ext xmlns:c15="http://schemas.microsoft.com/office/drawing/2012/chart" uri="{02D57815-91ED-43cb-92C2-25804820EDAC}">
                        <c15:formulaRef>
                          <c15:sqref>End!$G$62:$G$69</c15:sqref>
                        </c15:formulaRef>
                      </c:ext>
                    </c:extLst>
                    <c:numCache>
                      <c:formatCode>_(* #,##0_);_(* \(#,##0\);_(* "-"??_);_(@_)</c:formatCode>
                      <c:ptCount val="8"/>
                    </c:numCache>
                  </c:numRef>
                </c:val>
                <c:extLst xmlns:c15="http://schemas.microsoft.com/office/drawing/2012/chart">
                  <c:ext xmlns:c16="http://schemas.microsoft.com/office/drawing/2014/chart" uri="{C3380CC4-5D6E-409C-BE32-E72D297353CC}">
                    <c16:uniqueId val="{00000004-F8A6-496F-B908-1F423FAE8CBD}"/>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max val="1000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End!$C$78</c:f>
              <c:strCache>
                <c:ptCount val="1"/>
                <c:pt idx="0">
                  <c:v>1402</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End!$B$79:$B$94</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End!$C$79:$C$94</c:f>
              <c:numCache>
                <c:formatCode>_(* #,##0_);_(* \(#,##0\);_(* "-"??_);_(@_)</c:formatCode>
                <c:ptCount val="16"/>
                <c:pt idx="0">
                  <c:v>2149445.2368077454</c:v>
                </c:pt>
                <c:pt idx="1">
                  <c:v>4413962.0951660005</c:v>
                </c:pt>
                <c:pt idx="2">
                  <c:v>19125.060348198269</c:v>
                </c:pt>
                <c:pt idx="3">
                  <c:v>21692.469446353523</c:v>
                </c:pt>
                <c:pt idx="4">
                  <c:v>35354.497514618706</c:v>
                </c:pt>
                <c:pt idx="5">
                  <c:v>554.62080763125005</c:v>
                </c:pt>
                <c:pt idx="6">
                  <c:v>3824040.5144772362</c:v>
                </c:pt>
                <c:pt idx="7">
                  <c:v>465236.93796693854</c:v>
                </c:pt>
                <c:pt idx="8">
                  <c:v>0</c:v>
                </c:pt>
                <c:pt idx="9">
                  <c:v>33815.773952589458</c:v>
                </c:pt>
                <c:pt idx="10">
                  <c:v>605.07332191012142</c:v>
                </c:pt>
                <c:pt idx="11">
                  <c:v>6440182.5206354195</c:v>
                </c:pt>
                <c:pt idx="12">
                  <c:v>26922.945171060965</c:v>
                </c:pt>
                <c:pt idx="13">
                  <c:v>11592.845106478173</c:v>
                </c:pt>
                <c:pt idx="14">
                  <c:v>3689.0577408688505</c:v>
                </c:pt>
                <c:pt idx="15">
                  <c:v>1223735.2938604262</c:v>
                </c:pt>
              </c:numCache>
            </c:numRef>
          </c:val>
          <c:extLst>
            <c:ext xmlns:c16="http://schemas.microsoft.com/office/drawing/2014/chart" uri="{C3380CC4-5D6E-409C-BE32-E72D297353CC}">
              <c16:uniqueId val="{00000000-F680-4D48-819D-79C4F32B9606}"/>
            </c:ext>
          </c:extLst>
        </c:ser>
        <c:ser>
          <c:idx val="1"/>
          <c:order val="1"/>
          <c:tx>
            <c:strRef>
              <c:f>End!$D$78</c:f>
              <c:strCache>
                <c:ptCount val="1"/>
                <c:pt idx="0">
                  <c:v>1403</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End!$B$79:$B$94</c:f>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f>End!$D$79:$D$94</c:f>
              <c:numCache>
                <c:formatCode>_(* #,##0_);_(* \(#,##0\);_(* "-"??_);_(@_)</c:formatCode>
                <c:ptCount val="16"/>
                <c:pt idx="0">
                  <c:v>1296746.9928550471</c:v>
                </c:pt>
                <c:pt idx="1">
                  <c:v>4293669.2697966658</c:v>
                </c:pt>
                <c:pt idx="2">
                  <c:v>13618.732833191651</c:v>
                </c:pt>
                <c:pt idx="3">
                  <c:v>49101.160298873969</c:v>
                </c:pt>
                <c:pt idx="4">
                  <c:v>90516.963409984208</c:v>
                </c:pt>
                <c:pt idx="5">
                  <c:v>597.4327115142097</c:v>
                </c:pt>
                <c:pt idx="6">
                  <c:v>4539539.8536774926</c:v>
                </c:pt>
                <c:pt idx="7">
                  <c:v>488422.60977016506</c:v>
                </c:pt>
                <c:pt idx="8">
                  <c:v>0</c:v>
                </c:pt>
                <c:pt idx="9">
                  <c:v>33906.774135461914</c:v>
                </c:pt>
                <c:pt idx="10">
                  <c:v>704949.49694779061</c:v>
                </c:pt>
                <c:pt idx="11">
                  <c:v>7604433.746760278</c:v>
                </c:pt>
                <c:pt idx="12">
                  <c:v>26292.178559511394</c:v>
                </c:pt>
                <c:pt idx="13">
                  <c:v>14983.340718073214</c:v>
                </c:pt>
                <c:pt idx="14">
                  <c:v>3843.6711098475207</c:v>
                </c:pt>
                <c:pt idx="15">
                  <c:v>1001844.6865675382</c:v>
                </c:pt>
              </c:numCache>
            </c:numRef>
          </c:val>
          <c:extLst>
            <c:ext xmlns:c16="http://schemas.microsoft.com/office/drawing/2014/chart" uri="{C3380CC4-5D6E-409C-BE32-E72D297353CC}">
              <c16:uniqueId val="{00000001-F680-4D48-819D-79C4F32B9606}"/>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2"/>
                <c:tx>
                  <c:strRef>
                    <c:extLst>
                      <c:ext uri="{02D57815-91ED-43cb-92C2-25804820EDAC}">
                        <c15:formulaRef>
                          <c15:sqref>End!$E$78</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End!$B$79:$B$94</c15:sqref>
                        </c15:formulaRef>
                      </c:ext>
                    </c:extLst>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extLst>
                      <c:ext uri="{02D57815-91ED-43cb-92C2-25804820EDAC}">
                        <c15:formulaRef>
                          <c15:sqref>End!$E$79:$E$94</c15:sqref>
                        </c15:formulaRef>
                      </c:ext>
                    </c:extLst>
                    <c:numCache>
                      <c:formatCode>_(* #,##0_);_(* \(#,##0\);_(* "-"??_);_(@_)</c:formatCode>
                      <c:ptCount val="16"/>
                    </c:numCache>
                  </c:numRef>
                </c:val>
                <c:extLst>
                  <c:ext xmlns:c16="http://schemas.microsoft.com/office/drawing/2014/chart" uri="{C3380CC4-5D6E-409C-BE32-E72D297353CC}">
                    <c16:uniqueId val="{00000002-F680-4D48-819D-79C4F32B960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End!$F$78</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End!$B$79:$B$94</c15:sqref>
                        </c15:formulaRef>
                      </c:ext>
                    </c:extLst>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extLst xmlns:c15="http://schemas.microsoft.com/office/drawing/2012/chart">
                      <c:ext xmlns:c15="http://schemas.microsoft.com/office/drawing/2012/chart" uri="{02D57815-91ED-43cb-92C2-25804820EDAC}">
                        <c15:formulaRef>
                          <c15:sqref>End!$F$79:$F$94</c15:sqref>
                        </c15:formulaRef>
                      </c:ext>
                    </c:extLst>
                    <c:numCache>
                      <c:formatCode>_(* #,##0_);_(* \(#,##0\);_(* "-"??_);_(@_)</c:formatCode>
                      <c:ptCount val="16"/>
                    </c:numCache>
                  </c:numRef>
                </c:val>
                <c:extLst xmlns:c15="http://schemas.microsoft.com/office/drawing/2012/chart">
                  <c:ext xmlns:c16="http://schemas.microsoft.com/office/drawing/2014/chart" uri="{C3380CC4-5D6E-409C-BE32-E72D297353CC}">
                    <c16:uniqueId val="{00000003-F680-4D48-819D-79C4F32B960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End!$G$78</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End!$B$79:$B$94</c15:sqref>
                        </c15:formulaRef>
                      </c:ext>
                    </c:extLst>
                    <c:strCache>
                      <c:ptCount val="16"/>
                      <c:pt idx="0">
                        <c:v>Combustion</c:v>
                      </c:pt>
                      <c:pt idx="1">
                        <c:v>Vent</c:v>
                      </c:pt>
                      <c:pt idx="2">
                        <c:v>Fugitive</c:v>
                      </c:pt>
                      <c:pt idx="3">
                        <c:v>Mobile Combustion</c:v>
                      </c:pt>
                      <c:pt idx="4">
                        <c:v>Waste Onsite</c:v>
                      </c:pt>
                      <c:pt idx="5">
                        <c:v>Wastewater</c:v>
                      </c:pt>
                      <c:pt idx="6">
                        <c:v>Electricity</c:v>
                      </c:pt>
                      <c:pt idx="7">
                        <c:v>Up-Transportation</c:v>
                      </c:pt>
                      <c:pt idx="8">
                        <c:v>Down-Transportation</c:v>
                      </c:pt>
                      <c:pt idx="9">
                        <c:v>Commuting</c:v>
                      </c:pt>
                      <c:pt idx="10">
                        <c:v>Business travel</c:v>
                      </c:pt>
                      <c:pt idx="11">
                        <c:v>Purchased Material</c:v>
                      </c:pt>
                      <c:pt idx="12">
                        <c:v>Ancillary Input</c:v>
                      </c:pt>
                      <c:pt idx="13">
                        <c:v>Purchased Services</c:v>
                      </c:pt>
                      <c:pt idx="14">
                        <c:v>Waste Offsite</c:v>
                      </c:pt>
                      <c:pt idx="15">
                        <c:v>Energy related</c:v>
                      </c:pt>
                    </c:strCache>
                  </c:strRef>
                </c:cat>
                <c:val>
                  <c:numRef>
                    <c:extLst xmlns:c15="http://schemas.microsoft.com/office/drawing/2012/chart">
                      <c:ext xmlns:c15="http://schemas.microsoft.com/office/drawing/2012/chart" uri="{02D57815-91ED-43cb-92C2-25804820EDAC}">
                        <c15:formulaRef>
                          <c15:sqref>End!$G$79:$G$94</c15:sqref>
                        </c15:formulaRef>
                      </c:ext>
                    </c:extLst>
                    <c:numCache>
                      <c:formatCode>_(* #,##0_);_(* \(#,##0\);_(* "-"??_);_(@_)</c:formatCode>
                      <c:ptCount val="16"/>
                    </c:numCache>
                  </c:numRef>
                </c:val>
                <c:extLst xmlns:c15="http://schemas.microsoft.com/office/drawing/2012/chart">
                  <c:ext xmlns:c16="http://schemas.microsoft.com/office/drawing/2014/chart" uri="{C3380CC4-5D6E-409C-BE32-E72D297353CC}">
                    <c16:uniqueId val="{00000004-F680-4D48-819D-79C4F32B9606}"/>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max val="1000000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End!$C$102</c:f>
              <c:strCache>
                <c:ptCount val="1"/>
                <c:pt idx="0">
                  <c:v>1402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End!$B$103:$B$105</c:f>
              <c:strCache>
                <c:ptCount val="3"/>
                <c:pt idx="0">
                  <c:v>Scope 1</c:v>
                </c:pt>
                <c:pt idx="1">
                  <c:v>Scope 2</c:v>
                </c:pt>
                <c:pt idx="2">
                  <c:v>Scope 3</c:v>
                </c:pt>
              </c:strCache>
            </c:strRef>
          </c:cat>
          <c:val>
            <c:numRef>
              <c:f>End!$C$103:$C$105</c:f>
              <c:numCache>
                <c:formatCode>_(* #,##0_);_(* \(#,##0\);_(* "-"??_);_(@_)</c:formatCode>
                <c:ptCount val="3"/>
                <c:pt idx="0">
                  <c:v>6640133.9800905483</c:v>
                </c:pt>
                <c:pt idx="1">
                  <c:v>3824040.5144772362</c:v>
                </c:pt>
                <c:pt idx="2">
                  <c:v>8205780.4477556935</c:v>
                </c:pt>
              </c:numCache>
            </c:numRef>
          </c:val>
          <c:extLst>
            <c:ext xmlns:c16="http://schemas.microsoft.com/office/drawing/2014/chart" uri="{C3380CC4-5D6E-409C-BE32-E72D297353CC}">
              <c16:uniqueId val="{00000000-3910-48F2-9048-BDC8220876FE}"/>
            </c:ext>
          </c:extLst>
        </c:ser>
        <c:ser>
          <c:idx val="1"/>
          <c:order val="1"/>
          <c:tx>
            <c:strRef>
              <c:f>End!$D$102</c:f>
              <c:strCache>
                <c:ptCount val="1"/>
                <c:pt idx="0">
                  <c:v>1403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End!$B$103:$B$105</c:f>
              <c:strCache>
                <c:ptCount val="3"/>
                <c:pt idx="0">
                  <c:v>Scope 1</c:v>
                </c:pt>
                <c:pt idx="1">
                  <c:v>Scope 2</c:v>
                </c:pt>
                <c:pt idx="2">
                  <c:v>Scope 3</c:v>
                </c:pt>
              </c:strCache>
            </c:strRef>
          </c:cat>
          <c:val>
            <c:numRef>
              <c:f>End!$D$103:$D$105</c:f>
              <c:numCache>
                <c:formatCode>_(* #,##0_);_(* \(#,##0\);_(* "-"??_);_(@_)</c:formatCode>
                <c:ptCount val="3"/>
                <c:pt idx="0">
                  <c:v>5744250.5519052772</c:v>
                </c:pt>
                <c:pt idx="1">
                  <c:v>4539539.8536774926</c:v>
                </c:pt>
                <c:pt idx="2">
                  <c:v>9878676.5045686644</c:v>
                </c:pt>
              </c:numCache>
            </c:numRef>
          </c:val>
          <c:extLst>
            <c:ext xmlns:c16="http://schemas.microsoft.com/office/drawing/2014/chart" uri="{C3380CC4-5D6E-409C-BE32-E72D297353CC}">
              <c16:uniqueId val="{00000001-3910-48F2-9048-BDC8220876FE}"/>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2"/>
                <c:tx>
                  <c:strRef>
                    <c:extLst>
                      <c:ext uri="{02D57815-91ED-43cb-92C2-25804820EDAC}">
                        <c15:formulaRef>
                          <c15:sqref>End!$E$102</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End!$B$103:$B$105</c15:sqref>
                        </c15:formulaRef>
                      </c:ext>
                    </c:extLst>
                    <c:strCache>
                      <c:ptCount val="3"/>
                      <c:pt idx="0">
                        <c:v>Scope 1</c:v>
                      </c:pt>
                      <c:pt idx="1">
                        <c:v>Scope 2</c:v>
                      </c:pt>
                      <c:pt idx="2">
                        <c:v>Scope 3</c:v>
                      </c:pt>
                    </c:strCache>
                  </c:strRef>
                </c:cat>
                <c:val>
                  <c:numRef>
                    <c:extLst>
                      <c:ext uri="{02D57815-91ED-43cb-92C2-25804820EDAC}">
                        <c15:formulaRef>
                          <c15:sqref>End!$E$103:$E$105</c15:sqref>
                        </c15:formulaRef>
                      </c:ext>
                    </c:extLst>
                    <c:numCache>
                      <c:formatCode>_(* #,##0_);_(* \(#,##0\);_(* "-"??_);_(@_)</c:formatCode>
                      <c:ptCount val="3"/>
                    </c:numCache>
                  </c:numRef>
                </c:val>
                <c:extLst>
                  <c:ext xmlns:c16="http://schemas.microsoft.com/office/drawing/2014/chart" uri="{C3380CC4-5D6E-409C-BE32-E72D297353CC}">
                    <c16:uniqueId val="{00000002-3910-48F2-9048-BDC8220876F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End!$F$102</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End!$B$103:$B$105</c15:sqref>
                        </c15:formulaRef>
                      </c:ext>
                    </c:extLst>
                    <c:strCache>
                      <c:ptCount val="3"/>
                      <c:pt idx="0">
                        <c:v>Scope 1</c:v>
                      </c:pt>
                      <c:pt idx="1">
                        <c:v>Scope 2</c:v>
                      </c:pt>
                      <c:pt idx="2">
                        <c:v>Scope 3</c:v>
                      </c:pt>
                    </c:strCache>
                  </c:strRef>
                </c:cat>
                <c:val>
                  <c:numRef>
                    <c:extLst xmlns:c15="http://schemas.microsoft.com/office/drawing/2012/chart">
                      <c:ext xmlns:c15="http://schemas.microsoft.com/office/drawing/2012/chart" uri="{02D57815-91ED-43cb-92C2-25804820EDAC}">
                        <c15:formulaRef>
                          <c15:sqref>End!$F$103:$F$105</c15:sqref>
                        </c15:formulaRef>
                      </c:ext>
                    </c:extLst>
                    <c:numCache>
                      <c:formatCode>_(* #,##0_);_(* \(#,##0\);_(* "-"??_);_(@_)</c:formatCode>
                      <c:ptCount val="3"/>
                    </c:numCache>
                  </c:numRef>
                </c:val>
                <c:extLst xmlns:c15="http://schemas.microsoft.com/office/drawing/2012/chart">
                  <c:ext xmlns:c16="http://schemas.microsoft.com/office/drawing/2014/chart" uri="{C3380CC4-5D6E-409C-BE32-E72D297353CC}">
                    <c16:uniqueId val="{00000003-3910-48F2-9048-BDC8220876F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End!$G$102</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End!$B$103:$B$105</c15:sqref>
                        </c15:formulaRef>
                      </c:ext>
                    </c:extLst>
                    <c:strCache>
                      <c:ptCount val="3"/>
                      <c:pt idx="0">
                        <c:v>Scope 1</c:v>
                      </c:pt>
                      <c:pt idx="1">
                        <c:v>Scope 2</c:v>
                      </c:pt>
                      <c:pt idx="2">
                        <c:v>Scope 3</c:v>
                      </c:pt>
                    </c:strCache>
                  </c:strRef>
                </c:cat>
                <c:val>
                  <c:numRef>
                    <c:extLst xmlns:c15="http://schemas.microsoft.com/office/drawing/2012/chart">
                      <c:ext xmlns:c15="http://schemas.microsoft.com/office/drawing/2012/chart" uri="{02D57815-91ED-43cb-92C2-25804820EDAC}">
                        <c15:formulaRef>
                          <c15:sqref>End!$G$103:$G$105</c15:sqref>
                        </c15:formulaRef>
                      </c:ext>
                    </c:extLst>
                    <c:numCache>
                      <c:formatCode>_(* #,##0_);_(* \(#,##0\);_(* "-"??_);_(@_)</c:formatCode>
                      <c:ptCount val="3"/>
                    </c:numCache>
                  </c:numRef>
                </c:val>
                <c:extLst xmlns:c15="http://schemas.microsoft.com/office/drawing/2012/chart">
                  <c:ext xmlns:c16="http://schemas.microsoft.com/office/drawing/2014/chart" uri="{C3380CC4-5D6E-409C-BE32-E72D297353CC}">
                    <c16:uniqueId val="{00000004-3910-48F2-9048-BDC8220876FE}"/>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End!$C$113</c:f>
              <c:strCache>
                <c:ptCount val="1"/>
                <c:pt idx="0">
                  <c:v>1402</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End!$B$114:$B$128</c:f>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f>End!$C$114:$C$128</c:f>
              <c:numCache>
                <c:formatCode>0.0000</c:formatCode>
                <c:ptCount val="15"/>
                <c:pt idx="0">
                  <c:v>2.1815447747102952</c:v>
                </c:pt>
                <c:pt idx="1">
                  <c:v>2.3119156727242425</c:v>
                </c:pt>
                <c:pt idx="2">
                  <c:v>2.5607241151312672</c:v>
                </c:pt>
                <c:pt idx="3">
                  <c:v>2.50530496370228</c:v>
                </c:pt>
                <c:pt idx="4">
                  <c:v>2.4039848782936204</c:v>
                </c:pt>
                <c:pt idx="5">
                  <c:v>2.3608832967064779</c:v>
                </c:pt>
                <c:pt idx="6">
                  <c:v>2.479878913752716</c:v>
                </c:pt>
                <c:pt idx="7">
                  <c:v>2.6166485398932009</c:v>
                </c:pt>
                <c:pt idx="8">
                  <c:v>3.0913768517794531</c:v>
                </c:pt>
                <c:pt idx="9">
                  <c:v>2.7168677858207873</c:v>
                </c:pt>
                <c:pt idx="10">
                  <c:v>2.8140614751657997</c:v>
                </c:pt>
                <c:pt idx="11">
                  <c:v>3.366006784472968</c:v>
                </c:pt>
                <c:pt idx="12">
                  <c:v>3.4426892020707474</c:v>
                </c:pt>
                <c:pt idx="13">
                  <c:v>2.5608409809631225</c:v>
                </c:pt>
                <c:pt idx="14">
                  <c:v>3.1304513801766922</c:v>
                </c:pt>
              </c:numCache>
            </c:numRef>
          </c:val>
          <c:extLst>
            <c:ext xmlns:c16="http://schemas.microsoft.com/office/drawing/2014/chart" uri="{C3380CC4-5D6E-409C-BE32-E72D297353CC}">
              <c16:uniqueId val="{00000000-9771-4A72-9972-B2AAD0CEB7DD}"/>
            </c:ext>
          </c:extLst>
        </c:ser>
        <c:ser>
          <c:idx val="1"/>
          <c:order val="1"/>
          <c:tx>
            <c:strRef>
              <c:f>End!$D$113</c:f>
              <c:strCache>
                <c:ptCount val="1"/>
                <c:pt idx="0">
                  <c:v>1403</c:v>
                </c:pt>
              </c:strCache>
            </c:strRef>
          </c:tx>
          <c:spPr>
            <a:solidFill>
              <a:schemeClr val="accent2"/>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End!$B$114:$B$128</c:f>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f>End!$D$114:$D$128</c:f>
              <c:numCache>
                <c:formatCode>0.0000</c:formatCode>
                <c:ptCount val="15"/>
                <c:pt idx="0">
                  <c:v>2.330168172395239</c:v>
                </c:pt>
                <c:pt idx="1">
                  <c:v>2.4846049455949877</c:v>
                </c:pt>
                <c:pt idx="2">
                  <c:v>2.8950543793369636</c:v>
                </c:pt>
                <c:pt idx="3">
                  <c:v>2.7318011840822933</c:v>
                </c:pt>
                <c:pt idx="4">
                  <c:v>2.5594019337317184</c:v>
                </c:pt>
                <c:pt idx="5">
                  <c:v>2.6163427228653235</c:v>
                </c:pt>
                <c:pt idx="6">
                  <c:v>2.7418556575778874</c:v>
                </c:pt>
                <c:pt idx="7">
                  <c:v>2.8652755767830036</c:v>
                </c:pt>
                <c:pt idx="8">
                  <c:v>3.2725870660044847</c:v>
                </c:pt>
                <c:pt idx="9">
                  <c:v>2.9579955683589745</c:v>
                </c:pt>
                <c:pt idx="10">
                  <c:v>2.9709919594576948</c:v>
                </c:pt>
                <c:pt idx="11">
                  <c:v>3.5098788288460518</c:v>
                </c:pt>
                <c:pt idx="12">
                  <c:v>3.5975775733838038</c:v>
                </c:pt>
                <c:pt idx="13">
                  <c:v>2.8867988601632728</c:v>
                </c:pt>
                <c:pt idx="14">
                  <c:v>3.1282025311272124</c:v>
                </c:pt>
              </c:numCache>
            </c:numRef>
          </c:val>
          <c:extLst>
            <c:ext xmlns:c16="http://schemas.microsoft.com/office/drawing/2014/chart" uri="{C3380CC4-5D6E-409C-BE32-E72D297353CC}">
              <c16:uniqueId val="{00000001-9771-4A72-9972-B2AAD0CEB7DD}"/>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2"/>
                <c:tx>
                  <c:strRef>
                    <c:extLst>
                      <c:ext uri="{02D57815-91ED-43cb-92C2-25804820EDAC}">
                        <c15:formulaRef>
                          <c15:sqref>End!$E$113</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End!$B$114:$B$128</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c:ext uri="{02D57815-91ED-43cb-92C2-25804820EDAC}">
                        <c15:formulaRef>
                          <c15:sqref>End!$E$114:$E$128</c15:sqref>
                        </c15:formulaRef>
                      </c:ext>
                    </c:extLst>
                    <c:numCache>
                      <c:formatCode>0.0000</c:formatCode>
                      <c:ptCount val="15"/>
                    </c:numCache>
                  </c:numRef>
                </c:val>
                <c:extLst>
                  <c:ext xmlns:c16="http://schemas.microsoft.com/office/drawing/2014/chart" uri="{C3380CC4-5D6E-409C-BE32-E72D297353CC}">
                    <c16:uniqueId val="{00000002-9771-4A72-9972-B2AAD0CEB7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End!$F$113</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End!$B$114:$B$128</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xmlns:c15="http://schemas.microsoft.com/office/drawing/2012/chart">
                      <c:ext xmlns:c15="http://schemas.microsoft.com/office/drawing/2012/chart" uri="{02D57815-91ED-43cb-92C2-25804820EDAC}">
                        <c15:formulaRef>
                          <c15:sqref>End!$F$114:$F$128</c15:sqref>
                        </c15:formulaRef>
                      </c:ext>
                    </c:extLst>
                    <c:numCache>
                      <c:formatCode>0.0000</c:formatCode>
                      <c:ptCount val="15"/>
                    </c:numCache>
                  </c:numRef>
                </c:val>
                <c:extLst xmlns:c15="http://schemas.microsoft.com/office/drawing/2012/chart">
                  <c:ext xmlns:c16="http://schemas.microsoft.com/office/drawing/2014/chart" uri="{C3380CC4-5D6E-409C-BE32-E72D297353CC}">
                    <c16:uniqueId val="{00000003-9771-4A72-9972-B2AAD0CEB7D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End!$G$113</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End!$B$114:$B$128</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xmlns:c15="http://schemas.microsoft.com/office/drawing/2012/chart">
                      <c:ext xmlns:c15="http://schemas.microsoft.com/office/drawing/2012/chart" uri="{02D57815-91ED-43cb-92C2-25804820EDAC}">
                        <c15:formulaRef>
                          <c15:sqref>End!$G$114:$G$128</c15:sqref>
                        </c15:formulaRef>
                      </c:ext>
                    </c:extLst>
                    <c:numCache>
                      <c:formatCode>0.0000</c:formatCode>
                      <c:ptCount val="15"/>
                    </c:numCache>
                  </c:numRef>
                </c:val>
                <c:extLst xmlns:c15="http://schemas.microsoft.com/office/drawing/2012/chart">
                  <c:ext xmlns:c16="http://schemas.microsoft.com/office/drawing/2014/chart" uri="{C3380CC4-5D6E-409C-BE32-E72D297353CC}">
                    <c16:uniqueId val="{00000004-9771-4A72-9972-B2AAD0CEB7DD}"/>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max val="6"/>
        </c:scaling>
        <c:delete val="0"/>
        <c:axPos val="l"/>
        <c:numFmt formatCode="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End!$C$47</c:f>
              <c:strCache>
                <c:ptCount val="1"/>
                <c:pt idx="0">
                  <c:v>1402</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End!$B$48:$B$49</c:f>
              <c:strCache>
                <c:ptCount val="2"/>
                <c:pt idx="0">
                  <c:v>Total Emission</c:v>
                </c:pt>
                <c:pt idx="1">
                  <c:v>Total Production</c:v>
                </c:pt>
              </c:strCache>
            </c:strRef>
          </c:cat>
          <c:val>
            <c:numRef>
              <c:f>End!$C$48:$C$49</c:f>
              <c:numCache>
                <c:formatCode>_(* #,##0_);_(* \(#,##0\);_(* "-"??_);_(@_)</c:formatCode>
                <c:ptCount val="2"/>
                <c:pt idx="0">
                  <c:v>18669954</c:v>
                </c:pt>
                <c:pt idx="1">
                  <c:v>7197766</c:v>
                </c:pt>
              </c:numCache>
            </c:numRef>
          </c:val>
          <c:extLst>
            <c:ext xmlns:c16="http://schemas.microsoft.com/office/drawing/2014/chart" uri="{C3380CC4-5D6E-409C-BE32-E72D297353CC}">
              <c16:uniqueId val="{00000000-D348-497D-85CA-242A8EB38B40}"/>
            </c:ext>
          </c:extLst>
        </c:ser>
        <c:ser>
          <c:idx val="1"/>
          <c:order val="1"/>
          <c:tx>
            <c:strRef>
              <c:f>End!$D$47</c:f>
              <c:strCache>
                <c:ptCount val="1"/>
                <c:pt idx="0">
                  <c:v>1403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End!$B$48:$B$49</c:f>
              <c:strCache>
                <c:ptCount val="2"/>
                <c:pt idx="0">
                  <c:v>Total Emission</c:v>
                </c:pt>
                <c:pt idx="1">
                  <c:v>Total Production</c:v>
                </c:pt>
              </c:strCache>
            </c:strRef>
          </c:cat>
          <c:val>
            <c:numRef>
              <c:f>End!$D$48:$D$49</c:f>
              <c:numCache>
                <c:formatCode>_(* #,##0_);_(* \(#,##0\);_(* "-"??_);_(@_)</c:formatCode>
                <c:ptCount val="2"/>
                <c:pt idx="0">
                  <c:v>20162466.910151437</c:v>
                </c:pt>
                <c:pt idx="1">
                  <c:v>6959817.4009999996</c:v>
                </c:pt>
              </c:numCache>
            </c:numRef>
          </c:val>
          <c:extLst>
            <c:ext xmlns:c16="http://schemas.microsoft.com/office/drawing/2014/chart" uri="{C3380CC4-5D6E-409C-BE32-E72D297353CC}">
              <c16:uniqueId val="{00000001-D348-497D-85CA-242A8EB38B40}"/>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2"/>
                <c:tx>
                  <c:strRef>
                    <c:extLst>
                      <c:ext uri="{02D57815-91ED-43cb-92C2-25804820EDAC}">
                        <c15:formulaRef>
                          <c15:sqref>End!$E$47</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End!$B$48:$B$49</c15:sqref>
                        </c15:formulaRef>
                      </c:ext>
                    </c:extLst>
                    <c:strCache>
                      <c:ptCount val="2"/>
                      <c:pt idx="0">
                        <c:v>Total Emission</c:v>
                      </c:pt>
                      <c:pt idx="1">
                        <c:v>Total Production</c:v>
                      </c:pt>
                    </c:strCache>
                  </c:strRef>
                </c:cat>
                <c:val>
                  <c:numRef>
                    <c:extLst>
                      <c:ext uri="{02D57815-91ED-43cb-92C2-25804820EDAC}">
                        <c15:formulaRef>
                          <c15:sqref>End!$E$48:$E$49</c15:sqref>
                        </c15:formulaRef>
                      </c:ext>
                    </c:extLst>
                    <c:numCache>
                      <c:formatCode>_(* #,##0_);_(* \(#,##0\);_(* "-"??_);_(@_)</c:formatCode>
                      <c:ptCount val="2"/>
                    </c:numCache>
                  </c:numRef>
                </c:val>
                <c:extLst>
                  <c:ext xmlns:c16="http://schemas.microsoft.com/office/drawing/2014/chart" uri="{C3380CC4-5D6E-409C-BE32-E72D297353CC}">
                    <c16:uniqueId val="{00000002-D348-497D-85CA-242A8EB38B4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End!$F$47</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End!$B$48:$B$49</c15:sqref>
                        </c15:formulaRef>
                      </c:ext>
                    </c:extLst>
                    <c:strCache>
                      <c:ptCount val="2"/>
                      <c:pt idx="0">
                        <c:v>Total Emission</c:v>
                      </c:pt>
                      <c:pt idx="1">
                        <c:v>Total Production</c:v>
                      </c:pt>
                    </c:strCache>
                  </c:strRef>
                </c:cat>
                <c:val>
                  <c:numRef>
                    <c:extLst xmlns:c15="http://schemas.microsoft.com/office/drawing/2012/chart">
                      <c:ext xmlns:c15="http://schemas.microsoft.com/office/drawing/2012/chart" uri="{02D57815-91ED-43cb-92C2-25804820EDAC}">
                        <c15:formulaRef>
                          <c15:sqref>End!$F$48:$F$49</c15:sqref>
                        </c15:formulaRef>
                      </c:ext>
                    </c:extLst>
                    <c:numCache>
                      <c:formatCode>_(* #,##0_);_(* \(#,##0\);_(* "-"??_);_(@_)</c:formatCode>
                      <c:ptCount val="2"/>
                    </c:numCache>
                  </c:numRef>
                </c:val>
                <c:extLst xmlns:c15="http://schemas.microsoft.com/office/drawing/2012/chart">
                  <c:ext xmlns:c16="http://schemas.microsoft.com/office/drawing/2014/chart" uri="{C3380CC4-5D6E-409C-BE32-E72D297353CC}">
                    <c16:uniqueId val="{00000003-D348-497D-85CA-242A8EB38B4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End!$G$47</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End!$B$48:$B$49</c15:sqref>
                        </c15:formulaRef>
                      </c:ext>
                    </c:extLst>
                    <c:strCache>
                      <c:ptCount val="2"/>
                      <c:pt idx="0">
                        <c:v>Total Emission</c:v>
                      </c:pt>
                      <c:pt idx="1">
                        <c:v>Total Production</c:v>
                      </c:pt>
                    </c:strCache>
                  </c:strRef>
                </c:cat>
                <c:val>
                  <c:numRef>
                    <c:extLst xmlns:c15="http://schemas.microsoft.com/office/drawing/2012/chart">
                      <c:ext xmlns:c15="http://schemas.microsoft.com/office/drawing/2012/chart" uri="{02D57815-91ED-43cb-92C2-25804820EDAC}">
                        <c15:formulaRef>
                          <c15:sqref>End!$G$48:$G$49</c15:sqref>
                        </c15:formulaRef>
                      </c:ext>
                    </c:extLst>
                    <c:numCache>
                      <c:formatCode>_(* #,##0_);_(* \(#,##0\);_(* "-"??_);_(@_)</c:formatCode>
                      <c:ptCount val="2"/>
                    </c:numCache>
                  </c:numRef>
                </c:val>
                <c:extLst xmlns:c15="http://schemas.microsoft.com/office/drawing/2012/chart">
                  <c:ext xmlns:c16="http://schemas.microsoft.com/office/drawing/2014/chart" uri="{C3380CC4-5D6E-409C-BE32-E72D297353CC}">
                    <c16:uniqueId val="{00000004-D348-497D-85CA-242A8EB38B40}"/>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min val="0"/>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End!$D$134</c:f>
              <c:strCache>
                <c:ptCount val="1"/>
                <c:pt idx="0">
                  <c:v>1403</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fa-I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End!$B$135:$B$149</c:f>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f>End!$D$135:$D$149</c:f>
              <c:numCache>
                <c:formatCode>0.0%</c:formatCode>
                <c:ptCount val="15"/>
                <c:pt idx="0">
                  <c:v>6.8127594449525208E-2</c:v>
                </c:pt>
                <c:pt idx="1">
                  <c:v>7.4695316489315142E-2</c:v>
                </c:pt>
                <c:pt idx="2">
                  <c:v>0.13056082934906796</c:v>
                </c:pt>
                <c:pt idx="3">
                  <c:v>9.0406646560625761E-2</c:v>
                </c:pt>
                <c:pt idx="4">
                  <c:v>6.4649764165078727E-2</c:v>
                </c:pt>
                <c:pt idx="5">
                  <c:v>0.10820502077134489</c:v>
                </c:pt>
                <c:pt idx="6">
                  <c:v>0.10564094172998592</c:v>
                </c:pt>
                <c:pt idx="7">
                  <c:v>9.5017360222152902E-2</c:v>
                </c:pt>
                <c:pt idx="8">
                  <c:v>5.8617963099750738E-2</c:v>
                </c:pt>
                <c:pt idx="9">
                  <c:v>8.8752122498055461E-2</c:v>
                </c:pt>
                <c:pt idx="10">
                  <c:v>5.5766544432953077E-2</c:v>
                </c:pt>
                <c:pt idx="11">
                  <c:v>4.2742648362074115E-2</c:v>
                </c:pt>
                <c:pt idx="12">
                  <c:v>4.4990518232053141E-2</c:v>
                </c:pt>
                <c:pt idx="13">
                  <c:v>0.12728548223933794</c:v>
                </c:pt>
                <c:pt idx="14">
                  <c:v>-7.1837852640692661E-4</c:v>
                </c:pt>
              </c:numCache>
            </c:numRef>
          </c:val>
          <c:extLst>
            <c:ext xmlns:c16="http://schemas.microsoft.com/office/drawing/2014/chart" uri="{C3380CC4-5D6E-409C-BE32-E72D297353CC}">
              <c16:uniqueId val="{00000001-69F5-4DF7-B1AE-28BE2259A653}"/>
            </c:ext>
          </c:extLst>
        </c:ser>
        <c:dLbls>
          <c:showLegendKey val="0"/>
          <c:showVal val="0"/>
          <c:showCatName val="0"/>
          <c:showSerName val="0"/>
          <c:showPercent val="0"/>
          <c:showBubbleSize val="0"/>
        </c:dLbls>
        <c:gapWidth val="219"/>
        <c:overlap val="-27"/>
        <c:axId val="837570992"/>
        <c:axId val="837565168"/>
        <c:extLst>
          <c:ext xmlns:c15="http://schemas.microsoft.com/office/drawing/2012/chart" uri="{02D57815-91ED-43cb-92C2-25804820EDAC}">
            <c15:filteredBarSeries>
              <c15:ser>
                <c:idx val="2"/>
                <c:order val="1"/>
                <c:tx>
                  <c:strRef>
                    <c:extLst>
                      <c:ext uri="{02D57815-91ED-43cb-92C2-25804820EDAC}">
                        <c15:formulaRef>
                          <c15:sqref>End!$E$134</c15:sqref>
                        </c15:formulaRef>
                      </c:ext>
                    </c:extLst>
                    <c:strCache>
                      <c:ptCount val="1"/>
                      <c:pt idx="0">
                        <c:v>1404</c:v>
                      </c:pt>
                    </c:strCache>
                  </c:strRef>
                </c:tx>
                <c:spPr>
                  <a:solidFill>
                    <a:schemeClr val="accent3"/>
                  </a:solidFill>
                  <a:ln>
                    <a:noFill/>
                  </a:ln>
                  <a:effectLst/>
                </c:spPr>
                <c:invertIfNegative val="0"/>
                <c:cat>
                  <c:strRef>
                    <c:extLst>
                      <c:ext uri="{02D57815-91ED-43cb-92C2-25804820EDAC}">
                        <c15:formulaRef>
                          <c15:sqref>End!$B$135:$B$149</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c:ext uri="{02D57815-91ED-43cb-92C2-25804820EDAC}">
                        <c15:formulaRef>
                          <c15:sqref>End!$E$135:$E$149</c15:sqref>
                        </c15:formulaRef>
                      </c:ext>
                    </c:extLst>
                    <c:numCache>
                      <c:formatCode>0.0000</c:formatCode>
                      <c:ptCount val="15"/>
                    </c:numCache>
                  </c:numRef>
                </c:val>
                <c:extLst>
                  <c:ext xmlns:c16="http://schemas.microsoft.com/office/drawing/2014/chart" uri="{C3380CC4-5D6E-409C-BE32-E72D297353CC}">
                    <c16:uniqueId val="{00000002-69F5-4DF7-B1AE-28BE2259A653}"/>
                  </c:ext>
                </c:extLst>
              </c15:ser>
            </c15:filteredBarSeries>
            <c15:filteredBarSeries>
              <c15:ser>
                <c:idx val="3"/>
                <c:order val="2"/>
                <c:tx>
                  <c:strRef>
                    <c:extLst xmlns:c15="http://schemas.microsoft.com/office/drawing/2012/chart">
                      <c:ext xmlns:c15="http://schemas.microsoft.com/office/drawing/2012/chart" uri="{02D57815-91ED-43cb-92C2-25804820EDAC}">
                        <c15:formulaRef>
                          <c15:sqref>End!$F$134</c15:sqref>
                        </c15:formulaRef>
                      </c:ext>
                    </c:extLst>
                    <c:strCache>
                      <c:ptCount val="1"/>
                      <c:pt idx="0">
                        <c:v>1405</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End!$B$135:$B$149</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xmlns:c15="http://schemas.microsoft.com/office/drawing/2012/chart">
                      <c:ext xmlns:c15="http://schemas.microsoft.com/office/drawing/2012/chart" uri="{02D57815-91ED-43cb-92C2-25804820EDAC}">
                        <c15:formulaRef>
                          <c15:sqref>End!$F$135:$F$149</c15:sqref>
                        </c15:formulaRef>
                      </c:ext>
                    </c:extLst>
                    <c:numCache>
                      <c:formatCode>0.0000</c:formatCode>
                      <c:ptCount val="15"/>
                    </c:numCache>
                  </c:numRef>
                </c:val>
                <c:extLst xmlns:c15="http://schemas.microsoft.com/office/drawing/2012/chart">
                  <c:ext xmlns:c16="http://schemas.microsoft.com/office/drawing/2014/chart" uri="{C3380CC4-5D6E-409C-BE32-E72D297353CC}">
                    <c16:uniqueId val="{00000003-69F5-4DF7-B1AE-28BE2259A653}"/>
                  </c:ext>
                </c:extLst>
              </c15:ser>
            </c15:filteredBarSeries>
            <c15:filteredBarSeries>
              <c15:ser>
                <c:idx val="4"/>
                <c:order val="3"/>
                <c:tx>
                  <c:strRef>
                    <c:extLst xmlns:c15="http://schemas.microsoft.com/office/drawing/2012/chart">
                      <c:ext xmlns:c15="http://schemas.microsoft.com/office/drawing/2012/chart" uri="{02D57815-91ED-43cb-92C2-25804820EDAC}">
                        <c15:formulaRef>
                          <c15:sqref>End!$G$134</c15:sqref>
                        </c15:formulaRef>
                      </c:ext>
                    </c:extLst>
                    <c:strCache>
                      <c:ptCount val="1"/>
                      <c:pt idx="0">
                        <c:v>1406</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End!$B$135:$B$149</c15:sqref>
                        </c15:formulaRef>
                      </c:ext>
                    </c:extLst>
                    <c:strCache>
                      <c:ptCount val="15"/>
                      <c:pt idx="0">
                        <c:v> Slab </c:v>
                      </c:pt>
                      <c:pt idx="1">
                        <c:v> Hot Rolled Coil </c:v>
                      </c:pt>
                      <c:pt idx="2">
                        <c:v> Hot Coil (Temper) </c:v>
                      </c:pt>
                      <c:pt idx="3">
                        <c:v> Hot Rolled Sheet </c:v>
                      </c:pt>
                      <c:pt idx="4">
                        <c:v>Hot Coil (Skin)</c:v>
                      </c:pt>
                      <c:pt idx="5">
                        <c:v>Pickled Coil</c:v>
                      </c:pt>
                      <c:pt idx="6">
                        <c:v>Full Hard Rolled Coil</c:v>
                      </c:pt>
                      <c:pt idx="7">
                        <c:v>Cold Rolled Oiled Coil</c:v>
                      </c:pt>
                      <c:pt idx="8">
                        <c:v>Black Plate Coil</c:v>
                      </c:pt>
                      <c:pt idx="9">
                        <c:v> Cold Rolled Coil </c:v>
                      </c:pt>
                      <c:pt idx="10">
                        <c:v> Cold Rolled Sheet </c:v>
                      </c:pt>
                      <c:pt idx="11">
                        <c:v>Tin Plated Coil</c:v>
                      </c:pt>
                      <c:pt idx="12">
                        <c:v>Tin Plated Sheet</c:v>
                      </c:pt>
                      <c:pt idx="13">
                        <c:v>Galvanized Coil</c:v>
                      </c:pt>
                      <c:pt idx="14">
                        <c:v>Color Coated Coil</c:v>
                      </c:pt>
                    </c:strCache>
                  </c:strRef>
                </c:cat>
                <c:val>
                  <c:numRef>
                    <c:extLst xmlns:c15="http://schemas.microsoft.com/office/drawing/2012/chart">
                      <c:ext xmlns:c15="http://schemas.microsoft.com/office/drawing/2012/chart" uri="{02D57815-91ED-43cb-92C2-25804820EDAC}">
                        <c15:formulaRef>
                          <c15:sqref>End!$G$135:$G$149</c15:sqref>
                        </c15:formulaRef>
                      </c:ext>
                    </c:extLst>
                    <c:numCache>
                      <c:formatCode>0.0000</c:formatCode>
                      <c:ptCount val="15"/>
                    </c:numCache>
                  </c:numRef>
                </c:val>
                <c:extLst xmlns:c15="http://schemas.microsoft.com/office/drawing/2012/chart">
                  <c:ext xmlns:c16="http://schemas.microsoft.com/office/drawing/2014/chart" uri="{C3380CC4-5D6E-409C-BE32-E72D297353CC}">
                    <c16:uniqueId val="{00000004-69F5-4DF7-B1AE-28BE2259A653}"/>
                  </c:ext>
                </c:extLst>
              </c15:ser>
            </c15:filteredBarSeries>
          </c:ext>
        </c:extLst>
      </c:barChart>
      <c:catAx>
        <c:axId val="837570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65168"/>
        <c:crosses val="autoZero"/>
        <c:auto val="1"/>
        <c:lblAlgn val="ctr"/>
        <c:lblOffset val="100"/>
        <c:noMultiLvlLbl val="0"/>
      </c:catAx>
      <c:valAx>
        <c:axId val="83756516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crossAx val="8375709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fa-IR"/>
        </a:p>
      </c:txPr>
    </c:legend>
    <c:plotVisOnly val="1"/>
    <c:dispBlanksAs val="gap"/>
    <c:showDLblsOverMax val="0"/>
  </c:chart>
  <c:spPr>
    <a:solidFill>
      <a:schemeClr val="bg1"/>
    </a:solidFill>
    <a:ln w="9525" cap="flat" cmpd="sng" algn="ctr">
      <a:solidFill>
        <a:sysClr val="windowText" lastClr="000000"/>
      </a:solidFill>
      <a:round/>
    </a:ln>
    <a:effectLst/>
  </c:spPr>
  <c:txPr>
    <a:bodyPr/>
    <a:lstStyle/>
    <a:p>
      <a:pPr>
        <a:defRPr>
          <a:solidFill>
            <a:sysClr val="windowText" lastClr="000000"/>
          </a:solidFill>
        </a:defRPr>
      </a:pPr>
      <a:endParaRPr lang="fa-IR"/>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_xlchart.v1.12</cx:f>
      </cx:strDim>
      <cx:numDim type="val">
        <cx:f dir="row">_xlchart.v1.13</cx:f>
      </cx:numDim>
    </cx:data>
  </cx:chartData>
  <cx:chart>
    <cx:title pos="t" align="ctr" overlay="0">
      <cx:tx>
        <cx:txData>
          <cx:v>Combustion</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Combustion</a:t>
          </a:r>
        </a:p>
      </cx:txPr>
    </cx:title>
    <cx:plotArea>
      <cx:plotAreaRegion>
        <cx:series layoutId="waterfall" uniqueId="{73D88D6F-C557-4F95-AC3F-3B22EEC33198}">
          <cx:dataLabels pos="outEnd">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 dir="row">_xlchart.v1.10</cx:f>
      </cx:strDim>
      <cx:numDim type="val">
        <cx:f dir="row">_xlchart.v1.11</cx:f>
      </cx:numDim>
    </cx:data>
  </cx:chartData>
  <cx:chart>
    <cx:title pos="t" align="ctr" overlay="0">
      <cx:tx>
        <cx:txData>
          <cx:v>Vent</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Vent</a:t>
          </a:r>
        </a:p>
      </cx:txPr>
    </cx:title>
    <cx:plotArea>
      <cx:plotAreaRegion>
        <cx:series layoutId="waterfall" uniqueId="{7C345048-49BC-4ADC-8DAE-34C2FE9B9EB9}">
          <cx:spPr>
            <a:solidFill>
              <a:schemeClr val="accent2"/>
            </a:solidFill>
          </cx:spPr>
          <cx:dataLabels pos="outEnd">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_xlchart.v1.6</cx:f>
      </cx:strDim>
      <cx:numDim type="val">
        <cx:f dir="row">_xlchart.v1.7</cx:f>
      </cx:numDim>
    </cx:data>
  </cx:chartData>
  <cx:chart>
    <cx:title pos="t" align="ctr" overlay="0">
      <cx:tx>
        <cx:txData>
          <cx:v>Fugitive</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Fugitive</a:t>
          </a:r>
        </a:p>
      </cx:txPr>
    </cx:title>
    <cx:plotArea>
      <cx:plotAreaRegion>
        <cx:series layoutId="waterfall" uniqueId="{D3CF62F9-46F3-4376-9669-99EA27B114D6}">
          <cx:spPr>
            <a:solidFill>
              <a:schemeClr val="accent4"/>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 dir="row">_xlchart.v1.0</cx:f>
      </cx:strDim>
      <cx:numDim type="val">
        <cx:f dir="row">_xlchart.v1.1</cx:f>
      </cx:numDim>
    </cx:data>
  </cx:chartData>
  <cx:chart>
    <cx:title pos="t" align="ctr" overlay="0">
      <cx:tx>
        <cx:txData>
          <cx:v>On-Site Transportation</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On-Site Transportation</a:t>
          </a:r>
        </a:p>
      </cx:txPr>
    </cx:title>
    <cx:plotArea>
      <cx:plotAreaRegion>
        <cx:series layoutId="waterfall" uniqueId="{600D755C-9348-457A-9632-9AE1C0CA7C7D}">
          <cx:spPr>
            <a:solidFill>
              <a:schemeClr val="accent6">
                <a:lumMod val="75000"/>
              </a:schemeClr>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strDim type="cat">
        <cx:f dir="row">_xlchart.v1.2</cx:f>
      </cx:strDim>
      <cx:numDim type="val">
        <cx:f dir="row">_xlchart.v1.3</cx:f>
      </cx:numDim>
    </cx:data>
  </cx:chartData>
  <cx:chart>
    <cx:title pos="t" align="ctr" overlay="0">
      <cx:tx>
        <cx:txData>
          <cx:v>Electricity</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Electricity</a:t>
          </a:r>
        </a:p>
      </cx:txPr>
    </cx:title>
    <cx:plotArea>
      <cx:plotAreaRegion>
        <cx:series layoutId="waterfall" uniqueId="{17742EC1-3420-42F3-AECD-18D118660F3F}">
          <cx:spPr>
            <a:solidFill>
              <a:srgbClr val="FFCCFF"/>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strDim type="cat">
        <cx:f dir="row">_xlchart.v1.4</cx:f>
      </cx:strDim>
      <cx:numDim type="val">
        <cx:f dir="row">_xlchart.v1.5</cx:f>
      </cx:numDim>
    </cx:data>
  </cx:chartData>
  <cx:chart>
    <cx:title pos="t" align="ctr" overlay="0">
      <cx:tx>
        <cx:txData>
          <cx:v>Upstream Transportation</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Upstream Transportation</a:t>
          </a:r>
        </a:p>
      </cx:txPr>
    </cx:title>
    <cx:plotArea>
      <cx:plotAreaRegion>
        <cx:series layoutId="waterfall" uniqueId="{0D6B9458-7157-4852-A1B3-77207A179BCF}">
          <cx:dataLabels pos="outEnd">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7.xml><?xml version="1.0" encoding="utf-8"?>
<cx:chartSpace xmlns:a="http://schemas.openxmlformats.org/drawingml/2006/main" xmlns:r="http://schemas.openxmlformats.org/officeDocument/2006/relationships" xmlns:cx="http://schemas.microsoft.com/office/drawing/2014/chartex">
  <cx:chartData>
    <cx:data id="0">
      <cx:strDim type="cat">
        <cx:f dir="row">_xlchart.v1.8</cx:f>
      </cx:strDim>
      <cx:numDim type="val">
        <cx:f dir="row">_xlchart.v1.9</cx:f>
      </cx:numDim>
    </cx:data>
  </cx:chartData>
  <cx:chart>
    <cx:title pos="t" align="ctr" overlay="0">
      <cx:tx>
        <cx:txData>
          <cx:v>Downstream Transportation</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Downstream Transportation</a:t>
          </a:r>
        </a:p>
      </cx:txPr>
    </cx:title>
    <cx:plotArea>
      <cx:plotAreaRegion>
        <cx:series layoutId="waterfall" uniqueId="{21DC3808-65B5-41F0-B39C-7AE77B94DBC1}">
          <cx:spPr>
            <a:solidFill>
              <a:srgbClr val="85E8FF"/>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8.xml><?xml version="1.0" encoding="utf-8"?>
<cx:chartSpace xmlns:a="http://schemas.openxmlformats.org/drawingml/2006/main" xmlns:r="http://schemas.openxmlformats.org/officeDocument/2006/relationships" xmlns:cx="http://schemas.microsoft.com/office/drawing/2014/chartex">
  <cx:chartData>
    <cx:data id="0">
      <cx:strDim type="cat">
        <cx:f dir="row">_xlchart.v1.14</cx:f>
      </cx:strDim>
      <cx:numDim type="val">
        <cx:f dir="row">_xlchart.v1.15</cx:f>
      </cx:numDim>
    </cx:data>
  </cx:chartData>
  <cx:chart>
    <cx:title pos="t" align="ctr" overlay="0">
      <cx:tx>
        <cx:txData>
          <cx:v>Employee Commuting</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Employee Commuting</a:t>
          </a:r>
        </a:p>
      </cx:txPr>
    </cx:title>
    <cx:plotArea>
      <cx:plotAreaRegion>
        <cx:series layoutId="waterfall" uniqueId="{49DD82D4-DC59-47ED-AAB7-D9632892DA62}">
          <cx:spPr>
            <a:solidFill>
              <a:srgbClr val="33CC33"/>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9.xml><?xml version="1.0" encoding="utf-8"?>
<cx:chartSpace xmlns:a="http://schemas.openxmlformats.org/drawingml/2006/main" xmlns:r="http://schemas.openxmlformats.org/officeDocument/2006/relationships" xmlns:cx="http://schemas.microsoft.com/office/drawing/2014/chartex">
  <cx:chartData>
    <cx:data id="0">
      <cx:strDim type="cat">
        <cx:f dir="row">_xlchart.v1.16</cx:f>
      </cx:strDim>
      <cx:numDim type="val">
        <cx:f dir="row">_xlchart.v1.17</cx:f>
      </cx:numDim>
    </cx:data>
  </cx:chartData>
  <cx:chart>
    <cx:title pos="t" align="ctr" overlay="0">
      <cx:tx>
        <cx:txData>
          <cx:v>Business Travel</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Business Travel</a:t>
          </a:r>
        </a:p>
      </cx:txPr>
    </cx:title>
    <cx:plotArea>
      <cx:plotAreaRegion>
        <cx:series layoutId="waterfall" uniqueId="{CF4E0096-27A4-4552-9728-87A887F5A1F8}">
          <cx:spPr>
            <a:solidFill>
              <a:schemeClr val="accent4">
                <a:lumMod val="75000"/>
              </a:schemeClr>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0.xml><?xml version="1.0" encoding="utf-8"?>
<cx:chartSpace xmlns:a="http://schemas.openxmlformats.org/drawingml/2006/main" xmlns:r="http://schemas.openxmlformats.org/officeDocument/2006/relationships" xmlns:cx="http://schemas.microsoft.com/office/drawing/2014/chartex">
  <cx:chartData>
    <cx:data id="0">
      <cx:strDim type="cat">
        <cx:f dir="row">_xlchart.v1.21</cx:f>
      </cx:strDim>
      <cx:numDim type="val">
        <cx:f dir="row">_xlchart.v1.22</cx:f>
      </cx:numDim>
    </cx:data>
  </cx:chartData>
  <cx:chart>
    <cx:title pos="t" align="ctr" overlay="0">
      <cx:tx>
        <cx:txData>
          <cx:v>Purchased Material</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Purchased Material</a:t>
          </a:r>
        </a:p>
      </cx:txPr>
    </cx:title>
    <cx:plotArea>
      <cx:plotAreaRegion>
        <cx:series layoutId="waterfall" uniqueId="{4441349A-B8A3-4AC1-8AB8-03713B41F97D}">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chartSpace>
</file>

<file path=xl/charts/chartEx11.xml><?xml version="1.0" encoding="utf-8"?>
<cx:chartSpace xmlns:a="http://schemas.openxmlformats.org/drawingml/2006/main" xmlns:r="http://schemas.openxmlformats.org/officeDocument/2006/relationships" xmlns:cx="http://schemas.microsoft.com/office/drawing/2014/chartex">
  <cx:chartData>
    <cx:data id="0">
      <cx:strDim type="cat">
        <cx:f dir="row">_xlchart.v1.19</cx:f>
      </cx:strDim>
      <cx:numDim type="val">
        <cx:f dir="row">_xlchart.v1.20</cx:f>
      </cx:numDim>
    </cx:data>
  </cx:chartData>
  <cx:chart>
    <cx:title pos="t" align="ctr" overlay="0">
      <cx:tx>
        <cx:txData>
          <cx:v>Energy Related</cx:v>
        </cx:txData>
      </cx:tx>
      <cx:txPr>
        <a:bodyPr spcFirstLastPara="1" vertOverflow="ellipsis" horzOverflow="overflow" wrap="square" lIns="0" tIns="0" rIns="0" bIns="0" anchor="ctr" anchorCtr="1"/>
        <a:lstStyle/>
        <a:p>
          <a:pPr algn="ctr" rtl="0">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rPr>
            <a:t>Energy Related</a:t>
          </a:r>
        </a:p>
      </cx:txPr>
    </cx:title>
    <cx:plotArea>
      <cx:plotAreaRegion>
        <cx:series layoutId="waterfall" uniqueId="{F8F4B6E2-CE45-44B7-B5BB-067D83E19F04}">
          <cx:spPr>
            <a:solidFill>
              <a:schemeClr val="accent3">
                <a:lumMod val="60000"/>
                <a:lumOff val="40000"/>
              </a:schemeClr>
            </a:solidFill>
          </cx:spPr>
          <cx:dataLabels>
            <cx:txPr>
              <a:bodyPr vertOverflow="overflow" horzOverflow="overflow" wrap="square" lIns="0" tIns="0" rIns="0" bIns="0"/>
              <a:lstStyle/>
              <a:p>
                <a:pPr algn="ctr" rtl="0">
                  <a:defRPr sz="900" b="0" i="0">
                    <a:solidFill>
                      <a:srgbClr val="595959"/>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rgbClr val="595959"/>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rgbClr val="595959"/>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2.xml><?xml version="1.0" encoding="utf-8"?>
<cx:chartSpace xmlns:a="http://schemas.openxmlformats.org/drawingml/2006/main" xmlns:r="http://schemas.openxmlformats.org/officeDocument/2006/relationships" xmlns:cx="http://schemas.microsoft.com/office/drawing/2014/chartex">
  <cx:chartData>
    <cx:data id="0">
      <cx:numDim type="val">
        <cx:f dir="row">_xlchart.v1.18</cx:f>
      </cx:numDim>
    </cx:data>
  </cx:chartData>
  <cx:chart>
    <cx:title pos="t" align="ctr" overlay="0">
      <cx:tx>
        <cx:txData>
          <cx:v>Wastewater</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Wastewater</a:t>
          </a:r>
        </a:p>
      </cx:txPr>
    </cx:title>
    <cx:plotArea>
      <cx:plotAreaRegion>
        <cx:series layoutId="waterfall" uniqueId="{00000000-C530-4242-9881-468A5B74CF1C}">
          <cx:dataLabels>
            <cx:txPr>
              <a:bodyPr vertOverflow="overflow" horzOverflow="overflow" wrap="square" lIns="0" tIns="0" rIns="0" bIns="0"/>
              <a:lstStyle/>
              <a:p>
                <a:pPr algn="ctr" rtl="0">
                  <a:defRPr sz="900" b="0" i="0">
                    <a:solidFill>
                      <a:srgbClr val="595959"/>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3.xml><?xml version="1.0" encoding="utf-8"?>
<cx:chartSpace xmlns:a="http://schemas.openxmlformats.org/drawingml/2006/main" xmlns:r="http://schemas.openxmlformats.org/officeDocument/2006/relationships" xmlns:cx="http://schemas.microsoft.com/office/drawing/2014/chartex">
  <cx:chartData>
    <cx:data id="0">
      <cx:strDim type="cat">
        <cx:f dir="row">_xlchart.v1.28</cx:f>
      </cx:strDim>
      <cx:numDim type="val">
        <cx:f dir="row">_xlchart.v1.29</cx:f>
      </cx:numDim>
    </cx:data>
  </cx:chartData>
  <cx:chart>
    <cx:title pos="t" align="ctr" overlay="0">
      <cx:tx>
        <cx:txData>
          <cx:v>Ancillary Input</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Ancillary Input</a:t>
          </a:r>
        </a:p>
      </cx:txPr>
    </cx:title>
    <cx:plotArea>
      <cx:plotAreaRegion>
        <cx:series layoutId="waterfall" uniqueId="{4441349A-B8A3-4AC1-8AB8-03713B41F97D}">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4.xml><?xml version="1.0" encoding="utf-8"?>
<cx:chartSpace xmlns:a="http://schemas.openxmlformats.org/drawingml/2006/main" xmlns:r="http://schemas.openxmlformats.org/officeDocument/2006/relationships" xmlns:cx="http://schemas.microsoft.com/office/drawing/2014/chartex">
  <cx:chartData>
    <cx:data id="0">
      <cx:strDim type="cat">
        <cx:f dir="row">_xlchart.v1.24</cx:f>
      </cx:strDim>
      <cx:numDim type="val">
        <cx:f dir="row">_xlchart.v1.25</cx:f>
      </cx:numDim>
    </cx:data>
  </cx:chartData>
  <cx:chart>
    <cx:title pos="t" align="ctr" overlay="0">
      <cx:tx>
        <cx:txData>
          <cx:v>Purchased Services</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Purchased Services</a:t>
          </a:r>
        </a:p>
      </cx:txPr>
    </cx:title>
    <cx:plotArea>
      <cx:plotAreaRegion>
        <cx:series layoutId="waterfall" uniqueId="{4441349A-B8A3-4AC1-8AB8-03713B41F97D}">
          <cx:spPr>
            <a:solidFill>
              <a:srgbClr val="CC99FF"/>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5.xml><?xml version="1.0" encoding="utf-8"?>
<cx:chartSpace xmlns:a="http://schemas.openxmlformats.org/drawingml/2006/main" xmlns:r="http://schemas.openxmlformats.org/officeDocument/2006/relationships" xmlns:cx="http://schemas.microsoft.com/office/drawing/2014/chartex">
  <cx:chartData>
    <cx:data id="0">
      <cx:numDim type="val">
        <cx:f dir="row">_xlchart.v1.23</cx:f>
      </cx:numDim>
    </cx:data>
  </cx:chartData>
  <cx:chart>
    <cx:title pos="t" align="ctr" overlay="0">
      <cx:tx>
        <cx:txData>
          <cx:v>Waste Onsite</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Waste Onsite</a:t>
          </a:r>
        </a:p>
      </cx:txPr>
    </cx:title>
    <cx:plotArea>
      <cx:plotAreaRegion>
        <cx:series layoutId="waterfall" uniqueId="{00000000-2CD9-4EBC-A1F7-CDCDA932CA5A}">
          <cx:dataLabels>
            <cx:txPr>
              <a:bodyPr vertOverflow="overflow" horzOverflow="overflow" wrap="square" lIns="0" tIns="0" rIns="0" bIns="0"/>
              <a:lstStyle/>
              <a:p>
                <a:pPr algn="ctr" rtl="0">
                  <a:defRPr sz="900" b="0" i="0">
                    <a:solidFill>
                      <a:srgbClr val="595959"/>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6.xml><?xml version="1.0" encoding="utf-8"?>
<cx:chartSpace xmlns:a="http://schemas.openxmlformats.org/drawingml/2006/main" xmlns:r="http://schemas.openxmlformats.org/officeDocument/2006/relationships" xmlns:cx="http://schemas.microsoft.com/office/drawing/2014/chartex">
  <cx:chartData>
    <cx:data id="0">
      <cx:strDim type="cat">
        <cx:f dir="row">_xlchart.v1.26</cx:f>
      </cx:strDim>
      <cx:numDim type="val">
        <cx:f dir="row">_xlchart.v1.27</cx:f>
      </cx:numDim>
    </cx:data>
  </cx:chartData>
  <cx:chart>
    <cx:title pos="t" align="ctr" overlay="0">
      <cx:tx>
        <cx:txData>
          <cx:v>Waste Offsite</cx:v>
        </cx:txData>
      </cx:tx>
      <cx:txPr>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400" b="0" i="0" u="none" strike="noStrike" baseline="0">
              <a:solidFill>
                <a:sysClr val="windowText" lastClr="000000"/>
              </a:solidFill>
              <a:latin typeface="Times New Roman" panose="02020603050405020304" pitchFamily="18" charset="0"/>
              <a:cs typeface="Times New Roman" panose="02020603050405020304" pitchFamily="18" charset="0"/>
            </a:rPr>
            <a:t>Waste Offsite</a:t>
          </a:r>
        </a:p>
      </cx:txPr>
    </cx:title>
    <cx:plotArea>
      <cx:plotAreaRegion>
        <cx:series layoutId="waterfall" uniqueId="{D3CF62F9-46F3-4376-9669-99EA27B114D6}">
          <cx:spPr>
            <a:solidFill>
              <a:srgbClr val="66FF66"/>
            </a:solidFill>
          </cx:spPr>
          <cx:data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axis id="1">
        <cx:valScaling/>
        <cx:majorGridlines/>
        <cx:tickLabels/>
        <cx:txPr>
          <a:bodyPr vertOverflow="overflow" horzOverflow="overflow" wrap="square" lIns="0" tIns="0" rIns="0" bIns="0"/>
          <a:lstStyle/>
          <a:p>
            <a:pPr algn="ctr" rtl="0">
              <a:defRPr sz="9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chemeClr val="accent1"/>
      </a:solidFill>
    </a:ln>
  </cx:spPr>
</cx:chartSpace>
</file>

<file path=xl/charts/chartEx17.xml><?xml version="1.0" encoding="utf-8"?>
<cx:chartSpace xmlns:a="http://schemas.openxmlformats.org/drawingml/2006/main" xmlns:r="http://schemas.openxmlformats.org/officeDocument/2006/relationships" xmlns:cx="http://schemas.microsoft.com/office/drawing/2014/chartex">
  <cx:chartData>
    <cx:data id="0">
      <cx:strDim type="cat">
        <cx:f>_xlchart.v1.30</cx:f>
      </cx:strDim>
      <cx:numDim type="val">
        <cx:f>_xlchart.v1.31</cx:f>
      </cx:numDim>
    </cx:data>
  </cx:chartData>
  <cx:chart>
    <cx:title pos="t" align="ctr" overlay="0">
      <cx:tx>
        <cx:rich>
          <a:bodyPr spcFirstLastPara="1" vertOverflow="ellipsis" horzOverflow="overflow" wrap="square" lIns="0" tIns="0" rIns="0" bIns="0" anchor="ctr" anchorCtr="1"/>
          <a:lstStyle/>
          <a:p>
            <a:pP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ysClr val="windowText" lastClr="000000"/>
                </a:solidFill>
                <a:effectLst/>
                <a:latin typeface="Times New Roman" panose="02020603050405020304" pitchFamily="18" charset="0"/>
                <a:cs typeface="Times New Roman" panose="02020603050405020304" pitchFamily="18" charset="0"/>
              </a:rPr>
              <a:t>Carbon Footprint of 1 ton of Product</a:t>
            </a:r>
            <a:endParaRPr lang="en-US" sz="1600" b="1">
              <a:solidFill>
                <a:sysClr val="windowText" lastClr="000000"/>
              </a:solidFill>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18.xml><?xml version="1.0" encoding="utf-8"?>
<cx:chartSpace xmlns:a="http://schemas.openxmlformats.org/drawingml/2006/main" xmlns:r="http://schemas.openxmlformats.org/officeDocument/2006/relationships" xmlns:cx="http://schemas.microsoft.com/office/drawing/2014/chartex">
  <cx:chartData>
    <cx:data id="0">
      <cx:strDim type="cat">
        <cx:f>_xlchart.v1.32</cx:f>
      </cx:strDim>
      <cx:numDim type="val">
        <cx:f>_xlchart.v1.33</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19.xml><?xml version="1.0" encoding="utf-8"?>
<cx:chartSpace xmlns:a="http://schemas.openxmlformats.org/drawingml/2006/main" xmlns:r="http://schemas.openxmlformats.org/officeDocument/2006/relationships" xmlns:cx="http://schemas.microsoft.com/office/drawing/2014/chartex">
  <cx:chartData>
    <cx:data id="0">
      <cx:strDim type="cat">
        <cx:f>_xlchart.v1.50</cx:f>
      </cx:strDim>
      <cx:numDim type="val">
        <cx:f>_xlchart.v1.51</cx:f>
      </cx:numDim>
    </cx:data>
  </cx:chartData>
  <cx:chart>
    <cx:title pos="t" align="ctr" overlay="0">
      <cx:tx>
        <cx:rich>
          <a:bodyPr spcFirstLastPara="1" vertOverflow="ellipsis" horzOverflow="overflow" wrap="square" lIns="0" tIns="0" rIns="0" bIns="0" anchor="ctr" anchorCtr="1"/>
          <a:lstStyle/>
          <a:p>
            <a:pPr algn="ctr" rtl="0">
              <a:defRPr sz="1600">
                <a:solidFill>
                  <a:sysClr val="windowText" lastClr="000000"/>
                </a:solidFill>
                <a:latin typeface="B Titr" panose="00000700000000000000" pitchFamily="2" charset="-78"/>
                <a:ea typeface="B Titr" panose="00000700000000000000" pitchFamily="2" charset="-78"/>
                <a:cs typeface="B Titr" panose="00000700000000000000" pitchFamily="2" charset="-78"/>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Carbon Footprint of MSC Products</a:t>
            </a:r>
          </a:p>
          <a:p>
            <a:pPr algn="ctr" rtl="0">
              <a:defRPr sz="1600">
                <a:solidFill>
                  <a:sysClr val="windowText" lastClr="000000"/>
                </a:solidFill>
                <a:latin typeface="B Titr" panose="00000700000000000000" pitchFamily="2" charset="-78"/>
                <a:ea typeface="B Titr" panose="00000700000000000000" pitchFamily="2" charset="-78"/>
                <a:cs typeface="B Titr" panose="00000700000000000000" pitchFamily="2" charset="-78"/>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1"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e/ton)</a:t>
            </a:r>
            <a:endParaRPr lang="en-US" sz="1600" b="0" i="0" u="none" strike="noStrike" baseline="0">
              <a:solidFill>
                <a:sysClr val="windowText" lastClr="000000"/>
              </a:solidFill>
              <a:latin typeface="Calibri" panose="020F0502020204030204"/>
              <a:cs typeface="B Titr" panose="00000700000000000000" pitchFamily="2" charset="-78"/>
            </a:endParaRPr>
          </a:p>
        </cx:rich>
      </cx:tx>
    </cx:title>
    <cx:plotArea>
      <cx:plotAreaRegion>
        <cx:series layoutId="clusteredColumn" uniqueId="{0B7C8F8D-B4B6-4F22-AFE1-52AF10218803}">
          <cx:spPr>
            <a:solidFill>
              <a:srgbClr val="FF6699"/>
            </a:solidFill>
          </cx:spPr>
          <cx:dataLabels pos="outEnd">
            <cx:numFmt formatCode="0.00" sourceLinked="0"/>
            <cx:txPr>
              <a:bodyPr spcFirstLastPara="1" vertOverflow="ellipsis" horzOverflow="overflow" wrap="square" lIns="0" tIns="0" rIns="0" bIns="0" anchor="ctr" anchorCtr="1"/>
              <a:lstStyle/>
              <a:p>
                <a:pPr algn="ctr" rtl="0">
                  <a:defRPr sz="16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6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separator>, </cx:separator>
          </cx:dataLabels>
          <cx:dataId val="0"/>
          <cx:layoutPr>
            <cx:aggregation/>
          </cx:layoutPr>
          <cx:axisId val="1"/>
        </cx:series>
        <cx:series layoutId="paretoLine" ownerIdx="0" uniqueId="{664156B7-8B50-4C96-AF4A-A3F2753276AF}">
          <cx:spPr>
            <a:ln>
              <a:noFill/>
            </a:ln>
          </cx:spPr>
          <cx:axisId val="2"/>
        </cx:series>
      </cx:plotAreaRegion>
      <cx:axis id="0">
        <cx:catScaling gapWidth="0.400000006"/>
        <cx:tickLabels/>
        <cx:txPr>
          <a:bodyPr spcFirstLastPara="1" vertOverflow="ellipsis" horzOverflow="overflow" wrap="square" lIns="0" tIns="0" rIns="0" bIns="0" anchor="ctr" anchorCtr="1"/>
          <a:lstStyle/>
          <a:p>
            <a:pPr algn="ctr" rtl="0">
              <a:defRPr sz="12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axis>
      <cx:axis id="1" hidden="1">
        <cx:valScaling/>
        <cx:tickLabels/>
        <cx:txPr>
          <a:bodyPr vertOverflow="overflow" horzOverflow="overflow" wrap="square" lIns="0" tIns="0" rIns="0" bIns="0"/>
          <a:lstStyle/>
          <a:p>
            <a:pPr algn="ctr" rtl="0">
              <a:defRPr sz="16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600">
              <a:solidFill>
                <a:sysClr val="windowText" lastClr="000000"/>
              </a:solidFill>
            </a:endParaRPr>
          </a:p>
        </cx:txPr>
      </cx:axis>
      <cx:axis id="2" hidden="1">
        <cx:valScaling max="1" min="0"/>
        <cx:units unit="percentage"/>
        <cx:tickLabels/>
        <cx:txPr>
          <a:bodyPr vertOverflow="overflow" horzOverflow="overflow" wrap="square" lIns="0" tIns="0" rIns="0" bIns="0"/>
          <a:lstStyle/>
          <a:p>
            <a:pPr algn="ctr" rtl="0">
              <a:defRPr sz="16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600">
              <a:solidFill>
                <a:sysClr val="windowText" lastClr="000000"/>
              </a:solidFill>
            </a:endParaRPr>
          </a:p>
        </cx:txPr>
      </cx:axis>
    </cx:plotArea>
  </cx:chart>
  <cx:spPr>
    <a:ln>
      <a:solidFill>
        <a:schemeClr val="accent1"/>
      </a:solidFill>
    </a:ln>
  </cx:spPr>
</cx:chartSpace>
</file>

<file path=xl/charts/chartEx20.xml><?xml version="1.0" encoding="utf-8"?>
<cx:chartSpace xmlns:a="http://schemas.openxmlformats.org/drawingml/2006/main" xmlns:r="http://schemas.openxmlformats.org/officeDocument/2006/relationships" xmlns:cx="http://schemas.microsoft.com/office/drawing/2014/chartex">
  <cx:chartData>
    <cx:data id="0">
      <cx:strDim type="cat">
        <cx:f>_xlchart.v1.52</cx:f>
      </cx:strDim>
      <cx:numDim type="val">
        <cx:f>_xlchart.v1.53</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endParaRPr>
          </a:p>
        </cx:rich>
      </cx:tx>
    </cx:title>
    <cx:plotArea>
      <cx:plotAreaRegion>
        <cx:series layoutId="waterfall" uniqueId="{73202608-9ED6-4CC3-B681-00466424DB22}" formatIdx="0">
          <cx:tx>
            <cx:txData>
              <cx:f/>
              <cx:v/>
            </cx:txData>
          </cx:tx>
          <cx:dataLabels pos="outEnd">
            <cx:txPr>
              <a:bodyPr vertOverflow="overflow" horzOverflow="overflow" wrap="square" lIns="0" tIns="0" rIns="0" bIns="0"/>
              <a:lstStyle/>
              <a:p>
                <a:pPr algn="ctr" rtl="0">
                  <a:defRPr lang="en-US" sz="14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lang="en-US" sz="12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defRPr>
            </a:pPr>
            <a:endParaRPr lang="en-US" sz="12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endParaRPr>
          </a:p>
        </cx:txPr>
      </cx:axis>
      <cx:axis id="1">
        <cx:valScaling/>
        <cx:title>
          <cx:tx>
            <cx:txData>
              <cx:v>tCO2e/ton</cx:v>
            </cx:txData>
          </cx:tx>
          <cx:txPr>
            <a:bodyPr spcFirstLastPara="1" vertOverflow="ellipsis" horzOverflow="overflow" wrap="square" lIns="0" tIns="0" rIns="0" bIns="0" anchor="ctr" anchorCtr="1"/>
            <a:lstStyle/>
            <a:p>
              <a:pPr algn="ctr" rtl="0">
                <a:defRPr lang="en-US" sz="16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rPr>
                <a:t>tCO2e/ton</a:t>
              </a:r>
            </a:p>
          </cx:txPr>
        </cx:title>
        <cx:majorGridlines/>
        <cx:tickLabels/>
        <cx:txPr>
          <a:bodyPr vertOverflow="overflow" horzOverflow="overflow" wrap="square" lIns="0" tIns="0" rIns="0" bIns="0"/>
          <a:lstStyle/>
          <a:p>
            <a:pPr algn="ctr" rtl="0">
              <a:defRPr lang="en-US" sz="16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defRPr>
            </a:pPr>
            <a:endParaRPr lang="en-US" sz="1600" b="0" i="0" u="none" strike="noStrike" baseline="0">
              <a:solidFill>
                <a:sysClr val="windowText" lastClr="000000"/>
              </a:solidFill>
              <a:effectLst/>
              <a:latin typeface="Times New Roman" panose="02020603050405020304" pitchFamily="18" charset="0"/>
              <a:ea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1.xml><?xml version="1.0" encoding="utf-8"?>
<cx:chartSpace xmlns:a="http://schemas.openxmlformats.org/drawingml/2006/main" xmlns:r="http://schemas.openxmlformats.org/officeDocument/2006/relationships" xmlns:cx="http://schemas.microsoft.com/office/drawing/2014/chartex">
  <cx:chartData>
    <cx:data id="0">
      <cx:strDim type="cat">
        <cx:f>_xlchart.v1.60</cx:f>
      </cx:strDim>
      <cx:numDim type="val">
        <cx:f>_xlchart.v1.61</cx:f>
      </cx:numDim>
    </cx:data>
  </cx:chartData>
  <cx:chart>
    <cx:title pos="t" align="ctr" overlay="0">
      <cx:tx>
        <cx:rich>
          <a:bodyPr spcFirstLastPara="1" vertOverflow="ellipsis" horzOverflow="overflow" wrap="square" lIns="0" tIns="0" rIns="0" bIns="0" anchor="ctr" anchorCtr="1"/>
          <a:lstStyle/>
          <a:p>
            <a:pPr algn="ctr" rtl="1">
              <a:spcBef>
                <a:spcPts val="0"/>
              </a:spcBef>
              <a:spcAft>
                <a:spcPts val="0"/>
              </a:spcAft>
            </a:pPr>
            <a:r>
              <a:rPr lang="fa-IR" sz="1600" b="0" i="0" baseline="0">
                <a:solidFill>
                  <a:srgbClr val="000000"/>
                </a:solidFill>
                <a:effectLst/>
                <a:latin typeface="Calibri" panose="020F0502020204030204" pitchFamily="34" charset="0"/>
                <a:ea typeface="B Titr" panose="00000700000000000000" pitchFamily="2" charset="-78"/>
                <a:cs typeface="B Titr" panose="00000700000000000000" pitchFamily="2" charset="-78"/>
              </a:rPr>
              <a:t>ردپای کربن محصولات فولاد مبارکه به ترتیب مقادیر</a:t>
            </a:r>
            <a:endParaRPr lang="en-US" sz="1600">
              <a:effectLst/>
            </a:endParaRPr>
          </a:p>
          <a:p>
            <a:pPr algn="ctr" rtl="0">
              <a:defRPr sz="1600">
                <a:solidFill>
                  <a:sysClr val="windowText" lastClr="000000"/>
                </a:solidFill>
                <a:latin typeface="B Titr" panose="00000700000000000000" pitchFamily="2" charset="-78"/>
                <a:ea typeface="B Titr" panose="00000700000000000000" pitchFamily="2" charset="-78"/>
                <a:cs typeface="B Titr" panose="00000700000000000000" pitchFamily="2" charset="-78"/>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1"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e/ton)</a:t>
            </a:r>
            <a:endParaRPr lang="en-US" sz="1600" b="0" i="0" u="none" strike="noStrike" baseline="0">
              <a:solidFill>
                <a:sysClr val="windowText" lastClr="000000"/>
              </a:solidFill>
              <a:latin typeface="Calibri" panose="020F0502020204030204"/>
              <a:cs typeface="B Titr" panose="00000700000000000000" pitchFamily="2" charset="-78"/>
            </a:endParaRPr>
          </a:p>
        </cx:rich>
      </cx:tx>
    </cx:title>
    <cx:plotArea>
      <cx:plotAreaRegion>
        <cx:series layoutId="clusteredColumn" uniqueId="{0B7C8F8D-B4B6-4F22-AFE1-52AF10218803}">
          <cx:spPr>
            <a:solidFill>
              <a:srgbClr val="FF6699"/>
            </a:solidFill>
          </cx:spPr>
          <cx:dataLabels pos="outEnd">
            <cx:numFmt formatCode="0.00" sourceLinked="0"/>
            <cx:txPr>
              <a:bodyPr spcFirstLastPara="1" vertOverflow="ellipsis" horzOverflow="overflow" wrap="square" lIns="0" tIns="0" rIns="0" bIns="0" anchor="ctr" anchorCtr="1"/>
              <a:lstStyle/>
              <a:p>
                <a:pPr algn="ctr" rtl="0">
                  <a:defRPr sz="1600" b="1">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600" b="1" i="0" u="none" strike="noStrike" baseline="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separator>, </cx:separator>
          </cx:dataLabels>
          <cx:dataId val="0"/>
          <cx:layoutPr>
            <cx:aggregation/>
          </cx:layoutPr>
          <cx:axisId val="1"/>
        </cx:series>
        <cx:series layoutId="paretoLine" ownerIdx="0" uniqueId="{664156B7-8B50-4C96-AF4A-A3F2753276AF}">
          <cx:spPr>
            <a:ln>
              <a:noFill/>
            </a:ln>
          </cx:spPr>
          <cx:axisId val="2"/>
        </cx:series>
      </cx:plotAreaRegion>
      <cx:axis id="0">
        <cx:catScaling gapWidth="0.400000006"/>
        <cx:tickLabels/>
        <cx:txPr>
          <a:bodyPr spcFirstLastPara="1" vertOverflow="ellipsis" horzOverflow="overflow" wrap="square" lIns="0" tIns="0" rIns="0" bIns="0" anchor="ctr" anchorCtr="1"/>
          <a:lstStyle/>
          <a:p>
            <a:pPr algn="ctr" rtl="0">
              <a:defRPr sz="1600" b="1" normalizeH="1" baseline="0">
                <a:solidFill>
                  <a:sysClr val="windowText" lastClr="000000"/>
                </a:solidFill>
                <a:latin typeface="B Mitra" panose="00000400000000000000" pitchFamily="2" charset="-78"/>
                <a:ea typeface="B Mitra" panose="00000400000000000000" pitchFamily="2" charset="-78"/>
                <a:cs typeface="B Mitra" panose="00000400000000000000" pitchFamily="2" charset="-78"/>
              </a:defRPr>
            </a:pPr>
            <a:endParaRPr lang="en-US" sz="1600" b="1" i="0" u="none" strike="noStrike" normalizeH="1" baseline="0">
              <a:solidFill>
                <a:sysClr val="windowText" lastClr="000000"/>
              </a:solidFill>
              <a:latin typeface="Times New Roman" panose="02020603050405020304" pitchFamily="18" charset="0"/>
              <a:cs typeface="B Mitra" panose="00000400000000000000" pitchFamily="2" charset="-78"/>
            </a:endParaRPr>
          </a:p>
        </cx:txPr>
      </cx:axis>
      <cx:axis id="1" hidden="1">
        <cx:valScaling/>
        <cx:tickLabels/>
        <cx:txPr>
          <a:bodyPr vertOverflow="overflow" horzOverflow="overflow" wrap="square" lIns="0" tIns="0" rIns="0" bIns="0"/>
          <a:lstStyle/>
          <a:p>
            <a:pPr algn="ctr" rtl="0">
              <a:defRPr sz="16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600">
              <a:solidFill>
                <a:sysClr val="windowText" lastClr="000000"/>
              </a:solidFill>
            </a:endParaRPr>
          </a:p>
        </cx:txPr>
      </cx:axis>
      <cx:axis id="2" hidden="1">
        <cx:valScaling max="1" min="0"/>
        <cx:units unit="percentage"/>
        <cx:tickLabels/>
        <cx:txPr>
          <a:bodyPr vertOverflow="overflow" horzOverflow="overflow" wrap="square" lIns="0" tIns="0" rIns="0" bIns="0"/>
          <a:lstStyle/>
          <a:p>
            <a:pPr algn="ctr" rtl="0">
              <a:defRPr sz="1600" b="0" i="0">
                <a:solidFill>
                  <a:sysClr val="windowText" lastClr="000000"/>
                </a:solidFill>
                <a:latin typeface="Calibri" panose="020F0502020204030204" pitchFamily="34" charset="0"/>
                <a:ea typeface="Calibri" panose="020F0502020204030204" pitchFamily="34" charset="0"/>
                <a:cs typeface="Calibri" panose="020F0502020204030204" pitchFamily="34" charset="0"/>
              </a:defRPr>
            </a:pPr>
            <a:endParaRPr lang="en-US" sz="1600">
              <a:solidFill>
                <a:sysClr val="windowText" lastClr="000000"/>
              </a:solidFill>
            </a:endParaRPr>
          </a:p>
        </cx:txPr>
      </cx:axis>
    </cx:plotArea>
  </cx:chart>
  <cx:spPr>
    <a:ln>
      <a:solidFill>
        <a:schemeClr val="accent1"/>
      </a:solidFill>
    </a:ln>
  </cx:spPr>
</cx:chartSpace>
</file>

<file path=xl/charts/chartEx22.xml><?xml version="1.0" encoding="utf-8"?>
<cx:chartSpace xmlns:a="http://schemas.openxmlformats.org/drawingml/2006/main" xmlns:r="http://schemas.openxmlformats.org/officeDocument/2006/relationships" xmlns:cx="http://schemas.microsoft.com/office/drawing/2014/chartex">
  <cx:chartData>
    <cx:data id="0">
      <cx:strDim type="cat">
        <cx:f>_xlchart.v1.36</cx:f>
      </cx:strDim>
      <cx:numDim type="val">
        <cx:f>_xlchart.v1.37</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3.xml><?xml version="1.0" encoding="utf-8"?>
<cx:chartSpace xmlns:a="http://schemas.openxmlformats.org/drawingml/2006/main" xmlns:r="http://schemas.openxmlformats.org/officeDocument/2006/relationships" xmlns:cx="http://schemas.microsoft.com/office/drawing/2014/chartex">
  <cx:chartData>
    <cx:data id="0">
      <cx:strDim type="cat">
        <cx:f>_xlchart.v1.48</cx:f>
      </cx:strDim>
      <cx:numDim type="val">
        <cx:f>_xlchart.v1.49</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4.xml><?xml version="1.0" encoding="utf-8"?>
<cx:chartSpace xmlns:a="http://schemas.openxmlformats.org/drawingml/2006/main" xmlns:r="http://schemas.openxmlformats.org/officeDocument/2006/relationships" xmlns:cx="http://schemas.microsoft.com/office/drawing/2014/chartex">
  <cx:chartData>
    <cx:data id="0">
      <cx:strDim type="cat">
        <cx:f>_xlchart.v1.62</cx:f>
      </cx:strDim>
      <cx:numDim type="val">
        <cx:f>_xlchart.v1.63</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5.xml><?xml version="1.0" encoding="utf-8"?>
<cx:chartSpace xmlns:a="http://schemas.openxmlformats.org/drawingml/2006/main" xmlns:r="http://schemas.openxmlformats.org/officeDocument/2006/relationships" xmlns:cx="http://schemas.microsoft.com/office/drawing/2014/chartex">
  <cx:chartData>
    <cx:data id="0">
      <cx:strDim type="cat">
        <cx:f>_xlchart.v1.40</cx:f>
      </cx:strDim>
      <cx:numDim type="val">
        <cx:f>_xlchart.v1.41</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6.xml><?xml version="1.0" encoding="utf-8"?>
<cx:chartSpace xmlns:a="http://schemas.openxmlformats.org/drawingml/2006/main" xmlns:r="http://schemas.openxmlformats.org/officeDocument/2006/relationships" xmlns:cx="http://schemas.microsoft.com/office/drawing/2014/chartex">
  <cx:chartData>
    <cx:data id="0">
      <cx:strDim type="cat">
        <cx:f>_xlchart.v1.38</cx:f>
      </cx:strDim>
      <cx:numDim type="val">
        <cx:f>_xlchart.v1.39</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7.xml><?xml version="1.0" encoding="utf-8"?>
<cx:chartSpace xmlns:a="http://schemas.openxmlformats.org/drawingml/2006/main" xmlns:r="http://schemas.openxmlformats.org/officeDocument/2006/relationships" xmlns:cx="http://schemas.microsoft.com/office/drawing/2014/chartex">
  <cx:chartData>
    <cx:data id="0">
      <cx:strDim type="cat">
        <cx:f>_xlchart.v1.42</cx:f>
      </cx:strDim>
      <cx:numDim type="val">
        <cx:f>_xlchart.v1.43</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8.xml><?xml version="1.0" encoding="utf-8"?>
<cx:chartSpace xmlns:a="http://schemas.openxmlformats.org/drawingml/2006/main" xmlns:r="http://schemas.openxmlformats.org/officeDocument/2006/relationships" xmlns:cx="http://schemas.microsoft.com/office/drawing/2014/chartex">
  <cx:chartData>
    <cx:data id="0">
      <cx:strDim type="cat">
        <cx:f>_xlchart.v1.44</cx:f>
      </cx:strDim>
      <cx:numDim type="val">
        <cx:f>_xlchart.v1.45</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29.xml><?xml version="1.0" encoding="utf-8"?>
<cx:chartSpace xmlns:a="http://schemas.openxmlformats.org/drawingml/2006/main" xmlns:r="http://schemas.openxmlformats.org/officeDocument/2006/relationships" xmlns:cx="http://schemas.microsoft.com/office/drawing/2014/chartex">
  <cx:chartData>
    <cx:data id="0">
      <cx:strDim type="cat">
        <cx:f>_xlchart.v1.46</cx:f>
      </cx:strDim>
      <cx:numDim type="val">
        <cx:f>_xlchart.v1.47</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4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0.xml><?xml version="1.0" encoding="utf-8"?>
<cx:chartSpace xmlns:a="http://schemas.openxmlformats.org/drawingml/2006/main" xmlns:r="http://schemas.openxmlformats.org/officeDocument/2006/relationships" xmlns:cx="http://schemas.microsoft.com/office/drawing/2014/chartex">
  <cx:chartData>
    <cx:data id="0">
      <cx:strDim type="cat">
        <cx:f>_xlchart.v1.54</cx:f>
      </cx:strDim>
      <cx:numDim type="val">
        <cx:f>_xlchart.v1.55</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4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1.xml><?xml version="1.0" encoding="utf-8"?>
<cx:chartSpace xmlns:a="http://schemas.openxmlformats.org/drawingml/2006/main" xmlns:r="http://schemas.openxmlformats.org/officeDocument/2006/relationships" xmlns:cx="http://schemas.microsoft.com/office/drawing/2014/chartex">
  <cx:chartData>
    <cx:data id="0">
      <cx:strDim type="cat">
        <cx:f>_xlchart.v1.56</cx:f>
      </cx:strDim>
      <cx:numDim type="val">
        <cx:f>_xlchart.v1.57</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4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2.xml><?xml version="1.0" encoding="utf-8"?>
<cx:chartSpace xmlns:a="http://schemas.openxmlformats.org/drawingml/2006/main" xmlns:r="http://schemas.openxmlformats.org/officeDocument/2006/relationships" xmlns:cx="http://schemas.microsoft.com/office/drawing/2014/chartex">
  <cx:chartData>
    <cx:data id="0">
      <cx:strDim type="cat">
        <cx:f>_xlchart.v1.58</cx:f>
      </cx:strDim>
      <cx:numDim type="val">
        <cx:f>_xlchart.v1.59</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a:latin typeface="Times New Roman" panose="02020603050405020304" pitchFamily="18" charset="0"/>
                <a:ea typeface="Times New Roman" panose="02020603050405020304" pitchFamily="18" charset="0"/>
                <a:cs typeface="Times New Roman" panose="02020603050405020304" pitchFamily="18" charset="0"/>
              </a:defRPr>
            </a:pPr>
            <a:r>
              <a:rPr lang="en-US" sz="14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400">
              <a:effectLst/>
              <a:latin typeface="Times New Roman" panose="02020603050405020304" pitchFamily="18" charset="0"/>
              <a:cs typeface="Times New Roman" panose="02020603050405020304" pitchFamily="18" charset="0"/>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3.xml><?xml version="1.0" encoding="utf-8"?>
<cx:chartSpace xmlns:a="http://schemas.openxmlformats.org/drawingml/2006/main" xmlns:r="http://schemas.openxmlformats.org/officeDocument/2006/relationships" xmlns:cx="http://schemas.microsoft.com/office/drawing/2014/chartex">
  <cx:chartData>
    <cx:data id="0">
      <cx:strDim type="cat">
        <cx:f>_xlchart.v1.64</cx:f>
      </cx:strDim>
      <cx:numDim type="val">
        <cx:f>_xlchart.v1.65</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pPr>
            <a:r>
              <a:rPr lang="en-US" sz="14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400">
              <a:effectLst/>
            </a:endParaRPr>
          </a:p>
        </cx:rich>
      </cx:tx>
    </cx:title>
    <cx:plotArea>
      <cx:plotAreaRegion>
        <cx:series layoutId="waterfall" uniqueId="{73202608-9ED6-4CC3-B681-00466424DB22}" formatIdx="0">
          <cx:dataLabels pos="outEnd">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visibility seriesName="0" categoryName="0" value="1"/>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B Mitra" panose="00000400000000000000" pitchFamily="2" charset="-78"/>
                <a:ea typeface="B Mitra" panose="00000400000000000000" pitchFamily="2" charset="-78"/>
                <a:cs typeface="B Mitra" panose="00000400000000000000" pitchFamily="2" charset="-78"/>
              </a:defRPr>
            </a:pPr>
            <a:endParaRPr lang="en-US" sz="1200">
              <a:solidFill>
                <a:sysClr val="windowText" lastClr="000000"/>
              </a:solidFill>
              <a:cs typeface="B Mitra" panose="00000400000000000000" pitchFamily="2" charset="-78"/>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4.xml><?xml version="1.0" encoding="utf-8"?>
<cx:chartSpace xmlns:a="http://schemas.openxmlformats.org/drawingml/2006/main" xmlns:r="http://schemas.openxmlformats.org/officeDocument/2006/relationships" xmlns:cx="http://schemas.microsoft.com/office/drawing/2014/chartex">
  <cx:chartData>
    <cx:data id="0">
      <cx:strDim type="cat">
        <cx:f>_xlchart.v1.34</cx:f>
      </cx:strDim>
      <cx:numDim type="val">
        <cx:f>_xlchart.v1.35</cx:f>
      </cx:numDim>
    </cx:data>
  </cx:chartData>
  <cx:chart>
    <cx:title pos="t" align="ctr" overlay="0">
      <cx:tx>
        <cx:rich>
          <a:bodyPr spcFirstLastPara="1" vertOverflow="ellipsis" horzOverflow="overflow" wrap="square" lIns="0" tIns="0" rIns="0" bIns="0" anchor="ctr" anchorCtr="1"/>
          <a:lstStyle/>
          <a:p>
            <a:pPr rtl="0">
              <a:spcBef>
                <a:spcPts val="0"/>
              </a:spcBef>
              <a:spcAft>
                <a:spcPts val="0"/>
              </a:spcAft>
              <a:defRPr sz="1600"/>
            </a:pPr>
            <a:r>
              <a:rPr lang="en-US" sz="1600" b="1"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Carbon Footprint of 1 ton of Product</a:t>
            </a:r>
            <a:endParaRPr lang="en-US" sz="1600">
              <a:effectLst/>
            </a:endParaRPr>
          </a:p>
        </cx:rich>
      </cx:tx>
    </cx:title>
    <cx:plotArea>
      <cx:plotAreaRegion>
        <cx:series layoutId="waterfall" uniqueId="{3D62CDA8-B994-45D6-A185-7AA6B60C2E1A}">
          <cx:dataLabels>
            <cx:txPr>
              <a:bodyPr spcFirstLastPara="1" vertOverflow="ellipsis" horzOverflow="overflow" wrap="square" lIns="0" tIns="0" rIns="0" bIns="0" anchor="ctr" anchorCtr="1"/>
              <a:lstStyle/>
              <a:p>
                <a:pPr algn="ctr" rtl="0">
                  <a:defRPr sz="1400">
                    <a:latin typeface="Times New Roman" panose="02020603050405020304" pitchFamily="18" charset="0"/>
                    <a:ea typeface="Times New Roman" panose="02020603050405020304" pitchFamily="18" charset="0"/>
                    <a:cs typeface="Times New Roman" panose="02020603050405020304" pitchFamily="18" charset="0"/>
                  </a:defRPr>
                </a:pPr>
                <a:endParaRPr lang="en-US" sz="1400" b="0" i="0" u="none" strike="noStrike" baseline="0">
                  <a:solidFill>
                    <a:sysClr val="windowText" lastClr="000000">
                      <a:lumMod val="65000"/>
                      <a:lumOff val="35000"/>
                    </a:sysClr>
                  </a:solidFill>
                  <a:latin typeface="Times New Roman" panose="02020603050405020304" pitchFamily="18" charset="0"/>
                  <a:cs typeface="Times New Roman" panose="02020603050405020304" pitchFamily="18" charset="0"/>
                </a:endParaRPr>
              </a:p>
            </cx:txPr>
          </cx:dataLabels>
          <cx:dataId val="0"/>
          <cx:layoutPr>
            <cx:subtotals/>
          </cx:layoutPr>
        </cx:series>
      </cx:plotAreaRegion>
      <cx:axis id="0">
        <cx:catScaling gapWidth="0.5"/>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defRPr sz="1600">
                    <a:solidFill>
                      <a:sysClr val="windowText" lastClr="000000"/>
                    </a:solidFill>
                  </a:defRPr>
                </a:pP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tCO</a:t>
                </a:r>
                <a:r>
                  <a:rPr lang="en-US" sz="1600" b="0" i="0" u="none" strike="noStrike" baseline="-25000">
                    <a:solidFill>
                      <a:sysClr val="windowText" lastClr="000000"/>
                    </a:solidFill>
                    <a:latin typeface="Times New Roman" panose="02020603050405020304" pitchFamily="18" charset="0"/>
                    <a:cs typeface="Times New Roman" panose="02020603050405020304" pitchFamily="18" charset="0"/>
                  </a:rPr>
                  <a:t>2</a:t>
                </a:r>
                <a:r>
                  <a:rPr lang="en-US" sz="1600" b="0" i="0" u="none" strike="noStrike" baseline="0">
                    <a:solidFill>
                      <a:sysClr val="windowText" lastClr="000000"/>
                    </a:solidFill>
                    <a:latin typeface="Times New Roman" panose="02020603050405020304" pitchFamily="18" charset="0"/>
                    <a:cs typeface="Times New Roman" panose="02020603050405020304" pitchFamily="18" charset="0"/>
                  </a:rPr>
                  <a:t>e/ton</a:t>
                </a:r>
              </a:p>
            </cx:rich>
          </cx:tx>
        </cx:title>
        <cx:majorGridlines/>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5.xml><?xml version="1.0" encoding="utf-8"?>
<cx:chartSpace xmlns:a="http://schemas.openxmlformats.org/drawingml/2006/main" xmlns:r="http://schemas.openxmlformats.org/officeDocument/2006/relationships" xmlns:cx="http://schemas.microsoft.com/office/drawing/2014/chartex">
  <cx:chartData>
    <cx:data id="0">
      <cx:strDim type="cat">
        <cx:f>_xlchart.v1.76</cx:f>
      </cx:strDim>
      <cx:numDim type="val">
        <cx:f>_xlchart.v1.77</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6.xml><?xml version="1.0" encoding="utf-8"?>
<cx:chartSpace xmlns:a="http://schemas.openxmlformats.org/drawingml/2006/main" xmlns:r="http://schemas.openxmlformats.org/officeDocument/2006/relationships" xmlns:cx="http://schemas.microsoft.com/office/drawing/2014/chartex">
  <cx:chartData>
    <cx:data id="0">
      <cx:strDim type="cat">
        <cx:f>_xlchart.v1.78</cx:f>
      </cx:strDim>
      <cx:numDim type="val">
        <cx:f>_xlchart.v1.79</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7.xml><?xml version="1.0" encoding="utf-8"?>
<cx:chartSpace xmlns:a="http://schemas.openxmlformats.org/drawingml/2006/main" xmlns:r="http://schemas.openxmlformats.org/officeDocument/2006/relationships" xmlns:cx="http://schemas.microsoft.com/office/drawing/2014/chartex">
  <cx:chartData>
    <cx:data id="0">
      <cx:strDim type="cat">
        <cx:f>_xlchart.v1.92</cx:f>
      </cx:strDim>
      <cx:numDim type="val">
        <cx:f>_xlchart.v1.93</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8.xml><?xml version="1.0" encoding="utf-8"?>
<cx:chartSpace xmlns:a="http://schemas.openxmlformats.org/drawingml/2006/main" xmlns:r="http://schemas.openxmlformats.org/officeDocument/2006/relationships" xmlns:cx="http://schemas.microsoft.com/office/drawing/2014/chartex">
  <cx:chartData>
    <cx:data id="0">
      <cx:strDim type="cat">
        <cx:f>_xlchart.v1.66</cx:f>
      </cx:strDim>
      <cx:numDim type="val">
        <cx:f>_xlchart.v1.67</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39.xml><?xml version="1.0" encoding="utf-8"?>
<cx:chartSpace xmlns:a="http://schemas.openxmlformats.org/drawingml/2006/main" xmlns:r="http://schemas.openxmlformats.org/officeDocument/2006/relationships" xmlns:cx="http://schemas.microsoft.com/office/drawing/2014/chartex">
  <cx:chartData>
    <cx:data id="0">
      <cx:strDim type="cat">
        <cx:f>_xlchart.v1.84</cx:f>
      </cx:strDim>
      <cx:numDim type="val">
        <cx:f>_xlchart.v1.85</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0.xml><?xml version="1.0" encoding="utf-8"?>
<cx:chartSpace xmlns:a="http://schemas.openxmlformats.org/drawingml/2006/main" xmlns:r="http://schemas.openxmlformats.org/officeDocument/2006/relationships" xmlns:cx="http://schemas.microsoft.com/office/drawing/2014/chartex">
  <cx:chartData>
    <cx:data id="0">
      <cx:strDim type="cat">
        <cx:f>_xlchart.v1.72</cx:f>
      </cx:strDim>
      <cx:numDim type="val">
        <cx:f>_xlchart.v1.73</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1.xml><?xml version="1.0" encoding="utf-8"?>
<cx:chartSpace xmlns:a="http://schemas.openxmlformats.org/drawingml/2006/main" xmlns:r="http://schemas.openxmlformats.org/officeDocument/2006/relationships" xmlns:cx="http://schemas.microsoft.com/office/drawing/2014/chartex">
  <cx:chartData>
    <cx:data id="0">
      <cx:strDim type="cat">
        <cx:f>_xlchart.v1.90</cx:f>
      </cx:strDim>
      <cx:numDim type="val">
        <cx:f>_xlchart.v1.91</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2.xml><?xml version="1.0" encoding="utf-8"?>
<cx:chartSpace xmlns:a="http://schemas.openxmlformats.org/drawingml/2006/main" xmlns:r="http://schemas.openxmlformats.org/officeDocument/2006/relationships" xmlns:cx="http://schemas.microsoft.com/office/drawing/2014/chartex">
  <cx:chartData>
    <cx:data id="0">
      <cx:strDim type="cat">
        <cx:f>_xlchart.v1.88</cx:f>
      </cx:strDim>
      <cx:numDim type="val">
        <cx:f>_xlchart.v1.89</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3.xml><?xml version="1.0" encoding="utf-8"?>
<cx:chartSpace xmlns:a="http://schemas.openxmlformats.org/drawingml/2006/main" xmlns:r="http://schemas.openxmlformats.org/officeDocument/2006/relationships" xmlns:cx="http://schemas.microsoft.com/office/drawing/2014/chartex">
  <cx:chartData>
    <cx:data id="0">
      <cx:strDim type="cat">
        <cx:f>_xlchart.v1.80</cx:f>
      </cx:strDim>
      <cx:numDim type="val">
        <cx:f>_xlchart.v1.81</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4.xml><?xml version="1.0" encoding="utf-8"?>
<cx:chartSpace xmlns:a="http://schemas.openxmlformats.org/drawingml/2006/main" xmlns:r="http://schemas.openxmlformats.org/officeDocument/2006/relationships" xmlns:cx="http://schemas.microsoft.com/office/drawing/2014/chartex">
  <cx:chartData>
    <cx:data id="0">
      <cx:strDim type="cat">
        <cx:f>_xlchart.v1.86</cx:f>
      </cx:strDim>
      <cx:numDim type="val">
        <cx:f>_xlchart.v1.87</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5.xml><?xml version="1.0" encoding="utf-8"?>
<cx:chartSpace xmlns:a="http://schemas.openxmlformats.org/drawingml/2006/main" xmlns:r="http://schemas.openxmlformats.org/officeDocument/2006/relationships" xmlns:cx="http://schemas.microsoft.com/office/drawing/2014/chartex">
  <cx:chartData>
    <cx:data id="0">
      <cx:strDim type="cat">
        <cx:f>_xlchart.v1.68</cx:f>
      </cx:strDim>
      <cx:numDim type="val">
        <cx:f>_xlchart.v1.69</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6.xml><?xml version="1.0" encoding="utf-8"?>
<cx:chartSpace xmlns:a="http://schemas.openxmlformats.org/drawingml/2006/main" xmlns:r="http://schemas.openxmlformats.org/officeDocument/2006/relationships" xmlns:cx="http://schemas.microsoft.com/office/drawing/2014/chartex">
  <cx:chartData>
    <cx:data id="0">
      <cx:strDim type="cat">
        <cx:f>_xlchart.v1.82</cx:f>
      </cx:strDim>
      <cx:numDim type="val">
        <cx:f>_xlchart.v1.83</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7.xml><?xml version="1.0" encoding="utf-8"?>
<cx:chartSpace xmlns:a="http://schemas.openxmlformats.org/drawingml/2006/main" xmlns:r="http://schemas.openxmlformats.org/officeDocument/2006/relationships" xmlns:cx="http://schemas.microsoft.com/office/drawing/2014/chartex">
  <cx:chartData>
    <cx:data id="0">
      <cx:strDim type="cat">
        <cx:f>_xlchart.v1.70</cx:f>
      </cx:strDim>
      <cx:numDim type="val">
        <cx:f>_xlchart.v1.71</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hartEx48.xml><?xml version="1.0" encoding="utf-8"?>
<cx:chartSpace xmlns:a="http://schemas.openxmlformats.org/drawingml/2006/main" xmlns:r="http://schemas.openxmlformats.org/officeDocument/2006/relationships" xmlns:cx="http://schemas.microsoft.com/office/drawing/2014/chartex">
  <cx:chartData>
    <cx:data id="0">
      <cx:strDim type="cat">
        <cx:f>_xlchart.v1.74</cx:f>
      </cx:strDim>
      <cx:numDim type="val">
        <cx:f>_xlchart.v1.75</cx:f>
      </cx:numDim>
    </cx:data>
  </cx:chartData>
  <cx:chart>
    <cx:title pos="t" align="ctr" overlay="0">
      <cx:tx>
        <cx:txData>
          <cx:v>Unit Processes of CF, on descending order</cx:v>
        </cx:txData>
      </cx:tx>
      <cx:txPr>
        <a:bodyPr spcFirstLastPara="1" vertOverflow="ellipsis" horzOverflow="overflow" wrap="square" lIns="0" tIns="0" rIns="0" bIns="0" anchor="ctr" anchorCtr="1"/>
        <a:lstStyle/>
        <a:p>
          <a:pPr algn="ctr" rtl="0">
            <a:defRPr sz="140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1600" b="1" i="0" u="none" strike="noStrike" baseline="0">
              <a:solidFill>
                <a:sysClr val="windowText" lastClr="000000"/>
              </a:solidFill>
              <a:latin typeface="Times New Roman" panose="02020603050405020304" pitchFamily="18" charset="0"/>
              <a:cs typeface="Times New Roman" panose="02020603050405020304" pitchFamily="18" charset="0"/>
            </a:rPr>
            <a:t>Unit Processes of CF, on descending order</a:t>
          </a:r>
        </a:p>
      </cx:txPr>
    </cx:title>
    <cx:plotArea>
      <cx:plotAreaRegion>
        <cx:series layoutId="clusteredColumn" uniqueId="{DC2AD448-32E2-4EE2-97CD-A8E7106892F9}">
          <cx:spPr>
            <a:solidFill>
              <a:schemeClr val="accent1">
                <a:alpha val="83000"/>
              </a:schemeClr>
            </a:solidFill>
            <a:ln>
              <a:noFill/>
            </a:ln>
          </cx:spPr>
          <cx:data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dataLabels>
          <cx:dataId val="0"/>
          <cx:layoutPr>
            <cx:aggregation/>
          </cx:layoutPr>
          <cx:axisId val="1"/>
        </cx:series>
        <cx:series layoutId="paretoLine" ownerIdx="0" uniqueId="{DA88A4D2-9DF2-4B37-923E-736AE4FB48A0}">
          <cx:spPr>
            <a:ln w="28575">
              <a:solidFill>
                <a:schemeClr val="accent2">
                  <a:lumMod val="75000"/>
                </a:schemeClr>
              </a:solidFill>
            </a:ln>
            <a:effectLst>
              <a:softEdge rad="0"/>
            </a:effectLst>
          </cx:spPr>
          <cx:axisId val="2"/>
        </cx:series>
      </cx:plotAreaRegion>
      <cx:axis id="0">
        <cx:catScaling gapWidth="0"/>
        <cx:tickLabels/>
        <cx:txPr>
          <a:bodyPr vertOverflow="overflow" horzOverflow="overflow" wrap="square" lIns="0" tIns="0" rIns="0" bIns="0"/>
          <a:lstStyle/>
          <a:p>
            <a:pPr algn="ctr" rtl="0">
              <a:defRPr sz="12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200">
              <a:solidFill>
                <a:sysClr val="windowText" lastClr="000000"/>
              </a:solidFill>
              <a:latin typeface="Times New Roman" panose="02020603050405020304" pitchFamily="18" charset="0"/>
              <a:cs typeface="Times New Roman" panose="02020603050405020304" pitchFamily="18" charset="0"/>
            </a:endParaRPr>
          </a:p>
        </cx:txPr>
      </cx:axis>
      <cx:axis id="1">
        <cx:valScaling/>
        <cx:title>
          <cx:tx>
            <cx:rich>
              <a:bodyPr spcFirstLastPara="1" vertOverflow="ellipsis" horzOverflow="overflow" wrap="square" lIns="0" tIns="0" rIns="0" bIns="0" anchor="ctr" anchorCtr="1"/>
              <a:lstStyle/>
              <a:p>
                <a:pPr algn="ctr" rtl="0">
                  <a:spcBef>
                    <a:spcPts val="0"/>
                  </a:spcBef>
                  <a:spcAft>
                    <a:spcPts val="0"/>
                  </a:spcAft>
                  <a:defRPr sz="1600"/>
                </a:pP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tCO</a:t>
                </a:r>
                <a:r>
                  <a:rPr lang="en-US" sz="1600" b="0" i="0" baseline="-2500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2</a:t>
                </a:r>
                <a:r>
                  <a:rPr lang="en-US" sz="1600" b="0" i="0" baseline="0">
                    <a:solidFill>
                      <a:srgbClr val="000000"/>
                    </a:solidFill>
                    <a:effectLst/>
                    <a:latin typeface="Times New Roman" panose="02020603050405020304" pitchFamily="18" charset="0"/>
                    <a:ea typeface="Times New Roman" panose="02020603050405020304" pitchFamily="18" charset="0"/>
                    <a:cs typeface="Times New Roman" panose="02020603050405020304" pitchFamily="18" charset="0"/>
                  </a:rPr>
                  <a:t>e/ton</a:t>
                </a:r>
                <a:endParaRPr lang="en-US" sz="1600">
                  <a:effectLst/>
                </a:endParaRPr>
              </a:p>
            </cx:rich>
          </cx:tx>
        </cx:title>
        <cx:majorGridlines/>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axis id="2">
        <cx:valScaling max="1" min="0"/>
        <cx:units unit="percentage"/>
        <cx:tickLabels/>
        <cx:txPr>
          <a:bodyPr vertOverflow="overflow" horzOverflow="overflow" wrap="square" lIns="0" tIns="0" rIns="0" bIns="0"/>
          <a:lstStyle/>
          <a:p>
            <a:pPr algn="ctr" rtl="0">
              <a:defRPr sz="1400" b="0" i="0">
                <a:solidFill>
                  <a:sysClr val="windowText" lastClr="000000"/>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1400">
              <a:solidFill>
                <a:sysClr val="windowText" lastClr="000000"/>
              </a:solidFill>
              <a:latin typeface="Times New Roman" panose="02020603050405020304" pitchFamily="18" charset="0"/>
              <a:cs typeface="Times New Roman" panose="02020603050405020304" pitchFamily="18" charset="0"/>
            </a:endParaRPr>
          </a:p>
        </cx:txPr>
      </cx:axis>
    </cx:plotArea>
  </cx:chart>
  <cx:spPr>
    <a:ln>
      <a:solidFill>
        <a:sysClr val="windowText" lastClr="000000"/>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Reversed" id="22">
  <a:schemeClr val="accent2"/>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5.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8.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0.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1.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0.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7.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3" Type="http://schemas.openxmlformats.org/officeDocument/2006/relationships/chart" Target="../charts/chart15.xml"/><Relationship Id="rId18" Type="http://schemas.microsoft.com/office/2014/relationships/chartEx" Target="../charts/chartEx5.xml"/><Relationship Id="rId26" Type="http://schemas.openxmlformats.org/officeDocument/2006/relationships/chart" Target="../charts/chart16.xml"/><Relationship Id="rId21" Type="http://schemas.microsoft.com/office/2014/relationships/chartEx" Target="../charts/chartEx8.xml"/><Relationship Id="rId34" Type="http://schemas.microsoft.com/office/2014/relationships/chartEx" Target="../charts/chartEx13.xml"/><Relationship Id="rId7" Type="http://schemas.openxmlformats.org/officeDocument/2006/relationships/chart" Target="../charts/chart9.xml"/><Relationship Id="rId12" Type="http://schemas.openxmlformats.org/officeDocument/2006/relationships/chart" Target="../charts/chart14.xml"/><Relationship Id="rId17" Type="http://schemas.microsoft.com/office/2014/relationships/chartEx" Target="../charts/chartEx4.xml"/><Relationship Id="rId25" Type="http://schemas.microsoft.com/office/2014/relationships/chartEx" Target="../charts/chartEx12.xml"/><Relationship Id="rId33" Type="http://schemas.openxmlformats.org/officeDocument/2006/relationships/chart" Target="../charts/chart23.xml"/><Relationship Id="rId2" Type="http://schemas.openxmlformats.org/officeDocument/2006/relationships/chart" Target="../charts/chart4.xml"/><Relationship Id="rId16" Type="http://schemas.microsoft.com/office/2014/relationships/chartEx" Target="../charts/chartEx3.xml"/><Relationship Id="rId20" Type="http://schemas.microsoft.com/office/2014/relationships/chartEx" Target="../charts/chartEx7.xml"/><Relationship Id="rId29" Type="http://schemas.openxmlformats.org/officeDocument/2006/relationships/chart" Target="../charts/chart19.xml"/><Relationship Id="rId1" Type="http://schemas.openxmlformats.org/officeDocument/2006/relationships/chart" Target="../charts/chart3.xml"/><Relationship Id="rId6" Type="http://schemas.openxmlformats.org/officeDocument/2006/relationships/chart" Target="../charts/chart8.xml"/><Relationship Id="rId11" Type="http://schemas.openxmlformats.org/officeDocument/2006/relationships/chart" Target="../charts/chart13.xml"/><Relationship Id="rId24" Type="http://schemas.microsoft.com/office/2014/relationships/chartEx" Target="../charts/chartEx11.xml"/><Relationship Id="rId32" Type="http://schemas.openxmlformats.org/officeDocument/2006/relationships/chart" Target="../charts/chart22.xml"/><Relationship Id="rId37" Type="http://schemas.microsoft.com/office/2014/relationships/chartEx" Target="../charts/chartEx16.xml"/><Relationship Id="rId5" Type="http://schemas.openxmlformats.org/officeDocument/2006/relationships/chart" Target="../charts/chart7.xml"/><Relationship Id="rId15" Type="http://schemas.microsoft.com/office/2014/relationships/chartEx" Target="../charts/chartEx2.xml"/><Relationship Id="rId23" Type="http://schemas.microsoft.com/office/2014/relationships/chartEx" Target="../charts/chartEx10.xml"/><Relationship Id="rId28" Type="http://schemas.openxmlformats.org/officeDocument/2006/relationships/chart" Target="../charts/chart18.xml"/><Relationship Id="rId36" Type="http://schemas.microsoft.com/office/2014/relationships/chartEx" Target="../charts/chartEx15.xml"/><Relationship Id="rId10" Type="http://schemas.openxmlformats.org/officeDocument/2006/relationships/chart" Target="../charts/chart12.xml"/><Relationship Id="rId19" Type="http://schemas.microsoft.com/office/2014/relationships/chartEx" Target="../charts/chartEx6.xml"/><Relationship Id="rId31" Type="http://schemas.openxmlformats.org/officeDocument/2006/relationships/chart" Target="../charts/chart21.xml"/><Relationship Id="rId4" Type="http://schemas.openxmlformats.org/officeDocument/2006/relationships/chart" Target="../charts/chart6.xml"/><Relationship Id="rId9" Type="http://schemas.openxmlformats.org/officeDocument/2006/relationships/chart" Target="../charts/chart11.xml"/><Relationship Id="rId14" Type="http://schemas.microsoft.com/office/2014/relationships/chartEx" Target="../charts/chartEx1.xml"/><Relationship Id="rId22" Type="http://schemas.microsoft.com/office/2014/relationships/chartEx" Target="../charts/chartEx9.xml"/><Relationship Id="rId27" Type="http://schemas.openxmlformats.org/officeDocument/2006/relationships/chart" Target="../charts/chart17.xml"/><Relationship Id="rId30" Type="http://schemas.openxmlformats.org/officeDocument/2006/relationships/chart" Target="../charts/chart20.xml"/><Relationship Id="rId35" Type="http://schemas.microsoft.com/office/2014/relationships/chartEx" Target="../charts/chartEx14.xml"/><Relationship Id="rId8" Type="http://schemas.openxmlformats.org/officeDocument/2006/relationships/chart" Target="../charts/chart10.xml"/><Relationship Id="rId3" Type="http://schemas.openxmlformats.org/officeDocument/2006/relationships/chart" Target="../charts/chart5.xml"/></Relationships>
</file>

<file path=xl/drawings/_rels/drawing9.xml.rels><?xml version="1.0" encoding="UTF-8" standalone="yes"?>
<Relationships xmlns="http://schemas.openxmlformats.org/package/2006/relationships"><Relationship Id="rId26" Type="http://schemas.openxmlformats.org/officeDocument/2006/relationships/chart" Target="../charts/chart31.xml"/><Relationship Id="rId21" Type="http://schemas.microsoft.com/office/2014/relationships/chartEx" Target="../charts/chartEx33.xml"/><Relationship Id="rId42" Type="http://schemas.microsoft.com/office/2014/relationships/chartEx" Target="../charts/chartEx40.xml"/><Relationship Id="rId47" Type="http://schemas.microsoft.com/office/2014/relationships/chartEx" Target="../charts/chartEx45.xml"/><Relationship Id="rId63" Type="http://schemas.openxmlformats.org/officeDocument/2006/relationships/chart" Target="../charts/chart54.xml"/><Relationship Id="rId68" Type="http://schemas.openxmlformats.org/officeDocument/2006/relationships/chart" Target="../charts/chart59.xml"/><Relationship Id="rId16" Type="http://schemas.microsoft.com/office/2014/relationships/chartEx" Target="../charts/chartEx28.xml"/><Relationship Id="rId11" Type="http://schemas.microsoft.com/office/2014/relationships/chartEx" Target="../charts/chartEx23.xml"/><Relationship Id="rId24" Type="http://schemas.openxmlformats.org/officeDocument/2006/relationships/chart" Target="../charts/chart29.xml"/><Relationship Id="rId32" Type="http://schemas.openxmlformats.org/officeDocument/2006/relationships/chart" Target="../charts/chart37.xml"/><Relationship Id="rId37" Type="http://schemas.microsoft.com/office/2014/relationships/chartEx" Target="../charts/chartEx35.xml"/><Relationship Id="rId40" Type="http://schemas.microsoft.com/office/2014/relationships/chartEx" Target="../charts/chartEx38.xml"/><Relationship Id="rId45" Type="http://schemas.microsoft.com/office/2014/relationships/chartEx" Target="../charts/chartEx43.xml"/><Relationship Id="rId53" Type="http://schemas.openxmlformats.org/officeDocument/2006/relationships/chart" Target="../charts/chart44.xml"/><Relationship Id="rId58" Type="http://schemas.openxmlformats.org/officeDocument/2006/relationships/chart" Target="../charts/chart49.xml"/><Relationship Id="rId66" Type="http://schemas.openxmlformats.org/officeDocument/2006/relationships/chart" Target="../charts/chart57.xml"/><Relationship Id="rId74" Type="http://schemas.openxmlformats.org/officeDocument/2006/relationships/chart" Target="../charts/chart65.xml"/><Relationship Id="rId5" Type="http://schemas.openxmlformats.org/officeDocument/2006/relationships/chart" Target="../charts/chart26.xml"/><Relationship Id="rId61" Type="http://schemas.openxmlformats.org/officeDocument/2006/relationships/chart" Target="../charts/chart52.xml"/><Relationship Id="rId19" Type="http://schemas.microsoft.com/office/2014/relationships/chartEx" Target="../charts/chartEx31.xml"/><Relationship Id="rId14" Type="http://schemas.microsoft.com/office/2014/relationships/chartEx" Target="../charts/chartEx26.xml"/><Relationship Id="rId22" Type="http://schemas.microsoft.com/office/2014/relationships/chartEx" Target="../charts/chartEx34.xml"/><Relationship Id="rId27" Type="http://schemas.openxmlformats.org/officeDocument/2006/relationships/chart" Target="../charts/chart32.xml"/><Relationship Id="rId30" Type="http://schemas.openxmlformats.org/officeDocument/2006/relationships/chart" Target="../charts/chart35.xml"/><Relationship Id="rId35" Type="http://schemas.openxmlformats.org/officeDocument/2006/relationships/chart" Target="../charts/chart40.xml"/><Relationship Id="rId43" Type="http://schemas.microsoft.com/office/2014/relationships/chartEx" Target="../charts/chartEx41.xml"/><Relationship Id="rId48" Type="http://schemas.microsoft.com/office/2014/relationships/chartEx" Target="../charts/chartEx46.xml"/><Relationship Id="rId56" Type="http://schemas.openxmlformats.org/officeDocument/2006/relationships/chart" Target="../charts/chart47.xml"/><Relationship Id="rId64" Type="http://schemas.openxmlformats.org/officeDocument/2006/relationships/chart" Target="../charts/chart55.xml"/><Relationship Id="rId69" Type="http://schemas.openxmlformats.org/officeDocument/2006/relationships/chart" Target="../charts/chart60.xml"/><Relationship Id="rId77" Type="http://schemas.openxmlformats.org/officeDocument/2006/relationships/chart" Target="../charts/chart68.xml"/><Relationship Id="rId8" Type="http://schemas.microsoft.com/office/2014/relationships/chartEx" Target="../charts/chartEx20.xml"/><Relationship Id="rId51" Type="http://schemas.openxmlformats.org/officeDocument/2006/relationships/chart" Target="../charts/chart42.xml"/><Relationship Id="rId72" Type="http://schemas.openxmlformats.org/officeDocument/2006/relationships/chart" Target="../charts/chart63.xml"/><Relationship Id="rId3" Type="http://schemas.microsoft.com/office/2014/relationships/chartEx" Target="../charts/chartEx18.xml"/><Relationship Id="rId12" Type="http://schemas.microsoft.com/office/2014/relationships/chartEx" Target="../charts/chartEx24.xml"/><Relationship Id="rId17" Type="http://schemas.microsoft.com/office/2014/relationships/chartEx" Target="../charts/chartEx29.xml"/><Relationship Id="rId25" Type="http://schemas.openxmlformats.org/officeDocument/2006/relationships/chart" Target="../charts/chart30.xml"/><Relationship Id="rId33" Type="http://schemas.openxmlformats.org/officeDocument/2006/relationships/chart" Target="../charts/chart38.xml"/><Relationship Id="rId38" Type="http://schemas.microsoft.com/office/2014/relationships/chartEx" Target="../charts/chartEx36.xml"/><Relationship Id="rId46" Type="http://schemas.microsoft.com/office/2014/relationships/chartEx" Target="../charts/chartEx44.xml"/><Relationship Id="rId59" Type="http://schemas.openxmlformats.org/officeDocument/2006/relationships/chart" Target="../charts/chart50.xml"/><Relationship Id="rId67" Type="http://schemas.openxmlformats.org/officeDocument/2006/relationships/chart" Target="../charts/chart58.xml"/><Relationship Id="rId20" Type="http://schemas.microsoft.com/office/2014/relationships/chartEx" Target="../charts/chartEx32.xml"/><Relationship Id="rId41" Type="http://schemas.microsoft.com/office/2014/relationships/chartEx" Target="../charts/chartEx39.xml"/><Relationship Id="rId54" Type="http://schemas.openxmlformats.org/officeDocument/2006/relationships/chart" Target="../charts/chart45.xml"/><Relationship Id="rId62" Type="http://schemas.openxmlformats.org/officeDocument/2006/relationships/chart" Target="../charts/chart53.xml"/><Relationship Id="rId70" Type="http://schemas.openxmlformats.org/officeDocument/2006/relationships/chart" Target="../charts/chart61.xml"/><Relationship Id="rId75" Type="http://schemas.openxmlformats.org/officeDocument/2006/relationships/chart" Target="../charts/chart66.xml"/><Relationship Id="rId1" Type="http://schemas.openxmlformats.org/officeDocument/2006/relationships/chart" Target="../charts/chart24.xml"/><Relationship Id="rId6" Type="http://schemas.openxmlformats.org/officeDocument/2006/relationships/chart" Target="../charts/chart27.xml"/><Relationship Id="rId15" Type="http://schemas.microsoft.com/office/2014/relationships/chartEx" Target="../charts/chartEx27.xml"/><Relationship Id="rId23" Type="http://schemas.openxmlformats.org/officeDocument/2006/relationships/chart" Target="../charts/chart28.xml"/><Relationship Id="rId28" Type="http://schemas.openxmlformats.org/officeDocument/2006/relationships/chart" Target="../charts/chart33.xml"/><Relationship Id="rId36" Type="http://schemas.openxmlformats.org/officeDocument/2006/relationships/chart" Target="../charts/chart41.xml"/><Relationship Id="rId49" Type="http://schemas.microsoft.com/office/2014/relationships/chartEx" Target="../charts/chartEx47.xml"/><Relationship Id="rId57" Type="http://schemas.openxmlformats.org/officeDocument/2006/relationships/chart" Target="../charts/chart48.xml"/><Relationship Id="rId10" Type="http://schemas.microsoft.com/office/2014/relationships/chartEx" Target="../charts/chartEx22.xml"/><Relationship Id="rId31" Type="http://schemas.openxmlformats.org/officeDocument/2006/relationships/chart" Target="../charts/chart36.xml"/><Relationship Id="rId44" Type="http://schemas.microsoft.com/office/2014/relationships/chartEx" Target="../charts/chartEx42.xml"/><Relationship Id="rId52" Type="http://schemas.openxmlformats.org/officeDocument/2006/relationships/chart" Target="../charts/chart43.xml"/><Relationship Id="rId60" Type="http://schemas.openxmlformats.org/officeDocument/2006/relationships/chart" Target="../charts/chart51.xml"/><Relationship Id="rId65" Type="http://schemas.openxmlformats.org/officeDocument/2006/relationships/chart" Target="../charts/chart56.xml"/><Relationship Id="rId73" Type="http://schemas.openxmlformats.org/officeDocument/2006/relationships/chart" Target="../charts/chart64.xml"/><Relationship Id="rId78" Type="http://schemas.openxmlformats.org/officeDocument/2006/relationships/chart" Target="../charts/chart69.xml"/><Relationship Id="rId4" Type="http://schemas.openxmlformats.org/officeDocument/2006/relationships/chart" Target="../charts/chart25.xml"/><Relationship Id="rId9" Type="http://schemas.microsoft.com/office/2014/relationships/chartEx" Target="../charts/chartEx21.xml"/><Relationship Id="rId13" Type="http://schemas.microsoft.com/office/2014/relationships/chartEx" Target="../charts/chartEx25.xml"/><Relationship Id="rId18" Type="http://schemas.microsoft.com/office/2014/relationships/chartEx" Target="../charts/chartEx30.xml"/><Relationship Id="rId39" Type="http://schemas.microsoft.com/office/2014/relationships/chartEx" Target="../charts/chartEx37.xml"/><Relationship Id="rId34" Type="http://schemas.openxmlformats.org/officeDocument/2006/relationships/chart" Target="../charts/chart39.xml"/><Relationship Id="rId50" Type="http://schemas.microsoft.com/office/2014/relationships/chartEx" Target="../charts/chartEx48.xml"/><Relationship Id="rId55" Type="http://schemas.openxmlformats.org/officeDocument/2006/relationships/chart" Target="../charts/chart46.xml"/><Relationship Id="rId76" Type="http://schemas.openxmlformats.org/officeDocument/2006/relationships/chart" Target="../charts/chart67.xml"/><Relationship Id="rId7" Type="http://schemas.microsoft.com/office/2014/relationships/chartEx" Target="../charts/chartEx19.xml"/><Relationship Id="rId71" Type="http://schemas.openxmlformats.org/officeDocument/2006/relationships/chart" Target="../charts/chart62.xml"/><Relationship Id="rId2" Type="http://schemas.microsoft.com/office/2014/relationships/chartEx" Target="../charts/chartEx17.xml"/><Relationship Id="rId29" Type="http://schemas.openxmlformats.org/officeDocument/2006/relationships/chart" Target="../charts/chart34.xml"/></Relationships>
</file>

<file path=xl/drawings/_rels/drawing37.xml.rels><?xml version="1.0" encoding="UTF-8" standalone="yes"?>
<Relationships xmlns="http://schemas.openxmlformats.org/package/2006/relationships"><Relationship Id="rId8" Type="http://schemas.openxmlformats.org/officeDocument/2006/relationships/chart" Target="../charts/chart77.xml"/><Relationship Id="rId3" Type="http://schemas.openxmlformats.org/officeDocument/2006/relationships/chart" Target="../charts/chart72.xml"/><Relationship Id="rId7" Type="http://schemas.openxmlformats.org/officeDocument/2006/relationships/chart" Target="../charts/chart76.xml"/><Relationship Id="rId2" Type="http://schemas.openxmlformats.org/officeDocument/2006/relationships/chart" Target="../charts/chart71.xml"/><Relationship Id="rId1" Type="http://schemas.openxmlformats.org/officeDocument/2006/relationships/chart" Target="../charts/chart70.xml"/><Relationship Id="rId6" Type="http://schemas.openxmlformats.org/officeDocument/2006/relationships/chart" Target="../charts/chart75.xml"/><Relationship Id="rId5" Type="http://schemas.openxmlformats.org/officeDocument/2006/relationships/chart" Target="../charts/chart74.xml"/><Relationship Id="rId10" Type="http://schemas.openxmlformats.org/officeDocument/2006/relationships/chart" Target="../charts/chart79.xml"/><Relationship Id="rId4" Type="http://schemas.openxmlformats.org/officeDocument/2006/relationships/chart" Target="../charts/chart73.xml"/><Relationship Id="rId9" Type="http://schemas.openxmlformats.org/officeDocument/2006/relationships/chart" Target="../charts/chart78.xml"/></Relationships>
</file>

<file path=xl/drawings/drawing1.xml><?xml version="1.0" encoding="utf-8"?>
<xdr:wsDr xmlns:xdr="http://schemas.openxmlformats.org/drawingml/2006/spreadsheetDrawing" xmlns:a="http://schemas.openxmlformats.org/drawingml/2006/main">
  <xdr:oneCellAnchor>
    <xdr:from>
      <xdr:col>1</xdr:col>
      <xdr:colOff>26894</xdr:colOff>
      <xdr:row>8</xdr:row>
      <xdr:rowOff>76200</xdr:rowOff>
    </xdr:from>
    <xdr:ext cx="1763806" cy="757518"/>
    <xdr:pic>
      <xdr:nvPicPr>
        <xdr:cNvPr id="3" name="Picture 2">
          <a:extLst>
            <a:ext uri="{FF2B5EF4-FFF2-40B4-BE49-F238E27FC236}">
              <a16:creationId xmlns:a16="http://schemas.microsoft.com/office/drawing/2014/main" id="{D9FB4A98-F563-4B63-BDD0-C209AF1B4A9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5286100" y="1528482"/>
          <a:ext cx="1763806" cy="757518"/>
        </a:xfrm>
        <a:prstGeom prst="rect">
          <a:avLst/>
        </a:prstGeom>
        <a:noFill/>
        <a:ln>
          <a:noFill/>
        </a:ln>
      </xdr:spPr>
    </xdr:pic>
    <xdr:clientData/>
  </xdr:oneCellAnchor>
  <xdr:twoCellAnchor editAs="absolute">
    <xdr:from>
      <xdr:col>1</xdr:col>
      <xdr:colOff>0</xdr:colOff>
      <xdr:row>1</xdr:row>
      <xdr:rowOff>0</xdr:rowOff>
    </xdr:from>
    <xdr:to>
      <xdr:col>3</xdr:col>
      <xdr:colOff>328237</xdr:colOff>
      <xdr:row>3</xdr:row>
      <xdr:rowOff>114558</xdr:rowOff>
    </xdr:to>
    <xdr:sp macro="" textlink="">
      <xdr:nvSpPr>
        <xdr:cNvPr id="4" name="Rectangle: Rounded Corners 3">
          <a:extLst>
            <a:ext uri="{FF2B5EF4-FFF2-40B4-BE49-F238E27FC236}">
              <a16:creationId xmlns:a16="http://schemas.microsoft.com/office/drawing/2014/main" id="{29573907-1F3D-41BF-8F88-7C619B1FE47F}"/>
            </a:ext>
          </a:extLst>
        </xdr:cNvPr>
        <xdr:cNvSpPr/>
      </xdr:nvSpPr>
      <xdr:spPr>
        <a:xfrm>
          <a:off x="9985529363"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3</xdr:col>
      <xdr:colOff>329357</xdr:colOff>
      <xdr:row>1</xdr:row>
      <xdr:rowOff>0</xdr:rowOff>
    </xdr:from>
    <xdr:to>
      <xdr:col>6</xdr:col>
      <xdr:colOff>58238</xdr:colOff>
      <xdr:row>3</xdr:row>
      <xdr:rowOff>114558</xdr:rowOff>
    </xdr:to>
    <xdr:sp macro="" textlink="">
      <xdr:nvSpPr>
        <xdr:cNvPr id="5" name="Rectangle: Rounded Corners 4">
          <a:extLst>
            <a:ext uri="{FF2B5EF4-FFF2-40B4-BE49-F238E27FC236}">
              <a16:creationId xmlns:a16="http://schemas.microsoft.com/office/drawing/2014/main" id="{12D0FAB2-D825-43C4-9894-6FAFA6A545C7}"/>
            </a:ext>
          </a:extLst>
        </xdr:cNvPr>
        <xdr:cNvSpPr/>
      </xdr:nvSpPr>
      <xdr:spPr>
        <a:xfrm>
          <a:off x="9983970562"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8</xdr:col>
      <xdr:colOff>403418</xdr:colOff>
      <xdr:row>1</xdr:row>
      <xdr:rowOff>0</xdr:rowOff>
    </xdr:from>
    <xdr:to>
      <xdr:col>11</xdr:col>
      <xdr:colOff>132128</xdr:colOff>
      <xdr:row>3</xdr:row>
      <xdr:rowOff>114558</xdr:rowOff>
    </xdr:to>
    <xdr:sp macro="" textlink="">
      <xdr:nvSpPr>
        <xdr:cNvPr id="6" name="Rectangle: Rounded Corners 5">
          <a:extLst>
            <a:ext uri="{FF2B5EF4-FFF2-40B4-BE49-F238E27FC236}">
              <a16:creationId xmlns:a16="http://schemas.microsoft.com/office/drawing/2014/main" id="{AFCECAED-8A66-4C63-BF50-338931E8C493}"/>
            </a:ext>
          </a:extLst>
        </xdr:cNvPr>
        <xdr:cNvSpPr/>
      </xdr:nvSpPr>
      <xdr:spPr>
        <a:xfrm>
          <a:off x="9980848672"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13</xdr:col>
      <xdr:colOff>463184</xdr:colOff>
      <xdr:row>1</xdr:row>
      <xdr:rowOff>0</xdr:rowOff>
    </xdr:from>
    <xdr:to>
      <xdr:col>16</xdr:col>
      <xdr:colOff>186303</xdr:colOff>
      <xdr:row>3</xdr:row>
      <xdr:rowOff>114558</xdr:rowOff>
    </xdr:to>
    <xdr:sp macro="" textlink="">
      <xdr:nvSpPr>
        <xdr:cNvPr id="7" name="Rectangle: Rounded Corners 6">
          <a:extLst>
            <a:ext uri="{FF2B5EF4-FFF2-40B4-BE49-F238E27FC236}">
              <a16:creationId xmlns:a16="http://schemas.microsoft.com/office/drawing/2014/main" id="{4EDE3C9F-BAD4-4130-A609-3F11A3EBBF28}"/>
            </a:ext>
          </a:extLst>
        </xdr:cNvPr>
        <xdr:cNvSpPr/>
      </xdr:nvSpPr>
      <xdr:spPr>
        <a:xfrm>
          <a:off x="9977746497"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11</xdr:col>
      <xdr:colOff>130463</xdr:colOff>
      <xdr:row>1</xdr:row>
      <xdr:rowOff>0</xdr:rowOff>
    </xdr:from>
    <xdr:to>
      <xdr:col>13</xdr:col>
      <xdr:colOff>464600</xdr:colOff>
      <xdr:row>3</xdr:row>
      <xdr:rowOff>114558</xdr:rowOff>
    </xdr:to>
    <xdr:sp macro="" textlink="">
      <xdr:nvSpPr>
        <xdr:cNvPr id="8" name="Rectangle: Rounded Corners 7">
          <a:extLst>
            <a:ext uri="{FF2B5EF4-FFF2-40B4-BE49-F238E27FC236}">
              <a16:creationId xmlns:a16="http://schemas.microsoft.com/office/drawing/2014/main" id="{BE97FE63-AA2B-4878-8DA1-0F5075395BA8}"/>
            </a:ext>
          </a:extLst>
        </xdr:cNvPr>
        <xdr:cNvSpPr/>
      </xdr:nvSpPr>
      <xdr:spPr>
        <a:xfrm>
          <a:off x="9979297000"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6</xdr:col>
      <xdr:colOff>60507</xdr:colOff>
      <xdr:row>1</xdr:row>
      <xdr:rowOff>0</xdr:rowOff>
    </xdr:from>
    <xdr:to>
      <xdr:col>8</xdr:col>
      <xdr:colOff>398349</xdr:colOff>
      <xdr:row>3</xdr:row>
      <xdr:rowOff>114558</xdr:rowOff>
    </xdr:to>
    <xdr:sp macro="" textlink="">
      <xdr:nvSpPr>
        <xdr:cNvPr id="9" name="Rectangle: Rounded Corners 8">
          <a:extLst>
            <a:ext uri="{FF2B5EF4-FFF2-40B4-BE49-F238E27FC236}">
              <a16:creationId xmlns:a16="http://schemas.microsoft.com/office/drawing/2014/main" id="{6154A4B0-5D01-406D-9869-542AE8B25E31}"/>
            </a:ext>
          </a:extLst>
        </xdr:cNvPr>
        <xdr:cNvSpPr/>
      </xdr:nvSpPr>
      <xdr:spPr>
        <a:xfrm>
          <a:off x="9982411251"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16</xdr:col>
      <xdr:colOff>181571</xdr:colOff>
      <xdr:row>1</xdr:row>
      <xdr:rowOff>0</xdr:rowOff>
    </xdr:from>
    <xdr:to>
      <xdr:col>18</xdr:col>
      <xdr:colOff>522680</xdr:colOff>
      <xdr:row>3</xdr:row>
      <xdr:rowOff>114558</xdr:rowOff>
    </xdr:to>
    <xdr:sp macro="" textlink="">
      <xdr:nvSpPr>
        <xdr:cNvPr id="10" name="Rectangle: Rounded Corners 9">
          <a:extLst>
            <a:ext uri="{FF2B5EF4-FFF2-40B4-BE49-F238E27FC236}">
              <a16:creationId xmlns:a16="http://schemas.microsoft.com/office/drawing/2014/main" id="{ECCB87E2-C212-453F-B65C-1424CF781D6B}"/>
            </a:ext>
          </a:extLst>
        </xdr:cNvPr>
        <xdr:cNvSpPr/>
      </xdr:nvSpPr>
      <xdr:spPr>
        <a:xfrm>
          <a:off x="9976190920"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18</xdr:col>
      <xdr:colOff>521462</xdr:colOff>
      <xdr:row>1</xdr:row>
      <xdr:rowOff>2845</xdr:rowOff>
    </xdr:from>
    <xdr:to>
      <xdr:col>21</xdr:col>
      <xdr:colOff>247503</xdr:colOff>
      <xdr:row>3</xdr:row>
      <xdr:rowOff>117403</xdr:rowOff>
    </xdr:to>
    <xdr:sp macro="" textlink="">
      <xdr:nvSpPr>
        <xdr:cNvPr id="11" name="Rectangle: Rounded Corners 10">
          <a:extLst>
            <a:ext uri="{FF2B5EF4-FFF2-40B4-BE49-F238E27FC236}">
              <a16:creationId xmlns:a16="http://schemas.microsoft.com/office/drawing/2014/main" id="{46D014DD-C54E-4C29-AE17-0951D06C8429}"/>
            </a:ext>
          </a:extLst>
        </xdr:cNvPr>
        <xdr:cNvSpPr/>
      </xdr:nvSpPr>
      <xdr:spPr>
        <a:xfrm>
          <a:off x="9974637297"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305377</xdr:colOff>
      <xdr:row>3</xdr:row>
      <xdr:rowOff>103032</xdr:rowOff>
    </xdr:to>
    <xdr:sp macro="" textlink="">
      <xdr:nvSpPr>
        <xdr:cNvPr id="8" name="Rectangle: Rounded Corners 7">
          <a:extLst>
            <a:ext uri="{FF2B5EF4-FFF2-40B4-BE49-F238E27FC236}">
              <a16:creationId xmlns:a16="http://schemas.microsoft.com/office/drawing/2014/main" id="{82D1E111-6942-4BC1-A438-383275A1F714}"/>
            </a:ext>
          </a:extLst>
        </xdr:cNvPr>
        <xdr:cNvSpPr/>
      </xdr:nvSpPr>
      <xdr:spPr>
        <a:xfrm>
          <a:off x="9994259706" y="185057"/>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306497</xdr:colOff>
      <xdr:row>1</xdr:row>
      <xdr:rowOff>0</xdr:rowOff>
    </xdr:from>
    <xdr:to>
      <xdr:col>2</xdr:col>
      <xdr:colOff>1864178</xdr:colOff>
      <xdr:row>3</xdr:row>
      <xdr:rowOff>103032</xdr:rowOff>
    </xdr:to>
    <xdr:sp macro="" textlink="">
      <xdr:nvSpPr>
        <xdr:cNvPr id="9" name="Rectangle: Rounded Corners 8">
          <a:extLst>
            <a:ext uri="{FF2B5EF4-FFF2-40B4-BE49-F238E27FC236}">
              <a16:creationId xmlns:a16="http://schemas.microsoft.com/office/drawing/2014/main" id="{2ABC7461-F4E1-4AF3-89FD-2B001A797FBC}"/>
            </a:ext>
          </a:extLst>
        </xdr:cNvPr>
        <xdr:cNvSpPr/>
      </xdr:nvSpPr>
      <xdr:spPr>
        <a:xfrm>
          <a:off x="9992700905" y="185057"/>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2</xdr:col>
      <xdr:colOff>3428558</xdr:colOff>
      <xdr:row>1</xdr:row>
      <xdr:rowOff>0</xdr:rowOff>
    </xdr:from>
    <xdr:to>
      <xdr:col>3</xdr:col>
      <xdr:colOff>1102045</xdr:colOff>
      <xdr:row>3</xdr:row>
      <xdr:rowOff>103032</xdr:rowOff>
    </xdr:to>
    <xdr:sp macro="" textlink="">
      <xdr:nvSpPr>
        <xdr:cNvPr id="10" name="Rectangle: Rounded Corners 9">
          <a:extLst>
            <a:ext uri="{FF2B5EF4-FFF2-40B4-BE49-F238E27FC236}">
              <a16:creationId xmlns:a16="http://schemas.microsoft.com/office/drawing/2014/main" id="{6831F6DF-4EE1-47D7-A16D-F1485F51244A}"/>
            </a:ext>
          </a:extLst>
        </xdr:cNvPr>
        <xdr:cNvSpPr/>
      </xdr:nvSpPr>
      <xdr:spPr>
        <a:xfrm>
          <a:off x="9989579015" y="185057"/>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4</xdr:col>
      <xdr:colOff>625381</xdr:colOff>
      <xdr:row>1</xdr:row>
      <xdr:rowOff>0</xdr:rowOff>
    </xdr:from>
    <xdr:to>
      <xdr:col>5</xdr:col>
      <xdr:colOff>640237</xdr:colOff>
      <xdr:row>3</xdr:row>
      <xdr:rowOff>103032</xdr:rowOff>
    </xdr:to>
    <xdr:sp macro="" textlink="">
      <xdr:nvSpPr>
        <xdr:cNvPr id="11" name="Rectangle: Rounded Corners 10">
          <a:extLst>
            <a:ext uri="{FF2B5EF4-FFF2-40B4-BE49-F238E27FC236}">
              <a16:creationId xmlns:a16="http://schemas.microsoft.com/office/drawing/2014/main" id="{5D4E87D5-A96D-44FB-9412-85233724ADD4}"/>
            </a:ext>
          </a:extLst>
        </xdr:cNvPr>
        <xdr:cNvSpPr/>
      </xdr:nvSpPr>
      <xdr:spPr>
        <a:xfrm>
          <a:off x="9986476840" y="185057"/>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3</xdr:col>
      <xdr:colOff>1100380</xdr:colOff>
      <xdr:row>1</xdr:row>
      <xdr:rowOff>0</xdr:rowOff>
    </xdr:from>
    <xdr:to>
      <xdr:col>4</xdr:col>
      <xdr:colOff>626797</xdr:colOff>
      <xdr:row>3</xdr:row>
      <xdr:rowOff>103032</xdr:rowOff>
    </xdr:to>
    <xdr:sp macro="" textlink="">
      <xdr:nvSpPr>
        <xdr:cNvPr id="12" name="Rectangle: Rounded Corners 11">
          <a:extLst>
            <a:ext uri="{FF2B5EF4-FFF2-40B4-BE49-F238E27FC236}">
              <a16:creationId xmlns:a16="http://schemas.microsoft.com/office/drawing/2014/main" id="{32201330-B0D0-4288-BC2B-20D40C67E397}"/>
            </a:ext>
          </a:extLst>
        </xdr:cNvPr>
        <xdr:cNvSpPr/>
      </xdr:nvSpPr>
      <xdr:spPr>
        <a:xfrm>
          <a:off x="9988027343" y="185057"/>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1866447</xdr:colOff>
      <xdr:row>1</xdr:row>
      <xdr:rowOff>0</xdr:rowOff>
    </xdr:from>
    <xdr:to>
      <xdr:col>2</xdr:col>
      <xdr:colOff>3423489</xdr:colOff>
      <xdr:row>3</xdr:row>
      <xdr:rowOff>103032</xdr:rowOff>
    </xdr:to>
    <xdr:sp macro="" textlink="">
      <xdr:nvSpPr>
        <xdr:cNvPr id="13" name="Rectangle: Rounded Corners 12">
          <a:extLst>
            <a:ext uri="{FF2B5EF4-FFF2-40B4-BE49-F238E27FC236}">
              <a16:creationId xmlns:a16="http://schemas.microsoft.com/office/drawing/2014/main" id="{BE3B828D-014F-4F80-BEAA-48B655B7AFF3}"/>
            </a:ext>
          </a:extLst>
        </xdr:cNvPr>
        <xdr:cNvSpPr/>
      </xdr:nvSpPr>
      <xdr:spPr>
        <a:xfrm>
          <a:off x="9991141594" y="185057"/>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5</xdr:col>
      <xdr:colOff>635505</xdr:colOff>
      <xdr:row>1</xdr:row>
      <xdr:rowOff>0</xdr:rowOff>
    </xdr:from>
    <xdr:to>
      <xdr:col>8</xdr:col>
      <xdr:colOff>188489</xdr:colOff>
      <xdr:row>3</xdr:row>
      <xdr:rowOff>103032</xdr:rowOff>
    </xdr:to>
    <xdr:sp macro="" textlink="">
      <xdr:nvSpPr>
        <xdr:cNvPr id="14" name="Rectangle: Rounded Corners 13">
          <a:extLst>
            <a:ext uri="{FF2B5EF4-FFF2-40B4-BE49-F238E27FC236}">
              <a16:creationId xmlns:a16="http://schemas.microsoft.com/office/drawing/2014/main" id="{B1239992-B420-4856-ABD6-2FC060775913}"/>
            </a:ext>
          </a:extLst>
        </xdr:cNvPr>
        <xdr:cNvSpPr/>
      </xdr:nvSpPr>
      <xdr:spPr>
        <a:xfrm>
          <a:off x="9984921263" y="185057"/>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8</xdr:col>
      <xdr:colOff>187271</xdr:colOff>
      <xdr:row>1</xdr:row>
      <xdr:rowOff>2845</xdr:rowOff>
    </xdr:from>
    <xdr:to>
      <xdr:col>10</xdr:col>
      <xdr:colOff>527266</xdr:colOff>
      <xdr:row>3</xdr:row>
      <xdr:rowOff>105877</xdr:rowOff>
    </xdr:to>
    <xdr:sp macro="" textlink="">
      <xdr:nvSpPr>
        <xdr:cNvPr id="15" name="Rectangle: Rounded Corners 14">
          <a:extLst>
            <a:ext uri="{FF2B5EF4-FFF2-40B4-BE49-F238E27FC236}">
              <a16:creationId xmlns:a16="http://schemas.microsoft.com/office/drawing/2014/main" id="{9A42ABEA-6B48-45C7-8954-7F8706451E9C}"/>
            </a:ext>
          </a:extLst>
        </xdr:cNvPr>
        <xdr:cNvSpPr/>
      </xdr:nvSpPr>
      <xdr:spPr>
        <a:xfrm>
          <a:off x="9983367640" y="187902"/>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229625</xdr:colOff>
      <xdr:row>3</xdr:row>
      <xdr:rowOff>60769</xdr:rowOff>
    </xdr:to>
    <xdr:sp macro="" textlink="">
      <xdr:nvSpPr>
        <xdr:cNvPr id="14" name="Rectangle: Rounded Corners 13">
          <a:extLst>
            <a:ext uri="{FF2B5EF4-FFF2-40B4-BE49-F238E27FC236}">
              <a16:creationId xmlns:a16="http://schemas.microsoft.com/office/drawing/2014/main" id="{9BE568FE-7FC0-46C7-9DEA-37C349FF00C1}"/>
            </a:ext>
          </a:extLst>
        </xdr:cNvPr>
        <xdr:cNvSpPr/>
      </xdr:nvSpPr>
      <xdr:spPr>
        <a:xfrm>
          <a:off x="9990594422"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230745</xdr:colOff>
      <xdr:row>1</xdr:row>
      <xdr:rowOff>0</xdr:rowOff>
    </xdr:from>
    <xdr:to>
      <xdr:col>3</xdr:col>
      <xdr:colOff>614050</xdr:colOff>
      <xdr:row>3</xdr:row>
      <xdr:rowOff>60769</xdr:rowOff>
    </xdr:to>
    <xdr:sp macro="" textlink="">
      <xdr:nvSpPr>
        <xdr:cNvPr id="15" name="Rectangle: Rounded Corners 14">
          <a:extLst>
            <a:ext uri="{FF2B5EF4-FFF2-40B4-BE49-F238E27FC236}">
              <a16:creationId xmlns:a16="http://schemas.microsoft.com/office/drawing/2014/main" id="{02779510-5C16-4BDD-9F4F-30CC401A7C81}"/>
            </a:ext>
          </a:extLst>
        </xdr:cNvPr>
        <xdr:cNvSpPr/>
      </xdr:nvSpPr>
      <xdr:spPr>
        <a:xfrm>
          <a:off x="9989035621"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977159</xdr:colOff>
      <xdr:row>1</xdr:row>
      <xdr:rowOff>0</xdr:rowOff>
    </xdr:from>
    <xdr:to>
      <xdr:col>6</xdr:col>
      <xdr:colOff>69375</xdr:colOff>
      <xdr:row>3</xdr:row>
      <xdr:rowOff>60769</xdr:rowOff>
    </xdr:to>
    <xdr:sp macro="" textlink="">
      <xdr:nvSpPr>
        <xdr:cNvPr id="16" name="Rectangle: Rounded Corners 15">
          <a:extLst>
            <a:ext uri="{FF2B5EF4-FFF2-40B4-BE49-F238E27FC236}">
              <a16:creationId xmlns:a16="http://schemas.microsoft.com/office/drawing/2014/main" id="{04A22740-DF9D-4BFA-A34B-634D44E376DA}"/>
            </a:ext>
          </a:extLst>
        </xdr:cNvPr>
        <xdr:cNvSpPr/>
      </xdr:nvSpPr>
      <xdr:spPr>
        <a:xfrm>
          <a:off x="9985913731"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445255</xdr:colOff>
      <xdr:row>1</xdr:row>
      <xdr:rowOff>0</xdr:rowOff>
    </xdr:from>
    <xdr:to>
      <xdr:col>8</xdr:col>
      <xdr:colOff>822797</xdr:colOff>
      <xdr:row>3</xdr:row>
      <xdr:rowOff>60769</xdr:rowOff>
    </xdr:to>
    <xdr:sp macro="" textlink="">
      <xdr:nvSpPr>
        <xdr:cNvPr id="17" name="Rectangle: Rounded Corners 16">
          <a:extLst>
            <a:ext uri="{FF2B5EF4-FFF2-40B4-BE49-F238E27FC236}">
              <a16:creationId xmlns:a16="http://schemas.microsoft.com/office/drawing/2014/main" id="{189F9D3F-CD19-4C37-A97B-59705956CA3F}"/>
            </a:ext>
          </a:extLst>
        </xdr:cNvPr>
        <xdr:cNvSpPr/>
      </xdr:nvSpPr>
      <xdr:spPr>
        <a:xfrm>
          <a:off x="9982811556"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67710</xdr:colOff>
      <xdr:row>1</xdr:row>
      <xdr:rowOff>0</xdr:rowOff>
    </xdr:from>
    <xdr:to>
      <xdr:col>7</xdr:col>
      <xdr:colOff>446671</xdr:colOff>
      <xdr:row>3</xdr:row>
      <xdr:rowOff>60769</xdr:rowOff>
    </xdr:to>
    <xdr:sp macro="" textlink="">
      <xdr:nvSpPr>
        <xdr:cNvPr id="18" name="Rectangle: Rounded Corners 17">
          <a:extLst>
            <a:ext uri="{FF2B5EF4-FFF2-40B4-BE49-F238E27FC236}">
              <a16:creationId xmlns:a16="http://schemas.microsoft.com/office/drawing/2014/main" id="{8D8BE5E1-05F9-42D5-88F3-1CB1A59733AB}"/>
            </a:ext>
          </a:extLst>
        </xdr:cNvPr>
        <xdr:cNvSpPr/>
      </xdr:nvSpPr>
      <xdr:spPr>
        <a:xfrm>
          <a:off x="9984362059"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616319</xdr:colOff>
      <xdr:row>1</xdr:row>
      <xdr:rowOff>0</xdr:rowOff>
    </xdr:from>
    <xdr:to>
      <xdr:col>4</xdr:col>
      <xdr:colOff>972090</xdr:colOff>
      <xdr:row>3</xdr:row>
      <xdr:rowOff>60769</xdr:rowOff>
    </xdr:to>
    <xdr:sp macro="" textlink="">
      <xdr:nvSpPr>
        <xdr:cNvPr id="19" name="Rectangle: Rounded Corners 18">
          <a:extLst>
            <a:ext uri="{FF2B5EF4-FFF2-40B4-BE49-F238E27FC236}">
              <a16:creationId xmlns:a16="http://schemas.microsoft.com/office/drawing/2014/main" id="{51A9E78E-80AE-4595-935C-6DD5CAB12EC9}"/>
            </a:ext>
          </a:extLst>
        </xdr:cNvPr>
        <xdr:cNvSpPr/>
      </xdr:nvSpPr>
      <xdr:spPr>
        <a:xfrm>
          <a:off x="9987476310"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818065</xdr:colOff>
      <xdr:row>1</xdr:row>
      <xdr:rowOff>0</xdr:rowOff>
    </xdr:from>
    <xdr:to>
      <xdr:col>10</xdr:col>
      <xdr:colOff>29621</xdr:colOff>
      <xdr:row>3</xdr:row>
      <xdr:rowOff>60769</xdr:rowOff>
    </xdr:to>
    <xdr:sp macro="" textlink="">
      <xdr:nvSpPr>
        <xdr:cNvPr id="20" name="Rectangle: Rounded Corners 19">
          <a:extLst>
            <a:ext uri="{FF2B5EF4-FFF2-40B4-BE49-F238E27FC236}">
              <a16:creationId xmlns:a16="http://schemas.microsoft.com/office/drawing/2014/main" id="{6C44E801-45A5-40BE-826E-53186D7ED159}"/>
            </a:ext>
          </a:extLst>
        </xdr:cNvPr>
        <xdr:cNvSpPr/>
      </xdr:nvSpPr>
      <xdr:spPr>
        <a:xfrm>
          <a:off x="9981255979"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28403</xdr:colOff>
      <xdr:row>1</xdr:row>
      <xdr:rowOff>2845</xdr:rowOff>
    </xdr:from>
    <xdr:to>
      <xdr:col>12</xdr:col>
      <xdr:colOff>113033</xdr:colOff>
      <xdr:row>3</xdr:row>
      <xdr:rowOff>63614</xdr:rowOff>
    </xdr:to>
    <xdr:sp macro="" textlink="">
      <xdr:nvSpPr>
        <xdr:cNvPr id="21" name="Rectangle: Rounded Corners 20">
          <a:extLst>
            <a:ext uri="{FF2B5EF4-FFF2-40B4-BE49-F238E27FC236}">
              <a16:creationId xmlns:a16="http://schemas.microsoft.com/office/drawing/2014/main" id="{3E33FB60-D82B-47A1-B1BE-523934A953A8}"/>
            </a:ext>
          </a:extLst>
        </xdr:cNvPr>
        <xdr:cNvSpPr/>
      </xdr:nvSpPr>
      <xdr:spPr>
        <a:xfrm>
          <a:off x="9979702356"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4</xdr:col>
      <xdr:colOff>528917</xdr:colOff>
      <xdr:row>150</xdr:row>
      <xdr:rowOff>17930</xdr:rowOff>
    </xdr:from>
    <xdr:to>
      <xdr:col>6</xdr:col>
      <xdr:colOff>27790</xdr:colOff>
      <xdr:row>153</xdr:row>
      <xdr:rowOff>107127</xdr:rowOff>
    </xdr:to>
    <xdr:sp macro="" textlink="">
      <xdr:nvSpPr>
        <xdr:cNvPr id="10" name="Flowchart: Alternate Process 9">
          <a:extLst>
            <a:ext uri="{FF2B5EF4-FFF2-40B4-BE49-F238E27FC236}">
              <a16:creationId xmlns:a16="http://schemas.microsoft.com/office/drawing/2014/main" id="{22F1B1A9-9313-4D24-9D17-778AD75CFDB3}"/>
            </a:ext>
          </a:extLst>
        </xdr:cNvPr>
        <xdr:cNvSpPr/>
      </xdr:nvSpPr>
      <xdr:spPr>
        <a:xfrm>
          <a:off x="9985955316" y="30820659"/>
          <a:ext cx="1964167" cy="725692"/>
        </a:xfrm>
        <a:prstGeom prst="flowChartAlternateProcess">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rtl="1"/>
          <a:r>
            <a:rPr lang="en-US" sz="1600" b="1">
              <a:solidFill>
                <a:sysClr val="windowText" lastClr="000000"/>
              </a:solidFill>
              <a:latin typeface="Times New Roman" panose="02020603050405020304" pitchFamily="18" charset="0"/>
              <a:cs typeface="Times New Roman" panose="02020603050405020304" pitchFamily="18" charset="0"/>
            </a:rPr>
            <a:t>Back</a:t>
          </a:r>
          <a:r>
            <a:rPr lang="en-US" sz="1600" b="1" baseline="0">
              <a:solidFill>
                <a:sysClr val="windowText" lastClr="000000"/>
              </a:solidFill>
              <a:latin typeface="Times New Roman" panose="02020603050405020304" pitchFamily="18" charset="0"/>
              <a:cs typeface="Times New Roman" panose="02020603050405020304" pitchFamily="18" charset="0"/>
            </a:rPr>
            <a:t> to Utilities</a:t>
          </a:r>
          <a:endParaRPr lang="en-US"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589494</xdr:colOff>
      <xdr:row>3</xdr:row>
      <xdr:rowOff>103032</xdr:rowOff>
    </xdr:to>
    <xdr:sp macro="" textlink="">
      <xdr:nvSpPr>
        <xdr:cNvPr id="8" name="Rectangle: Rounded Corners 7">
          <a:extLst>
            <a:ext uri="{FF2B5EF4-FFF2-40B4-BE49-F238E27FC236}">
              <a16:creationId xmlns:a16="http://schemas.microsoft.com/office/drawing/2014/main" id="{270FC4A1-8DA6-4B3E-9230-A16800FD609A}"/>
            </a:ext>
          </a:extLst>
        </xdr:cNvPr>
        <xdr:cNvSpPr/>
      </xdr:nvSpPr>
      <xdr:spPr>
        <a:xfrm>
          <a:off x="9995718392" y="185057"/>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590614</xdr:colOff>
      <xdr:row>1</xdr:row>
      <xdr:rowOff>0</xdr:rowOff>
    </xdr:from>
    <xdr:to>
      <xdr:col>3</xdr:col>
      <xdr:colOff>733152</xdr:colOff>
      <xdr:row>3</xdr:row>
      <xdr:rowOff>103032</xdr:rowOff>
    </xdr:to>
    <xdr:sp macro="" textlink="">
      <xdr:nvSpPr>
        <xdr:cNvPr id="9" name="Rectangle: Rounded Corners 8">
          <a:extLst>
            <a:ext uri="{FF2B5EF4-FFF2-40B4-BE49-F238E27FC236}">
              <a16:creationId xmlns:a16="http://schemas.microsoft.com/office/drawing/2014/main" id="{16A55C0B-3ACD-463C-9B1C-EBA3BABA8C0B}"/>
            </a:ext>
          </a:extLst>
        </xdr:cNvPr>
        <xdr:cNvSpPr/>
      </xdr:nvSpPr>
      <xdr:spPr>
        <a:xfrm>
          <a:off x="9994159591" y="185057"/>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577589</xdr:colOff>
      <xdr:row>1</xdr:row>
      <xdr:rowOff>0</xdr:rowOff>
    </xdr:from>
    <xdr:to>
      <xdr:col>5</xdr:col>
      <xdr:colOff>828814</xdr:colOff>
      <xdr:row>3</xdr:row>
      <xdr:rowOff>103032</xdr:rowOff>
    </xdr:to>
    <xdr:sp macro="" textlink="">
      <xdr:nvSpPr>
        <xdr:cNvPr id="10" name="Rectangle: Rounded Corners 9">
          <a:extLst>
            <a:ext uri="{FF2B5EF4-FFF2-40B4-BE49-F238E27FC236}">
              <a16:creationId xmlns:a16="http://schemas.microsoft.com/office/drawing/2014/main" id="{14EFCC95-799F-4BEA-AC3C-E24655A36959}"/>
            </a:ext>
          </a:extLst>
        </xdr:cNvPr>
        <xdr:cNvSpPr/>
      </xdr:nvSpPr>
      <xdr:spPr>
        <a:xfrm>
          <a:off x="9991037701" y="185057"/>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1072784</xdr:colOff>
      <xdr:row>1</xdr:row>
      <xdr:rowOff>0</xdr:rowOff>
    </xdr:from>
    <xdr:to>
      <xdr:col>6</xdr:col>
      <xdr:colOff>2624703</xdr:colOff>
      <xdr:row>3</xdr:row>
      <xdr:rowOff>103032</xdr:rowOff>
    </xdr:to>
    <xdr:sp macro="" textlink="">
      <xdr:nvSpPr>
        <xdr:cNvPr id="11" name="Rectangle: Rounded Corners 10">
          <a:extLst>
            <a:ext uri="{FF2B5EF4-FFF2-40B4-BE49-F238E27FC236}">
              <a16:creationId xmlns:a16="http://schemas.microsoft.com/office/drawing/2014/main" id="{C9E66FEE-ECB2-4650-9C25-AF224C707594}"/>
            </a:ext>
          </a:extLst>
        </xdr:cNvPr>
        <xdr:cNvSpPr/>
      </xdr:nvSpPr>
      <xdr:spPr>
        <a:xfrm>
          <a:off x="9987935526" y="185057"/>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827149</xdr:colOff>
      <xdr:row>1</xdr:row>
      <xdr:rowOff>0</xdr:rowOff>
    </xdr:from>
    <xdr:to>
      <xdr:col>6</xdr:col>
      <xdr:colOff>1074200</xdr:colOff>
      <xdr:row>3</xdr:row>
      <xdr:rowOff>103032</xdr:rowOff>
    </xdr:to>
    <xdr:sp macro="" textlink="">
      <xdr:nvSpPr>
        <xdr:cNvPr id="12" name="Rectangle: Rounded Corners 11">
          <a:extLst>
            <a:ext uri="{FF2B5EF4-FFF2-40B4-BE49-F238E27FC236}">
              <a16:creationId xmlns:a16="http://schemas.microsoft.com/office/drawing/2014/main" id="{AF786CE2-6B8E-4A89-BED5-7CA754D60688}"/>
            </a:ext>
          </a:extLst>
        </xdr:cNvPr>
        <xdr:cNvSpPr/>
      </xdr:nvSpPr>
      <xdr:spPr>
        <a:xfrm>
          <a:off x="9989486029" y="185057"/>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735421</xdr:colOff>
      <xdr:row>1</xdr:row>
      <xdr:rowOff>0</xdr:rowOff>
    </xdr:from>
    <xdr:to>
      <xdr:col>4</xdr:col>
      <xdr:colOff>572520</xdr:colOff>
      <xdr:row>3</xdr:row>
      <xdr:rowOff>103032</xdr:rowOff>
    </xdr:to>
    <xdr:sp macro="" textlink="">
      <xdr:nvSpPr>
        <xdr:cNvPr id="13" name="Rectangle: Rounded Corners 12">
          <a:extLst>
            <a:ext uri="{FF2B5EF4-FFF2-40B4-BE49-F238E27FC236}">
              <a16:creationId xmlns:a16="http://schemas.microsoft.com/office/drawing/2014/main" id="{D31A1144-391B-413F-8C74-6D1824E351D1}"/>
            </a:ext>
          </a:extLst>
        </xdr:cNvPr>
        <xdr:cNvSpPr/>
      </xdr:nvSpPr>
      <xdr:spPr>
        <a:xfrm>
          <a:off x="9992600280" y="185057"/>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6</xdr:col>
      <xdr:colOff>2619971</xdr:colOff>
      <xdr:row>1</xdr:row>
      <xdr:rowOff>0</xdr:rowOff>
    </xdr:from>
    <xdr:to>
      <xdr:col>7</xdr:col>
      <xdr:colOff>1545937</xdr:colOff>
      <xdr:row>3</xdr:row>
      <xdr:rowOff>103032</xdr:rowOff>
    </xdr:to>
    <xdr:sp macro="" textlink="">
      <xdr:nvSpPr>
        <xdr:cNvPr id="14" name="Rectangle: Rounded Corners 13">
          <a:extLst>
            <a:ext uri="{FF2B5EF4-FFF2-40B4-BE49-F238E27FC236}">
              <a16:creationId xmlns:a16="http://schemas.microsoft.com/office/drawing/2014/main" id="{2C6C610E-C1D0-48CC-B37F-0C6442CF0F68}"/>
            </a:ext>
          </a:extLst>
        </xdr:cNvPr>
        <xdr:cNvSpPr/>
      </xdr:nvSpPr>
      <xdr:spPr>
        <a:xfrm>
          <a:off x="9986379949" y="185057"/>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7</xdr:col>
      <xdr:colOff>1544719</xdr:colOff>
      <xdr:row>1</xdr:row>
      <xdr:rowOff>2845</xdr:rowOff>
    </xdr:from>
    <xdr:to>
      <xdr:col>9</xdr:col>
      <xdr:colOff>291046</xdr:colOff>
      <xdr:row>3</xdr:row>
      <xdr:rowOff>105877</xdr:rowOff>
    </xdr:to>
    <xdr:sp macro="" textlink="">
      <xdr:nvSpPr>
        <xdr:cNvPr id="15" name="Rectangle: Rounded Corners 14">
          <a:extLst>
            <a:ext uri="{FF2B5EF4-FFF2-40B4-BE49-F238E27FC236}">
              <a16:creationId xmlns:a16="http://schemas.microsoft.com/office/drawing/2014/main" id="{96C9A77E-89EA-4A65-984F-8A641335B1ED}"/>
            </a:ext>
          </a:extLst>
        </xdr:cNvPr>
        <xdr:cNvSpPr/>
      </xdr:nvSpPr>
      <xdr:spPr>
        <a:xfrm>
          <a:off x="9984826326" y="187902"/>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1360714</xdr:colOff>
      <xdr:row>26</xdr:row>
      <xdr:rowOff>10885</xdr:rowOff>
    </xdr:from>
    <xdr:to>
      <xdr:col>9</xdr:col>
      <xdr:colOff>1186543</xdr:colOff>
      <xdr:row>53</xdr:row>
      <xdr:rowOff>130628</xdr:rowOff>
    </xdr:to>
    <xdr:graphicFrame macro="">
      <xdr:nvGraphicFramePr>
        <xdr:cNvPr id="8" name="Chart 7">
          <a:extLst>
            <a:ext uri="{FF2B5EF4-FFF2-40B4-BE49-F238E27FC236}">
              <a16:creationId xmlns:a16="http://schemas.microsoft.com/office/drawing/2014/main" id="{E7F7CE86-4074-4106-B945-0646E827D7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1338943</xdr:colOff>
      <xdr:row>57</xdr:row>
      <xdr:rowOff>163285</xdr:rowOff>
    </xdr:from>
    <xdr:to>
      <xdr:col>9</xdr:col>
      <xdr:colOff>1164772</xdr:colOff>
      <xdr:row>86</xdr:row>
      <xdr:rowOff>43542</xdr:rowOff>
    </xdr:to>
    <xdr:graphicFrame macro="">
      <xdr:nvGraphicFramePr>
        <xdr:cNvPr id="9" name="Chart 8">
          <a:extLst>
            <a:ext uri="{FF2B5EF4-FFF2-40B4-BE49-F238E27FC236}">
              <a16:creationId xmlns:a16="http://schemas.microsoft.com/office/drawing/2014/main" id="{9F45CFDA-8CF4-4AC0-8B78-4F9AFA636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1</xdr:row>
      <xdr:rowOff>0</xdr:rowOff>
    </xdr:from>
    <xdr:to>
      <xdr:col>1</xdr:col>
      <xdr:colOff>1547437</xdr:colOff>
      <xdr:row>3</xdr:row>
      <xdr:rowOff>124803</xdr:rowOff>
    </xdr:to>
    <xdr:sp macro="" textlink="">
      <xdr:nvSpPr>
        <xdr:cNvPr id="10" name="Rectangle: Rounded Corners 9">
          <a:extLst>
            <a:ext uri="{FF2B5EF4-FFF2-40B4-BE49-F238E27FC236}">
              <a16:creationId xmlns:a16="http://schemas.microsoft.com/office/drawing/2014/main" id="{AE0EDEDA-F433-4129-86CC-559A4031749F}"/>
            </a:ext>
          </a:extLst>
        </xdr:cNvPr>
        <xdr:cNvSpPr/>
      </xdr:nvSpPr>
      <xdr:spPr>
        <a:xfrm>
          <a:off x="9998080592" y="174171"/>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1</xdr:col>
      <xdr:colOff>1548557</xdr:colOff>
      <xdr:row>1</xdr:row>
      <xdr:rowOff>0</xdr:rowOff>
    </xdr:from>
    <xdr:to>
      <xdr:col>2</xdr:col>
      <xdr:colOff>69124</xdr:colOff>
      <xdr:row>3</xdr:row>
      <xdr:rowOff>124803</xdr:rowOff>
    </xdr:to>
    <xdr:sp macro="" textlink="">
      <xdr:nvSpPr>
        <xdr:cNvPr id="11" name="Rectangle: Rounded Corners 10">
          <a:extLst>
            <a:ext uri="{FF2B5EF4-FFF2-40B4-BE49-F238E27FC236}">
              <a16:creationId xmlns:a16="http://schemas.microsoft.com/office/drawing/2014/main" id="{6AEBC5D4-1046-4FF1-BFFD-817BF3DC9C20}"/>
            </a:ext>
          </a:extLst>
        </xdr:cNvPr>
        <xdr:cNvSpPr/>
      </xdr:nvSpPr>
      <xdr:spPr>
        <a:xfrm>
          <a:off x="9996521791" y="174171"/>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2</xdr:col>
      <xdr:colOff>1633504</xdr:colOff>
      <xdr:row>1</xdr:row>
      <xdr:rowOff>0</xdr:rowOff>
    </xdr:from>
    <xdr:to>
      <xdr:col>3</xdr:col>
      <xdr:colOff>687299</xdr:colOff>
      <xdr:row>3</xdr:row>
      <xdr:rowOff>124803</xdr:rowOff>
    </xdr:to>
    <xdr:sp macro="" textlink="">
      <xdr:nvSpPr>
        <xdr:cNvPr id="12" name="Rectangle: Rounded Corners 11">
          <a:extLst>
            <a:ext uri="{FF2B5EF4-FFF2-40B4-BE49-F238E27FC236}">
              <a16:creationId xmlns:a16="http://schemas.microsoft.com/office/drawing/2014/main" id="{5BD1AFBB-BB12-4E61-A1C2-83A0A474646B}"/>
            </a:ext>
          </a:extLst>
        </xdr:cNvPr>
        <xdr:cNvSpPr/>
      </xdr:nvSpPr>
      <xdr:spPr>
        <a:xfrm>
          <a:off x="9993399901" y="174171"/>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4</xdr:col>
      <xdr:colOff>1497327</xdr:colOff>
      <xdr:row>1</xdr:row>
      <xdr:rowOff>0</xdr:rowOff>
    </xdr:from>
    <xdr:to>
      <xdr:col>5</xdr:col>
      <xdr:colOff>610846</xdr:colOff>
      <xdr:row>3</xdr:row>
      <xdr:rowOff>124803</xdr:rowOff>
    </xdr:to>
    <xdr:sp macro="" textlink="">
      <xdr:nvSpPr>
        <xdr:cNvPr id="13" name="Rectangle: Rounded Corners 12">
          <a:extLst>
            <a:ext uri="{FF2B5EF4-FFF2-40B4-BE49-F238E27FC236}">
              <a16:creationId xmlns:a16="http://schemas.microsoft.com/office/drawing/2014/main" id="{F00CA33A-6DC5-433A-9F0D-2C45D1986295}"/>
            </a:ext>
          </a:extLst>
        </xdr:cNvPr>
        <xdr:cNvSpPr/>
      </xdr:nvSpPr>
      <xdr:spPr>
        <a:xfrm>
          <a:off x="9990297726" y="174171"/>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3</xdr:col>
      <xdr:colOff>685634</xdr:colOff>
      <xdr:row>1</xdr:row>
      <xdr:rowOff>0</xdr:rowOff>
    </xdr:from>
    <xdr:to>
      <xdr:col>4</xdr:col>
      <xdr:colOff>1498743</xdr:colOff>
      <xdr:row>3</xdr:row>
      <xdr:rowOff>124803</xdr:rowOff>
    </xdr:to>
    <xdr:sp macro="" textlink="">
      <xdr:nvSpPr>
        <xdr:cNvPr id="14" name="Rectangle: Rounded Corners 13">
          <a:extLst>
            <a:ext uri="{FF2B5EF4-FFF2-40B4-BE49-F238E27FC236}">
              <a16:creationId xmlns:a16="http://schemas.microsoft.com/office/drawing/2014/main" id="{AF53E910-8650-4980-94A8-F6BB86E33DFA}"/>
            </a:ext>
          </a:extLst>
        </xdr:cNvPr>
        <xdr:cNvSpPr/>
      </xdr:nvSpPr>
      <xdr:spPr>
        <a:xfrm>
          <a:off x="9991848229" y="174171"/>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71393</xdr:colOff>
      <xdr:row>1</xdr:row>
      <xdr:rowOff>0</xdr:rowOff>
    </xdr:from>
    <xdr:to>
      <xdr:col>2</xdr:col>
      <xdr:colOff>1628435</xdr:colOff>
      <xdr:row>3</xdr:row>
      <xdr:rowOff>124803</xdr:rowOff>
    </xdr:to>
    <xdr:sp macro="" textlink="">
      <xdr:nvSpPr>
        <xdr:cNvPr id="15" name="Rectangle: Rounded Corners 14">
          <a:extLst>
            <a:ext uri="{FF2B5EF4-FFF2-40B4-BE49-F238E27FC236}">
              <a16:creationId xmlns:a16="http://schemas.microsoft.com/office/drawing/2014/main" id="{19D76A83-CA54-4130-BA8F-57E71207C093}"/>
            </a:ext>
          </a:extLst>
        </xdr:cNvPr>
        <xdr:cNvSpPr/>
      </xdr:nvSpPr>
      <xdr:spPr>
        <a:xfrm>
          <a:off x="9994962480" y="174171"/>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5</xdr:col>
      <xdr:colOff>606114</xdr:colOff>
      <xdr:row>1</xdr:row>
      <xdr:rowOff>0</xdr:rowOff>
    </xdr:from>
    <xdr:to>
      <xdr:col>6</xdr:col>
      <xdr:colOff>370280</xdr:colOff>
      <xdr:row>3</xdr:row>
      <xdr:rowOff>124803</xdr:rowOff>
    </xdr:to>
    <xdr:sp macro="" textlink="">
      <xdr:nvSpPr>
        <xdr:cNvPr id="16" name="Rectangle: Rounded Corners 15">
          <a:extLst>
            <a:ext uri="{FF2B5EF4-FFF2-40B4-BE49-F238E27FC236}">
              <a16:creationId xmlns:a16="http://schemas.microsoft.com/office/drawing/2014/main" id="{60FE5685-B6BF-4D7D-B29E-D5F2147B7AE4}"/>
            </a:ext>
          </a:extLst>
        </xdr:cNvPr>
        <xdr:cNvSpPr/>
      </xdr:nvSpPr>
      <xdr:spPr>
        <a:xfrm>
          <a:off x="9988742149" y="174171"/>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6</xdr:col>
      <xdr:colOff>369062</xdr:colOff>
      <xdr:row>1</xdr:row>
      <xdr:rowOff>2845</xdr:rowOff>
    </xdr:from>
    <xdr:to>
      <xdr:col>7</xdr:col>
      <xdr:colOff>846217</xdr:colOff>
      <xdr:row>3</xdr:row>
      <xdr:rowOff>127648</xdr:rowOff>
    </xdr:to>
    <xdr:sp macro="" textlink="">
      <xdr:nvSpPr>
        <xdr:cNvPr id="17" name="Rectangle: Rounded Corners 16">
          <a:extLst>
            <a:ext uri="{FF2B5EF4-FFF2-40B4-BE49-F238E27FC236}">
              <a16:creationId xmlns:a16="http://schemas.microsoft.com/office/drawing/2014/main" id="{9BE5308A-046A-4A1E-B1C0-6E7394451284}"/>
            </a:ext>
          </a:extLst>
        </xdr:cNvPr>
        <xdr:cNvSpPr/>
      </xdr:nvSpPr>
      <xdr:spPr>
        <a:xfrm>
          <a:off x="9987188526" y="177016"/>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3</xdr:col>
      <xdr:colOff>59295</xdr:colOff>
      <xdr:row>3</xdr:row>
      <xdr:rowOff>114558</xdr:rowOff>
    </xdr:to>
    <xdr:sp macro="" textlink="">
      <xdr:nvSpPr>
        <xdr:cNvPr id="14" name="Rectangle: Rounded Corners 13">
          <a:extLst>
            <a:ext uri="{FF2B5EF4-FFF2-40B4-BE49-F238E27FC236}">
              <a16:creationId xmlns:a16="http://schemas.microsoft.com/office/drawing/2014/main" id="{3B30F2F2-5ABB-49C2-A20D-EC5E5E5BDF22}"/>
            </a:ext>
          </a:extLst>
        </xdr:cNvPr>
        <xdr:cNvSpPr/>
      </xdr:nvSpPr>
      <xdr:spPr>
        <a:xfrm>
          <a:off x="9991759834"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3</xdr:col>
      <xdr:colOff>60415</xdr:colOff>
      <xdr:row>1</xdr:row>
      <xdr:rowOff>0</xdr:rowOff>
    </xdr:from>
    <xdr:to>
      <xdr:col>4</xdr:col>
      <xdr:colOff>882991</xdr:colOff>
      <xdr:row>3</xdr:row>
      <xdr:rowOff>114558</xdr:rowOff>
    </xdr:to>
    <xdr:sp macro="" textlink="">
      <xdr:nvSpPr>
        <xdr:cNvPr id="15" name="Rectangle: Rounded Corners 14">
          <a:extLst>
            <a:ext uri="{FF2B5EF4-FFF2-40B4-BE49-F238E27FC236}">
              <a16:creationId xmlns:a16="http://schemas.microsoft.com/office/drawing/2014/main" id="{5984EAC2-D603-4723-82EF-66F45749F349}"/>
            </a:ext>
          </a:extLst>
        </xdr:cNvPr>
        <xdr:cNvSpPr/>
      </xdr:nvSpPr>
      <xdr:spPr>
        <a:xfrm>
          <a:off x="9990201033"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2447371</xdr:colOff>
      <xdr:row>1</xdr:row>
      <xdr:rowOff>0</xdr:rowOff>
    </xdr:from>
    <xdr:to>
      <xdr:col>5</xdr:col>
      <xdr:colOff>1423045</xdr:colOff>
      <xdr:row>3</xdr:row>
      <xdr:rowOff>114558</xdr:rowOff>
    </xdr:to>
    <xdr:sp macro="" textlink="">
      <xdr:nvSpPr>
        <xdr:cNvPr id="16" name="Rectangle: Rounded Corners 15">
          <a:extLst>
            <a:ext uri="{FF2B5EF4-FFF2-40B4-BE49-F238E27FC236}">
              <a16:creationId xmlns:a16="http://schemas.microsoft.com/office/drawing/2014/main" id="{8174FD1C-26EF-4762-85F9-2612CE343D88}"/>
            </a:ext>
          </a:extLst>
        </xdr:cNvPr>
        <xdr:cNvSpPr/>
      </xdr:nvSpPr>
      <xdr:spPr>
        <a:xfrm>
          <a:off x="9987079143"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8</xdr:col>
      <xdr:colOff>95631</xdr:colOff>
      <xdr:row>1</xdr:row>
      <xdr:rowOff>0</xdr:rowOff>
    </xdr:from>
    <xdr:to>
      <xdr:col>10</xdr:col>
      <xdr:colOff>159408</xdr:colOff>
      <xdr:row>3</xdr:row>
      <xdr:rowOff>114558</xdr:rowOff>
    </xdr:to>
    <xdr:sp macro="" textlink="">
      <xdr:nvSpPr>
        <xdr:cNvPr id="17" name="Rectangle: Rounded Corners 16">
          <a:extLst>
            <a:ext uri="{FF2B5EF4-FFF2-40B4-BE49-F238E27FC236}">
              <a16:creationId xmlns:a16="http://schemas.microsoft.com/office/drawing/2014/main" id="{04E90D4C-0058-40DB-A0D4-2D57AB0513AD}"/>
            </a:ext>
          </a:extLst>
        </xdr:cNvPr>
        <xdr:cNvSpPr/>
      </xdr:nvSpPr>
      <xdr:spPr>
        <a:xfrm>
          <a:off x="9983976968"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1421380</xdr:colOff>
      <xdr:row>1</xdr:row>
      <xdr:rowOff>0</xdr:rowOff>
    </xdr:from>
    <xdr:to>
      <xdr:col>8</xdr:col>
      <xdr:colOff>97047</xdr:colOff>
      <xdr:row>3</xdr:row>
      <xdr:rowOff>114558</xdr:rowOff>
    </xdr:to>
    <xdr:sp macro="" textlink="">
      <xdr:nvSpPr>
        <xdr:cNvPr id="18" name="Rectangle: Rounded Corners 17">
          <a:extLst>
            <a:ext uri="{FF2B5EF4-FFF2-40B4-BE49-F238E27FC236}">
              <a16:creationId xmlns:a16="http://schemas.microsoft.com/office/drawing/2014/main" id="{33E9716F-3176-4F84-BBE2-F88A32789CFE}"/>
            </a:ext>
          </a:extLst>
        </xdr:cNvPr>
        <xdr:cNvSpPr/>
      </xdr:nvSpPr>
      <xdr:spPr>
        <a:xfrm>
          <a:off x="9985527471"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4</xdr:col>
      <xdr:colOff>885260</xdr:colOff>
      <xdr:row>1</xdr:row>
      <xdr:rowOff>0</xdr:rowOff>
    </xdr:from>
    <xdr:to>
      <xdr:col>4</xdr:col>
      <xdr:colOff>2442302</xdr:colOff>
      <xdr:row>3</xdr:row>
      <xdr:rowOff>114558</xdr:rowOff>
    </xdr:to>
    <xdr:sp macro="" textlink="">
      <xdr:nvSpPr>
        <xdr:cNvPr id="19" name="Rectangle: Rounded Corners 18">
          <a:extLst>
            <a:ext uri="{FF2B5EF4-FFF2-40B4-BE49-F238E27FC236}">
              <a16:creationId xmlns:a16="http://schemas.microsoft.com/office/drawing/2014/main" id="{341885F7-8815-4135-9E5A-6164D8AC6FF0}"/>
            </a:ext>
          </a:extLst>
        </xdr:cNvPr>
        <xdr:cNvSpPr/>
      </xdr:nvSpPr>
      <xdr:spPr>
        <a:xfrm>
          <a:off x="9988641722"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10</xdr:col>
      <xdr:colOff>154676</xdr:colOff>
      <xdr:row>1</xdr:row>
      <xdr:rowOff>0</xdr:rowOff>
    </xdr:from>
    <xdr:to>
      <xdr:col>11</xdr:col>
      <xdr:colOff>710938</xdr:colOff>
      <xdr:row>3</xdr:row>
      <xdr:rowOff>114558</xdr:rowOff>
    </xdr:to>
    <xdr:sp macro="" textlink="">
      <xdr:nvSpPr>
        <xdr:cNvPr id="20" name="Rectangle: Rounded Corners 19">
          <a:extLst>
            <a:ext uri="{FF2B5EF4-FFF2-40B4-BE49-F238E27FC236}">
              <a16:creationId xmlns:a16="http://schemas.microsoft.com/office/drawing/2014/main" id="{7A17A8ED-ECC7-473F-901B-9F156858AAC8}"/>
            </a:ext>
          </a:extLst>
        </xdr:cNvPr>
        <xdr:cNvSpPr/>
      </xdr:nvSpPr>
      <xdr:spPr>
        <a:xfrm>
          <a:off x="9982421391"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11</xdr:col>
      <xdr:colOff>709720</xdr:colOff>
      <xdr:row>1</xdr:row>
      <xdr:rowOff>2845</xdr:rowOff>
    </xdr:from>
    <xdr:to>
      <xdr:col>13</xdr:col>
      <xdr:colOff>256467</xdr:colOff>
      <xdr:row>3</xdr:row>
      <xdr:rowOff>117403</xdr:rowOff>
    </xdr:to>
    <xdr:sp macro="" textlink="">
      <xdr:nvSpPr>
        <xdr:cNvPr id="21" name="Rectangle: Rounded Corners 20">
          <a:extLst>
            <a:ext uri="{FF2B5EF4-FFF2-40B4-BE49-F238E27FC236}">
              <a16:creationId xmlns:a16="http://schemas.microsoft.com/office/drawing/2014/main" id="{9D91591E-4469-4C6D-BABC-4B9C998C0C45}"/>
            </a:ext>
          </a:extLst>
        </xdr:cNvPr>
        <xdr:cNvSpPr/>
      </xdr:nvSpPr>
      <xdr:spPr>
        <a:xfrm>
          <a:off x="9980867768"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9</xdr:col>
      <xdr:colOff>10052</xdr:colOff>
      <xdr:row>79</xdr:row>
      <xdr:rowOff>86441</xdr:rowOff>
    </xdr:from>
    <xdr:to>
      <xdr:col>17</xdr:col>
      <xdr:colOff>228599</xdr:colOff>
      <xdr:row>95</xdr:row>
      <xdr:rowOff>86249</xdr:rowOff>
    </xdr:to>
    <xdr:graphicFrame macro="">
      <xdr:nvGraphicFramePr>
        <xdr:cNvPr id="6" name="Chart 5">
          <a:extLst>
            <a:ext uri="{FF2B5EF4-FFF2-40B4-BE49-F238E27FC236}">
              <a16:creationId xmlns:a16="http://schemas.microsoft.com/office/drawing/2014/main" id="{FE40914D-BDFA-4CDB-B073-2F50471B2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85933</xdr:colOff>
      <xdr:row>15</xdr:row>
      <xdr:rowOff>65315</xdr:rowOff>
    </xdr:from>
    <xdr:to>
      <xdr:col>21</xdr:col>
      <xdr:colOff>293914</xdr:colOff>
      <xdr:row>35</xdr:row>
      <xdr:rowOff>65314</xdr:rowOff>
    </xdr:to>
    <xdr:graphicFrame macro="">
      <xdr:nvGraphicFramePr>
        <xdr:cNvPr id="5" name="Chart 4">
          <a:extLst>
            <a:ext uri="{FF2B5EF4-FFF2-40B4-BE49-F238E27FC236}">
              <a16:creationId xmlns:a16="http://schemas.microsoft.com/office/drawing/2014/main" id="{BC257854-DD11-49C4-8F05-4886237967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57694</xdr:colOff>
      <xdr:row>37</xdr:row>
      <xdr:rowOff>119743</xdr:rowOff>
    </xdr:from>
    <xdr:to>
      <xdr:col>21</xdr:col>
      <xdr:colOff>261257</xdr:colOff>
      <xdr:row>59</xdr:row>
      <xdr:rowOff>0</xdr:rowOff>
    </xdr:to>
    <xdr:graphicFrame macro="">
      <xdr:nvGraphicFramePr>
        <xdr:cNvPr id="2" name="Chart 1">
          <a:extLst>
            <a:ext uri="{FF2B5EF4-FFF2-40B4-BE49-F238E27FC236}">
              <a16:creationId xmlns:a16="http://schemas.microsoft.com/office/drawing/2014/main" id="{9706CB36-B575-40B0-B4D4-19777D846D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43544</xdr:colOff>
      <xdr:row>62</xdr:row>
      <xdr:rowOff>77833</xdr:rowOff>
    </xdr:from>
    <xdr:to>
      <xdr:col>17</xdr:col>
      <xdr:colOff>272143</xdr:colOff>
      <xdr:row>75</xdr:row>
      <xdr:rowOff>123553</xdr:rowOff>
    </xdr:to>
    <xdr:graphicFrame macro="">
      <xdr:nvGraphicFramePr>
        <xdr:cNvPr id="7" name="Chart 6">
          <a:extLst>
            <a:ext uri="{FF2B5EF4-FFF2-40B4-BE49-F238E27FC236}">
              <a16:creationId xmlns:a16="http://schemas.microsoft.com/office/drawing/2014/main" id="{A74F8B2B-7344-41C0-8A4D-6E5D811491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29457</xdr:colOff>
      <xdr:row>98</xdr:row>
      <xdr:rowOff>128704</xdr:rowOff>
    </xdr:from>
    <xdr:to>
      <xdr:col>17</xdr:col>
      <xdr:colOff>293914</xdr:colOff>
      <xdr:row>113</xdr:row>
      <xdr:rowOff>54429</xdr:rowOff>
    </xdr:to>
    <xdr:graphicFrame macro="">
      <xdr:nvGraphicFramePr>
        <xdr:cNvPr id="9" name="Chart 8">
          <a:extLst>
            <a:ext uri="{FF2B5EF4-FFF2-40B4-BE49-F238E27FC236}">
              <a16:creationId xmlns:a16="http://schemas.microsoft.com/office/drawing/2014/main" id="{75D07FC0-9626-4E11-8A3B-2FB1952A23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8</xdr:row>
      <xdr:rowOff>0</xdr:rowOff>
    </xdr:from>
    <xdr:to>
      <xdr:col>5</xdr:col>
      <xdr:colOff>475129</xdr:colOff>
      <xdr:row>8</xdr:row>
      <xdr:rowOff>161365</xdr:rowOff>
    </xdr:to>
    <xdr:sp macro="" textlink="">
      <xdr:nvSpPr>
        <xdr:cNvPr id="4" name="Arrow: Left 3">
          <a:extLst>
            <a:ext uri="{FF2B5EF4-FFF2-40B4-BE49-F238E27FC236}">
              <a16:creationId xmlns:a16="http://schemas.microsoft.com/office/drawing/2014/main" id="{FE39352C-4349-46BC-9BEB-29593011DF00}"/>
            </a:ext>
          </a:extLst>
        </xdr:cNvPr>
        <xdr:cNvSpPr/>
      </xdr:nvSpPr>
      <xdr:spPr>
        <a:xfrm>
          <a:off x="9985001471" y="1698171"/>
          <a:ext cx="475129" cy="16136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24</xdr:col>
      <xdr:colOff>510988</xdr:colOff>
      <xdr:row>128</xdr:row>
      <xdr:rowOff>16009</xdr:rowOff>
    </xdr:from>
    <xdr:to>
      <xdr:col>25</xdr:col>
      <xdr:colOff>591671</xdr:colOff>
      <xdr:row>128</xdr:row>
      <xdr:rowOff>280020</xdr:rowOff>
    </xdr:to>
    <xdr:sp macro="" textlink="">
      <xdr:nvSpPr>
        <xdr:cNvPr id="11" name="Rectangle: Rounded Corners 10">
          <a:extLst>
            <a:ext uri="{FF2B5EF4-FFF2-40B4-BE49-F238E27FC236}">
              <a16:creationId xmlns:a16="http://schemas.microsoft.com/office/drawing/2014/main" id="{9EF51F1C-BDF5-4C46-A0CF-0393EC336FE5}"/>
            </a:ext>
          </a:extLst>
        </xdr:cNvPr>
        <xdr:cNvSpPr/>
      </xdr:nvSpPr>
      <xdr:spPr>
        <a:xfrm>
          <a:off x="9973073929" y="26914609"/>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510988</xdr:colOff>
      <xdr:row>153</xdr:row>
      <xdr:rowOff>16008</xdr:rowOff>
    </xdr:from>
    <xdr:to>
      <xdr:col>25</xdr:col>
      <xdr:colOff>591671</xdr:colOff>
      <xdr:row>153</xdr:row>
      <xdr:rowOff>280019</xdr:rowOff>
    </xdr:to>
    <xdr:sp macro="" textlink="">
      <xdr:nvSpPr>
        <xdr:cNvPr id="14" name="Rectangle: Rounded Corners 13">
          <a:extLst>
            <a:ext uri="{FF2B5EF4-FFF2-40B4-BE49-F238E27FC236}">
              <a16:creationId xmlns:a16="http://schemas.microsoft.com/office/drawing/2014/main" id="{FA3B841B-436C-45DD-A1A5-E4E9A3FF3E5B}"/>
            </a:ext>
          </a:extLst>
        </xdr:cNvPr>
        <xdr:cNvSpPr/>
      </xdr:nvSpPr>
      <xdr:spPr>
        <a:xfrm>
          <a:off x="9973073929" y="31671665"/>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510987</xdr:colOff>
      <xdr:row>178</xdr:row>
      <xdr:rowOff>16009</xdr:rowOff>
    </xdr:from>
    <xdr:to>
      <xdr:col>25</xdr:col>
      <xdr:colOff>591670</xdr:colOff>
      <xdr:row>178</xdr:row>
      <xdr:rowOff>280020</xdr:rowOff>
    </xdr:to>
    <xdr:sp macro="" textlink="">
      <xdr:nvSpPr>
        <xdr:cNvPr id="15" name="Rectangle: Rounded Corners 14">
          <a:extLst>
            <a:ext uri="{FF2B5EF4-FFF2-40B4-BE49-F238E27FC236}">
              <a16:creationId xmlns:a16="http://schemas.microsoft.com/office/drawing/2014/main" id="{47803161-5940-4D42-9DD7-75F6EA95F512}"/>
            </a:ext>
          </a:extLst>
        </xdr:cNvPr>
        <xdr:cNvSpPr/>
      </xdr:nvSpPr>
      <xdr:spPr>
        <a:xfrm>
          <a:off x="9973073930" y="36428723"/>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493059</xdr:colOff>
      <xdr:row>203</xdr:row>
      <xdr:rowOff>16008</xdr:rowOff>
    </xdr:from>
    <xdr:to>
      <xdr:col>25</xdr:col>
      <xdr:colOff>573742</xdr:colOff>
      <xdr:row>203</xdr:row>
      <xdr:rowOff>280019</xdr:rowOff>
    </xdr:to>
    <xdr:sp macro="" textlink="">
      <xdr:nvSpPr>
        <xdr:cNvPr id="16" name="Rectangle: Rounded Corners 15">
          <a:extLst>
            <a:ext uri="{FF2B5EF4-FFF2-40B4-BE49-F238E27FC236}">
              <a16:creationId xmlns:a16="http://schemas.microsoft.com/office/drawing/2014/main" id="{C3C90562-989C-4E54-933C-8AC5EE302151}"/>
            </a:ext>
          </a:extLst>
        </xdr:cNvPr>
        <xdr:cNvSpPr/>
      </xdr:nvSpPr>
      <xdr:spPr>
        <a:xfrm>
          <a:off x="9973091858" y="41185779"/>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502023</xdr:colOff>
      <xdr:row>228</xdr:row>
      <xdr:rowOff>16008</xdr:rowOff>
    </xdr:from>
    <xdr:to>
      <xdr:col>25</xdr:col>
      <xdr:colOff>582706</xdr:colOff>
      <xdr:row>228</xdr:row>
      <xdr:rowOff>280019</xdr:rowOff>
    </xdr:to>
    <xdr:sp macro="" textlink="">
      <xdr:nvSpPr>
        <xdr:cNvPr id="17" name="Rectangle: Rounded Corners 16">
          <a:extLst>
            <a:ext uri="{FF2B5EF4-FFF2-40B4-BE49-F238E27FC236}">
              <a16:creationId xmlns:a16="http://schemas.microsoft.com/office/drawing/2014/main" id="{D9D4D3B3-9A41-4DCF-A32A-915E16C50C60}"/>
            </a:ext>
          </a:extLst>
        </xdr:cNvPr>
        <xdr:cNvSpPr/>
      </xdr:nvSpPr>
      <xdr:spPr>
        <a:xfrm>
          <a:off x="9973082894" y="45942837"/>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493059</xdr:colOff>
      <xdr:row>253</xdr:row>
      <xdr:rowOff>16008</xdr:rowOff>
    </xdr:from>
    <xdr:to>
      <xdr:col>25</xdr:col>
      <xdr:colOff>573742</xdr:colOff>
      <xdr:row>253</xdr:row>
      <xdr:rowOff>280019</xdr:rowOff>
    </xdr:to>
    <xdr:sp macro="" textlink="">
      <xdr:nvSpPr>
        <xdr:cNvPr id="18" name="Rectangle: Rounded Corners 17">
          <a:extLst>
            <a:ext uri="{FF2B5EF4-FFF2-40B4-BE49-F238E27FC236}">
              <a16:creationId xmlns:a16="http://schemas.microsoft.com/office/drawing/2014/main" id="{F3F82C4E-3CA3-4A4F-B144-ECFDD1A8AF8E}"/>
            </a:ext>
          </a:extLst>
        </xdr:cNvPr>
        <xdr:cNvSpPr/>
      </xdr:nvSpPr>
      <xdr:spPr>
        <a:xfrm>
          <a:off x="9973091858" y="50699894"/>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484094</xdr:colOff>
      <xdr:row>278</xdr:row>
      <xdr:rowOff>16008</xdr:rowOff>
    </xdr:from>
    <xdr:to>
      <xdr:col>25</xdr:col>
      <xdr:colOff>564777</xdr:colOff>
      <xdr:row>278</xdr:row>
      <xdr:rowOff>280019</xdr:rowOff>
    </xdr:to>
    <xdr:sp macro="" textlink="">
      <xdr:nvSpPr>
        <xdr:cNvPr id="19" name="Rectangle: Rounded Corners 18">
          <a:extLst>
            <a:ext uri="{FF2B5EF4-FFF2-40B4-BE49-F238E27FC236}">
              <a16:creationId xmlns:a16="http://schemas.microsoft.com/office/drawing/2014/main" id="{B35E4214-96D1-42B7-9D72-04CB2417F319}"/>
            </a:ext>
          </a:extLst>
        </xdr:cNvPr>
        <xdr:cNvSpPr/>
      </xdr:nvSpPr>
      <xdr:spPr>
        <a:xfrm>
          <a:off x="9973100823" y="55456951"/>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24</xdr:col>
      <xdr:colOff>493059</xdr:colOff>
      <xdr:row>303</xdr:row>
      <xdr:rowOff>16008</xdr:rowOff>
    </xdr:from>
    <xdr:to>
      <xdr:col>25</xdr:col>
      <xdr:colOff>573742</xdr:colOff>
      <xdr:row>303</xdr:row>
      <xdr:rowOff>280019</xdr:rowOff>
    </xdr:to>
    <xdr:sp macro="" textlink="">
      <xdr:nvSpPr>
        <xdr:cNvPr id="21" name="Rectangle: Rounded Corners 20">
          <a:extLst>
            <a:ext uri="{FF2B5EF4-FFF2-40B4-BE49-F238E27FC236}">
              <a16:creationId xmlns:a16="http://schemas.microsoft.com/office/drawing/2014/main" id="{5C588ED5-B724-41C0-A48F-A873D7016EFC}"/>
            </a:ext>
          </a:extLst>
        </xdr:cNvPr>
        <xdr:cNvSpPr/>
      </xdr:nvSpPr>
      <xdr:spPr>
        <a:xfrm>
          <a:off x="9973091858" y="60214008"/>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8</xdr:col>
      <xdr:colOff>569257</xdr:colOff>
      <xdr:row>131</xdr:row>
      <xdr:rowOff>1</xdr:rowOff>
    </xdr:from>
    <xdr:to>
      <xdr:col>18</xdr:col>
      <xdr:colOff>566057</xdr:colOff>
      <xdr:row>149</xdr:row>
      <xdr:rowOff>26894</xdr:rowOff>
    </xdr:to>
    <xdr:graphicFrame macro="">
      <xdr:nvGraphicFramePr>
        <xdr:cNvPr id="22" name="Chart 21">
          <a:extLst>
            <a:ext uri="{FF2B5EF4-FFF2-40B4-BE49-F238E27FC236}">
              <a16:creationId xmlns:a16="http://schemas.microsoft.com/office/drawing/2014/main" id="{5682DBD8-001E-4E53-A7EB-965B04C28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533399</xdr:colOff>
      <xdr:row>156</xdr:row>
      <xdr:rowOff>17929</xdr:rowOff>
    </xdr:from>
    <xdr:to>
      <xdr:col>18</xdr:col>
      <xdr:colOff>598714</xdr:colOff>
      <xdr:row>173</xdr:row>
      <xdr:rowOff>215152</xdr:rowOff>
    </xdr:to>
    <xdr:graphicFrame macro="">
      <xdr:nvGraphicFramePr>
        <xdr:cNvPr id="24" name="Chart 23">
          <a:extLst>
            <a:ext uri="{FF2B5EF4-FFF2-40B4-BE49-F238E27FC236}">
              <a16:creationId xmlns:a16="http://schemas.microsoft.com/office/drawing/2014/main" id="{4FEE6186-CBBC-4E5A-91BC-F1257D1BC1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470648</xdr:colOff>
      <xdr:row>181</xdr:row>
      <xdr:rowOff>8964</xdr:rowOff>
    </xdr:from>
    <xdr:to>
      <xdr:col>19</xdr:col>
      <xdr:colOff>1</xdr:colOff>
      <xdr:row>198</xdr:row>
      <xdr:rowOff>197222</xdr:rowOff>
    </xdr:to>
    <xdr:graphicFrame macro="">
      <xdr:nvGraphicFramePr>
        <xdr:cNvPr id="25" name="Chart 24">
          <a:extLst>
            <a:ext uri="{FF2B5EF4-FFF2-40B4-BE49-F238E27FC236}">
              <a16:creationId xmlns:a16="http://schemas.microsoft.com/office/drawing/2014/main" id="{F8F92909-3AFA-42CB-A9E7-8933EA2FFB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479611</xdr:colOff>
      <xdr:row>205</xdr:row>
      <xdr:rowOff>197224</xdr:rowOff>
    </xdr:from>
    <xdr:to>
      <xdr:col>18</xdr:col>
      <xdr:colOff>576943</xdr:colOff>
      <xdr:row>223</xdr:row>
      <xdr:rowOff>206189</xdr:rowOff>
    </xdr:to>
    <xdr:graphicFrame macro="">
      <xdr:nvGraphicFramePr>
        <xdr:cNvPr id="26" name="Chart 25">
          <a:extLst>
            <a:ext uri="{FF2B5EF4-FFF2-40B4-BE49-F238E27FC236}">
              <a16:creationId xmlns:a16="http://schemas.microsoft.com/office/drawing/2014/main" id="{903E7164-8C23-4BF9-8956-C8B4EA753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443752</xdr:colOff>
      <xdr:row>230</xdr:row>
      <xdr:rowOff>161365</xdr:rowOff>
    </xdr:from>
    <xdr:to>
      <xdr:col>19</xdr:col>
      <xdr:colOff>21771</xdr:colOff>
      <xdr:row>249</xdr:row>
      <xdr:rowOff>26894</xdr:rowOff>
    </xdr:to>
    <xdr:graphicFrame macro="">
      <xdr:nvGraphicFramePr>
        <xdr:cNvPr id="27" name="Chart 26">
          <a:extLst>
            <a:ext uri="{FF2B5EF4-FFF2-40B4-BE49-F238E27FC236}">
              <a16:creationId xmlns:a16="http://schemas.microsoft.com/office/drawing/2014/main" id="{37D15540-F5B7-4CE2-AD8D-15C2366C36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470647</xdr:colOff>
      <xdr:row>255</xdr:row>
      <xdr:rowOff>197224</xdr:rowOff>
    </xdr:from>
    <xdr:to>
      <xdr:col>19</xdr:col>
      <xdr:colOff>21771</xdr:colOff>
      <xdr:row>274</xdr:row>
      <xdr:rowOff>8965</xdr:rowOff>
    </xdr:to>
    <xdr:graphicFrame macro="">
      <xdr:nvGraphicFramePr>
        <xdr:cNvPr id="28" name="Chart 27">
          <a:extLst>
            <a:ext uri="{FF2B5EF4-FFF2-40B4-BE49-F238E27FC236}">
              <a16:creationId xmlns:a16="http://schemas.microsoft.com/office/drawing/2014/main" id="{E93470C9-D94B-4D5B-87B8-DDA1D58F6C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434787</xdr:colOff>
      <xdr:row>280</xdr:row>
      <xdr:rowOff>188259</xdr:rowOff>
    </xdr:from>
    <xdr:to>
      <xdr:col>19</xdr:col>
      <xdr:colOff>32657</xdr:colOff>
      <xdr:row>299</xdr:row>
      <xdr:rowOff>8965</xdr:rowOff>
    </xdr:to>
    <xdr:graphicFrame macro="">
      <xdr:nvGraphicFramePr>
        <xdr:cNvPr id="29" name="Chart 28">
          <a:extLst>
            <a:ext uri="{FF2B5EF4-FFF2-40B4-BE49-F238E27FC236}">
              <a16:creationId xmlns:a16="http://schemas.microsoft.com/office/drawing/2014/main" id="{8193D1CA-0343-4AA1-96F3-C0889E4675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8</xdr:col>
      <xdr:colOff>416859</xdr:colOff>
      <xdr:row>305</xdr:row>
      <xdr:rowOff>197223</xdr:rowOff>
    </xdr:from>
    <xdr:to>
      <xdr:col>19</xdr:col>
      <xdr:colOff>43544</xdr:colOff>
      <xdr:row>324</xdr:row>
      <xdr:rowOff>26893</xdr:rowOff>
    </xdr:to>
    <xdr:graphicFrame macro="">
      <xdr:nvGraphicFramePr>
        <xdr:cNvPr id="31" name="Chart 30">
          <a:extLst>
            <a:ext uri="{FF2B5EF4-FFF2-40B4-BE49-F238E27FC236}">
              <a16:creationId xmlns:a16="http://schemas.microsoft.com/office/drawing/2014/main" id="{1798B5A6-5882-4077-9F78-5DA41E926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24</xdr:col>
      <xdr:colOff>493059</xdr:colOff>
      <xdr:row>328</xdr:row>
      <xdr:rowOff>16008</xdr:rowOff>
    </xdr:from>
    <xdr:to>
      <xdr:col>25</xdr:col>
      <xdr:colOff>573742</xdr:colOff>
      <xdr:row>328</xdr:row>
      <xdr:rowOff>280019</xdr:rowOff>
    </xdr:to>
    <xdr:sp macro="" textlink="">
      <xdr:nvSpPr>
        <xdr:cNvPr id="32" name="Rectangle: Rounded Corners 31">
          <a:extLst>
            <a:ext uri="{FF2B5EF4-FFF2-40B4-BE49-F238E27FC236}">
              <a16:creationId xmlns:a16="http://schemas.microsoft.com/office/drawing/2014/main" id="{386CE6FD-6686-473F-8D68-AFC449BE3729}"/>
            </a:ext>
          </a:extLst>
        </xdr:cNvPr>
        <xdr:cNvSpPr/>
      </xdr:nvSpPr>
      <xdr:spPr>
        <a:xfrm>
          <a:off x="9973091858" y="64971065"/>
          <a:ext cx="690283" cy="26401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178654</xdr:colOff>
      <xdr:row>350</xdr:row>
      <xdr:rowOff>98611</xdr:rowOff>
    </xdr:from>
    <xdr:to>
      <xdr:col>4</xdr:col>
      <xdr:colOff>1261462</xdr:colOff>
      <xdr:row>363</xdr:row>
      <xdr:rowOff>161364</xdr:rowOff>
    </xdr:to>
    <mc:AlternateContent xmlns:mc="http://schemas.openxmlformats.org/markup-compatibility/2006">
      <mc:Choice xmlns:cx1="http://schemas.microsoft.com/office/drawing/2015/9/8/chartex" Requires="cx1">
        <xdr:graphicFrame macro="">
          <xdr:nvGraphicFramePr>
            <xdr:cNvPr id="10" name="Chart 9">
              <a:extLst>
                <a:ext uri="{FF2B5EF4-FFF2-40B4-BE49-F238E27FC236}">
                  <a16:creationId xmlns:a16="http://schemas.microsoft.com/office/drawing/2014/main" id="{A1001669-ABB0-4785-916B-AFB4A463C11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1109651038" y="76443391"/>
              <a:ext cx="5029968" cy="2737373"/>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1400415</xdr:colOff>
      <xdr:row>350</xdr:row>
      <xdr:rowOff>104374</xdr:rowOff>
    </xdr:from>
    <xdr:to>
      <xdr:col>10</xdr:col>
      <xdr:colOff>83243</xdr:colOff>
      <xdr:row>363</xdr:row>
      <xdr:rowOff>167127</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2538E370-3FD6-4E93-87D1-978EC04D388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1104436077" y="76449154"/>
              <a:ext cx="5076008" cy="2737373"/>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208108</xdr:colOff>
      <xdr:row>350</xdr:row>
      <xdr:rowOff>115258</xdr:rowOff>
    </xdr:from>
    <xdr:to>
      <xdr:col>17</xdr:col>
      <xdr:colOff>512908</xdr:colOff>
      <xdr:row>363</xdr:row>
      <xdr:rowOff>178011</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EB18D482-189D-4500-8108-715ED4CE40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099259152" y="76460038"/>
              <a:ext cx="5052060" cy="2737373"/>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599354</xdr:colOff>
      <xdr:row>350</xdr:row>
      <xdr:rowOff>122946</xdr:rowOff>
    </xdr:from>
    <xdr:to>
      <xdr:col>25</xdr:col>
      <xdr:colOff>335535</xdr:colOff>
      <xdr:row>363</xdr:row>
      <xdr:rowOff>185699</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AB16250D-5097-4F04-83A7-6566A321026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094011085" y="76467726"/>
              <a:ext cx="5161621" cy="2737373"/>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216434</xdr:colOff>
      <xdr:row>364</xdr:row>
      <xdr:rowOff>164567</xdr:rowOff>
    </xdr:from>
    <xdr:to>
      <xdr:col>4</xdr:col>
      <xdr:colOff>1219200</xdr:colOff>
      <xdr:row>378</xdr:row>
      <xdr:rowOff>20491</xdr:rowOff>
    </xdr:to>
    <mc:AlternateContent xmlns:mc="http://schemas.openxmlformats.org/markup-compatibility/2006">
      <mc:Choice xmlns:cx1="http://schemas.microsoft.com/office/drawing/2015/9/8/chartex" Requires="cx1">
        <xdr:graphicFrame macro="">
          <xdr:nvGraphicFramePr>
            <xdr:cNvPr id="35" name="Chart 34">
              <a:extLst>
                <a:ext uri="{FF2B5EF4-FFF2-40B4-BE49-F238E27FC236}">
                  <a16:creationId xmlns:a16="http://schemas.microsoft.com/office/drawing/2014/main" id="{41D0308E-B52A-4856-A273-80ED2A2BE2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1109693300" y="79389707"/>
              <a:ext cx="4949926" cy="273628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1376722</xdr:colOff>
      <xdr:row>364</xdr:row>
      <xdr:rowOff>175453</xdr:rowOff>
    </xdr:from>
    <xdr:to>
      <xdr:col>10</xdr:col>
      <xdr:colOff>76200</xdr:colOff>
      <xdr:row>378</xdr:row>
      <xdr:rowOff>31377</xdr:rowOff>
    </xdr:to>
    <mc:AlternateContent xmlns:mc="http://schemas.openxmlformats.org/markup-compatibility/2006">
      <mc:Choice xmlns:cx1="http://schemas.microsoft.com/office/drawing/2015/9/8/chartex" Requires="cx1">
        <xdr:graphicFrame macro="">
          <xdr:nvGraphicFramePr>
            <xdr:cNvPr id="38" name="Chart 37">
              <a:extLst>
                <a:ext uri="{FF2B5EF4-FFF2-40B4-BE49-F238E27FC236}">
                  <a16:creationId xmlns:a16="http://schemas.microsoft.com/office/drawing/2014/main" id="{E561E38F-6160-492B-A788-AFBCF72C2BA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1104443120" y="79400593"/>
              <a:ext cx="5092658" cy="273628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190181</xdr:colOff>
      <xdr:row>364</xdr:row>
      <xdr:rowOff>177373</xdr:rowOff>
    </xdr:from>
    <xdr:to>
      <xdr:col>17</xdr:col>
      <xdr:colOff>494981</xdr:colOff>
      <xdr:row>378</xdr:row>
      <xdr:rowOff>33298</xdr:rowOff>
    </xdr:to>
    <mc:AlternateContent xmlns:mc="http://schemas.openxmlformats.org/markup-compatibility/2006">
      <mc:Choice xmlns:cx1="http://schemas.microsoft.com/office/drawing/2015/9/8/chartex" Requires="cx1">
        <xdr:graphicFrame macro="">
          <xdr:nvGraphicFramePr>
            <xdr:cNvPr id="39" name="Chart 38">
              <a:extLst>
                <a:ext uri="{FF2B5EF4-FFF2-40B4-BE49-F238E27FC236}">
                  <a16:creationId xmlns:a16="http://schemas.microsoft.com/office/drawing/2014/main" id="{FC59D2FB-7874-444E-864D-9C9C46ED19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1099277079" y="79402513"/>
              <a:ext cx="5052060" cy="273628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586548</xdr:colOff>
      <xdr:row>364</xdr:row>
      <xdr:rowOff>204908</xdr:rowOff>
    </xdr:from>
    <xdr:to>
      <xdr:col>25</xdr:col>
      <xdr:colOff>322730</xdr:colOff>
      <xdr:row>378</xdr:row>
      <xdr:rowOff>60833</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B899C354-5D6E-4603-A0D8-6548C559D8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1094023890" y="79430048"/>
              <a:ext cx="5161622" cy="273628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210672</xdr:colOff>
      <xdr:row>378</xdr:row>
      <xdr:rowOff>192100</xdr:rowOff>
    </xdr:from>
    <xdr:to>
      <xdr:col>4</xdr:col>
      <xdr:colOff>1208315</xdr:colOff>
      <xdr:row>392</xdr:row>
      <xdr:rowOff>48025</xdr:rowOff>
    </xdr:to>
    <mc:AlternateContent xmlns:mc="http://schemas.openxmlformats.org/markup-compatibility/2006">
      <mc:Choice xmlns:cx1="http://schemas.microsoft.com/office/drawing/2015/9/8/chartex" Requires="cx1">
        <xdr:graphicFrame macro="">
          <xdr:nvGraphicFramePr>
            <xdr:cNvPr id="41" name="Chart 40">
              <a:extLst>
                <a:ext uri="{FF2B5EF4-FFF2-40B4-BE49-F238E27FC236}">
                  <a16:creationId xmlns:a16="http://schemas.microsoft.com/office/drawing/2014/main" id="{AEC22F29-2B53-4D3D-8D1E-4DA43D24E9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1109704185" y="82297600"/>
              <a:ext cx="4944803" cy="273628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1378645</xdr:colOff>
      <xdr:row>379</xdr:row>
      <xdr:rowOff>12166</xdr:rowOff>
    </xdr:from>
    <xdr:to>
      <xdr:col>10</xdr:col>
      <xdr:colOff>43544</xdr:colOff>
      <xdr:row>392</xdr:row>
      <xdr:rowOff>75560</xdr:rowOff>
    </xdr:to>
    <mc:AlternateContent xmlns:mc="http://schemas.openxmlformats.org/markup-compatibility/2006">
      <mc:Choice xmlns:cx1="http://schemas.microsoft.com/office/drawing/2015/9/8/chartex" Requires="cx1">
        <xdr:graphicFrame macro="">
          <xdr:nvGraphicFramePr>
            <xdr:cNvPr id="42" name="Chart 41">
              <a:extLst>
                <a:ext uri="{FF2B5EF4-FFF2-40B4-BE49-F238E27FC236}">
                  <a16:creationId xmlns:a16="http://schemas.microsoft.com/office/drawing/2014/main" id="{9B60C043-56D4-42DA-AE9D-5F910279C97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3"/>
            </a:graphicData>
          </a:graphic>
        </xdr:graphicFrame>
      </mc:Choice>
      <mc:Fallback>
        <xdr:sp macro="" textlink="">
          <xdr:nvSpPr>
            <xdr:cNvPr id="0" name=""/>
            <xdr:cNvSpPr>
              <a:spLocks noTextEdit="1"/>
            </xdr:cNvSpPr>
          </xdr:nvSpPr>
          <xdr:spPr>
            <a:xfrm>
              <a:off x="11104475776" y="82323406"/>
              <a:ext cx="5058079" cy="273801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228601</xdr:colOff>
      <xdr:row>393</xdr:row>
      <xdr:rowOff>124864</xdr:rowOff>
    </xdr:from>
    <xdr:to>
      <xdr:col>4</xdr:col>
      <xdr:colOff>1215360</xdr:colOff>
      <xdr:row>406</xdr:row>
      <xdr:rowOff>188259</xdr:rowOff>
    </xdr:to>
    <mc:AlternateContent xmlns:mc="http://schemas.openxmlformats.org/markup-compatibility/2006">
      <mc:Choice xmlns:cx1="http://schemas.microsoft.com/office/drawing/2015/9/8/chartex" Requires="cx1">
        <xdr:graphicFrame macro="">
          <xdr:nvGraphicFramePr>
            <xdr:cNvPr id="44" name="Chart 43">
              <a:extLst>
                <a:ext uri="{FF2B5EF4-FFF2-40B4-BE49-F238E27FC236}">
                  <a16:creationId xmlns:a16="http://schemas.microsoft.com/office/drawing/2014/main" id="{A9794048-6F8B-401F-966D-E26382C14F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11109697140" y="85316464"/>
              <a:ext cx="4933919" cy="273801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1413862</xdr:colOff>
      <xdr:row>393</xdr:row>
      <xdr:rowOff>142793</xdr:rowOff>
    </xdr:from>
    <xdr:to>
      <xdr:col>10</xdr:col>
      <xdr:colOff>43543</xdr:colOff>
      <xdr:row>406</xdr:row>
      <xdr:rowOff>206188</xdr:rowOff>
    </xdr:to>
    <mc:AlternateContent xmlns:mc="http://schemas.openxmlformats.org/markup-compatibility/2006">
      <mc:Choice xmlns:cx1="http://schemas.microsoft.com/office/drawing/2015/9/8/chartex" Requires="cx1">
        <xdr:graphicFrame macro="">
          <xdr:nvGraphicFramePr>
            <xdr:cNvPr id="45" name="Chart 44">
              <a:extLst>
                <a:ext uri="{FF2B5EF4-FFF2-40B4-BE49-F238E27FC236}">
                  <a16:creationId xmlns:a16="http://schemas.microsoft.com/office/drawing/2014/main" id="{779154B6-7563-471C-A352-5A74292C8F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5"/>
            </a:graphicData>
          </a:graphic>
        </xdr:graphicFrame>
      </mc:Choice>
      <mc:Fallback>
        <xdr:sp macro="" textlink="">
          <xdr:nvSpPr>
            <xdr:cNvPr id="0" name=""/>
            <xdr:cNvSpPr>
              <a:spLocks noTextEdit="1"/>
            </xdr:cNvSpPr>
          </xdr:nvSpPr>
          <xdr:spPr>
            <a:xfrm>
              <a:off x="11104475777" y="85334393"/>
              <a:ext cx="5022861" cy="273801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493059</xdr:colOff>
      <xdr:row>410</xdr:row>
      <xdr:rowOff>26894</xdr:rowOff>
    </xdr:from>
    <xdr:to>
      <xdr:col>23</xdr:col>
      <xdr:colOff>573742</xdr:colOff>
      <xdr:row>410</xdr:row>
      <xdr:rowOff>313765</xdr:rowOff>
    </xdr:to>
    <xdr:sp macro="" textlink="">
      <xdr:nvSpPr>
        <xdr:cNvPr id="46" name="Rectangle: Rounded Corners 45">
          <a:extLst>
            <a:ext uri="{FF2B5EF4-FFF2-40B4-BE49-F238E27FC236}">
              <a16:creationId xmlns:a16="http://schemas.microsoft.com/office/drawing/2014/main" id="{79D24B61-09C8-4269-9A79-13EFD1A22BFD}"/>
            </a:ext>
          </a:extLst>
        </xdr:cNvPr>
        <xdr:cNvSpPr/>
      </xdr:nvSpPr>
      <xdr:spPr>
        <a:xfrm>
          <a:off x="9974920658" y="73671953"/>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19</xdr:col>
      <xdr:colOff>163285</xdr:colOff>
      <xdr:row>131</xdr:row>
      <xdr:rowOff>21772</xdr:rowOff>
    </xdr:from>
    <xdr:to>
      <xdr:col>25</xdr:col>
      <xdr:colOff>261257</xdr:colOff>
      <xdr:row>149</xdr:row>
      <xdr:rowOff>10886</xdr:rowOff>
    </xdr:to>
    <xdr:graphicFrame macro="">
      <xdr:nvGraphicFramePr>
        <xdr:cNvPr id="3" name="Chart 2">
          <a:extLst>
            <a:ext uri="{FF2B5EF4-FFF2-40B4-BE49-F238E27FC236}">
              <a16:creationId xmlns:a16="http://schemas.microsoft.com/office/drawing/2014/main" id="{214124BF-BCE2-4DB6-BC81-B5ECC648CE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19</xdr:col>
      <xdr:colOff>195942</xdr:colOff>
      <xdr:row>156</xdr:row>
      <xdr:rowOff>10886</xdr:rowOff>
    </xdr:from>
    <xdr:to>
      <xdr:col>25</xdr:col>
      <xdr:colOff>293914</xdr:colOff>
      <xdr:row>174</xdr:row>
      <xdr:rowOff>0</xdr:rowOff>
    </xdr:to>
    <xdr:graphicFrame macro="">
      <xdr:nvGraphicFramePr>
        <xdr:cNvPr id="52" name="Chart 51">
          <a:extLst>
            <a:ext uri="{FF2B5EF4-FFF2-40B4-BE49-F238E27FC236}">
              <a16:creationId xmlns:a16="http://schemas.microsoft.com/office/drawing/2014/main" id="{F50EA084-D8FE-4507-BC3C-D8C9905F8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19</xdr:col>
      <xdr:colOff>261257</xdr:colOff>
      <xdr:row>181</xdr:row>
      <xdr:rowOff>32657</xdr:rowOff>
    </xdr:from>
    <xdr:to>
      <xdr:col>25</xdr:col>
      <xdr:colOff>359229</xdr:colOff>
      <xdr:row>199</xdr:row>
      <xdr:rowOff>21771</xdr:rowOff>
    </xdr:to>
    <xdr:graphicFrame macro="">
      <xdr:nvGraphicFramePr>
        <xdr:cNvPr id="53" name="Chart 52">
          <a:extLst>
            <a:ext uri="{FF2B5EF4-FFF2-40B4-BE49-F238E27FC236}">
              <a16:creationId xmlns:a16="http://schemas.microsoft.com/office/drawing/2014/main" id="{245AB75B-429B-467F-96A2-72B8532214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19</xdr:col>
      <xdr:colOff>217714</xdr:colOff>
      <xdr:row>206</xdr:row>
      <xdr:rowOff>10886</xdr:rowOff>
    </xdr:from>
    <xdr:to>
      <xdr:col>25</xdr:col>
      <xdr:colOff>315686</xdr:colOff>
      <xdr:row>224</xdr:row>
      <xdr:rowOff>0</xdr:rowOff>
    </xdr:to>
    <xdr:graphicFrame macro="">
      <xdr:nvGraphicFramePr>
        <xdr:cNvPr id="54" name="Chart 53">
          <a:extLst>
            <a:ext uri="{FF2B5EF4-FFF2-40B4-BE49-F238E27FC236}">
              <a16:creationId xmlns:a16="http://schemas.microsoft.com/office/drawing/2014/main" id="{D2FC6E2B-C377-4E31-A23A-1CCBD9744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19</xdr:col>
      <xdr:colOff>239486</xdr:colOff>
      <xdr:row>230</xdr:row>
      <xdr:rowOff>174172</xdr:rowOff>
    </xdr:from>
    <xdr:to>
      <xdr:col>25</xdr:col>
      <xdr:colOff>337458</xdr:colOff>
      <xdr:row>248</xdr:row>
      <xdr:rowOff>174172</xdr:rowOff>
    </xdr:to>
    <xdr:graphicFrame macro="">
      <xdr:nvGraphicFramePr>
        <xdr:cNvPr id="55" name="Chart 54">
          <a:extLst>
            <a:ext uri="{FF2B5EF4-FFF2-40B4-BE49-F238E27FC236}">
              <a16:creationId xmlns:a16="http://schemas.microsoft.com/office/drawing/2014/main" id="{BB696893-88A2-4E32-8331-FF264D3CAE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19</xdr:col>
      <xdr:colOff>235527</xdr:colOff>
      <xdr:row>256</xdr:row>
      <xdr:rowOff>13854</xdr:rowOff>
    </xdr:from>
    <xdr:to>
      <xdr:col>25</xdr:col>
      <xdr:colOff>333499</xdr:colOff>
      <xdr:row>274</xdr:row>
      <xdr:rowOff>13853</xdr:rowOff>
    </xdr:to>
    <xdr:graphicFrame macro="">
      <xdr:nvGraphicFramePr>
        <xdr:cNvPr id="56" name="Chart 55">
          <a:extLst>
            <a:ext uri="{FF2B5EF4-FFF2-40B4-BE49-F238E27FC236}">
              <a16:creationId xmlns:a16="http://schemas.microsoft.com/office/drawing/2014/main" id="{215D94D7-8424-4D6E-9FD9-497D5C704F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221673</xdr:colOff>
      <xdr:row>281</xdr:row>
      <xdr:rowOff>27710</xdr:rowOff>
    </xdr:from>
    <xdr:to>
      <xdr:col>25</xdr:col>
      <xdr:colOff>319645</xdr:colOff>
      <xdr:row>299</xdr:row>
      <xdr:rowOff>27709</xdr:rowOff>
    </xdr:to>
    <xdr:graphicFrame macro="">
      <xdr:nvGraphicFramePr>
        <xdr:cNvPr id="57" name="Chart 56">
          <a:extLst>
            <a:ext uri="{FF2B5EF4-FFF2-40B4-BE49-F238E27FC236}">
              <a16:creationId xmlns:a16="http://schemas.microsoft.com/office/drawing/2014/main" id="{B60976AA-4EAA-408C-AAD4-DE9F12F16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19</xdr:col>
      <xdr:colOff>193964</xdr:colOff>
      <xdr:row>306</xdr:row>
      <xdr:rowOff>13855</xdr:rowOff>
    </xdr:from>
    <xdr:to>
      <xdr:col>25</xdr:col>
      <xdr:colOff>291936</xdr:colOff>
      <xdr:row>324</xdr:row>
      <xdr:rowOff>13854</xdr:rowOff>
    </xdr:to>
    <xdr:graphicFrame macro="">
      <xdr:nvGraphicFramePr>
        <xdr:cNvPr id="59" name="Chart 58">
          <a:extLst>
            <a:ext uri="{FF2B5EF4-FFF2-40B4-BE49-F238E27FC236}">
              <a16:creationId xmlns:a16="http://schemas.microsoft.com/office/drawing/2014/main" id="{438E7312-CECB-4C57-974E-C3CE2B45AC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10</xdr:col>
      <xdr:colOff>195942</xdr:colOff>
      <xdr:row>379</xdr:row>
      <xdr:rowOff>21771</xdr:rowOff>
    </xdr:from>
    <xdr:to>
      <xdr:col>17</xdr:col>
      <xdr:colOff>489856</xdr:colOff>
      <xdr:row>392</xdr:row>
      <xdr:rowOff>85165</xdr:rowOff>
    </xdr:to>
    <mc:AlternateContent xmlns:mc="http://schemas.openxmlformats.org/markup-compatibility/2006">
      <mc:Choice xmlns:cx1="http://schemas.microsoft.com/office/drawing/2015/9/8/chartex" Requires="cx1">
        <xdr:graphicFrame macro="">
          <xdr:nvGraphicFramePr>
            <xdr:cNvPr id="65" name="Chart 64">
              <a:extLst>
                <a:ext uri="{FF2B5EF4-FFF2-40B4-BE49-F238E27FC236}">
                  <a16:creationId xmlns:a16="http://schemas.microsoft.com/office/drawing/2014/main" id="{09313B62-11D7-4D08-89B8-F7DD1B896B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4"/>
            </a:graphicData>
          </a:graphic>
        </xdr:graphicFrame>
      </mc:Choice>
      <mc:Fallback>
        <xdr:sp macro="" textlink="">
          <xdr:nvSpPr>
            <xdr:cNvPr id="0" name=""/>
            <xdr:cNvSpPr>
              <a:spLocks noTextEdit="1"/>
            </xdr:cNvSpPr>
          </xdr:nvSpPr>
          <xdr:spPr>
            <a:xfrm>
              <a:off x="11099282204" y="82333011"/>
              <a:ext cx="5041174" cy="273801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21772</xdr:colOff>
      <xdr:row>379</xdr:row>
      <xdr:rowOff>21771</xdr:rowOff>
    </xdr:from>
    <xdr:to>
      <xdr:col>25</xdr:col>
      <xdr:colOff>315686</xdr:colOff>
      <xdr:row>392</xdr:row>
      <xdr:rowOff>85165</xdr:rowOff>
    </xdr:to>
    <mc:AlternateContent xmlns:mc="http://schemas.openxmlformats.org/markup-compatibility/2006">
      <mc:Choice xmlns:cx1="http://schemas.microsoft.com/office/drawing/2015/9/8/chartex" Requires="cx1">
        <xdr:graphicFrame macro="">
          <xdr:nvGraphicFramePr>
            <xdr:cNvPr id="66" name="Chart 65">
              <a:extLst>
                <a:ext uri="{FF2B5EF4-FFF2-40B4-BE49-F238E27FC236}">
                  <a16:creationId xmlns:a16="http://schemas.microsoft.com/office/drawing/2014/main" id="{315E8BA4-3BCF-429D-94E5-4E1440D022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5"/>
            </a:graphicData>
          </a:graphic>
        </xdr:graphicFrame>
      </mc:Choice>
      <mc:Fallback>
        <xdr:sp macro="" textlink="">
          <xdr:nvSpPr>
            <xdr:cNvPr id="0" name=""/>
            <xdr:cNvSpPr>
              <a:spLocks noTextEdit="1"/>
            </xdr:cNvSpPr>
          </xdr:nvSpPr>
          <xdr:spPr>
            <a:xfrm>
              <a:off x="11094030934" y="82333011"/>
              <a:ext cx="5041174" cy="273801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10885</xdr:colOff>
      <xdr:row>393</xdr:row>
      <xdr:rowOff>87085</xdr:rowOff>
    </xdr:from>
    <xdr:to>
      <xdr:col>25</xdr:col>
      <xdr:colOff>338738</xdr:colOff>
      <xdr:row>406</xdr:row>
      <xdr:rowOff>150480</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E3E0C039-85D9-4715-BD76-2EA4456BF5E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6"/>
            </a:graphicData>
          </a:graphic>
        </xdr:graphicFrame>
      </mc:Choice>
      <mc:Fallback>
        <xdr:sp macro="" textlink="">
          <xdr:nvSpPr>
            <xdr:cNvPr id="0" name=""/>
            <xdr:cNvSpPr>
              <a:spLocks noTextEdit="1"/>
            </xdr:cNvSpPr>
          </xdr:nvSpPr>
          <xdr:spPr>
            <a:xfrm>
              <a:off x="11094007882" y="85278685"/>
              <a:ext cx="5075113" cy="273801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1</xdr:col>
      <xdr:colOff>0</xdr:colOff>
      <xdr:row>1</xdr:row>
      <xdr:rowOff>0</xdr:rowOff>
    </xdr:from>
    <xdr:to>
      <xdr:col>1</xdr:col>
      <xdr:colOff>1547437</xdr:colOff>
      <xdr:row>3</xdr:row>
      <xdr:rowOff>62329</xdr:rowOff>
    </xdr:to>
    <xdr:sp macro="" textlink="">
      <xdr:nvSpPr>
        <xdr:cNvPr id="68" name="Rectangle: Rounded Corners 67">
          <a:extLst>
            <a:ext uri="{FF2B5EF4-FFF2-40B4-BE49-F238E27FC236}">
              <a16:creationId xmlns:a16="http://schemas.microsoft.com/office/drawing/2014/main" id="{6EDE9671-DF47-4E3F-B96B-3C44694B61BB}"/>
            </a:ext>
          </a:extLst>
        </xdr:cNvPr>
        <xdr:cNvSpPr/>
      </xdr:nvSpPr>
      <xdr:spPr>
        <a:xfrm>
          <a:off x="9988623746" y="20540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1</xdr:col>
      <xdr:colOff>1548557</xdr:colOff>
      <xdr:row>1</xdr:row>
      <xdr:rowOff>0</xdr:rowOff>
    </xdr:from>
    <xdr:to>
      <xdr:col>4</xdr:col>
      <xdr:colOff>263646</xdr:colOff>
      <xdr:row>3</xdr:row>
      <xdr:rowOff>62329</xdr:rowOff>
    </xdr:to>
    <xdr:sp macro="" textlink="">
      <xdr:nvSpPr>
        <xdr:cNvPr id="69" name="Rectangle: Rounded Corners 68">
          <a:extLst>
            <a:ext uri="{FF2B5EF4-FFF2-40B4-BE49-F238E27FC236}">
              <a16:creationId xmlns:a16="http://schemas.microsoft.com/office/drawing/2014/main" id="{B02CD1B5-E4D9-4845-980E-2D2BDF529A5E}"/>
            </a:ext>
          </a:extLst>
        </xdr:cNvPr>
        <xdr:cNvSpPr/>
      </xdr:nvSpPr>
      <xdr:spPr>
        <a:xfrm>
          <a:off x="9987064945" y="20540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1828026</xdr:colOff>
      <xdr:row>1</xdr:row>
      <xdr:rowOff>0</xdr:rowOff>
    </xdr:from>
    <xdr:to>
      <xdr:col>6</xdr:col>
      <xdr:colOff>655588</xdr:colOff>
      <xdr:row>3</xdr:row>
      <xdr:rowOff>62329</xdr:rowOff>
    </xdr:to>
    <xdr:sp macro="" textlink="">
      <xdr:nvSpPr>
        <xdr:cNvPr id="70" name="Rectangle: Rounded Corners 69">
          <a:extLst>
            <a:ext uri="{FF2B5EF4-FFF2-40B4-BE49-F238E27FC236}">
              <a16:creationId xmlns:a16="http://schemas.microsoft.com/office/drawing/2014/main" id="{EFB68A28-FE97-4594-9226-1A1CC79A263E}"/>
            </a:ext>
          </a:extLst>
        </xdr:cNvPr>
        <xdr:cNvSpPr/>
      </xdr:nvSpPr>
      <xdr:spPr>
        <a:xfrm>
          <a:off x="9983943055" y="20540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8</xdr:col>
      <xdr:colOff>469810</xdr:colOff>
      <xdr:row>1</xdr:row>
      <xdr:rowOff>0</xdr:rowOff>
    </xdr:from>
    <xdr:to>
      <xdr:col>11</xdr:col>
      <xdr:colOff>139920</xdr:colOff>
      <xdr:row>3</xdr:row>
      <xdr:rowOff>62329</xdr:rowOff>
    </xdr:to>
    <xdr:sp macro="" textlink="">
      <xdr:nvSpPr>
        <xdr:cNvPr id="71" name="Rectangle: Rounded Corners 70">
          <a:extLst>
            <a:ext uri="{FF2B5EF4-FFF2-40B4-BE49-F238E27FC236}">
              <a16:creationId xmlns:a16="http://schemas.microsoft.com/office/drawing/2014/main" id="{E6AD966F-3D17-40C2-B68F-085AADB85869}"/>
            </a:ext>
          </a:extLst>
        </xdr:cNvPr>
        <xdr:cNvSpPr/>
      </xdr:nvSpPr>
      <xdr:spPr>
        <a:xfrm>
          <a:off x="9980840880" y="20540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653923</xdr:colOff>
      <xdr:row>1</xdr:row>
      <xdr:rowOff>0</xdr:rowOff>
    </xdr:from>
    <xdr:to>
      <xdr:col>8</xdr:col>
      <xdr:colOff>471226</xdr:colOff>
      <xdr:row>3</xdr:row>
      <xdr:rowOff>62329</xdr:rowOff>
    </xdr:to>
    <xdr:sp macro="" textlink="">
      <xdr:nvSpPr>
        <xdr:cNvPr id="72" name="Rectangle: Rounded Corners 71">
          <a:extLst>
            <a:ext uri="{FF2B5EF4-FFF2-40B4-BE49-F238E27FC236}">
              <a16:creationId xmlns:a16="http://schemas.microsoft.com/office/drawing/2014/main" id="{94AEADFC-A781-4797-95E2-6AF6CB540528}"/>
            </a:ext>
          </a:extLst>
        </xdr:cNvPr>
        <xdr:cNvSpPr/>
      </xdr:nvSpPr>
      <xdr:spPr>
        <a:xfrm>
          <a:off x="9982391383" y="20540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4</xdr:col>
      <xdr:colOff>265915</xdr:colOff>
      <xdr:row>1</xdr:row>
      <xdr:rowOff>0</xdr:rowOff>
    </xdr:from>
    <xdr:to>
      <xdr:col>4</xdr:col>
      <xdr:colOff>1822957</xdr:colOff>
      <xdr:row>3</xdr:row>
      <xdr:rowOff>62329</xdr:rowOff>
    </xdr:to>
    <xdr:sp macro="" textlink="">
      <xdr:nvSpPr>
        <xdr:cNvPr id="73" name="Rectangle: Rounded Corners 72">
          <a:extLst>
            <a:ext uri="{FF2B5EF4-FFF2-40B4-BE49-F238E27FC236}">
              <a16:creationId xmlns:a16="http://schemas.microsoft.com/office/drawing/2014/main" id="{BE3A6A54-B5D8-4D42-81B2-1BBA98E4EE79}"/>
            </a:ext>
          </a:extLst>
        </xdr:cNvPr>
        <xdr:cNvSpPr/>
      </xdr:nvSpPr>
      <xdr:spPr>
        <a:xfrm>
          <a:off x="9985505634" y="20540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11</xdr:col>
      <xdr:colOff>135188</xdr:colOff>
      <xdr:row>1</xdr:row>
      <xdr:rowOff>0</xdr:rowOff>
    </xdr:from>
    <xdr:to>
      <xdr:col>13</xdr:col>
      <xdr:colOff>476297</xdr:colOff>
      <xdr:row>3</xdr:row>
      <xdr:rowOff>62329</xdr:rowOff>
    </xdr:to>
    <xdr:sp macro="" textlink="">
      <xdr:nvSpPr>
        <xdr:cNvPr id="74" name="Rectangle: Rounded Corners 73">
          <a:extLst>
            <a:ext uri="{FF2B5EF4-FFF2-40B4-BE49-F238E27FC236}">
              <a16:creationId xmlns:a16="http://schemas.microsoft.com/office/drawing/2014/main" id="{26D9B458-BD76-42AF-B1BA-94F2F9E16536}"/>
            </a:ext>
          </a:extLst>
        </xdr:cNvPr>
        <xdr:cNvSpPr/>
      </xdr:nvSpPr>
      <xdr:spPr>
        <a:xfrm>
          <a:off x="9979285303" y="20540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13</xdr:col>
      <xdr:colOff>475079</xdr:colOff>
      <xdr:row>1</xdr:row>
      <xdr:rowOff>2845</xdr:rowOff>
    </xdr:from>
    <xdr:to>
      <xdr:col>16</xdr:col>
      <xdr:colOff>201120</xdr:colOff>
      <xdr:row>3</xdr:row>
      <xdr:rowOff>65174</xdr:rowOff>
    </xdr:to>
    <xdr:sp macro="" textlink="">
      <xdr:nvSpPr>
        <xdr:cNvPr id="75" name="Rectangle: Rounded Corners 74">
          <a:extLst>
            <a:ext uri="{FF2B5EF4-FFF2-40B4-BE49-F238E27FC236}">
              <a16:creationId xmlns:a16="http://schemas.microsoft.com/office/drawing/2014/main" id="{D6793086-8EF2-4523-8757-76BCC2DED4C6}"/>
            </a:ext>
          </a:extLst>
        </xdr:cNvPr>
        <xdr:cNvSpPr/>
      </xdr:nvSpPr>
      <xdr:spPr>
        <a:xfrm>
          <a:off x="9977731680" y="20825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10</xdr:col>
      <xdr:colOff>174171</xdr:colOff>
      <xdr:row>393</xdr:row>
      <xdr:rowOff>152400</xdr:rowOff>
    </xdr:from>
    <xdr:to>
      <xdr:col>17</xdr:col>
      <xdr:colOff>478971</xdr:colOff>
      <xdr:row>407</xdr:row>
      <xdr:rowOff>8325</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96A865A2-1A3F-4566-85CC-F144F251AE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7"/>
            </a:graphicData>
          </a:graphic>
        </xdr:graphicFrame>
      </mc:Choice>
      <mc:Fallback>
        <xdr:sp macro="" textlink="">
          <xdr:nvSpPr>
            <xdr:cNvPr id="0" name=""/>
            <xdr:cNvSpPr>
              <a:spLocks noTextEdit="1"/>
            </xdr:cNvSpPr>
          </xdr:nvSpPr>
          <xdr:spPr>
            <a:xfrm>
              <a:off x="11099293089" y="85344000"/>
              <a:ext cx="5052060" cy="2736285"/>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15</xdr:col>
      <xdr:colOff>0</xdr:colOff>
      <xdr:row>27</xdr:row>
      <xdr:rowOff>10886</xdr:rowOff>
    </xdr:from>
    <xdr:to>
      <xdr:col>15</xdr:col>
      <xdr:colOff>250371</xdr:colOff>
      <xdr:row>44</xdr:row>
      <xdr:rowOff>87085</xdr:rowOff>
    </xdr:to>
    <xdr:sp macro="" textlink="">
      <xdr:nvSpPr>
        <xdr:cNvPr id="2" name="Right Brace 1">
          <a:extLst>
            <a:ext uri="{FF2B5EF4-FFF2-40B4-BE49-F238E27FC236}">
              <a16:creationId xmlns:a16="http://schemas.microsoft.com/office/drawing/2014/main" id="{0C98BC93-14A6-423F-BCBE-49B087B7CFDC}"/>
            </a:ext>
          </a:extLst>
        </xdr:cNvPr>
        <xdr:cNvSpPr/>
      </xdr:nvSpPr>
      <xdr:spPr>
        <a:xfrm>
          <a:off x="15719550549" y="4666706"/>
          <a:ext cx="250371" cy="3680459"/>
        </a:xfrm>
        <a:prstGeom prst="rightBrace">
          <a:avLst>
            <a:gd name="adj1" fmla="val 49935"/>
            <a:gd name="adj2" fmla="val 20278"/>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8</xdr:col>
      <xdr:colOff>905432</xdr:colOff>
      <xdr:row>28</xdr:row>
      <xdr:rowOff>1</xdr:rowOff>
    </xdr:from>
    <xdr:to>
      <xdr:col>9</xdr:col>
      <xdr:colOff>125503</xdr:colOff>
      <xdr:row>33</xdr:row>
      <xdr:rowOff>21516</xdr:rowOff>
    </xdr:to>
    <xdr:sp macro="" textlink="">
      <xdr:nvSpPr>
        <xdr:cNvPr id="3" name="Right Brace 2">
          <a:extLst>
            <a:ext uri="{FF2B5EF4-FFF2-40B4-BE49-F238E27FC236}">
              <a16:creationId xmlns:a16="http://schemas.microsoft.com/office/drawing/2014/main" id="{36C733FF-8F55-4EA2-891C-6D41DB47681A}"/>
            </a:ext>
          </a:extLst>
        </xdr:cNvPr>
        <xdr:cNvSpPr/>
      </xdr:nvSpPr>
      <xdr:spPr>
        <a:xfrm>
          <a:off x="15725596157" y="4869181"/>
          <a:ext cx="180191" cy="1088315"/>
        </a:xfrm>
        <a:prstGeom prst="rightBrace">
          <a:avLst>
            <a:gd name="adj1" fmla="val 34895"/>
            <a:gd name="adj2" fmla="val 50000"/>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11</xdr:col>
      <xdr:colOff>88748</xdr:colOff>
      <xdr:row>27</xdr:row>
      <xdr:rowOff>215150</xdr:rowOff>
    </xdr:from>
    <xdr:to>
      <xdr:col>11</xdr:col>
      <xdr:colOff>295832</xdr:colOff>
      <xdr:row>33</xdr:row>
      <xdr:rowOff>21512</xdr:rowOff>
    </xdr:to>
    <xdr:sp macro="" textlink="">
      <xdr:nvSpPr>
        <xdr:cNvPr id="4" name="Left Brace 3">
          <a:extLst>
            <a:ext uri="{FF2B5EF4-FFF2-40B4-BE49-F238E27FC236}">
              <a16:creationId xmlns:a16="http://schemas.microsoft.com/office/drawing/2014/main" id="{79156686-CDA0-40C3-80A0-205613951A63}"/>
            </a:ext>
          </a:extLst>
        </xdr:cNvPr>
        <xdr:cNvSpPr/>
      </xdr:nvSpPr>
      <xdr:spPr>
        <a:xfrm>
          <a:off x="15723505588" y="4870970"/>
          <a:ext cx="207084" cy="1086522"/>
        </a:xfrm>
        <a:prstGeom prst="leftBrace">
          <a:avLst>
            <a:gd name="adj1" fmla="val 47429"/>
            <a:gd name="adj2" fmla="val 50000"/>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11</xdr:col>
      <xdr:colOff>353472</xdr:colOff>
      <xdr:row>30</xdr:row>
      <xdr:rowOff>105655</xdr:rowOff>
    </xdr:from>
    <xdr:to>
      <xdr:col>12</xdr:col>
      <xdr:colOff>270344</xdr:colOff>
      <xdr:row>30</xdr:row>
      <xdr:rowOff>105655</xdr:rowOff>
    </xdr:to>
    <xdr:cxnSp macro="">
      <xdr:nvCxnSpPr>
        <xdr:cNvPr id="5" name="Straight Arrow Connector 4">
          <a:extLst>
            <a:ext uri="{FF2B5EF4-FFF2-40B4-BE49-F238E27FC236}">
              <a16:creationId xmlns:a16="http://schemas.microsoft.com/office/drawing/2014/main" id="{45DE2C7C-8E13-4305-8778-A9123058F8B8}"/>
            </a:ext>
          </a:extLst>
        </xdr:cNvPr>
        <xdr:cNvCxnSpPr/>
      </xdr:nvCxnSpPr>
      <xdr:spPr>
        <a:xfrm>
          <a:off x="15655047365" y="5287255"/>
          <a:ext cx="91440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62753</xdr:colOff>
      <xdr:row>30</xdr:row>
      <xdr:rowOff>94769</xdr:rowOff>
    </xdr:from>
    <xdr:to>
      <xdr:col>8</xdr:col>
      <xdr:colOff>887506</xdr:colOff>
      <xdr:row>30</xdr:row>
      <xdr:rowOff>103734</xdr:rowOff>
    </xdr:to>
    <xdr:cxnSp macro="">
      <xdr:nvCxnSpPr>
        <xdr:cNvPr id="6" name="Straight Arrow Connector 5">
          <a:extLst>
            <a:ext uri="{FF2B5EF4-FFF2-40B4-BE49-F238E27FC236}">
              <a16:creationId xmlns:a16="http://schemas.microsoft.com/office/drawing/2014/main" id="{549D7F18-41EA-40C4-8521-CD49979629B1}"/>
            </a:ext>
          </a:extLst>
        </xdr:cNvPr>
        <xdr:cNvCxnSpPr/>
      </xdr:nvCxnSpPr>
      <xdr:spPr>
        <a:xfrm>
          <a:off x="15690390666" y="5134855"/>
          <a:ext cx="824753" cy="8965"/>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62050</xdr:colOff>
      <xdr:row>30</xdr:row>
      <xdr:rowOff>91728</xdr:rowOff>
    </xdr:from>
    <xdr:to>
      <xdr:col>6</xdr:col>
      <xdr:colOff>149680</xdr:colOff>
      <xdr:row>30</xdr:row>
      <xdr:rowOff>91729</xdr:rowOff>
    </xdr:to>
    <xdr:cxnSp macro="">
      <xdr:nvCxnSpPr>
        <xdr:cNvPr id="7" name="Straight Arrow Connector 6">
          <a:extLst>
            <a:ext uri="{FF2B5EF4-FFF2-40B4-BE49-F238E27FC236}">
              <a16:creationId xmlns:a16="http://schemas.microsoft.com/office/drawing/2014/main" id="{F82D7A27-71C3-443D-A9AF-17A9466A0AFD}"/>
            </a:ext>
          </a:extLst>
        </xdr:cNvPr>
        <xdr:cNvCxnSpPr/>
      </xdr:nvCxnSpPr>
      <xdr:spPr>
        <a:xfrm flipV="1">
          <a:off x="15605457920" y="5425728"/>
          <a:ext cx="1097280" cy="1"/>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68627</xdr:colOff>
      <xdr:row>30</xdr:row>
      <xdr:rowOff>122111</xdr:rowOff>
    </xdr:from>
    <xdr:to>
      <xdr:col>3</xdr:col>
      <xdr:colOff>332277</xdr:colOff>
      <xdr:row>30</xdr:row>
      <xdr:rowOff>122111</xdr:rowOff>
    </xdr:to>
    <xdr:cxnSp macro="">
      <xdr:nvCxnSpPr>
        <xdr:cNvPr id="8" name="Straight Arrow Connector 7">
          <a:extLst>
            <a:ext uri="{FF2B5EF4-FFF2-40B4-BE49-F238E27FC236}">
              <a16:creationId xmlns:a16="http://schemas.microsoft.com/office/drawing/2014/main" id="{60720A89-7EEA-4440-A4DD-D76B52E23D96}"/>
            </a:ext>
          </a:extLst>
        </xdr:cNvPr>
        <xdr:cNvCxnSpPr/>
      </xdr:nvCxnSpPr>
      <xdr:spPr>
        <a:xfrm>
          <a:off x="15731752083" y="5418011"/>
          <a:ext cx="122377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44824</xdr:colOff>
      <xdr:row>32</xdr:row>
      <xdr:rowOff>98612</xdr:rowOff>
    </xdr:from>
    <xdr:to>
      <xdr:col>24</xdr:col>
      <xdr:colOff>363068</xdr:colOff>
      <xdr:row>32</xdr:row>
      <xdr:rowOff>108860</xdr:rowOff>
    </xdr:to>
    <xdr:cxnSp macro="">
      <xdr:nvCxnSpPr>
        <xdr:cNvPr id="9" name="Straight Arrow Connector 8">
          <a:extLst>
            <a:ext uri="{FF2B5EF4-FFF2-40B4-BE49-F238E27FC236}">
              <a16:creationId xmlns:a16="http://schemas.microsoft.com/office/drawing/2014/main" id="{847FB16A-420B-43F1-B7C4-79F14B2E6F94}"/>
            </a:ext>
          </a:extLst>
        </xdr:cNvPr>
        <xdr:cNvCxnSpPr/>
      </xdr:nvCxnSpPr>
      <xdr:spPr>
        <a:xfrm flipV="1">
          <a:off x="15708823192" y="5821232"/>
          <a:ext cx="3495784" cy="10248"/>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96690</xdr:colOff>
      <xdr:row>33</xdr:row>
      <xdr:rowOff>192101</xdr:rowOff>
    </xdr:from>
    <xdr:to>
      <xdr:col>17</xdr:col>
      <xdr:colOff>266700</xdr:colOff>
      <xdr:row>39</xdr:row>
      <xdr:rowOff>66596</xdr:rowOff>
    </xdr:to>
    <xdr:sp macro="" textlink="">
      <xdr:nvSpPr>
        <xdr:cNvPr id="10" name="Right Brace 9">
          <a:extLst>
            <a:ext uri="{FF2B5EF4-FFF2-40B4-BE49-F238E27FC236}">
              <a16:creationId xmlns:a16="http://schemas.microsoft.com/office/drawing/2014/main" id="{ABAB40F7-74CB-4D40-AC18-1A486A896032}"/>
            </a:ext>
          </a:extLst>
        </xdr:cNvPr>
        <xdr:cNvSpPr/>
      </xdr:nvSpPr>
      <xdr:spPr>
        <a:xfrm>
          <a:off x="15717088200" y="6128081"/>
          <a:ext cx="170010" cy="1154655"/>
        </a:xfrm>
        <a:prstGeom prst="rightBrace">
          <a:avLst>
            <a:gd name="adj1" fmla="val 34895"/>
            <a:gd name="adj2" fmla="val 50000"/>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19</xdr:col>
      <xdr:colOff>48983</xdr:colOff>
      <xdr:row>36</xdr:row>
      <xdr:rowOff>107576</xdr:rowOff>
    </xdr:from>
    <xdr:to>
      <xdr:col>19</xdr:col>
      <xdr:colOff>689063</xdr:colOff>
      <xdr:row>36</xdr:row>
      <xdr:rowOff>107578</xdr:rowOff>
    </xdr:to>
    <xdr:cxnSp macro="">
      <xdr:nvCxnSpPr>
        <xdr:cNvPr id="11" name="Straight Arrow Connector 10">
          <a:extLst>
            <a:ext uri="{FF2B5EF4-FFF2-40B4-BE49-F238E27FC236}">
              <a16:creationId xmlns:a16="http://schemas.microsoft.com/office/drawing/2014/main" id="{FD49E2EB-12F4-48A5-8E64-D2949377399A}"/>
            </a:ext>
          </a:extLst>
        </xdr:cNvPr>
        <xdr:cNvCxnSpPr/>
      </xdr:nvCxnSpPr>
      <xdr:spPr>
        <a:xfrm flipV="1">
          <a:off x="15714189337" y="6218816"/>
          <a:ext cx="6400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21327</xdr:colOff>
      <xdr:row>52</xdr:row>
      <xdr:rowOff>95605</xdr:rowOff>
    </xdr:from>
    <xdr:to>
      <xdr:col>24</xdr:col>
      <xdr:colOff>750670</xdr:colOff>
      <xdr:row>52</xdr:row>
      <xdr:rowOff>95607</xdr:rowOff>
    </xdr:to>
    <xdr:cxnSp macro="">
      <xdr:nvCxnSpPr>
        <xdr:cNvPr id="13" name="Straight Arrow Connector 12">
          <a:extLst>
            <a:ext uri="{FF2B5EF4-FFF2-40B4-BE49-F238E27FC236}">
              <a16:creationId xmlns:a16="http://schemas.microsoft.com/office/drawing/2014/main" id="{BCBD3A6B-2BA4-4958-87D5-A2193FF2B936}"/>
            </a:ext>
          </a:extLst>
        </xdr:cNvPr>
        <xdr:cNvCxnSpPr/>
      </xdr:nvCxnSpPr>
      <xdr:spPr>
        <a:xfrm flipV="1">
          <a:off x="15672838216" y="10371719"/>
          <a:ext cx="274320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121920</xdr:colOff>
      <xdr:row>42</xdr:row>
      <xdr:rowOff>41629</xdr:rowOff>
    </xdr:from>
    <xdr:to>
      <xdr:col>17</xdr:col>
      <xdr:colOff>240393</xdr:colOff>
      <xdr:row>53</xdr:row>
      <xdr:rowOff>119743</xdr:rowOff>
    </xdr:to>
    <xdr:sp macro="" textlink="">
      <xdr:nvSpPr>
        <xdr:cNvPr id="14" name="Right Brace 13">
          <a:extLst>
            <a:ext uri="{FF2B5EF4-FFF2-40B4-BE49-F238E27FC236}">
              <a16:creationId xmlns:a16="http://schemas.microsoft.com/office/drawing/2014/main" id="{A9CA3FC9-1AE2-4A08-A1F1-2C04790F1878}"/>
            </a:ext>
          </a:extLst>
        </xdr:cNvPr>
        <xdr:cNvSpPr/>
      </xdr:nvSpPr>
      <xdr:spPr>
        <a:xfrm>
          <a:off x="15717114507" y="7890229"/>
          <a:ext cx="118473" cy="2348874"/>
        </a:xfrm>
        <a:prstGeom prst="rightBrace">
          <a:avLst>
            <a:gd name="adj1" fmla="val 35370"/>
            <a:gd name="adj2" fmla="val 13339"/>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17</xdr:col>
      <xdr:colOff>207857</xdr:colOff>
      <xdr:row>43</xdr:row>
      <xdr:rowOff>104304</xdr:rowOff>
    </xdr:from>
    <xdr:to>
      <xdr:col>24</xdr:col>
      <xdr:colOff>383117</xdr:colOff>
      <xdr:row>43</xdr:row>
      <xdr:rowOff>104306</xdr:rowOff>
    </xdr:to>
    <xdr:cxnSp macro="">
      <xdr:nvCxnSpPr>
        <xdr:cNvPr id="15" name="Straight Arrow Connector 14">
          <a:extLst>
            <a:ext uri="{FF2B5EF4-FFF2-40B4-BE49-F238E27FC236}">
              <a16:creationId xmlns:a16="http://schemas.microsoft.com/office/drawing/2014/main" id="{32288D00-9D32-4D49-AFEB-544D39820E07}"/>
            </a:ext>
          </a:extLst>
        </xdr:cNvPr>
        <xdr:cNvCxnSpPr/>
      </xdr:nvCxnSpPr>
      <xdr:spPr>
        <a:xfrm flipV="1">
          <a:off x="15708803143" y="8158644"/>
          <a:ext cx="834390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83819</xdr:colOff>
      <xdr:row>47</xdr:row>
      <xdr:rowOff>35622</xdr:rowOff>
    </xdr:from>
    <xdr:to>
      <xdr:col>19</xdr:col>
      <xdr:colOff>197223</xdr:colOff>
      <xdr:row>49</xdr:row>
      <xdr:rowOff>172016</xdr:rowOff>
    </xdr:to>
    <xdr:sp macro="" textlink="">
      <xdr:nvSpPr>
        <xdr:cNvPr id="17" name="Right Brace 16">
          <a:extLst>
            <a:ext uri="{FF2B5EF4-FFF2-40B4-BE49-F238E27FC236}">
              <a16:creationId xmlns:a16="http://schemas.microsoft.com/office/drawing/2014/main" id="{44C6B84A-C32D-47A2-8BE2-9504E3E55501}"/>
            </a:ext>
          </a:extLst>
        </xdr:cNvPr>
        <xdr:cNvSpPr/>
      </xdr:nvSpPr>
      <xdr:spPr>
        <a:xfrm>
          <a:off x="15714681177" y="8912922"/>
          <a:ext cx="113404" cy="547874"/>
        </a:xfrm>
        <a:prstGeom prst="rightBrace">
          <a:avLst>
            <a:gd name="adj1" fmla="val 25246"/>
            <a:gd name="adj2" fmla="val 49765"/>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10</xdr:col>
      <xdr:colOff>668382</xdr:colOff>
      <xdr:row>7</xdr:row>
      <xdr:rowOff>99947</xdr:rowOff>
    </xdr:from>
    <xdr:to>
      <xdr:col>24</xdr:col>
      <xdr:colOff>519792</xdr:colOff>
      <xdr:row>28</xdr:row>
      <xdr:rowOff>19591</xdr:rowOff>
    </xdr:to>
    <xdr:cxnSp macro="">
      <xdr:nvCxnSpPr>
        <xdr:cNvPr id="18" name="Connector: Elbow 17">
          <a:extLst>
            <a:ext uri="{FF2B5EF4-FFF2-40B4-BE49-F238E27FC236}">
              <a16:creationId xmlns:a16="http://schemas.microsoft.com/office/drawing/2014/main" id="{6E7B60DE-F093-4057-80AC-CD9A23425341}"/>
            </a:ext>
          </a:extLst>
        </xdr:cNvPr>
        <xdr:cNvCxnSpPr/>
      </xdr:nvCxnSpPr>
      <xdr:spPr>
        <a:xfrm>
          <a:off x="15640680136" y="1360711"/>
          <a:ext cx="16102791" cy="3840480"/>
        </a:xfrm>
        <a:prstGeom prst="bentConnector3">
          <a:avLst>
            <a:gd name="adj1" fmla="val 10003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789641</xdr:colOff>
      <xdr:row>31</xdr:row>
      <xdr:rowOff>46382</xdr:rowOff>
    </xdr:from>
    <xdr:to>
      <xdr:col>13</xdr:col>
      <xdr:colOff>410818</xdr:colOff>
      <xdr:row>37</xdr:row>
      <xdr:rowOff>112971</xdr:rowOff>
    </xdr:to>
    <xdr:cxnSp macro="">
      <xdr:nvCxnSpPr>
        <xdr:cNvPr id="19" name="Connector: Elbow 18">
          <a:extLst>
            <a:ext uri="{FF2B5EF4-FFF2-40B4-BE49-F238E27FC236}">
              <a16:creationId xmlns:a16="http://schemas.microsoft.com/office/drawing/2014/main" id="{BFEFE4E2-3B90-498E-8AC0-351E6188ACDB}"/>
            </a:ext>
          </a:extLst>
        </xdr:cNvPr>
        <xdr:cNvCxnSpPr/>
      </xdr:nvCxnSpPr>
      <xdr:spPr>
        <a:xfrm rot="16200000" flipH="1">
          <a:off x="15685702533" y="5450688"/>
          <a:ext cx="1111618" cy="731520"/>
        </a:xfrm>
        <a:prstGeom prst="bentConnector3">
          <a:avLst>
            <a:gd name="adj1" fmla="val 99988"/>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1537055</xdr:colOff>
      <xdr:row>33</xdr:row>
      <xdr:rowOff>10885</xdr:rowOff>
    </xdr:from>
    <xdr:to>
      <xdr:col>20</xdr:col>
      <xdr:colOff>163278</xdr:colOff>
      <xdr:row>36</xdr:row>
      <xdr:rowOff>89262</xdr:rowOff>
    </xdr:to>
    <xdr:cxnSp macro="">
      <xdr:nvCxnSpPr>
        <xdr:cNvPr id="20" name="Connector: Elbow 19">
          <a:extLst>
            <a:ext uri="{FF2B5EF4-FFF2-40B4-BE49-F238E27FC236}">
              <a16:creationId xmlns:a16="http://schemas.microsoft.com/office/drawing/2014/main" id="{68CC94CC-94D1-4172-850D-459738C026B8}"/>
            </a:ext>
          </a:extLst>
        </xdr:cNvPr>
        <xdr:cNvCxnSpPr/>
      </xdr:nvCxnSpPr>
      <xdr:spPr>
        <a:xfrm>
          <a:off x="15713160642" y="5946865"/>
          <a:ext cx="180703" cy="718457"/>
        </a:xfrm>
        <a:prstGeom prst="bentConnector3">
          <a:avLst>
            <a:gd name="adj1" fmla="val 1219"/>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782422</xdr:colOff>
      <xdr:row>39</xdr:row>
      <xdr:rowOff>6621</xdr:rowOff>
    </xdr:from>
    <xdr:to>
      <xdr:col>17</xdr:col>
      <xdr:colOff>1183017</xdr:colOff>
      <xdr:row>42</xdr:row>
      <xdr:rowOff>196535</xdr:rowOff>
    </xdr:to>
    <xdr:cxnSp macro="">
      <xdr:nvCxnSpPr>
        <xdr:cNvPr id="21" name="Connector: Elbow 20">
          <a:extLst>
            <a:ext uri="{FF2B5EF4-FFF2-40B4-BE49-F238E27FC236}">
              <a16:creationId xmlns:a16="http://schemas.microsoft.com/office/drawing/2014/main" id="{88E28D84-E837-4DF0-9382-1CDCDB29D86C}"/>
            </a:ext>
          </a:extLst>
        </xdr:cNvPr>
        <xdr:cNvCxnSpPr/>
      </xdr:nvCxnSpPr>
      <xdr:spPr>
        <a:xfrm rot="16200000" flipV="1">
          <a:off x="15716540114" y="6854530"/>
          <a:ext cx="822374" cy="1558835"/>
        </a:xfrm>
        <a:prstGeom prst="bentConnector3">
          <a:avLst>
            <a:gd name="adj1" fmla="val 42645"/>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599119</xdr:colOff>
      <xdr:row>9</xdr:row>
      <xdr:rowOff>53942</xdr:rowOff>
    </xdr:from>
    <xdr:to>
      <xdr:col>23</xdr:col>
      <xdr:colOff>721040</xdr:colOff>
      <xdr:row>26</xdr:row>
      <xdr:rowOff>81651</xdr:rowOff>
    </xdr:to>
    <xdr:sp macro="" textlink="">
      <xdr:nvSpPr>
        <xdr:cNvPr id="22" name="Right Brace 21">
          <a:extLst>
            <a:ext uri="{FF2B5EF4-FFF2-40B4-BE49-F238E27FC236}">
              <a16:creationId xmlns:a16="http://schemas.microsoft.com/office/drawing/2014/main" id="{6CC02B9B-5BD2-446F-A279-2D183C206B9D}"/>
            </a:ext>
          </a:extLst>
        </xdr:cNvPr>
        <xdr:cNvSpPr/>
      </xdr:nvSpPr>
      <xdr:spPr>
        <a:xfrm>
          <a:off x="15641434851" y="1674924"/>
          <a:ext cx="121921" cy="3200400"/>
        </a:xfrm>
        <a:prstGeom prst="rightBrace">
          <a:avLst>
            <a:gd name="adj1" fmla="val 49935"/>
            <a:gd name="adj2" fmla="val 55297"/>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13</xdr:col>
      <xdr:colOff>413655</xdr:colOff>
      <xdr:row>19</xdr:row>
      <xdr:rowOff>10423</xdr:rowOff>
    </xdr:from>
    <xdr:to>
      <xdr:col>23</xdr:col>
      <xdr:colOff>544284</xdr:colOff>
      <xdr:row>29</xdr:row>
      <xdr:rowOff>173907</xdr:rowOff>
    </xdr:to>
    <xdr:cxnSp macro="">
      <xdr:nvCxnSpPr>
        <xdr:cNvPr id="23" name="Connector: Elbow 22">
          <a:extLst>
            <a:ext uri="{FF2B5EF4-FFF2-40B4-BE49-F238E27FC236}">
              <a16:creationId xmlns:a16="http://schemas.microsoft.com/office/drawing/2014/main" id="{9F334B8A-8707-4BC0-9ABE-8FA9C6617B97}"/>
            </a:ext>
          </a:extLst>
        </xdr:cNvPr>
        <xdr:cNvCxnSpPr/>
      </xdr:nvCxnSpPr>
      <xdr:spPr>
        <a:xfrm rot="10800000" flipH="1" flipV="1">
          <a:off x="15641611607" y="3432496"/>
          <a:ext cx="11990120" cy="2103120"/>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128954</xdr:colOff>
      <xdr:row>30</xdr:row>
      <xdr:rowOff>105508</xdr:rowOff>
    </xdr:from>
    <xdr:to>
      <xdr:col>24</xdr:col>
      <xdr:colOff>360218</xdr:colOff>
      <xdr:row>30</xdr:row>
      <xdr:rowOff>124691</xdr:rowOff>
    </xdr:to>
    <xdr:cxnSp macro="">
      <xdr:nvCxnSpPr>
        <xdr:cNvPr id="24" name="Straight Arrow Connector 23">
          <a:extLst>
            <a:ext uri="{FF2B5EF4-FFF2-40B4-BE49-F238E27FC236}">
              <a16:creationId xmlns:a16="http://schemas.microsoft.com/office/drawing/2014/main" id="{2E5EDA74-7442-4B99-824E-7452D228424F}"/>
            </a:ext>
          </a:extLst>
        </xdr:cNvPr>
        <xdr:cNvCxnSpPr/>
      </xdr:nvCxnSpPr>
      <xdr:spPr>
        <a:xfrm flipV="1">
          <a:off x="15708826042" y="5401408"/>
          <a:ext cx="8399904" cy="19183"/>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173206</xdr:colOff>
      <xdr:row>47</xdr:row>
      <xdr:rowOff>96982</xdr:rowOff>
    </xdr:from>
    <xdr:to>
      <xdr:col>24</xdr:col>
      <xdr:colOff>617343</xdr:colOff>
      <xdr:row>47</xdr:row>
      <xdr:rowOff>96984</xdr:rowOff>
    </xdr:to>
    <xdr:cxnSp macro="">
      <xdr:nvCxnSpPr>
        <xdr:cNvPr id="25" name="Straight Arrow Connector 24">
          <a:extLst>
            <a:ext uri="{FF2B5EF4-FFF2-40B4-BE49-F238E27FC236}">
              <a16:creationId xmlns:a16="http://schemas.microsoft.com/office/drawing/2014/main" id="{C41706AD-A1FB-42CF-9DC6-5B53CC338C7F}"/>
            </a:ext>
          </a:extLst>
        </xdr:cNvPr>
        <xdr:cNvCxnSpPr/>
      </xdr:nvCxnSpPr>
      <xdr:spPr>
        <a:xfrm flipV="1">
          <a:off x="15672971543" y="9328068"/>
          <a:ext cx="61264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206377</xdr:colOff>
      <xdr:row>30</xdr:row>
      <xdr:rowOff>102919</xdr:rowOff>
    </xdr:from>
    <xdr:to>
      <xdr:col>15</xdr:col>
      <xdr:colOff>556639</xdr:colOff>
      <xdr:row>30</xdr:row>
      <xdr:rowOff>102921</xdr:rowOff>
    </xdr:to>
    <xdr:cxnSp macro="">
      <xdr:nvCxnSpPr>
        <xdr:cNvPr id="26" name="Straight Arrow Connector 25">
          <a:extLst>
            <a:ext uri="{FF2B5EF4-FFF2-40B4-BE49-F238E27FC236}">
              <a16:creationId xmlns:a16="http://schemas.microsoft.com/office/drawing/2014/main" id="{52CB9580-3B10-43FA-87A0-AC181C164E87}"/>
            </a:ext>
          </a:extLst>
        </xdr:cNvPr>
        <xdr:cNvCxnSpPr/>
      </xdr:nvCxnSpPr>
      <xdr:spPr>
        <a:xfrm flipV="1">
          <a:off x="15719244281" y="5398819"/>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224068</xdr:colOff>
      <xdr:row>32</xdr:row>
      <xdr:rowOff>83128</xdr:rowOff>
    </xdr:from>
    <xdr:to>
      <xdr:col>19</xdr:col>
      <xdr:colOff>979536</xdr:colOff>
      <xdr:row>32</xdr:row>
      <xdr:rowOff>87086</xdr:rowOff>
    </xdr:to>
    <xdr:cxnSp macro="">
      <xdr:nvCxnSpPr>
        <xdr:cNvPr id="27" name="Straight Arrow Connector 26">
          <a:extLst>
            <a:ext uri="{FF2B5EF4-FFF2-40B4-BE49-F238E27FC236}">
              <a16:creationId xmlns:a16="http://schemas.microsoft.com/office/drawing/2014/main" id="{9A06B760-48AE-4B4D-88DC-867525E3EA71}"/>
            </a:ext>
          </a:extLst>
        </xdr:cNvPr>
        <xdr:cNvCxnSpPr/>
      </xdr:nvCxnSpPr>
      <xdr:spPr>
        <a:xfrm>
          <a:off x="15713898864" y="5805748"/>
          <a:ext cx="5677988" cy="3958"/>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222477</xdr:colOff>
      <xdr:row>36</xdr:row>
      <xdr:rowOff>96981</xdr:rowOff>
    </xdr:from>
    <xdr:to>
      <xdr:col>15</xdr:col>
      <xdr:colOff>572739</xdr:colOff>
      <xdr:row>36</xdr:row>
      <xdr:rowOff>96983</xdr:rowOff>
    </xdr:to>
    <xdr:cxnSp macro="">
      <xdr:nvCxnSpPr>
        <xdr:cNvPr id="28" name="Straight Arrow Connector 27">
          <a:extLst>
            <a:ext uri="{FF2B5EF4-FFF2-40B4-BE49-F238E27FC236}">
              <a16:creationId xmlns:a16="http://schemas.microsoft.com/office/drawing/2014/main" id="{93424531-9D38-40B7-AA67-E10E1DBB4771}"/>
            </a:ext>
          </a:extLst>
        </xdr:cNvPr>
        <xdr:cNvCxnSpPr/>
      </xdr:nvCxnSpPr>
      <xdr:spPr>
        <a:xfrm flipV="1">
          <a:off x="15719228181" y="6673041"/>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160020</xdr:colOff>
      <xdr:row>43</xdr:row>
      <xdr:rowOff>119743</xdr:rowOff>
    </xdr:from>
    <xdr:to>
      <xdr:col>15</xdr:col>
      <xdr:colOff>510282</xdr:colOff>
      <xdr:row>43</xdr:row>
      <xdr:rowOff>119745</xdr:rowOff>
    </xdr:to>
    <xdr:cxnSp macro="">
      <xdr:nvCxnSpPr>
        <xdr:cNvPr id="29" name="Straight Arrow Connector 28">
          <a:extLst>
            <a:ext uri="{FF2B5EF4-FFF2-40B4-BE49-F238E27FC236}">
              <a16:creationId xmlns:a16="http://schemas.microsoft.com/office/drawing/2014/main" id="{7F2FC347-58DA-4053-B15C-1E1C773530B5}"/>
            </a:ext>
          </a:extLst>
        </xdr:cNvPr>
        <xdr:cNvCxnSpPr/>
      </xdr:nvCxnSpPr>
      <xdr:spPr>
        <a:xfrm flipV="1">
          <a:off x="15719290638" y="759496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232694</xdr:colOff>
      <xdr:row>38</xdr:row>
      <xdr:rowOff>108857</xdr:rowOff>
    </xdr:from>
    <xdr:to>
      <xdr:col>17</xdr:col>
      <xdr:colOff>781334</xdr:colOff>
      <xdr:row>38</xdr:row>
      <xdr:rowOff>108859</xdr:rowOff>
    </xdr:to>
    <xdr:cxnSp macro="">
      <xdr:nvCxnSpPr>
        <xdr:cNvPr id="30" name="Straight Arrow Connector 29">
          <a:extLst>
            <a:ext uri="{FF2B5EF4-FFF2-40B4-BE49-F238E27FC236}">
              <a16:creationId xmlns:a16="http://schemas.microsoft.com/office/drawing/2014/main" id="{C8F6F3AE-E470-4F42-9B79-F5299ABC233F}"/>
            </a:ext>
          </a:extLst>
        </xdr:cNvPr>
        <xdr:cNvCxnSpPr/>
      </xdr:nvCxnSpPr>
      <xdr:spPr>
        <a:xfrm flipV="1">
          <a:off x="15716573566" y="6570617"/>
          <a:ext cx="54864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217457</xdr:colOff>
      <xdr:row>52</xdr:row>
      <xdr:rowOff>96883</xdr:rowOff>
    </xdr:from>
    <xdr:to>
      <xdr:col>20</xdr:col>
      <xdr:colOff>19337</xdr:colOff>
      <xdr:row>52</xdr:row>
      <xdr:rowOff>96885</xdr:rowOff>
    </xdr:to>
    <xdr:cxnSp macro="">
      <xdr:nvCxnSpPr>
        <xdr:cNvPr id="31" name="Straight Arrow Connector 30">
          <a:extLst>
            <a:ext uri="{FF2B5EF4-FFF2-40B4-BE49-F238E27FC236}">
              <a16:creationId xmlns:a16="http://schemas.microsoft.com/office/drawing/2014/main" id="{75D2D9A4-C63D-4018-BCAC-C4CBA8353E1D}"/>
            </a:ext>
          </a:extLst>
        </xdr:cNvPr>
        <xdr:cNvCxnSpPr/>
      </xdr:nvCxnSpPr>
      <xdr:spPr>
        <a:xfrm flipV="1">
          <a:off x="15677695234" y="10372997"/>
          <a:ext cx="38404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219370</xdr:colOff>
      <xdr:row>48</xdr:row>
      <xdr:rowOff>108858</xdr:rowOff>
    </xdr:from>
    <xdr:to>
      <xdr:col>17</xdr:col>
      <xdr:colOff>950890</xdr:colOff>
      <xdr:row>48</xdr:row>
      <xdr:rowOff>108860</xdr:rowOff>
    </xdr:to>
    <xdr:cxnSp macro="">
      <xdr:nvCxnSpPr>
        <xdr:cNvPr id="32" name="Straight Arrow Connector 31">
          <a:extLst>
            <a:ext uri="{FF2B5EF4-FFF2-40B4-BE49-F238E27FC236}">
              <a16:creationId xmlns:a16="http://schemas.microsoft.com/office/drawing/2014/main" id="{6781EA47-05A2-411D-BE44-96D4F1B605CE}"/>
            </a:ext>
          </a:extLst>
        </xdr:cNvPr>
        <xdr:cNvCxnSpPr/>
      </xdr:nvCxnSpPr>
      <xdr:spPr>
        <a:xfrm flipV="1">
          <a:off x="15716404010" y="9191898"/>
          <a:ext cx="73152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239485</xdr:colOff>
      <xdr:row>36</xdr:row>
      <xdr:rowOff>87085</xdr:rowOff>
    </xdr:from>
    <xdr:to>
      <xdr:col>17</xdr:col>
      <xdr:colOff>589747</xdr:colOff>
      <xdr:row>36</xdr:row>
      <xdr:rowOff>87087</xdr:rowOff>
    </xdr:to>
    <xdr:cxnSp macro="">
      <xdr:nvCxnSpPr>
        <xdr:cNvPr id="33" name="Straight Arrow Connector 32">
          <a:extLst>
            <a:ext uri="{FF2B5EF4-FFF2-40B4-BE49-F238E27FC236}">
              <a16:creationId xmlns:a16="http://schemas.microsoft.com/office/drawing/2014/main" id="{BB888602-A19B-4123-AC6A-247ECC045416}"/>
            </a:ext>
          </a:extLst>
        </xdr:cNvPr>
        <xdr:cNvCxnSpPr/>
      </xdr:nvCxnSpPr>
      <xdr:spPr>
        <a:xfrm flipV="1">
          <a:off x="15716765153" y="6198325"/>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754575</xdr:colOff>
      <xdr:row>13</xdr:row>
      <xdr:rowOff>149710</xdr:rowOff>
    </xdr:from>
    <xdr:to>
      <xdr:col>24</xdr:col>
      <xdr:colOff>147978</xdr:colOff>
      <xdr:row>13</xdr:row>
      <xdr:rowOff>149712</xdr:rowOff>
    </xdr:to>
    <xdr:cxnSp macro="">
      <xdr:nvCxnSpPr>
        <xdr:cNvPr id="35" name="Straight Arrow Connector 34">
          <a:extLst>
            <a:ext uri="{FF2B5EF4-FFF2-40B4-BE49-F238E27FC236}">
              <a16:creationId xmlns:a16="http://schemas.microsoft.com/office/drawing/2014/main" id="{7CA77597-1C4A-447A-B9E9-B50BFCFEC30F}"/>
            </a:ext>
          </a:extLst>
        </xdr:cNvPr>
        <xdr:cNvCxnSpPr/>
      </xdr:nvCxnSpPr>
      <xdr:spPr>
        <a:xfrm flipV="1">
          <a:off x="15709038282" y="1856590"/>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747589</xdr:colOff>
      <xdr:row>15</xdr:row>
      <xdr:rowOff>140746</xdr:rowOff>
    </xdr:from>
    <xdr:to>
      <xdr:col>24</xdr:col>
      <xdr:colOff>140992</xdr:colOff>
      <xdr:row>15</xdr:row>
      <xdr:rowOff>140748</xdr:rowOff>
    </xdr:to>
    <xdr:cxnSp macro="">
      <xdr:nvCxnSpPr>
        <xdr:cNvPr id="36" name="Straight Arrow Connector 35">
          <a:extLst>
            <a:ext uri="{FF2B5EF4-FFF2-40B4-BE49-F238E27FC236}">
              <a16:creationId xmlns:a16="http://schemas.microsoft.com/office/drawing/2014/main" id="{68626798-4EF1-4BA0-AE9D-375766C8BBF3}"/>
            </a:ext>
          </a:extLst>
        </xdr:cNvPr>
        <xdr:cNvCxnSpPr/>
      </xdr:nvCxnSpPr>
      <xdr:spPr>
        <a:xfrm flipV="1">
          <a:off x="15709045268" y="2274346"/>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753409</xdr:colOff>
      <xdr:row>17</xdr:row>
      <xdr:rowOff>140746</xdr:rowOff>
    </xdr:from>
    <xdr:to>
      <xdr:col>24</xdr:col>
      <xdr:colOff>146812</xdr:colOff>
      <xdr:row>17</xdr:row>
      <xdr:rowOff>140748</xdr:rowOff>
    </xdr:to>
    <xdr:cxnSp macro="">
      <xdr:nvCxnSpPr>
        <xdr:cNvPr id="37" name="Straight Arrow Connector 36">
          <a:extLst>
            <a:ext uri="{FF2B5EF4-FFF2-40B4-BE49-F238E27FC236}">
              <a16:creationId xmlns:a16="http://schemas.microsoft.com/office/drawing/2014/main" id="{FC5089E2-0C16-4549-8FA4-33A8E14A1D83}"/>
            </a:ext>
          </a:extLst>
        </xdr:cNvPr>
        <xdr:cNvCxnSpPr/>
      </xdr:nvCxnSpPr>
      <xdr:spPr>
        <a:xfrm flipV="1">
          <a:off x="15709039448" y="2701066"/>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748343</xdr:colOff>
      <xdr:row>19</xdr:row>
      <xdr:rowOff>140747</xdr:rowOff>
    </xdr:from>
    <xdr:to>
      <xdr:col>24</xdr:col>
      <xdr:colOff>141746</xdr:colOff>
      <xdr:row>19</xdr:row>
      <xdr:rowOff>140749</xdr:rowOff>
    </xdr:to>
    <xdr:cxnSp macro="">
      <xdr:nvCxnSpPr>
        <xdr:cNvPr id="38" name="Straight Arrow Connector 37">
          <a:extLst>
            <a:ext uri="{FF2B5EF4-FFF2-40B4-BE49-F238E27FC236}">
              <a16:creationId xmlns:a16="http://schemas.microsoft.com/office/drawing/2014/main" id="{9769D751-3EE6-497F-9E42-FD9685353E9A}"/>
            </a:ext>
          </a:extLst>
        </xdr:cNvPr>
        <xdr:cNvCxnSpPr/>
      </xdr:nvCxnSpPr>
      <xdr:spPr>
        <a:xfrm flipV="1">
          <a:off x="15709044514" y="3127787"/>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750322</xdr:colOff>
      <xdr:row>21</xdr:row>
      <xdr:rowOff>131782</xdr:rowOff>
    </xdr:from>
    <xdr:to>
      <xdr:col>24</xdr:col>
      <xdr:colOff>143725</xdr:colOff>
      <xdr:row>21</xdr:row>
      <xdr:rowOff>131784</xdr:rowOff>
    </xdr:to>
    <xdr:cxnSp macro="">
      <xdr:nvCxnSpPr>
        <xdr:cNvPr id="39" name="Straight Arrow Connector 38">
          <a:extLst>
            <a:ext uri="{FF2B5EF4-FFF2-40B4-BE49-F238E27FC236}">
              <a16:creationId xmlns:a16="http://schemas.microsoft.com/office/drawing/2014/main" id="{69C118F0-8EC1-481B-ABE2-1A573BBDD9A1}"/>
            </a:ext>
          </a:extLst>
        </xdr:cNvPr>
        <xdr:cNvCxnSpPr/>
      </xdr:nvCxnSpPr>
      <xdr:spPr>
        <a:xfrm flipV="1">
          <a:off x="15709042535" y="3545542"/>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754222</xdr:colOff>
      <xdr:row>23</xdr:row>
      <xdr:rowOff>86959</xdr:rowOff>
    </xdr:from>
    <xdr:to>
      <xdr:col>24</xdr:col>
      <xdr:colOff>147625</xdr:colOff>
      <xdr:row>23</xdr:row>
      <xdr:rowOff>86961</xdr:rowOff>
    </xdr:to>
    <xdr:cxnSp macro="">
      <xdr:nvCxnSpPr>
        <xdr:cNvPr id="40" name="Straight Arrow Connector 39">
          <a:extLst>
            <a:ext uri="{FF2B5EF4-FFF2-40B4-BE49-F238E27FC236}">
              <a16:creationId xmlns:a16="http://schemas.microsoft.com/office/drawing/2014/main" id="{7D4BBD57-F346-46F1-BF83-5BFF43081F91}"/>
            </a:ext>
          </a:extLst>
        </xdr:cNvPr>
        <xdr:cNvCxnSpPr/>
      </xdr:nvCxnSpPr>
      <xdr:spPr>
        <a:xfrm flipV="1">
          <a:off x="15709038635" y="3919819"/>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751079</xdr:colOff>
      <xdr:row>25</xdr:row>
      <xdr:rowOff>122817</xdr:rowOff>
    </xdr:from>
    <xdr:to>
      <xdr:col>24</xdr:col>
      <xdr:colOff>144482</xdr:colOff>
      <xdr:row>25</xdr:row>
      <xdr:rowOff>122819</xdr:rowOff>
    </xdr:to>
    <xdr:cxnSp macro="">
      <xdr:nvCxnSpPr>
        <xdr:cNvPr id="41" name="Straight Arrow Connector 40">
          <a:extLst>
            <a:ext uri="{FF2B5EF4-FFF2-40B4-BE49-F238E27FC236}">
              <a16:creationId xmlns:a16="http://schemas.microsoft.com/office/drawing/2014/main" id="{DE993AA8-DB8F-4387-95B6-53B4BF050932}"/>
            </a:ext>
          </a:extLst>
        </xdr:cNvPr>
        <xdr:cNvCxnSpPr/>
      </xdr:nvCxnSpPr>
      <xdr:spPr>
        <a:xfrm flipV="1">
          <a:off x="15709041778" y="4367157"/>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251071</xdr:colOff>
      <xdr:row>34</xdr:row>
      <xdr:rowOff>130629</xdr:rowOff>
    </xdr:from>
    <xdr:to>
      <xdr:col>24</xdr:col>
      <xdr:colOff>414228</xdr:colOff>
      <xdr:row>34</xdr:row>
      <xdr:rowOff>135960</xdr:rowOff>
    </xdr:to>
    <xdr:cxnSp macro="">
      <xdr:nvCxnSpPr>
        <xdr:cNvPr id="42" name="Straight Arrow Connector 41">
          <a:extLst>
            <a:ext uri="{FF2B5EF4-FFF2-40B4-BE49-F238E27FC236}">
              <a16:creationId xmlns:a16="http://schemas.microsoft.com/office/drawing/2014/main" id="{1DD523F5-9705-4B32-BD40-D662A6798B34}"/>
            </a:ext>
          </a:extLst>
        </xdr:cNvPr>
        <xdr:cNvCxnSpPr/>
      </xdr:nvCxnSpPr>
      <xdr:spPr>
        <a:xfrm flipV="1">
          <a:off x="15694114289" y="6002511"/>
          <a:ext cx="8321040" cy="5331"/>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985643</xdr:colOff>
      <xdr:row>49</xdr:row>
      <xdr:rowOff>120892</xdr:rowOff>
    </xdr:from>
    <xdr:to>
      <xdr:col>24</xdr:col>
      <xdr:colOff>555337</xdr:colOff>
      <xdr:row>51</xdr:row>
      <xdr:rowOff>205740</xdr:rowOff>
    </xdr:to>
    <xdr:cxnSp macro="">
      <xdr:nvCxnSpPr>
        <xdr:cNvPr id="43" name="Connector: Elbow 42">
          <a:extLst>
            <a:ext uri="{FF2B5EF4-FFF2-40B4-BE49-F238E27FC236}">
              <a16:creationId xmlns:a16="http://schemas.microsoft.com/office/drawing/2014/main" id="{3DB354CA-A675-41DD-B2F7-8668B19E5E74}"/>
            </a:ext>
          </a:extLst>
        </xdr:cNvPr>
        <xdr:cNvCxnSpPr/>
      </xdr:nvCxnSpPr>
      <xdr:spPr>
        <a:xfrm>
          <a:off x="15693973180" y="8969057"/>
          <a:ext cx="2743200" cy="497224"/>
        </a:xfrm>
        <a:prstGeom prst="bentConnector3">
          <a:avLst>
            <a:gd name="adj1" fmla="val 10004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32655</xdr:colOff>
      <xdr:row>49</xdr:row>
      <xdr:rowOff>144780</xdr:rowOff>
    </xdr:from>
    <xdr:to>
      <xdr:col>21</xdr:col>
      <xdr:colOff>306975</xdr:colOff>
      <xdr:row>51</xdr:row>
      <xdr:rowOff>189603</xdr:rowOff>
    </xdr:to>
    <xdr:cxnSp macro="">
      <xdr:nvCxnSpPr>
        <xdr:cNvPr id="44" name="Connector: Elbow 43">
          <a:extLst>
            <a:ext uri="{FF2B5EF4-FFF2-40B4-BE49-F238E27FC236}">
              <a16:creationId xmlns:a16="http://schemas.microsoft.com/office/drawing/2014/main" id="{0E416868-3E22-4B50-B145-9C62D138F3FC}"/>
            </a:ext>
          </a:extLst>
        </xdr:cNvPr>
        <xdr:cNvCxnSpPr/>
      </xdr:nvCxnSpPr>
      <xdr:spPr>
        <a:xfrm rot="5400000" flipH="1" flipV="1">
          <a:off x="15676357574" y="9881603"/>
          <a:ext cx="458480" cy="274320"/>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11</xdr:row>
      <xdr:rowOff>119743</xdr:rowOff>
    </xdr:from>
    <xdr:to>
      <xdr:col>28</xdr:col>
      <xdr:colOff>350262</xdr:colOff>
      <xdr:row>11</xdr:row>
      <xdr:rowOff>119745</xdr:rowOff>
    </xdr:to>
    <xdr:cxnSp macro="">
      <xdr:nvCxnSpPr>
        <xdr:cNvPr id="51" name="Straight Arrow Connector 50">
          <a:extLst>
            <a:ext uri="{FF2B5EF4-FFF2-40B4-BE49-F238E27FC236}">
              <a16:creationId xmlns:a16="http://schemas.microsoft.com/office/drawing/2014/main" id="{CB2441FA-E16C-4B86-AD6B-5E158D895BE3}"/>
            </a:ext>
          </a:extLst>
        </xdr:cNvPr>
        <xdr:cNvCxnSpPr/>
      </xdr:nvCxnSpPr>
      <xdr:spPr>
        <a:xfrm flipV="1">
          <a:off x="15703799178" y="139990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17933</xdr:colOff>
      <xdr:row>11</xdr:row>
      <xdr:rowOff>87086</xdr:rowOff>
    </xdr:from>
    <xdr:to>
      <xdr:col>26</xdr:col>
      <xdr:colOff>368195</xdr:colOff>
      <xdr:row>11</xdr:row>
      <xdr:rowOff>87088</xdr:rowOff>
    </xdr:to>
    <xdr:cxnSp macro="">
      <xdr:nvCxnSpPr>
        <xdr:cNvPr id="52" name="Straight Arrow Connector 51">
          <a:extLst>
            <a:ext uri="{FF2B5EF4-FFF2-40B4-BE49-F238E27FC236}">
              <a16:creationId xmlns:a16="http://schemas.microsoft.com/office/drawing/2014/main" id="{9B8A9908-51EF-4CB1-8057-78FCEC0B5B81}"/>
            </a:ext>
          </a:extLst>
        </xdr:cNvPr>
        <xdr:cNvCxnSpPr/>
      </xdr:nvCxnSpPr>
      <xdr:spPr>
        <a:xfrm flipV="1">
          <a:off x="15706318705" y="136724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11</xdr:row>
      <xdr:rowOff>119743</xdr:rowOff>
    </xdr:from>
    <xdr:to>
      <xdr:col>28</xdr:col>
      <xdr:colOff>350262</xdr:colOff>
      <xdr:row>11</xdr:row>
      <xdr:rowOff>119745</xdr:rowOff>
    </xdr:to>
    <xdr:cxnSp macro="">
      <xdr:nvCxnSpPr>
        <xdr:cNvPr id="53" name="Straight Arrow Connector 52">
          <a:extLst>
            <a:ext uri="{FF2B5EF4-FFF2-40B4-BE49-F238E27FC236}">
              <a16:creationId xmlns:a16="http://schemas.microsoft.com/office/drawing/2014/main" id="{4E51673F-DEE6-4AB0-9C75-A4FE50DC31AF}"/>
            </a:ext>
          </a:extLst>
        </xdr:cNvPr>
        <xdr:cNvCxnSpPr/>
      </xdr:nvCxnSpPr>
      <xdr:spPr>
        <a:xfrm flipV="1">
          <a:off x="15703799178" y="139990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15</xdr:row>
      <xdr:rowOff>119743</xdr:rowOff>
    </xdr:from>
    <xdr:to>
      <xdr:col>28</xdr:col>
      <xdr:colOff>350262</xdr:colOff>
      <xdr:row>15</xdr:row>
      <xdr:rowOff>119745</xdr:rowOff>
    </xdr:to>
    <xdr:cxnSp macro="">
      <xdr:nvCxnSpPr>
        <xdr:cNvPr id="54" name="Straight Arrow Connector 53">
          <a:extLst>
            <a:ext uri="{FF2B5EF4-FFF2-40B4-BE49-F238E27FC236}">
              <a16:creationId xmlns:a16="http://schemas.microsoft.com/office/drawing/2014/main" id="{C0637BBC-6B77-4B3A-9B54-CCD57DA7AC1B}"/>
            </a:ext>
          </a:extLst>
        </xdr:cNvPr>
        <xdr:cNvCxnSpPr/>
      </xdr:nvCxnSpPr>
      <xdr:spPr>
        <a:xfrm flipV="1">
          <a:off x="15703799178" y="22533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17933</xdr:colOff>
      <xdr:row>15</xdr:row>
      <xdr:rowOff>87086</xdr:rowOff>
    </xdr:from>
    <xdr:to>
      <xdr:col>26</xdr:col>
      <xdr:colOff>368195</xdr:colOff>
      <xdr:row>15</xdr:row>
      <xdr:rowOff>87088</xdr:rowOff>
    </xdr:to>
    <xdr:cxnSp macro="">
      <xdr:nvCxnSpPr>
        <xdr:cNvPr id="55" name="Straight Arrow Connector 54">
          <a:extLst>
            <a:ext uri="{FF2B5EF4-FFF2-40B4-BE49-F238E27FC236}">
              <a16:creationId xmlns:a16="http://schemas.microsoft.com/office/drawing/2014/main" id="{004B1518-188C-4F4F-8ACF-C701D16E354D}"/>
            </a:ext>
          </a:extLst>
        </xdr:cNvPr>
        <xdr:cNvCxnSpPr/>
      </xdr:nvCxnSpPr>
      <xdr:spPr>
        <a:xfrm flipV="1">
          <a:off x="15706318705" y="222068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13</xdr:row>
      <xdr:rowOff>119743</xdr:rowOff>
    </xdr:from>
    <xdr:to>
      <xdr:col>28</xdr:col>
      <xdr:colOff>350262</xdr:colOff>
      <xdr:row>13</xdr:row>
      <xdr:rowOff>119745</xdr:rowOff>
    </xdr:to>
    <xdr:cxnSp macro="">
      <xdr:nvCxnSpPr>
        <xdr:cNvPr id="56" name="Straight Arrow Connector 55">
          <a:extLst>
            <a:ext uri="{FF2B5EF4-FFF2-40B4-BE49-F238E27FC236}">
              <a16:creationId xmlns:a16="http://schemas.microsoft.com/office/drawing/2014/main" id="{5ED68D6F-1E36-4407-AE87-EE600250870E}"/>
            </a:ext>
          </a:extLst>
        </xdr:cNvPr>
        <xdr:cNvCxnSpPr/>
      </xdr:nvCxnSpPr>
      <xdr:spPr>
        <a:xfrm flipV="1">
          <a:off x="15703799178" y="182662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17933</xdr:colOff>
      <xdr:row>13</xdr:row>
      <xdr:rowOff>87086</xdr:rowOff>
    </xdr:from>
    <xdr:to>
      <xdr:col>26</xdr:col>
      <xdr:colOff>368195</xdr:colOff>
      <xdr:row>13</xdr:row>
      <xdr:rowOff>87088</xdr:rowOff>
    </xdr:to>
    <xdr:cxnSp macro="">
      <xdr:nvCxnSpPr>
        <xdr:cNvPr id="57" name="Straight Arrow Connector 56">
          <a:extLst>
            <a:ext uri="{FF2B5EF4-FFF2-40B4-BE49-F238E27FC236}">
              <a16:creationId xmlns:a16="http://schemas.microsoft.com/office/drawing/2014/main" id="{0EF54971-8134-4B86-8D2B-651B3AC57F58}"/>
            </a:ext>
          </a:extLst>
        </xdr:cNvPr>
        <xdr:cNvCxnSpPr/>
      </xdr:nvCxnSpPr>
      <xdr:spPr>
        <a:xfrm flipV="1">
          <a:off x="15706318705" y="179396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13</xdr:row>
      <xdr:rowOff>119743</xdr:rowOff>
    </xdr:from>
    <xdr:to>
      <xdr:col>28</xdr:col>
      <xdr:colOff>350262</xdr:colOff>
      <xdr:row>13</xdr:row>
      <xdr:rowOff>119745</xdr:rowOff>
    </xdr:to>
    <xdr:cxnSp macro="">
      <xdr:nvCxnSpPr>
        <xdr:cNvPr id="58" name="Straight Arrow Connector 57">
          <a:extLst>
            <a:ext uri="{FF2B5EF4-FFF2-40B4-BE49-F238E27FC236}">
              <a16:creationId xmlns:a16="http://schemas.microsoft.com/office/drawing/2014/main" id="{E7B140F5-ED9D-42DD-9D65-5706FCA6B6BD}"/>
            </a:ext>
          </a:extLst>
        </xdr:cNvPr>
        <xdr:cNvCxnSpPr/>
      </xdr:nvCxnSpPr>
      <xdr:spPr>
        <a:xfrm flipV="1">
          <a:off x="15703799178" y="182662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12805</xdr:colOff>
      <xdr:row>17</xdr:row>
      <xdr:rowOff>119743</xdr:rowOff>
    </xdr:from>
    <xdr:to>
      <xdr:col>28</xdr:col>
      <xdr:colOff>363067</xdr:colOff>
      <xdr:row>17</xdr:row>
      <xdr:rowOff>119745</xdr:rowOff>
    </xdr:to>
    <xdr:cxnSp macro="">
      <xdr:nvCxnSpPr>
        <xdr:cNvPr id="59" name="Straight Arrow Connector 58">
          <a:extLst>
            <a:ext uri="{FF2B5EF4-FFF2-40B4-BE49-F238E27FC236}">
              <a16:creationId xmlns:a16="http://schemas.microsoft.com/office/drawing/2014/main" id="{0C16C3B7-902B-47FE-B2A8-3D0FA78BBB6A}"/>
            </a:ext>
          </a:extLst>
        </xdr:cNvPr>
        <xdr:cNvCxnSpPr/>
      </xdr:nvCxnSpPr>
      <xdr:spPr>
        <a:xfrm flipV="1">
          <a:off x="15703786373" y="268006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30738</xdr:colOff>
      <xdr:row>17</xdr:row>
      <xdr:rowOff>87086</xdr:rowOff>
    </xdr:from>
    <xdr:to>
      <xdr:col>26</xdr:col>
      <xdr:colOff>381000</xdr:colOff>
      <xdr:row>17</xdr:row>
      <xdr:rowOff>87088</xdr:rowOff>
    </xdr:to>
    <xdr:cxnSp macro="">
      <xdr:nvCxnSpPr>
        <xdr:cNvPr id="60" name="Straight Arrow Connector 59">
          <a:extLst>
            <a:ext uri="{FF2B5EF4-FFF2-40B4-BE49-F238E27FC236}">
              <a16:creationId xmlns:a16="http://schemas.microsoft.com/office/drawing/2014/main" id="{1F3358C3-3B2A-4EB5-96BF-91EE35DA51C3}"/>
            </a:ext>
          </a:extLst>
        </xdr:cNvPr>
        <xdr:cNvCxnSpPr/>
      </xdr:nvCxnSpPr>
      <xdr:spPr>
        <a:xfrm flipV="1">
          <a:off x="15706305900" y="264740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17932</xdr:colOff>
      <xdr:row>19</xdr:row>
      <xdr:rowOff>97972</xdr:rowOff>
    </xdr:from>
    <xdr:to>
      <xdr:col>26</xdr:col>
      <xdr:colOff>368194</xdr:colOff>
      <xdr:row>19</xdr:row>
      <xdr:rowOff>97974</xdr:rowOff>
    </xdr:to>
    <xdr:cxnSp macro="">
      <xdr:nvCxnSpPr>
        <xdr:cNvPr id="63" name="Straight Arrow Connector 62">
          <a:extLst>
            <a:ext uri="{FF2B5EF4-FFF2-40B4-BE49-F238E27FC236}">
              <a16:creationId xmlns:a16="http://schemas.microsoft.com/office/drawing/2014/main" id="{F9DED1CC-96A3-4BF1-BFE8-A8BBD7E874A1}"/>
            </a:ext>
          </a:extLst>
        </xdr:cNvPr>
        <xdr:cNvCxnSpPr/>
      </xdr:nvCxnSpPr>
      <xdr:spPr>
        <a:xfrm flipV="1">
          <a:off x="15706318706" y="3085012"/>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19</xdr:row>
      <xdr:rowOff>119743</xdr:rowOff>
    </xdr:from>
    <xdr:to>
      <xdr:col>28</xdr:col>
      <xdr:colOff>350262</xdr:colOff>
      <xdr:row>19</xdr:row>
      <xdr:rowOff>119745</xdr:rowOff>
    </xdr:to>
    <xdr:cxnSp macro="">
      <xdr:nvCxnSpPr>
        <xdr:cNvPr id="64" name="Straight Arrow Connector 63">
          <a:extLst>
            <a:ext uri="{FF2B5EF4-FFF2-40B4-BE49-F238E27FC236}">
              <a16:creationId xmlns:a16="http://schemas.microsoft.com/office/drawing/2014/main" id="{CF34B5F0-EAC0-462E-9CED-009DC347417C}"/>
            </a:ext>
          </a:extLst>
        </xdr:cNvPr>
        <xdr:cNvCxnSpPr/>
      </xdr:nvCxnSpPr>
      <xdr:spPr>
        <a:xfrm flipV="1">
          <a:off x="15703799178" y="310678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19851</xdr:colOff>
      <xdr:row>21</xdr:row>
      <xdr:rowOff>97972</xdr:rowOff>
    </xdr:from>
    <xdr:to>
      <xdr:col>26</xdr:col>
      <xdr:colOff>370113</xdr:colOff>
      <xdr:row>21</xdr:row>
      <xdr:rowOff>97974</xdr:rowOff>
    </xdr:to>
    <xdr:cxnSp macro="">
      <xdr:nvCxnSpPr>
        <xdr:cNvPr id="67" name="Straight Arrow Connector 66">
          <a:extLst>
            <a:ext uri="{FF2B5EF4-FFF2-40B4-BE49-F238E27FC236}">
              <a16:creationId xmlns:a16="http://schemas.microsoft.com/office/drawing/2014/main" id="{73A08171-A2CD-45F1-AE0B-0FA13C29B53B}"/>
            </a:ext>
          </a:extLst>
        </xdr:cNvPr>
        <xdr:cNvCxnSpPr/>
      </xdr:nvCxnSpPr>
      <xdr:spPr>
        <a:xfrm flipV="1">
          <a:off x="15706316787" y="3511732"/>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10885</xdr:colOff>
      <xdr:row>23</xdr:row>
      <xdr:rowOff>87086</xdr:rowOff>
    </xdr:from>
    <xdr:to>
      <xdr:col>26</xdr:col>
      <xdr:colOff>361147</xdr:colOff>
      <xdr:row>23</xdr:row>
      <xdr:rowOff>87088</xdr:rowOff>
    </xdr:to>
    <xdr:cxnSp macro="">
      <xdr:nvCxnSpPr>
        <xdr:cNvPr id="68" name="Straight Arrow Connector 67">
          <a:extLst>
            <a:ext uri="{FF2B5EF4-FFF2-40B4-BE49-F238E27FC236}">
              <a16:creationId xmlns:a16="http://schemas.microsoft.com/office/drawing/2014/main" id="{1A155417-0BEC-41C8-AA6F-BCA35793B892}"/>
            </a:ext>
          </a:extLst>
        </xdr:cNvPr>
        <xdr:cNvCxnSpPr/>
      </xdr:nvCxnSpPr>
      <xdr:spPr>
        <a:xfrm flipV="1">
          <a:off x="15706325753" y="391994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25</xdr:row>
      <xdr:rowOff>76200</xdr:rowOff>
    </xdr:from>
    <xdr:to>
      <xdr:col>26</xdr:col>
      <xdr:colOff>363067</xdr:colOff>
      <xdr:row>25</xdr:row>
      <xdr:rowOff>76202</xdr:rowOff>
    </xdr:to>
    <xdr:cxnSp macro="">
      <xdr:nvCxnSpPr>
        <xdr:cNvPr id="69" name="Straight Arrow Connector 68">
          <a:extLst>
            <a:ext uri="{FF2B5EF4-FFF2-40B4-BE49-F238E27FC236}">
              <a16:creationId xmlns:a16="http://schemas.microsoft.com/office/drawing/2014/main" id="{E57A9C08-E137-4A33-9EBC-9740E812E21B}"/>
            </a:ext>
          </a:extLst>
        </xdr:cNvPr>
        <xdr:cNvCxnSpPr/>
      </xdr:nvCxnSpPr>
      <xdr:spPr>
        <a:xfrm flipV="1">
          <a:off x="15706323833" y="432054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43</xdr:row>
      <xdr:rowOff>76200</xdr:rowOff>
    </xdr:from>
    <xdr:to>
      <xdr:col>26</xdr:col>
      <xdr:colOff>363067</xdr:colOff>
      <xdr:row>43</xdr:row>
      <xdr:rowOff>76202</xdr:rowOff>
    </xdr:to>
    <xdr:cxnSp macro="">
      <xdr:nvCxnSpPr>
        <xdr:cNvPr id="70" name="Straight Arrow Connector 69">
          <a:extLst>
            <a:ext uri="{FF2B5EF4-FFF2-40B4-BE49-F238E27FC236}">
              <a16:creationId xmlns:a16="http://schemas.microsoft.com/office/drawing/2014/main" id="{282C8CFD-1BB3-4412-A6D4-F633B222EB60}"/>
            </a:ext>
          </a:extLst>
        </xdr:cNvPr>
        <xdr:cNvCxnSpPr/>
      </xdr:nvCxnSpPr>
      <xdr:spPr>
        <a:xfrm flipV="1">
          <a:off x="15706323833" y="813054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47</xdr:row>
      <xdr:rowOff>119743</xdr:rowOff>
    </xdr:from>
    <xdr:to>
      <xdr:col>28</xdr:col>
      <xdr:colOff>350262</xdr:colOff>
      <xdr:row>47</xdr:row>
      <xdr:rowOff>119745</xdr:rowOff>
    </xdr:to>
    <xdr:cxnSp macro="">
      <xdr:nvCxnSpPr>
        <xdr:cNvPr id="71" name="Straight Arrow Connector 70">
          <a:extLst>
            <a:ext uri="{FF2B5EF4-FFF2-40B4-BE49-F238E27FC236}">
              <a16:creationId xmlns:a16="http://schemas.microsoft.com/office/drawing/2014/main" id="{7F12B50E-BD5F-4E1B-A71E-6BA32BA93532}"/>
            </a:ext>
          </a:extLst>
        </xdr:cNvPr>
        <xdr:cNvCxnSpPr/>
      </xdr:nvCxnSpPr>
      <xdr:spPr>
        <a:xfrm flipV="1">
          <a:off x="15706336638" y="89970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47</xdr:row>
      <xdr:rowOff>119743</xdr:rowOff>
    </xdr:from>
    <xdr:to>
      <xdr:col>28</xdr:col>
      <xdr:colOff>350262</xdr:colOff>
      <xdr:row>47</xdr:row>
      <xdr:rowOff>119745</xdr:rowOff>
    </xdr:to>
    <xdr:cxnSp macro="">
      <xdr:nvCxnSpPr>
        <xdr:cNvPr id="72" name="Straight Arrow Connector 71">
          <a:extLst>
            <a:ext uri="{FF2B5EF4-FFF2-40B4-BE49-F238E27FC236}">
              <a16:creationId xmlns:a16="http://schemas.microsoft.com/office/drawing/2014/main" id="{9E53B85F-1D93-495C-AE41-CA8981DE9501}"/>
            </a:ext>
          </a:extLst>
        </xdr:cNvPr>
        <xdr:cNvCxnSpPr/>
      </xdr:nvCxnSpPr>
      <xdr:spPr>
        <a:xfrm flipV="1">
          <a:off x="15706336638" y="89970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13854</xdr:colOff>
      <xdr:row>49</xdr:row>
      <xdr:rowOff>96983</xdr:rowOff>
    </xdr:from>
    <xdr:to>
      <xdr:col>28</xdr:col>
      <xdr:colOff>364116</xdr:colOff>
      <xdr:row>49</xdr:row>
      <xdr:rowOff>96985</xdr:rowOff>
    </xdr:to>
    <xdr:cxnSp macro="">
      <xdr:nvCxnSpPr>
        <xdr:cNvPr id="73" name="Straight Arrow Connector 72">
          <a:extLst>
            <a:ext uri="{FF2B5EF4-FFF2-40B4-BE49-F238E27FC236}">
              <a16:creationId xmlns:a16="http://schemas.microsoft.com/office/drawing/2014/main" id="{E5E95535-12D7-4A34-AF03-CA6EE799AE43}"/>
            </a:ext>
          </a:extLst>
        </xdr:cNvPr>
        <xdr:cNvCxnSpPr/>
      </xdr:nvCxnSpPr>
      <xdr:spPr>
        <a:xfrm flipV="1">
          <a:off x="15706322784" y="938576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27709</xdr:colOff>
      <xdr:row>52</xdr:row>
      <xdr:rowOff>110837</xdr:rowOff>
    </xdr:from>
    <xdr:to>
      <xdr:col>28</xdr:col>
      <xdr:colOff>377971</xdr:colOff>
      <xdr:row>52</xdr:row>
      <xdr:rowOff>110839</xdr:rowOff>
    </xdr:to>
    <xdr:cxnSp macro="">
      <xdr:nvCxnSpPr>
        <xdr:cNvPr id="74" name="Straight Arrow Connector 73">
          <a:extLst>
            <a:ext uri="{FF2B5EF4-FFF2-40B4-BE49-F238E27FC236}">
              <a16:creationId xmlns:a16="http://schemas.microsoft.com/office/drawing/2014/main" id="{5158F827-D17A-4729-996A-886AC342FFF3}"/>
            </a:ext>
          </a:extLst>
        </xdr:cNvPr>
        <xdr:cNvCxnSpPr/>
      </xdr:nvCxnSpPr>
      <xdr:spPr>
        <a:xfrm flipV="1">
          <a:off x="15706308929" y="10024457"/>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34</xdr:row>
      <xdr:rowOff>119743</xdr:rowOff>
    </xdr:from>
    <xdr:to>
      <xdr:col>28</xdr:col>
      <xdr:colOff>350262</xdr:colOff>
      <xdr:row>34</xdr:row>
      <xdr:rowOff>119745</xdr:rowOff>
    </xdr:to>
    <xdr:cxnSp macro="">
      <xdr:nvCxnSpPr>
        <xdr:cNvPr id="75" name="Straight Arrow Connector 74">
          <a:extLst>
            <a:ext uri="{FF2B5EF4-FFF2-40B4-BE49-F238E27FC236}">
              <a16:creationId xmlns:a16="http://schemas.microsoft.com/office/drawing/2014/main" id="{7FE2D3F2-6280-4262-804F-BFF1492866D7}"/>
            </a:ext>
          </a:extLst>
        </xdr:cNvPr>
        <xdr:cNvCxnSpPr/>
      </xdr:nvCxnSpPr>
      <xdr:spPr>
        <a:xfrm flipV="1">
          <a:off x="15706336638" y="626908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96982</xdr:colOff>
      <xdr:row>30</xdr:row>
      <xdr:rowOff>125221</xdr:rowOff>
    </xdr:from>
    <xdr:to>
      <xdr:col>14</xdr:col>
      <xdr:colOff>997531</xdr:colOff>
      <xdr:row>30</xdr:row>
      <xdr:rowOff>125221</xdr:rowOff>
    </xdr:to>
    <xdr:cxnSp macro="">
      <xdr:nvCxnSpPr>
        <xdr:cNvPr id="76" name="Straight Arrow Connector 75">
          <a:extLst>
            <a:ext uri="{FF2B5EF4-FFF2-40B4-BE49-F238E27FC236}">
              <a16:creationId xmlns:a16="http://schemas.microsoft.com/office/drawing/2014/main" id="{DD4C394A-50DF-4CFD-AA2A-E3B8ED4DB91B}"/>
            </a:ext>
          </a:extLst>
        </xdr:cNvPr>
        <xdr:cNvCxnSpPr/>
      </xdr:nvCxnSpPr>
      <xdr:spPr>
        <a:xfrm>
          <a:off x="15719862569" y="5421121"/>
          <a:ext cx="900549"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819150</xdr:colOff>
      <xdr:row>25</xdr:row>
      <xdr:rowOff>152401</xdr:rowOff>
    </xdr:from>
    <xdr:to>
      <xdr:col>23</xdr:col>
      <xdr:colOff>647700</xdr:colOff>
      <xdr:row>54</xdr:row>
      <xdr:rowOff>54429</xdr:rowOff>
    </xdr:to>
    <xdr:sp macro="" textlink="">
      <xdr:nvSpPr>
        <xdr:cNvPr id="77" name="Rectangle: Rounded Corners 76">
          <a:extLst>
            <a:ext uri="{FF2B5EF4-FFF2-40B4-BE49-F238E27FC236}">
              <a16:creationId xmlns:a16="http://schemas.microsoft.com/office/drawing/2014/main" id="{5681FC16-0E8E-4960-94F6-98DAC631F722}"/>
            </a:ext>
          </a:extLst>
        </xdr:cNvPr>
        <xdr:cNvSpPr/>
      </xdr:nvSpPr>
      <xdr:spPr>
        <a:xfrm>
          <a:off x="15709498680" y="4396741"/>
          <a:ext cx="10542270" cy="5990408"/>
        </a:xfrm>
        <a:prstGeom prst="roundRect">
          <a:avLst>
            <a:gd name="adj" fmla="val 10311"/>
          </a:avLst>
        </a:prstGeom>
        <a:noFill/>
        <a:ln w="381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solidFill>
              <a:sysClr val="windowText" lastClr="000000"/>
            </a:solidFill>
          </a:endParaRPr>
        </a:p>
      </xdr:txBody>
    </xdr:sp>
    <xdr:clientData/>
  </xdr:twoCellAnchor>
  <xdr:twoCellAnchor>
    <xdr:from>
      <xdr:col>15</xdr:col>
      <xdr:colOff>556655</xdr:colOff>
      <xdr:row>22</xdr:row>
      <xdr:rowOff>102424</xdr:rowOff>
    </xdr:from>
    <xdr:to>
      <xdr:col>17</xdr:col>
      <xdr:colOff>842405</xdr:colOff>
      <xdr:row>25</xdr:row>
      <xdr:rowOff>22414</xdr:rowOff>
    </xdr:to>
    <xdr:sp macro="" textlink="">
      <xdr:nvSpPr>
        <xdr:cNvPr id="78" name="TextBox 77">
          <a:extLst>
            <a:ext uri="{FF2B5EF4-FFF2-40B4-BE49-F238E27FC236}">
              <a16:creationId xmlns:a16="http://schemas.microsoft.com/office/drawing/2014/main" id="{EF5DCE17-004A-480F-ABC3-E6F3229F6629}"/>
            </a:ext>
          </a:extLst>
        </xdr:cNvPr>
        <xdr:cNvSpPr txBox="1"/>
      </xdr:nvSpPr>
      <xdr:spPr>
        <a:xfrm>
          <a:off x="15591982645" y="3874324"/>
          <a:ext cx="2743200" cy="548640"/>
        </a:xfrm>
        <a:prstGeom prst="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rtl="0"/>
          <a:r>
            <a:rPr lang="en-US" sz="2800" b="1">
              <a:solidFill>
                <a:sysClr val="windowText" lastClr="000000"/>
              </a:solidFill>
              <a:latin typeface="Times New Roman" panose="02020603050405020304" pitchFamily="18" charset="0"/>
              <a:cs typeface="Times New Roman" panose="02020603050405020304" pitchFamily="18" charset="0"/>
            </a:rPr>
            <a:t>Iron</a:t>
          </a:r>
          <a:r>
            <a:rPr lang="en-US" sz="2800" b="1" baseline="0">
              <a:solidFill>
                <a:sysClr val="windowText" lastClr="000000"/>
              </a:solidFill>
              <a:latin typeface="Times New Roman" panose="02020603050405020304" pitchFamily="18" charset="0"/>
              <a:cs typeface="Times New Roman" panose="02020603050405020304" pitchFamily="18" charset="0"/>
            </a:rPr>
            <a:t> making</a:t>
          </a:r>
        </a:p>
      </xdr:txBody>
    </xdr:sp>
    <xdr:clientData/>
  </xdr:twoCellAnchor>
  <xdr:twoCellAnchor>
    <xdr:from>
      <xdr:col>3</xdr:col>
      <xdr:colOff>209550</xdr:colOff>
      <xdr:row>25</xdr:row>
      <xdr:rowOff>133350</xdr:rowOff>
    </xdr:from>
    <xdr:to>
      <xdr:col>14</xdr:col>
      <xdr:colOff>361950</xdr:colOff>
      <xdr:row>35</xdr:row>
      <xdr:rowOff>57150</xdr:rowOff>
    </xdr:to>
    <xdr:sp macro="" textlink="">
      <xdr:nvSpPr>
        <xdr:cNvPr id="79" name="Rectangle: Rounded Corners 78">
          <a:extLst>
            <a:ext uri="{FF2B5EF4-FFF2-40B4-BE49-F238E27FC236}">
              <a16:creationId xmlns:a16="http://schemas.microsoft.com/office/drawing/2014/main" id="{FFE7E401-674C-4DB4-AEBF-AAABD1F73C3F}"/>
            </a:ext>
          </a:extLst>
        </xdr:cNvPr>
        <xdr:cNvSpPr/>
      </xdr:nvSpPr>
      <xdr:spPr>
        <a:xfrm>
          <a:off x="15720498150" y="4377690"/>
          <a:ext cx="11376660" cy="2042160"/>
        </a:xfrm>
        <a:prstGeom prst="roundRect">
          <a:avLst/>
        </a:prstGeom>
        <a:noFill/>
        <a:ln w="381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4</xdr:col>
      <xdr:colOff>194953</xdr:colOff>
      <xdr:row>22</xdr:row>
      <xdr:rowOff>64077</xdr:rowOff>
    </xdr:from>
    <xdr:to>
      <xdr:col>5</xdr:col>
      <xdr:colOff>652153</xdr:colOff>
      <xdr:row>24</xdr:row>
      <xdr:rowOff>193617</xdr:rowOff>
    </xdr:to>
    <xdr:sp macro="" textlink="">
      <xdr:nvSpPr>
        <xdr:cNvPr id="80" name="TextBox 79">
          <a:extLst>
            <a:ext uri="{FF2B5EF4-FFF2-40B4-BE49-F238E27FC236}">
              <a16:creationId xmlns:a16="http://schemas.microsoft.com/office/drawing/2014/main" id="{A9B0F7D6-762B-41FC-A6D0-DF88D497D09D}"/>
            </a:ext>
          </a:extLst>
        </xdr:cNvPr>
        <xdr:cNvSpPr txBox="1"/>
      </xdr:nvSpPr>
      <xdr:spPr>
        <a:xfrm>
          <a:off x="15605965097" y="3835977"/>
          <a:ext cx="2743200" cy="548640"/>
        </a:xfrm>
        <a:prstGeom prst="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rtl="0"/>
          <a:r>
            <a:rPr lang="en-US" sz="2800" b="1">
              <a:solidFill>
                <a:sysClr val="windowText" lastClr="000000"/>
              </a:solidFill>
              <a:latin typeface="Times New Roman" panose="02020603050405020304" pitchFamily="18" charset="0"/>
              <a:cs typeface="Times New Roman" panose="02020603050405020304" pitchFamily="18" charset="0"/>
            </a:rPr>
            <a:t>Steel Making</a:t>
          </a:r>
        </a:p>
      </xdr:txBody>
    </xdr:sp>
    <xdr:clientData/>
  </xdr:twoCellAnchor>
  <xdr:twoCellAnchor>
    <xdr:from>
      <xdr:col>2</xdr:col>
      <xdr:colOff>52062</xdr:colOff>
      <xdr:row>28</xdr:row>
      <xdr:rowOff>104598</xdr:rowOff>
    </xdr:from>
    <xdr:to>
      <xdr:col>3</xdr:col>
      <xdr:colOff>356858</xdr:colOff>
      <xdr:row>30</xdr:row>
      <xdr:rowOff>115485</xdr:rowOff>
    </xdr:to>
    <xdr:cxnSp macro="">
      <xdr:nvCxnSpPr>
        <xdr:cNvPr id="81" name="Connector: Elbow 80">
          <a:extLst>
            <a:ext uri="{FF2B5EF4-FFF2-40B4-BE49-F238E27FC236}">
              <a16:creationId xmlns:a16="http://schemas.microsoft.com/office/drawing/2014/main" id="{BB5C8868-306D-486E-875B-E504F702BDCB}"/>
            </a:ext>
          </a:extLst>
        </xdr:cNvPr>
        <xdr:cNvCxnSpPr/>
      </xdr:nvCxnSpPr>
      <xdr:spPr>
        <a:xfrm flipV="1">
          <a:off x="15731727502" y="4973778"/>
          <a:ext cx="1264916" cy="437607"/>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685798</xdr:colOff>
      <xdr:row>30</xdr:row>
      <xdr:rowOff>130627</xdr:rowOff>
    </xdr:from>
    <xdr:to>
      <xdr:col>3</xdr:col>
      <xdr:colOff>748146</xdr:colOff>
      <xdr:row>47</xdr:row>
      <xdr:rowOff>110839</xdr:rowOff>
    </xdr:to>
    <xdr:cxnSp macro="">
      <xdr:nvCxnSpPr>
        <xdr:cNvPr id="82" name="Connector: Elbow 81">
          <a:extLst>
            <a:ext uri="{FF2B5EF4-FFF2-40B4-BE49-F238E27FC236}">
              <a16:creationId xmlns:a16="http://schemas.microsoft.com/office/drawing/2014/main" id="{FDCA1175-E33A-4BEB-ACF8-997A0AB91CA4}"/>
            </a:ext>
          </a:extLst>
        </xdr:cNvPr>
        <xdr:cNvCxnSpPr/>
      </xdr:nvCxnSpPr>
      <xdr:spPr>
        <a:xfrm rot="5400000">
          <a:off x="15730066642" y="6696099"/>
          <a:ext cx="3561612" cy="1022468"/>
        </a:xfrm>
        <a:prstGeom prst="bentConnector3">
          <a:avLst>
            <a:gd name="adj1" fmla="val 99888"/>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473185</xdr:colOff>
      <xdr:row>31</xdr:row>
      <xdr:rowOff>5862</xdr:rowOff>
    </xdr:from>
    <xdr:to>
      <xdr:col>2</xdr:col>
      <xdr:colOff>700612</xdr:colOff>
      <xdr:row>47</xdr:row>
      <xdr:rowOff>97210</xdr:rowOff>
    </xdr:to>
    <xdr:cxnSp macro="">
      <xdr:nvCxnSpPr>
        <xdr:cNvPr id="83" name="Connector: Elbow 82">
          <a:extLst>
            <a:ext uri="{FF2B5EF4-FFF2-40B4-BE49-F238E27FC236}">
              <a16:creationId xmlns:a16="http://schemas.microsoft.com/office/drawing/2014/main" id="{F98FFF9F-8BB8-46F3-AF10-7A7846573F79}"/>
            </a:ext>
          </a:extLst>
        </xdr:cNvPr>
        <xdr:cNvCxnSpPr/>
      </xdr:nvCxnSpPr>
      <xdr:spPr>
        <a:xfrm rot="5400000">
          <a:off x="15731207948" y="6651042"/>
          <a:ext cx="3459388" cy="1187547"/>
        </a:xfrm>
        <a:prstGeom prst="bentConnector3">
          <a:avLst>
            <a:gd name="adj1" fmla="val 9997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1010067</xdr:colOff>
      <xdr:row>47</xdr:row>
      <xdr:rowOff>95002</xdr:rowOff>
    </xdr:from>
    <xdr:to>
      <xdr:col>6</xdr:col>
      <xdr:colOff>1004525</xdr:colOff>
      <xdr:row>47</xdr:row>
      <xdr:rowOff>95002</xdr:rowOff>
    </xdr:to>
    <xdr:cxnSp macro="">
      <xdr:nvCxnSpPr>
        <xdr:cNvPr id="84" name="Straight Arrow Connector 83">
          <a:extLst>
            <a:ext uri="{FF2B5EF4-FFF2-40B4-BE49-F238E27FC236}">
              <a16:creationId xmlns:a16="http://schemas.microsoft.com/office/drawing/2014/main" id="{A674A870-4F76-47C9-A03E-0D2766404A8D}"/>
            </a:ext>
          </a:extLst>
        </xdr:cNvPr>
        <xdr:cNvCxnSpPr/>
      </xdr:nvCxnSpPr>
      <xdr:spPr>
        <a:xfrm flipH="1" flipV="1">
          <a:off x="15661240457" y="8573984"/>
          <a:ext cx="100584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1037982</xdr:colOff>
      <xdr:row>40</xdr:row>
      <xdr:rowOff>143435</xdr:rowOff>
    </xdr:from>
    <xdr:to>
      <xdr:col>6</xdr:col>
      <xdr:colOff>1281952</xdr:colOff>
      <xdr:row>57</xdr:row>
      <xdr:rowOff>152398</xdr:rowOff>
    </xdr:to>
    <xdr:sp macro="" textlink="">
      <xdr:nvSpPr>
        <xdr:cNvPr id="85" name="Right Brace 84">
          <a:extLst>
            <a:ext uri="{FF2B5EF4-FFF2-40B4-BE49-F238E27FC236}">
              <a16:creationId xmlns:a16="http://schemas.microsoft.com/office/drawing/2014/main" id="{0CC443A0-7CA1-43FB-8FE4-60594C205B1A}"/>
            </a:ext>
          </a:extLst>
        </xdr:cNvPr>
        <xdr:cNvSpPr/>
      </xdr:nvSpPr>
      <xdr:spPr>
        <a:xfrm>
          <a:off x="15713829530" y="7135906"/>
          <a:ext cx="243970" cy="3451410"/>
        </a:xfrm>
        <a:prstGeom prst="rightBrace">
          <a:avLst>
            <a:gd name="adj1" fmla="val 35370"/>
            <a:gd name="adj2" fmla="val 40904"/>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9</xdr:col>
      <xdr:colOff>430306</xdr:colOff>
      <xdr:row>47</xdr:row>
      <xdr:rowOff>107577</xdr:rowOff>
    </xdr:from>
    <xdr:to>
      <xdr:col>9</xdr:col>
      <xdr:colOff>922724</xdr:colOff>
      <xdr:row>47</xdr:row>
      <xdr:rowOff>107577</xdr:rowOff>
    </xdr:to>
    <xdr:cxnSp macro="">
      <xdr:nvCxnSpPr>
        <xdr:cNvPr id="86" name="Straight Arrow Connector 85">
          <a:extLst>
            <a:ext uri="{FF2B5EF4-FFF2-40B4-BE49-F238E27FC236}">
              <a16:creationId xmlns:a16="http://schemas.microsoft.com/office/drawing/2014/main" id="{FA03FD3F-ABAA-4BA9-86A7-5212CCC6F802}"/>
            </a:ext>
          </a:extLst>
        </xdr:cNvPr>
        <xdr:cNvCxnSpPr/>
      </xdr:nvCxnSpPr>
      <xdr:spPr>
        <a:xfrm flipH="1" flipV="1">
          <a:off x="15724798936" y="8984877"/>
          <a:ext cx="492418"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429665</xdr:colOff>
      <xdr:row>50</xdr:row>
      <xdr:rowOff>98613</xdr:rowOff>
    </xdr:from>
    <xdr:to>
      <xdr:col>9</xdr:col>
      <xdr:colOff>922083</xdr:colOff>
      <xdr:row>50</xdr:row>
      <xdr:rowOff>98613</xdr:rowOff>
    </xdr:to>
    <xdr:cxnSp macro="">
      <xdr:nvCxnSpPr>
        <xdr:cNvPr id="87" name="Straight Arrow Connector 86">
          <a:extLst>
            <a:ext uri="{FF2B5EF4-FFF2-40B4-BE49-F238E27FC236}">
              <a16:creationId xmlns:a16="http://schemas.microsoft.com/office/drawing/2014/main" id="{8010F9AB-300C-4B98-85FD-FCE7042EE2F0}"/>
            </a:ext>
          </a:extLst>
        </xdr:cNvPr>
        <xdr:cNvCxnSpPr/>
      </xdr:nvCxnSpPr>
      <xdr:spPr>
        <a:xfrm flipH="1" flipV="1">
          <a:off x="15724799577" y="9593133"/>
          <a:ext cx="492418"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209550</xdr:colOff>
      <xdr:row>42</xdr:row>
      <xdr:rowOff>179294</xdr:rowOff>
    </xdr:from>
    <xdr:to>
      <xdr:col>9</xdr:col>
      <xdr:colOff>704850</xdr:colOff>
      <xdr:row>58</xdr:row>
      <xdr:rowOff>206188</xdr:rowOff>
    </xdr:to>
    <xdr:sp macro="" textlink="">
      <xdr:nvSpPr>
        <xdr:cNvPr id="88" name="Rectangle: Rounded Corners 87">
          <a:extLst>
            <a:ext uri="{FF2B5EF4-FFF2-40B4-BE49-F238E27FC236}">
              <a16:creationId xmlns:a16="http://schemas.microsoft.com/office/drawing/2014/main" id="{4F431B19-2EB1-40B9-80CE-B957D774A812}"/>
            </a:ext>
          </a:extLst>
        </xdr:cNvPr>
        <xdr:cNvSpPr/>
      </xdr:nvSpPr>
      <xdr:spPr>
        <a:xfrm>
          <a:off x="15725016810" y="8027894"/>
          <a:ext cx="6858000" cy="3364454"/>
        </a:xfrm>
        <a:prstGeom prst="roundRect">
          <a:avLst/>
        </a:prstGeom>
        <a:noFill/>
        <a:ln w="381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xdr:col>
      <xdr:colOff>677635</xdr:colOff>
      <xdr:row>39</xdr:row>
      <xdr:rowOff>159080</xdr:rowOff>
    </xdr:from>
    <xdr:to>
      <xdr:col>5</xdr:col>
      <xdr:colOff>723156</xdr:colOff>
      <xdr:row>42</xdr:row>
      <xdr:rowOff>115539</xdr:rowOff>
    </xdr:to>
    <xdr:sp macro="" textlink="">
      <xdr:nvSpPr>
        <xdr:cNvPr id="89" name="TextBox 88">
          <a:extLst>
            <a:ext uri="{FF2B5EF4-FFF2-40B4-BE49-F238E27FC236}">
              <a16:creationId xmlns:a16="http://schemas.microsoft.com/office/drawing/2014/main" id="{C536EFFD-6774-477E-A5AE-BABEC0D9F39F}"/>
            </a:ext>
          </a:extLst>
        </xdr:cNvPr>
        <xdr:cNvSpPr txBox="1"/>
      </xdr:nvSpPr>
      <xdr:spPr>
        <a:xfrm>
          <a:off x="15728999004" y="7375220"/>
          <a:ext cx="2407721" cy="58891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rtl="1"/>
          <a:r>
            <a:rPr lang="en-US" sz="2800" b="1">
              <a:solidFill>
                <a:schemeClr val="dk1"/>
              </a:solidFill>
              <a:latin typeface="Times New Roman" panose="02020603050405020304" pitchFamily="18" charset="0"/>
              <a:ea typeface="+mn-ea"/>
              <a:cs typeface="Times New Roman" panose="02020603050405020304" pitchFamily="18" charset="0"/>
            </a:rPr>
            <a:t>Hot Rolling</a:t>
          </a:r>
        </a:p>
      </xdr:txBody>
    </xdr:sp>
    <xdr:clientData/>
  </xdr:twoCellAnchor>
  <xdr:twoCellAnchor>
    <xdr:from>
      <xdr:col>9</xdr:col>
      <xdr:colOff>375460</xdr:colOff>
      <xdr:row>56</xdr:row>
      <xdr:rowOff>103906</xdr:rowOff>
    </xdr:from>
    <xdr:to>
      <xdr:col>22</xdr:col>
      <xdr:colOff>866726</xdr:colOff>
      <xdr:row>74</xdr:row>
      <xdr:rowOff>163073</xdr:rowOff>
    </xdr:to>
    <xdr:cxnSp macro="">
      <xdr:nvCxnSpPr>
        <xdr:cNvPr id="90" name="Connector: Elbow 89">
          <a:extLst>
            <a:ext uri="{FF2B5EF4-FFF2-40B4-BE49-F238E27FC236}">
              <a16:creationId xmlns:a16="http://schemas.microsoft.com/office/drawing/2014/main" id="{9EC70854-2A27-42D7-AFF6-F5FF4D0F72F4}"/>
            </a:ext>
          </a:extLst>
        </xdr:cNvPr>
        <xdr:cNvCxnSpPr/>
      </xdr:nvCxnSpPr>
      <xdr:spPr>
        <a:xfrm rot="5400000">
          <a:off x="15715892693" y="5309487"/>
          <a:ext cx="3899647" cy="15007366"/>
        </a:xfrm>
        <a:prstGeom prst="bentConnector3">
          <a:avLst>
            <a:gd name="adj1" fmla="val 36807"/>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75</xdr:row>
      <xdr:rowOff>119743</xdr:rowOff>
    </xdr:from>
    <xdr:to>
      <xdr:col>28</xdr:col>
      <xdr:colOff>350262</xdr:colOff>
      <xdr:row>75</xdr:row>
      <xdr:rowOff>119745</xdr:rowOff>
    </xdr:to>
    <xdr:cxnSp macro="">
      <xdr:nvCxnSpPr>
        <xdr:cNvPr id="91" name="Straight Arrow Connector 90">
          <a:extLst>
            <a:ext uri="{FF2B5EF4-FFF2-40B4-BE49-F238E27FC236}">
              <a16:creationId xmlns:a16="http://schemas.microsoft.com/office/drawing/2014/main" id="{EB11D36A-4B78-481C-B4CC-C89E8A0CC582}"/>
            </a:ext>
          </a:extLst>
        </xdr:cNvPr>
        <xdr:cNvCxnSpPr/>
      </xdr:nvCxnSpPr>
      <xdr:spPr>
        <a:xfrm flipV="1">
          <a:off x="15706336638" y="1493302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75</xdr:row>
      <xdr:rowOff>119743</xdr:rowOff>
    </xdr:from>
    <xdr:to>
      <xdr:col>28</xdr:col>
      <xdr:colOff>350262</xdr:colOff>
      <xdr:row>75</xdr:row>
      <xdr:rowOff>119745</xdr:rowOff>
    </xdr:to>
    <xdr:cxnSp macro="">
      <xdr:nvCxnSpPr>
        <xdr:cNvPr id="92" name="Straight Arrow Connector 91">
          <a:extLst>
            <a:ext uri="{FF2B5EF4-FFF2-40B4-BE49-F238E27FC236}">
              <a16:creationId xmlns:a16="http://schemas.microsoft.com/office/drawing/2014/main" id="{408D964F-5223-44C1-8048-C4B78347D9D0}"/>
            </a:ext>
          </a:extLst>
        </xdr:cNvPr>
        <xdr:cNvCxnSpPr/>
      </xdr:nvCxnSpPr>
      <xdr:spPr>
        <a:xfrm flipV="1">
          <a:off x="15706336638" y="1493302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77712</xdr:colOff>
      <xdr:row>75</xdr:row>
      <xdr:rowOff>96982</xdr:rowOff>
    </xdr:from>
    <xdr:to>
      <xdr:col>24</xdr:col>
      <xdr:colOff>491369</xdr:colOff>
      <xdr:row>75</xdr:row>
      <xdr:rowOff>98264</xdr:rowOff>
    </xdr:to>
    <xdr:cxnSp macro="">
      <xdr:nvCxnSpPr>
        <xdr:cNvPr id="93" name="Straight Arrow Connector 92">
          <a:extLst>
            <a:ext uri="{FF2B5EF4-FFF2-40B4-BE49-F238E27FC236}">
              <a16:creationId xmlns:a16="http://schemas.microsoft.com/office/drawing/2014/main" id="{416B7FE1-BB95-4508-B273-F6CDA6D38637}"/>
            </a:ext>
          </a:extLst>
        </xdr:cNvPr>
        <xdr:cNvCxnSpPr/>
      </xdr:nvCxnSpPr>
      <xdr:spPr>
        <a:xfrm flipV="1">
          <a:off x="15673097517" y="15369639"/>
          <a:ext cx="13716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1149928</xdr:colOff>
      <xdr:row>73</xdr:row>
      <xdr:rowOff>110840</xdr:rowOff>
    </xdr:from>
    <xdr:to>
      <xdr:col>22</xdr:col>
      <xdr:colOff>238299</xdr:colOff>
      <xdr:row>74</xdr:row>
      <xdr:rowOff>177342</xdr:rowOff>
    </xdr:to>
    <xdr:cxnSp macro="">
      <xdr:nvCxnSpPr>
        <xdr:cNvPr id="94" name="Connector: Elbow 93">
          <a:extLst>
            <a:ext uri="{FF2B5EF4-FFF2-40B4-BE49-F238E27FC236}">
              <a16:creationId xmlns:a16="http://schemas.microsoft.com/office/drawing/2014/main" id="{03DE599B-47DB-4BC5-AE0B-D2880B33B7FF}"/>
            </a:ext>
          </a:extLst>
        </xdr:cNvPr>
        <xdr:cNvCxnSpPr/>
      </xdr:nvCxnSpPr>
      <xdr:spPr>
        <a:xfrm rot="5400000" flipH="1" flipV="1">
          <a:off x="15710950636" y="14514025"/>
          <a:ext cx="279862" cy="246611"/>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134470</xdr:colOff>
      <xdr:row>74</xdr:row>
      <xdr:rowOff>163830</xdr:rowOff>
    </xdr:from>
    <xdr:to>
      <xdr:col>19</xdr:col>
      <xdr:colOff>263767</xdr:colOff>
      <xdr:row>93</xdr:row>
      <xdr:rowOff>53788</xdr:rowOff>
    </xdr:to>
    <xdr:sp macro="" textlink="">
      <xdr:nvSpPr>
        <xdr:cNvPr id="95" name="Left Brace 94">
          <a:extLst>
            <a:ext uri="{FF2B5EF4-FFF2-40B4-BE49-F238E27FC236}">
              <a16:creationId xmlns:a16="http://schemas.microsoft.com/office/drawing/2014/main" id="{55F2D9D2-9E5E-4363-B1A9-1FE6C677AD58}"/>
            </a:ext>
          </a:extLst>
        </xdr:cNvPr>
        <xdr:cNvSpPr/>
      </xdr:nvSpPr>
      <xdr:spPr>
        <a:xfrm>
          <a:off x="15699948374" y="13646748"/>
          <a:ext cx="129297" cy="3332405"/>
        </a:xfrm>
        <a:prstGeom prst="leftBrace">
          <a:avLst>
            <a:gd name="adj1" fmla="val 73253"/>
            <a:gd name="adj2" fmla="val 4327"/>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19</xdr:col>
      <xdr:colOff>421341</xdr:colOff>
      <xdr:row>75</xdr:row>
      <xdr:rowOff>110837</xdr:rowOff>
    </xdr:from>
    <xdr:to>
      <xdr:col>21</xdr:col>
      <xdr:colOff>199554</xdr:colOff>
      <xdr:row>75</xdr:row>
      <xdr:rowOff>125505</xdr:rowOff>
    </xdr:to>
    <xdr:cxnSp macro="">
      <xdr:nvCxnSpPr>
        <xdr:cNvPr id="96" name="Straight Arrow Connector 95">
          <a:extLst>
            <a:ext uri="{FF2B5EF4-FFF2-40B4-BE49-F238E27FC236}">
              <a16:creationId xmlns:a16="http://schemas.microsoft.com/office/drawing/2014/main" id="{6CE24726-7916-4E08-950E-16051A039075}"/>
            </a:ext>
          </a:extLst>
        </xdr:cNvPr>
        <xdr:cNvCxnSpPr/>
      </xdr:nvCxnSpPr>
      <xdr:spPr>
        <a:xfrm>
          <a:off x="15712164246" y="14924117"/>
          <a:ext cx="2292813" cy="14668"/>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73</xdr:row>
      <xdr:rowOff>110836</xdr:rowOff>
    </xdr:from>
    <xdr:to>
      <xdr:col>18</xdr:col>
      <xdr:colOff>274320</xdr:colOff>
      <xdr:row>74</xdr:row>
      <xdr:rowOff>177338</xdr:rowOff>
    </xdr:to>
    <xdr:cxnSp macro="">
      <xdr:nvCxnSpPr>
        <xdr:cNvPr id="97" name="Connector: Elbow 96">
          <a:extLst>
            <a:ext uri="{FF2B5EF4-FFF2-40B4-BE49-F238E27FC236}">
              <a16:creationId xmlns:a16="http://schemas.microsoft.com/office/drawing/2014/main" id="{A0946A04-C999-4153-B47C-5E9A8BC117B2}"/>
            </a:ext>
          </a:extLst>
        </xdr:cNvPr>
        <xdr:cNvCxnSpPr/>
      </xdr:nvCxnSpPr>
      <xdr:spPr>
        <a:xfrm rot="5400000" flipH="1" flipV="1">
          <a:off x="15715652869" y="14500167"/>
          <a:ext cx="279862" cy="274320"/>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399084</xdr:colOff>
      <xdr:row>75</xdr:row>
      <xdr:rowOff>108858</xdr:rowOff>
    </xdr:from>
    <xdr:to>
      <xdr:col>17</xdr:col>
      <xdr:colOff>431357</xdr:colOff>
      <xdr:row>75</xdr:row>
      <xdr:rowOff>108858</xdr:rowOff>
    </xdr:to>
    <xdr:cxnSp macro="">
      <xdr:nvCxnSpPr>
        <xdr:cNvPr id="99" name="Straight Arrow Connector 98">
          <a:extLst>
            <a:ext uri="{FF2B5EF4-FFF2-40B4-BE49-F238E27FC236}">
              <a16:creationId xmlns:a16="http://schemas.microsoft.com/office/drawing/2014/main" id="{4B52C7CF-B335-462F-8621-27A8800468AD}"/>
            </a:ext>
          </a:extLst>
        </xdr:cNvPr>
        <xdr:cNvCxnSpPr/>
      </xdr:nvCxnSpPr>
      <xdr:spPr>
        <a:xfrm>
          <a:off x="15716923543" y="14922138"/>
          <a:ext cx="1190513"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130629</xdr:colOff>
      <xdr:row>74</xdr:row>
      <xdr:rowOff>119743</xdr:rowOff>
    </xdr:from>
    <xdr:to>
      <xdr:col>16</xdr:col>
      <xdr:colOff>259019</xdr:colOff>
      <xdr:row>90</xdr:row>
      <xdr:rowOff>110837</xdr:rowOff>
    </xdr:to>
    <xdr:sp macro="" textlink="">
      <xdr:nvSpPr>
        <xdr:cNvPr id="100" name="Left Brace 99">
          <a:extLst>
            <a:ext uri="{FF2B5EF4-FFF2-40B4-BE49-F238E27FC236}">
              <a16:creationId xmlns:a16="http://schemas.microsoft.com/office/drawing/2014/main" id="{ED03FC2B-0660-447C-B1E2-C87104694861}"/>
            </a:ext>
          </a:extLst>
        </xdr:cNvPr>
        <xdr:cNvSpPr/>
      </xdr:nvSpPr>
      <xdr:spPr>
        <a:xfrm>
          <a:off x="15718254121" y="14719663"/>
          <a:ext cx="128390" cy="3404854"/>
        </a:xfrm>
        <a:prstGeom prst="leftBrace">
          <a:avLst>
            <a:gd name="adj1" fmla="val 55197"/>
            <a:gd name="adj2" fmla="val 6538"/>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28</xdr:col>
      <xdr:colOff>0</xdr:colOff>
      <xdr:row>77</xdr:row>
      <xdr:rowOff>119743</xdr:rowOff>
    </xdr:from>
    <xdr:to>
      <xdr:col>28</xdr:col>
      <xdr:colOff>350262</xdr:colOff>
      <xdr:row>77</xdr:row>
      <xdr:rowOff>119745</xdr:rowOff>
    </xdr:to>
    <xdr:cxnSp macro="">
      <xdr:nvCxnSpPr>
        <xdr:cNvPr id="101" name="Straight Arrow Connector 100">
          <a:extLst>
            <a:ext uri="{FF2B5EF4-FFF2-40B4-BE49-F238E27FC236}">
              <a16:creationId xmlns:a16="http://schemas.microsoft.com/office/drawing/2014/main" id="{7AAB1E28-9723-482D-AD71-C1BF188B806F}"/>
            </a:ext>
          </a:extLst>
        </xdr:cNvPr>
        <xdr:cNvCxnSpPr/>
      </xdr:nvCxnSpPr>
      <xdr:spPr>
        <a:xfrm flipV="1">
          <a:off x="15706336638" y="153597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77</xdr:row>
      <xdr:rowOff>119743</xdr:rowOff>
    </xdr:from>
    <xdr:to>
      <xdr:col>28</xdr:col>
      <xdr:colOff>350262</xdr:colOff>
      <xdr:row>77</xdr:row>
      <xdr:rowOff>119745</xdr:rowOff>
    </xdr:to>
    <xdr:cxnSp macro="">
      <xdr:nvCxnSpPr>
        <xdr:cNvPr id="102" name="Straight Arrow Connector 101">
          <a:extLst>
            <a:ext uri="{FF2B5EF4-FFF2-40B4-BE49-F238E27FC236}">
              <a16:creationId xmlns:a16="http://schemas.microsoft.com/office/drawing/2014/main" id="{B4791873-5097-4461-969A-423CEE07E79A}"/>
            </a:ext>
          </a:extLst>
        </xdr:cNvPr>
        <xdr:cNvCxnSpPr/>
      </xdr:nvCxnSpPr>
      <xdr:spPr>
        <a:xfrm flipV="1">
          <a:off x="15706336638" y="153597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1164814</xdr:colOff>
      <xdr:row>76</xdr:row>
      <xdr:rowOff>26029</xdr:rowOff>
    </xdr:from>
    <xdr:to>
      <xdr:col>24</xdr:col>
      <xdr:colOff>990130</xdr:colOff>
      <xdr:row>77</xdr:row>
      <xdr:rowOff>139240</xdr:rowOff>
    </xdr:to>
    <xdr:cxnSp macro="">
      <xdr:nvCxnSpPr>
        <xdr:cNvPr id="103" name="Connector: Elbow 102">
          <a:extLst>
            <a:ext uri="{FF2B5EF4-FFF2-40B4-BE49-F238E27FC236}">
              <a16:creationId xmlns:a16="http://schemas.microsoft.com/office/drawing/2014/main" id="{551109FC-3238-4475-A59B-A00080DE2F92}"/>
            </a:ext>
          </a:extLst>
        </xdr:cNvPr>
        <xdr:cNvCxnSpPr/>
      </xdr:nvCxnSpPr>
      <xdr:spPr>
        <a:xfrm flipV="1">
          <a:off x="15708196130" y="15052669"/>
          <a:ext cx="10439976" cy="326571"/>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27709</xdr:colOff>
      <xdr:row>67</xdr:row>
      <xdr:rowOff>138546</xdr:rowOff>
    </xdr:from>
    <xdr:to>
      <xdr:col>14</xdr:col>
      <xdr:colOff>393469</xdr:colOff>
      <xdr:row>74</xdr:row>
      <xdr:rowOff>130233</xdr:rowOff>
    </xdr:to>
    <xdr:cxnSp macro="">
      <xdr:nvCxnSpPr>
        <xdr:cNvPr id="104" name="Connector: Elbow 103">
          <a:extLst>
            <a:ext uri="{FF2B5EF4-FFF2-40B4-BE49-F238E27FC236}">
              <a16:creationId xmlns:a16="http://schemas.microsoft.com/office/drawing/2014/main" id="{90835E96-FA52-4B8C-8FB1-698EB4B51FB8}"/>
            </a:ext>
          </a:extLst>
        </xdr:cNvPr>
        <xdr:cNvCxnSpPr/>
      </xdr:nvCxnSpPr>
      <xdr:spPr>
        <a:xfrm rot="5400000" flipH="1" flipV="1">
          <a:off x="15719906907" y="13804670"/>
          <a:ext cx="1485207" cy="365760"/>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22968</xdr:colOff>
      <xdr:row>75</xdr:row>
      <xdr:rowOff>110837</xdr:rowOff>
    </xdr:from>
    <xdr:to>
      <xdr:col>13</xdr:col>
      <xdr:colOff>1028808</xdr:colOff>
      <xdr:row>75</xdr:row>
      <xdr:rowOff>110837</xdr:rowOff>
    </xdr:to>
    <xdr:cxnSp macro="">
      <xdr:nvCxnSpPr>
        <xdr:cNvPr id="105" name="Straight Arrow Connector 104">
          <a:extLst>
            <a:ext uri="{FF2B5EF4-FFF2-40B4-BE49-F238E27FC236}">
              <a16:creationId xmlns:a16="http://schemas.microsoft.com/office/drawing/2014/main" id="{10068DCA-6CE4-4DD3-B339-70B2F7C19698}"/>
            </a:ext>
          </a:extLst>
        </xdr:cNvPr>
        <xdr:cNvCxnSpPr/>
      </xdr:nvCxnSpPr>
      <xdr:spPr>
        <a:xfrm>
          <a:off x="15685361678" y="13511151"/>
          <a:ext cx="100584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41563</xdr:colOff>
      <xdr:row>67</xdr:row>
      <xdr:rowOff>124692</xdr:rowOff>
    </xdr:from>
    <xdr:to>
      <xdr:col>11</xdr:col>
      <xdr:colOff>407323</xdr:colOff>
      <xdr:row>74</xdr:row>
      <xdr:rowOff>116379</xdr:rowOff>
    </xdr:to>
    <xdr:cxnSp macro="">
      <xdr:nvCxnSpPr>
        <xdr:cNvPr id="106" name="Connector: Elbow 105">
          <a:extLst>
            <a:ext uri="{FF2B5EF4-FFF2-40B4-BE49-F238E27FC236}">
              <a16:creationId xmlns:a16="http://schemas.microsoft.com/office/drawing/2014/main" id="{BB88469C-EC05-4F62-9569-2544F77D8DE3}"/>
            </a:ext>
          </a:extLst>
        </xdr:cNvPr>
        <xdr:cNvCxnSpPr/>
      </xdr:nvCxnSpPr>
      <xdr:spPr>
        <a:xfrm rot="5400000" flipH="1" flipV="1">
          <a:off x="15722834373" y="13790816"/>
          <a:ext cx="1485207" cy="365760"/>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79</xdr:row>
      <xdr:rowOff>119743</xdr:rowOff>
    </xdr:from>
    <xdr:to>
      <xdr:col>28</xdr:col>
      <xdr:colOff>350262</xdr:colOff>
      <xdr:row>79</xdr:row>
      <xdr:rowOff>119745</xdr:rowOff>
    </xdr:to>
    <xdr:cxnSp macro="">
      <xdr:nvCxnSpPr>
        <xdr:cNvPr id="107" name="Straight Arrow Connector 106">
          <a:extLst>
            <a:ext uri="{FF2B5EF4-FFF2-40B4-BE49-F238E27FC236}">
              <a16:creationId xmlns:a16="http://schemas.microsoft.com/office/drawing/2014/main" id="{81FA9694-FF9D-4295-A1CF-A1E8C981F130}"/>
            </a:ext>
          </a:extLst>
        </xdr:cNvPr>
        <xdr:cNvCxnSpPr/>
      </xdr:nvCxnSpPr>
      <xdr:spPr>
        <a:xfrm flipV="1">
          <a:off x="15706336638" y="1578646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79</xdr:row>
      <xdr:rowOff>119743</xdr:rowOff>
    </xdr:from>
    <xdr:to>
      <xdr:col>28</xdr:col>
      <xdr:colOff>350262</xdr:colOff>
      <xdr:row>79</xdr:row>
      <xdr:rowOff>119745</xdr:rowOff>
    </xdr:to>
    <xdr:cxnSp macro="">
      <xdr:nvCxnSpPr>
        <xdr:cNvPr id="108" name="Straight Arrow Connector 107">
          <a:extLst>
            <a:ext uri="{FF2B5EF4-FFF2-40B4-BE49-F238E27FC236}">
              <a16:creationId xmlns:a16="http://schemas.microsoft.com/office/drawing/2014/main" id="{AB5DF3A2-913C-4C06-B755-48054F2DD64C}"/>
            </a:ext>
          </a:extLst>
        </xdr:cNvPr>
        <xdr:cNvCxnSpPr/>
      </xdr:nvCxnSpPr>
      <xdr:spPr>
        <a:xfrm flipV="1">
          <a:off x="15706336638" y="1578646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729344</xdr:colOff>
      <xdr:row>76</xdr:row>
      <xdr:rowOff>32657</xdr:rowOff>
    </xdr:from>
    <xdr:to>
      <xdr:col>24</xdr:col>
      <xdr:colOff>1022746</xdr:colOff>
      <xdr:row>79</xdr:row>
      <xdr:rowOff>58782</xdr:rowOff>
    </xdr:to>
    <xdr:cxnSp macro="">
      <xdr:nvCxnSpPr>
        <xdr:cNvPr id="109" name="Connector: Elbow 108">
          <a:extLst>
            <a:ext uri="{FF2B5EF4-FFF2-40B4-BE49-F238E27FC236}">
              <a16:creationId xmlns:a16="http://schemas.microsoft.com/office/drawing/2014/main" id="{14747462-7DBE-4701-AEB1-756BE2895B3A}"/>
            </a:ext>
          </a:extLst>
        </xdr:cNvPr>
        <xdr:cNvCxnSpPr/>
      </xdr:nvCxnSpPr>
      <xdr:spPr>
        <a:xfrm flipV="1">
          <a:off x="15708163514" y="15059297"/>
          <a:ext cx="13917962" cy="666205"/>
        </a:xfrm>
        <a:prstGeom prst="bentConnector3">
          <a:avLst>
            <a:gd name="adj1" fmla="val 9996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1413163</xdr:colOff>
      <xdr:row>94</xdr:row>
      <xdr:rowOff>27708</xdr:rowOff>
    </xdr:from>
    <xdr:to>
      <xdr:col>18</xdr:col>
      <xdr:colOff>260465</xdr:colOff>
      <xdr:row>96</xdr:row>
      <xdr:rowOff>94210</xdr:rowOff>
    </xdr:to>
    <xdr:cxnSp macro="">
      <xdr:nvCxnSpPr>
        <xdr:cNvPr id="110" name="Connector: Elbow 109">
          <a:extLst>
            <a:ext uri="{FF2B5EF4-FFF2-40B4-BE49-F238E27FC236}">
              <a16:creationId xmlns:a16="http://schemas.microsoft.com/office/drawing/2014/main" id="{98580044-A559-418D-8834-C511ED48B290}"/>
            </a:ext>
          </a:extLst>
        </xdr:cNvPr>
        <xdr:cNvCxnSpPr/>
      </xdr:nvCxnSpPr>
      <xdr:spPr>
        <a:xfrm rot="10800000" flipH="1" flipV="1">
          <a:off x="15715669495" y="18894828"/>
          <a:ext cx="272242" cy="493222"/>
        </a:xfrm>
        <a:prstGeom prst="bentConnector3">
          <a:avLst>
            <a:gd name="adj1" fmla="val 404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67</xdr:row>
      <xdr:rowOff>124692</xdr:rowOff>
    </xdr:from>
    <xdr:to>
      <xdr:col>21</xdr:col>
      <xdr:colOff>252152</xdr:colOff>
      <xdr:row>72</xdr:row>
      <xdr:rowOff>141317</xdr:rowOff>
    </xdr:to>
    <xdr:cxnSp macro="">
      <xdr:nvCxnSpPr>
        <xdr:cNvPr id="111" name="Connector: Elbow 110">
          <a:extLst>
            <a:ext uri="{FF2B5EF4-FFF2-40B4-BE49-F238E27FC236}">
              <a16:creationId xmlns:a16="http://schemas.microsoft.com/office/drawing/2014/main" id="{67E14910-E26F-4758-9546-AA5A0DA70719}"/>
            </a:ext>
          </a:extLst>
        </xdr:cNvPr>
        <xdr:cNvCxnSpPr/>
      </xdr:nvCxnSpPr>
      <xdr:spPr>
        <a:xfrm rot="5400000" flipH="1" flipV="1">
          <a:off x="15711696011" y="13646729"/>
          <a:ext cx="1083425" cy="252152"/>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17581</xdr:colOff>
      <xdr:row>67</xdr:row>
      <xdr:rowOff>87924</xdr:rowOff>
    </xdr:from>
    <xdr:to>
      <xdr:col>19</xdr:col>
      <xdr:colOff>715105</xdr:colOff>
      <xdr:row>75</xdr:row>
      <xdr:rowOff>101992</xdr:rowOff>
    </xdr:to>
    <xdr:cxnSp macro="">
      <xdr:nvCxnSpPr>
        <xdr:cNvPr id="112" name="Connector: Elbow 111">
          <a:extLst>
            <a:ext uri="{FF2B5EF4-FFF2-40B4-BE49-F238E27FC236}">
              <a16:creationId xmlns:a16="http://schemas.microsoft.com/office/drawing/2014/main" id="{514F2F29-6EE4-4505-BEF6-30558180D8C3}"/>
            </a:ext>
          </a:extLst>
        </xdr:cNvPr>
        <xdr:cNvCxnSpPr/>
      </xdr:nvCxnSpPr>
      <xdr:spPr>
        <a:xfrm rot="5400000" flipH="1" flipV="1">
          <a:off x="15713651583" y="13706036"/>
          <a:ext cx="1720948" cy="697524"/>
        </a:xfrm>
        <a:prstGeom prst="bentConnector3">
          <a:avLst>
            <a:gd name="adj1" fmla="val 9974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1273629</xdr:colOff>
      <xdr:row>88</xdr:row>
      <xdr:rowOff>141516</xdr:rowOff>
    </xdr:from>
    <xdr:to>
      <xdr:col>17</xdr:col>
      <xdr:colOff>457200</xdr:colOff>
      <xdr:row>92</xdr:row>
      <xdr:rowOff>76199</xdr:rowOff>
    </xdr:to>
    <xdr:cxnSp macro="">
      <xdr:nvCxnSpPr>
        <xdr:cNvPr id="113" name="Connector: Elbow 112">
          <a:extLst>
            <a:ext uri="{FF2B5EF4-FFF2-40B4-BE49-F238E27FC236}">
              <a16:creationId xmlns:a16="http://schemas.microsoft.com/office/drawing/2014/main" id="{D2C7AC02-5FD6-40FA-B307-6E0A484E2E79}"/>
            </a:ext>
          </a:extLst>
        </xdr:cNvPr>
        <xdr:cNvCxnSpPr/>
      </xdr:nvCxnSpPr>
      <xdr:spPr>
        <a:xfrm flipV="1">
          <a:off x="15716897700" y="17728476"/>
          <a:ext cx="1629591" cy="788123"/>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36145</xdr:colOff>
      <xdr:row>89</xdr:row>
      <xdr:rowOff>208632</xdr:rowOff>
    </xdr:from>
    <xdr:to>
      <xdr:col>12</xdr:col>
      <xdr:colOff>310464</xdr:colOff>
      <xdr:row>92</xdr:row>
      <xdr:rowOff>104129</xdr:rowOff>
    </xdr:to>
    <xdr:cxnSp macro="">
      <xdr:nvCxnSpPr>
        <xdr:cNvPr id="114" name="Connector: Elbow 113">
          <a:extLst>
            <a:ext uri="{FF2B5EF4-FFF2-40B4-BE49-F238E27FC236}">
              <a16:creationId xmlns:a16="http://schemas.microsoft.com/office/drawing/2014/main" id="{A05B48AE-7658-44D4-BA61-C25AA1368AFA}"/>
            </a:ext>
          </a:extLst>
        </xdr:cNvPr>
        <xdr:cNvCxnSpPr/>
      </xdr:nvCxnSpPr>
      <xdr:spPr>
        <a:xfrm rot="16200000" flipH="1">
          <a:off x="15722369727" y="18139581"/>
          <a:ext cx="535577" cy="274319"/>
        </a:xfrm>
        <a:prstGeom prst="bentConnector3">
          <a:avLst>
            <a:gd name="adj1" fmla="val 98438"/>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466168</xdr:colOff>
      <xdr:row>68</xdr:row>
      <xdr:rowOff>35859</xdr:rowOff>
    </xdr:from>
    <xdr:to>
      <xdr:col>13</xdr:col>
      <xdr:colOff>1014808</xdr:colOff>
      <xdr:row>80</xdr:row>
      <xdr:rowOff>78890</xdr:rowOff>
    </xdr:to>
    <xdr:cxnSp macro="">
      <xdr:nvCxnSpPr>
        <xdr:cNvPr id="115" name="Connector: Elbow 114">
          <a:extLst>
            <a:ext uri="{FF2B5EF4-FFF2-40B4-BE49-F238E27FC236}">
              <a16:creationId xmlns:a16="http://schemas.microsoft.com/office/drawing/2014/main" id="{01C8CF5F-63AD-48A8-AC85-DCB2F53E0431}"/>
            </a:ext>
          </a:extLst>
        </xdr:cNvPr>
        <xdr:cNvCxnSpPr/>
      </xdr:nvCxnSpPr>
      <xdr:spPr>
        <a:xfrm rot="5400000" flipH="1" flipV="1">
          <a:off x="15684583454" y="13009197"/>
          <a:ext cx="2133088" cy="548640"/>
        </a:xfrm>
        <a:prstGeom prst="bentConnector3">
          <a:avLst>
            <a:gd name="adj1" fmla="val -196"/>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53460</xdr:colOff>
      <xdr:row>88</xdr:row>
      <xdr:rowOff>116541</xdr:rowOff>
    </xdr:from>
    <xdr:to>
      <xdr:col>13</xdr:col>
      <xdr:colOff>967860</xdr:colOff>
      <xdr:row>88</xdr:row>
      <xdr:rowOff>116541</xdr:rowOff>
    </xdr:to>
    <xdr:cxnSp macro="">
      <xdr:nvCxnSpPr>
        <xdr:cNvPr id="116" name="Straight Arrow Connector 115">
          <a:extLst>
            <a:ext uri="{FF2B5EF4-FFF2-40B4-BE49-F238E27FC236}">
              <a16:creationId xmlns:a16="http://schemas.microsoft.com/office/drawing/2014/main" id="{6E70D39D-2063-4D84-A553-74A867D3F8FF}"/>
            </a:ext>
          </a:extLst>
        </xdr:cNvPr>
        <xdr:cNvCxnSpPr/>
      </xdr:nvCxnSpPr>
      <xdr:spPr>
        <a:xfrm>
          <a:off x="15720951420" y="17703501"/>
          <a:ext cx="91440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32142</xdr:colOff>
      <xdr:row>84</xdr:row>
      <xdr:rowOff>94770</xdr:rowOff>
    </xdr:from>
    <xdr:to>
      <xdr:col>13</xdr:col>
      <xdr:colOff>1027096</xdr:colOff>
      <xdr:row>84</xdr:row>
      <xdr:rowOff>94770</xdr:rowOff>
    </xdr:to>
    <xdr:cxnSp macro="">
      <xdr:nvCxnSpPr>
        <xdr:cNvPr id="117" name="Straight Arrow Connector 116">
          <a:extLst>
            <a:ext uri="{FF2B5EF4-FFF2-40B4-BE49-F238E27FC236}">
              <a16:creationId xmlns:a16="http://schemas.microsoft.com/office/drawing/2014/main" id="{9FCA0AE0-A614-4095-A5D6-20A0C40E2CCD}"/>
            </a:ext>
          </a:extLst>
        </xdr:cNvPr>
        <xdr:cNvCxnSpPr/>
      </xdr:nvCxnSpPr>
      <xdr:spPr>
        <a:xfrm>
          <a:off x="15685363390" y="15106170"/>
          <a:ext cx="329184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27535</xdr:colOff>
      <xdr:row>80</xdr:row>
      <xdr:rowOff>80684</xdr:rowOff>
    </xdr:from>
    <xdr:to>
      <xdr:col>13</xdr:col>
      <xdr:colOff>473849</xdr:colOff>
      <xdr:row>84</xdr:row>
      <xdr:rowOff>8965</xdr:rowOff>
    </xdr:to>
    <xdr:cxnSp macro="">
      <xdr:nvCxnSpPr>
        <xdr:cNvPr id="118" name="Connector: Elbow 117">
          <a:extLst>
            <a:ext uri="{FF2B5EF4-FFF2-40B4-BE49-F238E27FC236}">
              <a16:creationId xmlns:a16="http://schemas.microsoft.com/office/drawing/2014/main" id="{DA44448F-9B95-454D-B602-157FA9B5EF9E}"/>
            </a:ext>
          </a:extLst>
        </xdr:cNvPr>
        <xdr:cNvCxnSpPr/>
      </xdr:nvCxnSpPr>
      <xdr:spPr>
        <a:xfrm>
          <a:off x="15685916637" y="14351855"/>
          <a:ext cx="2743200" cy="668510"/>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26889</xdr:colOff>
      <xdr:row>85</xdr:row>
      <xdr:rowOff>2</xdr:rowOff>
    </xdr:from>
    <xdr:to>
      <xdr:col>11</xdr:col>
      <xdr:colOff>268939</xdr:colOff>
      <xdr:row>87</xdr:row>
      <xdr:rowOff>108859</xdr:rowOff>
    </xdr:to>
    <xdr:cxnSp macro="">
      <xdr:nvCxnSpPr>
        <xdr:cNvPr id="119" name="Connector: Elbow 118">
          <a:extLst>
            <a:ext uri="{FF2B5EF4-FFF2-40B4-BE49-F238E27FC236}">
              <a16:creationId xmlns:a16="http://schemas.microsoft.com/office/drawing/2014/main" id="{30FDF24F-9E17-4FA6-AFEE-E4077AA19B30}"/>
            </a:ext>
          </a:extLst>
        </xdr:cNvPr>
        <xdr:cNvCxnSpPr/>
      </xdr:nvCxnSpPr>
      <xdr:spPr>
        <a:xfrm rot="5400000" flipH="1" flipV="1">
          <a:off x="15688310858" y="15293148"/>
          <a:ext cx="457200" cy="242050"/>
        </a:xfrm>
        <a:prstGeom prst="bentConnector3">
          <a:avLst>
            <a:gd name="adj1" fmla="val 99367"/>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941293</xdr:colOff>
      <xdr:row>81</xdr:row>
      <xdr:rowOff>170330</xdr:rowOff>
    </xdr:from>
    <xdr:to>
      <xdr:col>10</xdr:col>
      <xdr:colOff>256390</xdr:colOff>
      <xdr:row>83</xdr:row>
      <xdr:rowOff>197224</xdr:rowOff>
    </xdr:to>
    <xdr:cxnSp macro="">
      <xdr:nvCxnSpPr>
        <xdr:cNvPr id="120" name="Connector: Elbow 119">
          <a:extLst>
            <a:ext uri="{FF2B5EF4-FFF2-40B4-BE49-F238E27FC236}">
              <a16:creationId xmlns:a16="http://schemas.microsoft.com/office/drawing/2014/main" id="{E42497CB-7F84-44F8-BC8A-54168365DB3E}"/>
            </a:ext>
          </a:extLst>
        </xdr:cNvPr>
        <xdr:cNvCxnSpPr/>
      </xdr:nvCxnSpPr>
      <xdr:spPr>
        <a:xfrm rot="5400000" flipH="1" flipV="1">
          <a:off x="15724415952" y="16352968"/>
          <a:ext cx="453614" cy="275217"/>
        </a:xfrm>
        <a:prstGeom prst="bentConnector3">
          <a:avLst>
            <a:gd name="adj1" fmla="val 10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365760</xdr:colOff>
      <xdr:row>68</xdr:row>
      <xdr:rowOff>17929</xdr:rowOff>
    </xdr:from>
    <xdr:to>
      <xdr:col>10</xdr:col>
      <xdr:colOff>448235</xdr:colOff>
      <xdr:row>80</xdr:row>
      <xdr:rowOff>206840</xdr:rowOff>
    </xdr:to>
    <xdr:cxnSp macro="">
      <xdr:nvCxnSpPr>
        <xdr:cNvPr id="121" name="Connector: Elbow 120">
          <a:extLst>
            <a:ext uri="{FF2B5EF4-FFF2-40B4-BE49-F238E27FC236}">
              <a16:creationId xmlns:a16="http://schemas.microsoft.com/office/drawing/2014/main" id="{1746C80D-FBB1-46E2-8BA0-FE900FF0FBE5}"/>
            </a:ext>
          </a:extLst>
        </xdr:cNvPr>
        <xdr:cNvCxnSpPr/>
      </xdr:nvCxnSpPr>
      <xdr:spPr>
        <a:xfrm rot="16200000" flipV="1">
          <a:off x="15723459987" y="14191007"/>
          <a:ext cx="2749231" cy="1042595"/>
        </a:xfrm>
        <a:prstGeom prst="bentConnector3">
          <a:avLst>
            <a:gd name="adj1" fmla="val 51222"/>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54430</xdr:colOff>
      <xdr:row>79</xdr:row>
      <xdr:rowOff>76201</xdr:rowOff>
    </xdr:from>
    <xdr:to>
      <xdr:col>7</xdr:col>
      <xdr:colOff>228601</xdr:colOff>
      <xdr:row>90</xdr:row>
      <xdr:rowOff>65314</xdr:rowOff>
    </xdr:to>
    <xdr:sp macro="" textlink="">
      <xdr:nvSpPr>
        <xdr:cNvPr id="122" name="Left Brace 121">
          <a:extLst>
            <a:ext uri="{FF2B5EF4-FFF2-40B4-BE49-F238E27FC236}">
              <a16:creationId xmlns:a16="http://schemas.microsoft.com/office/drawing/2014/main" id="{724C1D56-0CB9-43E5-AA9B-049527477C93}"/>
            </a:ext>
          </a:extLst>
        </xdr:cNvPr>
        <xdr:cNvSpPr/>
      </xdr:nvSpPr>
      <xdr:spPr>
        <a:xfrm>
          <a:off x="15727527599" y="15742921"/>
          <a:ext cx="174171" cy="2336073"/>
        </a:xfrm>
        <a:prstGeom prst="leftBrace">
          <a:avLst>
            <a:gd name="adj1" fmla="val 55197"/>
            <a:gd name="adj2" fmla="val 48293"/>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7</xdr:col>
      <xdr:colOff>327371</xdr:colOff>
      <xdr:row>84</xdr:row>
      <xdr:rowOff>130629</xdr:rowOff>
    </xdr:from>
    <xdr:to>
      <xdr:col>8</xdr:col>
      <xdr:colOff>537960</xdr:colOff>
      <xdr:row>84</xdr:row>
      <xdr:rowOff>130629</xdr:rowOff>
    </xdr:to>
    <xdr:cxnSp macro="">
      <xdr:nvCxnSpPr>
        <xdr:cNvPr id="123" name="Straight Arrow Connector 122">
          <a:extLst>
            <a:ext uri="{FF2B5EF4-FFF2-40B4-BE49-F238E27FC236}">
              <a16:creationId xmlns:a16="http://schemas.microsoft.com/office/drawing/2014/main" id="{F7F89E1C-51D3-4DCF-AF57-5E9F5ECF65CB}"/>
            </a:ext>
          </a:extLst>
        </xdr:cNvPr>
        <xdr:cNvCxnSpPr/>
      </xdr:nvCxnSpPr>
      <xdr:spPr>
        <a:xfrm>
          <a:off x="15658825277" y="15495320"/>
          <a:ext cx="155448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36837</xdr:colOff>
      <xdr:row>80</xdr:row>
      <xdr:rowOff>138546</xdr:rowOff>
    </xdr:from>
    <xdr:to>
      <xdr:col>4</xdr:col>
      <xdr:colOff>1223764</xdr:colOff>
      <xdr:row>80</xdr:row>
      <xdr:rowOff>138546</xdr:rowOff>
    </xdr:to>
    <xdr:cxnSp macro="">
      <xdr:nvCxnSpPr>
        <xdr:cNvPr id="124" name="Straight Arrow Connector 123">
          <a:extLst>
            <a:ext uri="{FF2B5EF4-FFF2-40B4-BE49-F238E27FC236}">
              <a16:creationId xmlns:a16="http://schemas.microsoft.com/office/drawing/2014/main" id="{87874DA7-1706-41B7-BF5C-BF8B84C33938}"/>
            </a:ext>
          </a:extLst>
        </xdr:cNvPr>
        <xdr:cNvCxnSpPr/>
      </xdr:nvCxnSpPr>
      <xdr:spPr>
        <a:xfrm>
          <a:off x="15730083356" y="16018626"/>
          <a:ext cx="2924287"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27547</xdr:colOff>
      <xdr:row>84</xdr:row>
      <xdr:rowOff>110837</xdr:rowOff>
    </xdr:from>
    <xdr:to>
      <xdr:col>4</xdr:col>
      <xdr:colOff>1214474</xdr:colOff>
      <xdr:row>84</xdr:row>
      <xdr:rowOff>110837</xdr:rowOff>
    </xdr:to>
    <xdr:cxnSp macro="">
      <xdr:nvCxnSpPr>
        <xdr:cNvPr id="125" name="Straight Arrow Connector 124">
          <a:extLst>
            <a:ext uri="{FF2B5EF4-FFF2-40B4-BE49-F238E27FC236}">
              <a16:creationId xmlns:a16="http://schemas.microsoft.com/office/drawing/2014/main" id="{747EFA08-0DFD-4ADD-B07E-DCFF3091BA21}"/>
            </a:ext>
          </a:extLst>
        </xdr:cNvPr>
        <xdr:cNvCxnSpPr/>
      </xdr:nvCxnSpPr>
      <xdr:spPr>
        <a:xfrm>
          <a:off x="15730092646" y="16844357"/>
          <a:ext cx="2924287"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18257</xdr:colOff>
      <xdr:row>88</xdr:row>
      <xdr:rowOff>124691</xdr:rowOff>
    </xdr:from>
    <xdr:to>
      <xdr:col>4</xdr:col>
      <xdr:colOff>1205184</xdr:colOff>
      <xdr:row>88</xdr:row>
      <xdr:rowOff>124691</xdr:rowOff>
    </xdr:to>
    <xdr:cxnSp macro="">
      <xdr:nvCxnSpPr>
        <xdr:cNvPr id="126" name="Straight Arrow Connector 125">
          <a:extLst>
            <a:ext uri="{FF2B5EF4-FFF2-40B4-BE49-F238E27FC236}">
              <a16:creationId xmlns:a16="http://schemas.microsoft.com/office/drawing/2014/main" id="{D59661E1-BE1B-4C42-A097-1202F053D44F}"/>
            </a:ext>
          </a:extLst>
        </xdr:cNvPr>
        <xdr:cNvCxnSpPr/>
      </xdr:nvCxnSpPr>
      <xdr:spPr>
        <a:xfrm>
          <a:off x="15730101936" y="17711651"/>
          <a:ext cx="2924287"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58782</xdr:colOff>
      <xdr:row>92</xdr:row>
      <xdr:rowOff>108858</xdr:rowOff>
    </xdr:from>
    <xdr:to>
      <xdr:col>10</xdr:col>
      <xdr:colOff>881742</xdr:colOff>
      <xdr:row>92</xdr:row>
      <xdr:rowOff>108858</xdr:rowOff>
    </xdr:to>
    <xdr:cxnSp macro="">
      <xdr:nvCxnSpPr>
        <xdr:cNvPr id="127" name="Straight Arrow Connector 126">
          <a:extLst>
            <a:ext uri="{FF2B5EF4-FFF2-40B4-BE49-F238E27FC236}">
              <a16:creationId xmlns:a16="http://schemas.microsoft.com/office/drawing/2014/main" id="{385FDB61-A9DE-4560-8598-2BAD013DC50B}"/>
            </a:ext>
          </a:extLst>
        </xdr:cNvPr>
        <xdr:cNvCxnSpPr/>
      </xdr:nvCxnSpPr>
      <xdr:spPr>
        <a:xfrm>
          <a:off x="15723879798" y="18549258"/>
          <a:ext cx="82296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40982</xdr:colOff>
      <xdr:row>92</xdr:row>
      <xdr:rowOff>108858</xdr:rowOff>
    </xdr:from>
    <xdr:to>
      <xdr:col>7</xdr:col>
      <xdr:colOff>1066417</xdr:colOff>
      <xdr:row>92</xdr:row>
      <xdr:rowOff>108858</xdr:rowOff>
    </xdr:to>
    <xdr:cxnSp macro="">
      <xdr:nvCxnSpPr>
        <xdr:cNvPr id="128" name="Straight Arrow Connector 127">
          <a:extLst>
            <a:ext uri="{FF2B5EF4-FFF2-40B4-BE49-F238E27FC236}">
              <a16:creationId xmlns:a16="http://schemas.microsoft.com/office/drawing/2014/main" id="{9FE857E1-D5AC-41D9-9B0A-72D359AB4A7F}"/>
            </a:ext>
          </a:extLst>
        </xdr:cNvPr>
        <xdr:cNvCxnSpPr/>
      </xdr:nvCxnSpPr>
      <xdr:spPr>
        <a:xfrm>
          <a:off x="15692007898" y="16513629"/>
          <a:ext cx="758952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50469</xdr:colOff>
      <xdr:row>94</xdr:row>
      <xdr:rowOff>13258</xdr:rowOff>
    </xdr:from>
    <xdr:to>
      <xdr:col>9</xdr:col>
      <xdr:colOff>324789</xdr:colOff>
      <xdr:row>100</xdr:row>
      <xdr:rowOff>137949</xdr:rowOff>
    </xdr:to>
    <xdr:cxnSp macro="">
      <xdr:nvCxnSpPr>
        <xdr:cNvPr id="129" name="Connector: Elbow 128">
          <a:extLst>
            <a:ext uri="{FF2B5EF4-FFF2-40B4-BE49-F238E27FC236}">
              <a16:creationId xmlns:a16="http://schemas.microsoft.com/office/drawing/2014/main" id="{FADF7682-0EE7-4F7F-9FF8-7893AE82E11B}"/>
            </a:ext>
          </a:extLst>
        </xdr:cNvPr>
        <xdr:cNvCxnSpPr/>
      </xdr:nvCxnSpPr>
      <xdr:spPr>
        <a:xfrm rot="16200000" flipH="1">
          <a:off x="15724831605" y="19445644"/>
          <a:ext cx="1404851" cy="274320"/>
        </a:xfrm>
        <a:prstGeom prst="bentConnector3">
          <a:avLst>
            <a:gd name="adj1" fmla="val 10012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10593</xdr:colOff>
      <xdr:row>100</xdr:row>
      <xdr:rowOff>116541</xdr:rowOff>
    </xdr:from>
    <xdr:to>
      <xdr:col>7</xdr:col>
      <xdr:colOff>833553</xdr:colOff>
      <xdr:row>100</xdr:row>
      <xdr:rowOff>116541</xdr:rowOff>
    </xdr:to>
    <xdr:cxnSp macro="">
      <xdr:nvCxnSpPr>
        <xdr:cNvPr id="130" name="Straight Arrow Connector 129">
          <a:extLst>
            <a:ext uri="{FF2B5EF4-FFF2-40B4-BE49-F238E27FC236}">
              <a16:creationId xmlns:a16="http://schemas.microsoft.com/office/drawing/2014/main" id="{B21F1CE6-BF2F-4A3E-8FC2-935BFE80C9B3}"/>
            </a:ext>
          </a:extLst>
        </xdr:cNvPr>
        <xdr:cNvCxnSpPr/>
      </xdr:nvCxnSpPr>
      <xdr:spPr>
        <a:xfrm>
          <a:off x="15726922647" y="20263821"/>
          <a:ext cx="82296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103</xdr:row>
      <xdr:rowOff>119743</xdr:rowOff>
    </xdr:from>
    <xdr:to>
      <xdr:col>28</xdr:col>
      <xdr:colOff>350262</xdr:colOff>
      <xdr:row>103</xdr:row>
      <xdr:rowOff>119745</xdr:rowOff>
    </xdr:to>
    <xdr:cxnSp macro="">
      <xdr:nvCxnSpPr>
        <xdr:cNvPr id="131" name="Straight Arrow Connector 130">
          <a:extLst>
            <a:ext uri="{FF2B5EF4-FFF2-40B4-BE49-F238E27FC236}">
              <a16:creationId xmlns:a16="http://schemas.microsoft.com/office/drawing/2014/main" id="{473C47B2-09C5-41B4-B2C3-B5235539BFFA}"/>
            </a:ext>
          </a:extLst>
        </xdr:cNvPr>
        <xdr:cNvCxnSpPr/>
      </xdr:nvCxnSpPr>
      <xdr:spPr>
        <a:xfrm flipV="1">
          <a:off x="15706336638" y="2090710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103</xdr:row>
      <xdr:rowOff>119743</xdr:rowOff>
    </xdr:from>
    <xdr:to>
      <xdr:col>28</xdr:col>
      <xdr:colOff>350262</xdr:colOff>
      <xdr:row>103</xdr:row>
      <xdr:rowOff>119745</xdr:rowOff>
    </xdr:to>
    <xdr:cxnSp macro="">
      <xdr:nvCxnSpPr>
        <xdr:cNvPr id="132" name="Straight Arrow Connector 131">
          <a:extLst>
            <a:ext uri="{FF2B5EF4-FFF2-40B4-BE49-F238E27FC236}">
              <a16:creationId xmlns:a16="http://schemas.microsoft.com/office/drawing/2014/main" id="{CF6FCA8F-EC83-403F-B489-3600B92B6D9A}"/>
            </a:ext>
          </a:extLst>
        </xdr:cNvPr>
        <xdr:cNvCxnSpPr/>
      </xdr:nvCxnSpPr>
      <xdr:spPr>
        <a:xfrm flipV="1">
          <a:off x="15706336638" y="2090710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845852</xdr:colOff>
      <xdr:row>101</xdr:row>
      <xdr:rowOff>19049</xdr:rowOff>
    </xdr:from>
    <xdr:to>
      <xdr:col>24</xdr:col>
      <xdr:colOff>979202</xdr:colOff>
      <xdr:row>103</xdr:row>
      <xdr:rowOff>121920</xdr:rowOff>
    </xdr:to>
    <xdr:cxnSp macro="">
      <xdr:nvCxnSpPr>
        <xdr:cNvPr id="133" name="Connector: Elbow 132">
          <a:extLst>
            <a:ext uri="{FF2B5EF4-FFF2-40B4-BE49-F238E27FC236}">
              <a16:creationId xmlns:a16="http://schemas.microsoft.com/office/drawing/2014/main" id="{5B736464-B16F-4A0F-9FF6-50A459AA3D4B}"/>
            </a:ext>
          </a:extLst>
        </xdr:cNvPr>
        <xdr:cNvCxnSpPr/>
      </xdr:nvCxnSpPr>
      <xdr:spPr>
        <a:xfrm flipV="1">
          <a:off x="15708207058" y="20379689"/>
          <a:ext cx="19663410" cy="529591"/>
        </a:xfrm>
        <a:prstGeom prst="bentConnector3">
          <a:avLst>
            <a:gd name="adj1" fmla="val 9996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68659</xdr:colOff>
      <xdr:row>96</xdr:row>
      <xdr:rowOff>87086</xdr:rowOff>
    </xdr:from>
    <xdr:to>
      <xdr:col>16</xdr:col>
      <xdr:colOff>950501</xdr:colOff>
      <xdr:row>96</xdr:row>
      <xdr:rowOff>87086</xdr:rowOff>
    </xdr:to>
    <xdr:cxnSp macro="">
      <xdr:nvCxnSpPr>
        <xdr:cNvPr id="134" name="Straight Arrow Connector 133">
          <a:extLst>
            <a:ext uri="{FF2B5EF4-FFF2-40B4-BE49-F238E27FC236}">
              <a16:creationId xmlns:a16="http://schemas.microsoft.com/office/drawing/2014/main" id="{5941654D-BE9B-4749-93E0-A510AEB2555B}"/>
            </a:ext>
          </a:extLst>
        </xdr:cNvPr>
        <xdr:cNvCxnSpPr/>
      </xdr:nvCxnSpPr>
      <xdr:spPr>
        <a:xfrm>
          <a:off x="15682043642" y="17188543"/>
          <a:ext cx="17526099"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35861</xdr:colOff>
      <xdr:row>101</xdr:row>
      <xdr:rowOff>20696</xdr:rowOff>
    </xdr:from>
    <xdr:to>
      <xdr:col>5</xdr:col>
      <xdr:colOff>310181</xdr:colOff>
      <xdr:row>104</xdr:row>
      <xdr:rowOff>106757</xdr:rowOff>
    </xdr:to>
    <xdr:cxnSp macro="">
      <xdr:nvCxnSpPr>
        <xdr:cNvPr id="135" name="Connector: Elbow 134">
          <a:extLst>
            <a:ext uri="{FF2B5EF4-FFF2-40B4-BE49-F238E27FC236}">
              <a16:creationId xmlns:a16="http://schemas.microsoft.com/office/drawing/2014/main" id="{E6F099E6-1BAF-469F-A4C5-D09F55F8C31D}"/>
            </a:ext>
          </a:extLst>
        </xdr:cNvPr>
        <xdr:cNvCxnSpPr/>
      </xdr:nvCxnSpPr>
      <xdr:spPr>
        <a:xfrm rot="16200000" flipH="1">
          <a:off x="15729186068" y="20607247"/>
          <a:ext cx="726141" cy="274320"/>
        </a:xfrm>
        <a:prstGeom prst="bentConnector3">
          <a:avLst>
            <a:gd name="adj1" fmla="val 10012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37652</xdr:colOff>
      <xdr:row>100</xdr:row>
      <xdr:rowOff>107576</xdr:rowOff>
    </xdr:from>
    <xdr:to>
      <xdr:col>5</xdr:col>
      <xdr:colOff>3586</xdr:colOff>
      <xdr:row>100</xdr:row>
      <xdr:rowOff>107576</xdr:rowOff>
    </xdr:to>
    <xdr:cxnSp macro="">
      <xdr:nvCxnSpPr>
        <xdr:cNvPr id="136" name="Straight Arrow Connector 135">
          <a:extLst>
            <a:ext uri="{FF2B5EF4-FFF2-40B4-BE49-F238E27FC236}">
              <a16:creationId xmlns:a16="http://schemas.microsoft.com/office/drawing/2014/main" id="{D160DF1B-E2FF-448E-8C9C-0A2833E98598}"/>
            </a:ext>
          </a:extLst>
        </xdr:cNvPr>
        <xdr:cNvCxnSpPr/>
      </xdr:nvCxnSpPr>
      <xdr:spPr>
        <a:xfrm>
          <a:off x="15729718574" y="20254856"/>
          <a:ext cx="3288254"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68258</xdr:colOff>
      <xdr:row>104</xdr:row>
      <xdr:rowOff>98611</xdr:rowOff>
    </xdr:from>
    <xdr:to>
      <xdr:col>2</xdr:col>
      <xdr:colOff>708338</xdr:colOff>
      <xdr:row>104</xdr:row>
      <xdr:rowOff>98611</xdr:rowOff>
    </xdr:to>
    <xdr:cxnSp macro="">
      <xdr:nvCxnSpPr>
        <xdr:cNvPr id="137" name="Straight Arrow Connector 136">
          <a:extLst>
            <a:ext uri="{FF2B5EF4-FFF2-40B4-BE49-F238E27FC236}">
              <a16:creationId xmlns:a16="http://schemas.microsoft.com/office/drawing/2014/main" id="{47DDA2B7-7A12-493E-873B-0503812C3199}"/>
            </a:ext>
          </a:extLst>
        </xdr:cNvPr>
        <xdr:cNvCxnSpPr/>
      </xdr:nvCxnSpPr>
      <xdr:spPr>
        <a:xfrm>
          <a:off x="15698930062" y="18593440"/>
          <a:ext cx="64008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628650</xdr:colOff>
      <xdr:row>70</xdr:row>
      <xdr:rowOff>95250</xdr:rowOff>
    </xdr:from>
    <xdr:to>
      <xdr:col>23</xdr:col>
      <xdr:colOff>762000</xdr:colOff>
      <xdr:row>108</xdr:row>
      <xdr:rowOff>152400</xdr:rowOff>
    </xdr:to>
    <xdr:sp macro="" textlink="">
      <xdr:nvSpPr>
        <xdr:cNvPr id="138" name="Rectangle: Rounded Corners 137">
          <a:extLst>
            <a:ext uri="{FF2B5EF4-FFF2-40B4-BE49-F238E27FC236}">
              <a16:creationId xmlns:a16="http://schemas.microsoft.com/office/drawing/2014/main" id="{ACFA3485-42F2-4955-A895-7E0FAC5C8477}"/>
            </a:ext>
          </a:extLst>
        </xdr:cNvPr>
        <xdr:cNvSpPr/>
      </xdr:nvSpPr>
      <xdr:spPr>
        <a:xfrm>
          <a:off x="15958657440" y="13506450"/>
          <a:ext cx="25370790" cy="7037070"/>
        </a:xfrm>
        <a:prstGeom prst="roundRect">
          <a:avLst>
            <a:gd name="adj" fmla="val 9737"/>
          </a:avLst>
        </a:prstGeom>
        <a:noFill/>
        <a:ln w="381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solidFill>
              <a:sysClr val="windowText" lastClr="000000"/>
            </a:solidFill>
          </a:endParaRPr>
        </a:p>
      </xdr:txBody>
    </xdr:sp>
    <xdr:clientData/>
  </xdr:twoCellAnchor>
  <xdr:twoCellAnchor>
    <xdr:from>
      <xdr:col>3</xdr:col>
      <xdr:colOff>704106</xdr:colOff>
      <xdr:row>66</xdr:row>
      <xdr:rowOff>76200</xdr:rowOff>
    </xdr:from>
    <xdr:to>
      <xdr:col>5</xdr:col>
      <xdr:colOff>380256</xdr:colOff>
      <xdr:row>69</xdr:row>
      <xdr:rowOff>110490</xdr:rowOff>
    </xdr:to>
    <xdr:sp macro="" textlink="">
      <xdr:nvSpPr>
        <xdr:cNvPr id="139" name="TextBox 138">
          <a:extLst>
            <a:ext uri="{FF2B5EF4-FFF2-40B4-BE49-F238E27FC236}">
              <a16:creationId xmlns:a16="http://schemas.microsoft.com/office/drawing/2014/main" id="{126F1522-523C-40E0-AC37-C4F0BA13C854}"/>
            </a:ext>
          </a:extLst>
        </xdr:cNvPr>
        <xdr:cNvSpPr txBox="1"/>
      </xdr:nvSpPr>
      <xdr:spPr>
        <a:xfrm>
          <a:off x="15606236994" y="12172950"/>
          <a:ext cx="2743200" cy="548640"/>
        </a:xfrm>
        <a:prstGeom prst="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rtl="1"/>
          <a:r>
            <a:rPr lang="en-US" sz="2800" b="1">
              <a:solidFill>
                <a:schemeClr val="dk1"/>
              </a:solidFill>
              <a:latin typeface="Times New Roman" panose="02020603050405020304" pitchFamily="18" charset="0"/>
              <a:ea typeface="+mn-ea"/>
              <a:cs typeface="Times New Roman" panose="02020603050405020304" pitchFamily="18" charset="0"/>
            </a:rPr>
            <a:t>Cold Rolling</a:t>
          </a:r>
        </a:p>
      </xdr:txBody>
    </xdr:sp>
    <xdr:clientData/>
  </xdr:twoCellAnchor>
  <xdr:twoCellAnchor>
    <xdr:from>
      <xdr:col>28</xdr:col>
      <xdr:colOff>11083</xdr:colOff>
      <xdr:row>23</xdr:row>
      <xdr:rowOff>96982</xdr:rowOff>
    </xdr:from>
    <xdr:to>
      <xdr:col>28</xdr:col>
      <xdr:colOff>359267</xdr:colOff>
      <xdr:row>23</xdr:row>
      <xdr:rowOff>96984</xdr:rowOff>
    </xdr:to>
    <xdr:cxnSp macro="">
      <xdr:nvCxnSpPr>
        <xdr:cNvPr id="206" name="Straight Arrow Connector 205">
          <a:extLst>
            <a:ext uri="{FF2B5EF4-FFF2-40B4-BE49-F238E27FC236}">
              <a16:creationId xmlns:a16="http://schemas.microsoft.com/office/drawing/2014/main" id="{98C39163-F46C-4733-9E9C-10143582555D}"/>
            </a:ext>
          </a:extLst>
        </xdr:cNvPr>
        <xdr:cNvCxnSpPr/>
      </xdr:nvCxnSpPr>
      <xdr:spPr>
        <a:xfrm flipV="1">
          <a:off x="15703790173" y="3929842"/>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15240</xdr:colOff>
      <xdr:row>25</xdr:row>
      <xdr:rowOff>106680</xdr:rowOff>
    </xdr:from>
    <xdr:to>
      <xdr:col>28</xdr:col>
      <xdr:colOff>363424</xdr:colOff>
      <xdr:row>25</xdr:row>
      <xdr:rowOff>106682</xdr:rowOff>
    </xdr:to>
    <xdr:cxnSp macro="">
      <xdr:nvCxnSpPr>
        <xdr:cNvPr id="207" name="Straight Arrow Connector 206">
          <a:extLst>
            <a:ext uri="{FF2B5EF4-FFF2-40B4-BE49-F238E27FC236}">
              <a16:creationId xmlns:a16="http://schemas.microsoft.com/office/drawing/2014/main" id="{1CC547C3-3109-40DC-B3F1-C7DCD08FB8C3}"/>
            </a:ext>
          </a:extLst>
        </xdr:cNvPr>
        <xdr:cNvCxnSpPr/>
      </xdr:nvCxnSpPr>
      <xdr:spPr>
        <a:xfrm flipV="1">
          <a:off x="15703786016" y="4351020"/>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43</xdr:row>
      <xdr:rowOff>97971</xdr:rowOff>
    </xdr:from>
    <xdr:to>
      <xdr:col>28</xdr:col>
      <xdr:colOff>391727</xdr:colOff>
      <xdr:row>43</xdr:row>
      <xdr:rowOff>97973</xdr:rowOff>
    </xdr:to>
    <xdr:cxnSp macro="">
      <xdr:nvCxnSpPr>
        <xdr:cNvPr id="208" name="Straight Arrow Connector 207">
          <a:extLst>
            <a:ext uri="{FF2B5EF4-FFF2-40B4-BE49-F238E27FC236}">
              <a16:creationId xmlns:a16="http://schemas.microsoft.com/office/drawing/2014/main" id="{48ABF409-CBE4-4932-B243-B7CB8AA149B9}"/>
            </a:ext>
          </a:extLst>
        </xdr:cNvPr>
        <xdr:cNvCxnSpPr/>
      </xdr:nvCxnSpPr>
      <xdr:spPr>
        <a:xfrm flipV="1">
          <a:off x="15703757713" y="8152311"/>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1267509</xdr:colOff>
      <xdr:row>28</xdr:row>
      <xdr:rowOff>82061</xdr:rowOff>
    </xdr:from>
    <xdr:to>
      <xdr:col>28</xdr:col>
      <xdr:colOff>268200</xdr:colOff>
      <xdr:row>28</xdr:row>
      <xdr:rowOff>82063</xdr:rowOff>
    </xdr:to>
    <xdr:cxnSp macro="">
      <xdr:nvCxnSpPr>
        <xdr:cNvPr id="209" name="Straight Arrow Connector 208">
          <a:extLst>
            <a:ext uri="{FF2B5EF4-FFF2-40B4-BE49-F238E27FC236}">
              <a16:creationId xmlns:a16="http://schemas.microsoft.com/office/drawing/2014/main" id="{DC90941D-6BF5-4EC7-B29B-A8437AF26335}"/>
            </a:ext>
          </a:extLst>
        </xdr:cNvPr>
        <xdr:cNvCxnSpPr/>
      </xdr:nvCxnSpPr>
      <xdr:spPr>
        <a:xfrm flipV="1">
          <a:off x="15723056677" y="4800599"/>
          <a:ext cx="272645"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232086</xdr:colOff>
      <xdr:row>28</xdr:row>
      <xdr:rowOff>116931</xdr:rowOff>
    </xdr:from>
    <xdr:to>
      <xdr:col>24</xdr:col>
      <xdr:colOff>325319</xdr:colOff>
      <xdr:row>28</xdr:row>
      <xdr:rowOff>116933</xdr:rowOff>
    </xdr:to>
    <xdr:cxnSp macro="">
      <xdr:nvCxnSpPr>
        <xdr:cNvPr id="210" name="Straight Arrow Connector 209">
          <a:extLst>
            <a:ext uri="{FF2B5EF4-FFF2-40B4-BE49-F238E27FC236}">
              <a16:creationId xmlns:a16="http://schemas.microsoft.com/office/drawing/2014/main" id="{71E39F9A-99A7-4A75-B280-4248B095CF5D}"/>
            </a:ext>
          </a:extLst>
        </xdr:cNvPr>
        <xdr:cNvCxnSpPr/>
      </xdr:nvCxnSpPr>
      <xdr:spPr>
        <a:xfrm flipV="1">
          <a:off x="15708860941" y="4986111"/>
          <a:ext cx="1070789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180958</xdr:colOff>
      <xdr:row>56</xdr:row>
      <xdr:rowOff>107577</xdr:rowOff>
    </xdr:from>
    <xdr:to>
      <xdr:col>9</xdr:col>
      <xdr:colOff>912478</xdr:colOff>
      <xdr:row>56</xdr:row>
      <xdr:rowOff>107577</xdr:rowOff>
    </xdr:to>
    <xdr:cxnSp macro="">
      <xdr:nvCxnSpPr>
        <xdr:cNvPr id="211" name="Straight Arrow Connector 210">
          <a:extLst>
            <a:ext uri="{FF2B5EF4-FFF2-40B4-BE49-F238E27FC236}">
              <a16:creationId xmlns:a16="http://schemas.microsoft.com/office/drawing/2014/main" id="{26231BE6-4B84-47B3-93C5-143969EFB089}"/>
            </a:ext>
          </a:extLst>
        </xdr:cNvPr>
        <xdr:cNvCxnSpPr/>
      </xdr:nvCxnSpPr>
      <xdr:spPr>
        <a:xfrm flipH="1" flipV="1">
          <a:off x="15724809182" y="10867017"/>
          <a:ext cx="73152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412376</xdr:colOff>
      <xdr:row>53</xdr:row>
      <xdr:rowOff>89646</xdr:rowOff>
    </xdr:from>
    <xdr:to>
      <xdr:col>9</xdr:col>
      <xdr:colOff>904794</xdr:colOff>
      <xdr:row>53</xdr:row>
      <xdr:rowOff>89646</xdr:rowOff>
    </xdr:to>
    <xdr:cxnSp macro="">
      <xdr:nvCxnSpPr>
        <xdr:cNvPr id="212" name="Straight Arrow Connector 211">
          <a:extLst>
            <a:ext uri="{FF2B5EF4-FFF2-40B4-BE49-F238E27FC236}">
              <a16:creationId xmlns:a16="http://schemas.microsoft.com/office/drawing/2014/main" id="{E3E2BCB4-957B-4180-AF94-B19D4690B401}"/>
            </a:ext>
          </a:extLst>
        </xdr:cNvPr>
        <xdr:cNvCxnSpPr/>
      </xdr:nvCxnSpPr>
      <xdr:spPr>
        <a:xfrm flipH="1" flipV="1">
          <a:off x="15724816866" y="10209006"/>
          <a:ext cx="492418"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374084</xdr:colOff>
      <xdr:row>44</xdr:row>
      <xdr:rowOff>107577</xdr:rowOff>
    </xdr:from>
    <xdr:to>
      <xdr:col>9</xdr:col>
      <xdr:colOff>922724</xdr:colOff>
      <xdr:row>44</xdr:row>
      <xdr:rowOff>107577</xdr:rowOff>
    </xdr:to>
    <xdr:cxnSp macro="">
      <xdr:nvCxnSpPr>
        <xdr:cNvPr id="213" name="Straight Arrow Connector 212">
          <a:extLst>
            <a:ext uri="{FF2B5EF4-FFF2-40B4-BE49-F238E27FC236}">
              <a16:creationId xmlns:a16="http://schemas.microsoft.com/office/drawing/2014/main" id="{84D4A945-1C68-4044-A6B5-213481085269}"/>
            </a:ext>
          </a:extLst>
        </xdr:cNvPr>
        <xdr:cNvCxnSpPr/>
      </xdr:nvCxnSpPr>
      <xdr:spPr>
        <a:xfrm flipH="1" flipV="1">
          <a:off x="15689854705" y="7760234"/>
          <a:ext cx="548640" cy="0"/>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975213</xdr:colOff>
      <xdr:row>44</xdr:row>
      <xdr:rowOff>115645</xdr:rowOff>
    </xdr:from>
    <xdr:to>
      <xdr:col>7</xdr:col>
      <xdr:colOff>1249533</xdr:colOff>
      <xdr:row>47</xdr:row>
      <xdr:rowOff>0</xdr:rowOff>
    </xdr:to>
    <xdr:cxnSp macro="">
      <xdr:nvCxnSpPr>
        <xdr:cNvPr id="214" name="Connector: Elbow 213">
          <a:extLst>
            <a:ext uri="{FF2B5EF4-FFF2-40B4-BE49-F238E27FC236}">
              <a16:creationId xmlns:a16="http://schemas.microsoft.com/office/drawing/2014/main" id="{CCE575BA-D3F3-4813-8CBE-B639E383DE89}"/>
            </a:ext>
          </a:extLst>
        </xdr:cNvPr>
        <xdr:cNvCxnSpPr/>
      </xdr:nvCxnSpPr>
      <xdr:spPr>
        <a:xfrm rot="10800000">
          <a:off x="15691824782" y="7768302"/>
          <a:ext cx="274320" cy="504841"/>
        </a:xfrm>
        <a:prstGeom prst="bentConnector3">
          <a:avLst>
            <a:gd name="adj1" fmla="val -1786"/>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124691</xdr:colOff>
      <xdr:row>47</xdr:row>
      <xdr:rowOff>96981</xdr:rowOff>
    </xdr:from>
    <xdr:to>
      <xdr:col>22</xdr:col>
      <xdr:colOff>548640</xdr:colOff>
      <xdr:row>74</xdr:row>
      <xdr:rowOff>155170</xdr:rowOff>
    </xdr:to>
    <xdr:cxnSp macro="">
      <xdr:nvCxnSpPr>
        <xdr:cNvPr id="215" name="Connector: Elbow 214">
          <a:extLst>
            <a:ext uri="{FF2B5EF4-FFF2-40B4-BE49-F238E27FC236}">
              <a16:creationId xmlns:a16="http://schemas.microsoft.com/office/drawing/2014/main" id="{0EF61EDC-889A-43FF-A107-D6E6E49F453C}"/>
            </a:ext>
          </a:extLst>
        </xdr:cNvPr>
        <xdr:cNvCxnSpPr/>
      </xdr:nvCxnSpPr>
      <xdr:spPr>
        <a:xfrm rot="5400000">
          <a:off x="15716733870" y="2897331"/>
          <a:ext cx="5780809" cy="17934709"/>
        </a:xfrm>
        <a:prstGeom prst="bentConnector3">
          <a:avLst>
            <a:gd name="adj1" fmla="val 64422"/>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9</xdr:row>
      <xdr:rowOff>119743</xdr:rowOff>
    </xdr:from>
    <xdr:to>
      <xdr:col>28</xdr:col>
      <xdr:colOff>350262</xdr:colOff>
      <xdr:row>9</xdr:row>
      <xdr:rowOff>119745</xdr:rowOff>
    </xdr:to>
    <xdr:cxnSp macro="">
      <xdr:nvCxnSpPr>
        <xdr:cNvPr id="216" name="Straight Arrow Connector 215">
          <a:extLst>
            <a:ext uri="{FF2B5EF4-FFF2-40B4-BE49-F238E27FC236}">
              <a16:creationId xmlns:a16="http://schemas.microsoft.com/office/drawing/2014/main" id="{03511688-6969-4C0B-BB26-F262999FBD64}"/>
            </a:ext>
          </a:extLst>
        </xdr:cNvPr>
        <xdr:cNvCxnSpPr/>
      </xdr:nvCxnSpPr>
      <xdr:spPr>
        <a:xfrm flipV="1">
          <a:off x="15703799178" y="97318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17933</xdr:colOff>
      <xdr:row>9</xdr:row>
      <xdr:rowOff>87086</xdr:rowOff>
    </xdr:from>
    <xdr:to>
      <xdr:col>26</xdr:col>
      <xdr:colOff>368195</xdr:colOff>
      <xdr:row>9</xdr:row>
      <xdr:rowOff>87088</xdr:rowOff>
    </xdr:to>
    <xdr:cxnSp macro="">
      <xdr:nvCxnSpPr>
        <xdr:cNvPr id="217" name="Straight Arrow Connector 216">
          <a:extLst>
            <a:ext uri="{FF2B5EF4-FFF2-40B4-BE49-F238E27FC236}">
              <a16:creationId xmlns:a16="http://schemas.microsoft.com/office/drawing/2014/main" id="{4710EC69-0E67-4D8F-A454-00BF1DFEF7BB}"/>
            </a:ext>
          </a:extLst>
        </xdr:cNvPr>
        <xdr:cNvCxnSpPr/>
      </xdr:nvCxnSpPr>
      <xdr:spPr>
        <a:xfrm flipV="1">
          <a:off x="15706318705" y="94052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9</xdr:row>
      <xdr:rowOff>119743</xdr:rowOff>
    </xdr:from>
    <xdr:to>
      <xdr:col>28</xdr:col>
      <xdr:colOff>350262</xdr:colOff>
      <xdr:row>9</xdr:row>
      <xdr:rowOff>119745</xdr:rowOff>
    </xdr:to>
    <xdr:cxnSp macro="">
      <xdr:nvCxnSpPr>
        <xdr:cNvPr id="218" name="Straight Arrow Connector 217">
          <a:extLst>
            <a:ext uri="{FF2B5EF4-FFF2-40B4-BE49-F238E27FC236}">
              <a16:creationId xmlns:a16="http://schemas.microsoft.com/office/drawing/2014/main" id="{A9EE40AE-0F6A-46AA-BE75-C834BC379E26}"/>
            </a:ext>
          </a:extLst>
        </xdr:cNvPr>
        <xdr:cNvCxnSpPr/>
      </xdr:nvCxnSpPr>
      <xdr:spPr>
        <a:xfrm flipV="1">
          <a:off x="15703799178" y="97318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754380</xdr:colOff>
      <xdr:row>11</xdr:row>
      <xdr:rowOff>137160</xdr:rowOff>
    </xdr:from>
    <xdr:to>
      <xdr:col>24</xdr:col>
      <xdr:colOff>147783</xdr:colOff>
      <xdr:row>11</xdr:row>
      <xdr:rowOff>137162</xdr:rowOff>
    </xdr:to>
    <xdr:cxnSp macro="">
      <xdr:nvCxnSpPr>
        <xdr:cNvPr id="219" name="Straight Arrow Connector 218">
          <a:extLst>
            <a:ext uri="{FF2B5EF4-FFF2-40B4-BE49-F238E27FC236}">
              <a16:creationId xmlns:a16="http://schemas.microsoft.com/office/drawing/2014/main" id="{2736F36A-8911-42A4-B4C7-8F108C2AA1DF}"/>
            </a:ext>
          </a:extLst>
        </xdr:cNvPr>
        <xdr:cNvCxnSpPr/>
      </xdr:nvCxnSpPr>
      <xdr:spPr>
        <a:xfrm flipV="1">
          <a:off x="15709038477" y="1417320"/>
          <a:ext cx="353523"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28</xdr:row>
      <xdr:rowOff>108858</xdr:rowOff>
    </xdr:from>
    <xdr:to>
      <xdr:col>26</xdr:col>
      <xdr:colOff>350262</xdr:colOff>
      <xdr:row>28</xdr:row>
      <xdr:rowOff>108860</xdr:rowOff>
    </xdr:to>
    <xdr:cxnSp macro="">
      <xdr:nvCxnSpPr>
        <xdr:cNvPr id="221" name="Straight Arrow Connector 220">
          <a:extLst>
            <a:ext uri="{FF2B5EF4-FFF2-40B4-BE49-F238E27FC236}">
              <a16:creationId xmlns:a16="http://schemas.microsoft.com/office/drawing/2014/main" id="{A87F789B-3953-4B23-AA42-D88B6A389774}"/>
            </a:ext>
          </a:extLst>
        </xdr:cNvPr>
        <xdr:cNvCxnSpPr/>
      </xdr:nvCxnSpPr>
      <xdr:spPr>
        <a:xfrm flipV="1">
          <a:off x="15670734909" y="5279572"/>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1914</xdr:colOff>
      <xdr:row>30</xdr:row>
      <xdr:rowOff>97971</xdr:rowOff>
    </xdr:from>
    <xdr:to>
      <xdr:col>28</xdr:col>
      <xdr:colOff>208743</xdr:colOff>
      <xdr:row>30</xdr:row>
      <xdr:rowOff>97973</xdr:rowOff>
    </xdr:to>
    <xdr:cxnSp macro="">
      <xdr:nvCxnSpPr>
        <xdr:cNvPr id="222" name="Straight Arrow Connector 221">
          <a:extLst>
            <a:ext uri="{FF2B5EF4-FFF2-40B4-BE49-F238E27FC236}">
              <a16:creationId xmlns:a16="http://schemas.microsoft.com/office/drawing/2014/main" id="{24885295-CE0A-49A2-B141-5280E2680169}"/>
            </a:ext>
          </a:extLst>
        </xdr:cNvPr>
        <xdr:cNvCxnSpPr/>
      </xdr:nvCxnSpPr>
      <xdr:spPr>
        <a:xfrm flipV="1">
          <a:off x="15668340057" y="5138057"/>
          <a:ext cx="274320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34</xdr:row>
      <xdr:rowOff>108860</xdr:rowOff>
    </xdr:from>
    <xdr:to>
      <xdr:col>26</xdr:col>
      <xdr:colOff>350262</xdr:colOff>
      <xdr:row>34</xdr:row>
      <xdr:rowOff>108862</xdr:rowOff>
    </xdr:to>
    <xdr:cxnSp macro="">
      <xdr:nvCxnSpPr>
        <xdr:cNvPr id="225" name="Straight Arrow Connector 224">
          <a:extLst>
            <a:ext uri="{FF2B5EF4-FFF2-40B4-BE49-F238E27FC236}">
              <a16:creationId xmlns:a16="http://schemas.microsoft.com/office/drawing/2014/main" id="{531EFFA8-1EF7-4668-99D8-46469613F15F}"/>
            </a:ext>
          </a:extLst>
        </xdr:cNvPr>
        <xdr:cNvCxnSpPr/>
      </xdr:nvCxnSpPr>
      <xdr:spPr>
        <a:xfrm flipV="1">
          <a:off x="15670734909" y="658586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1125326</xdr:colOff>
      <xdr:row>32</xdr:row>
      <xdr:rowOff>108856</xdr:rowOff>
    </xdr:from>
    <xdr:to>
      <xdr:col>28</xdr:col>
      <xdr:colOff>382920</xdr:colOff>
      <xdr:row>32</xdr:row>
      <xdr:rowOff>108858</xdr:rowOff>
    </xdr:to>
    <xdr:cxnSp macro="">
      <xdr:nvCxnSpPr>
        <xdr:cNvPr id="226" name="Straight Arrow Connector 225">
          <a:extLst>
            <a:ext uri="{FF2B5EF4-FFF2-40B4-BE49-F238E27FC236}">
              <a16:creationId xmlns:a16="http://schemas.microsoft.com/office/drawing/2014/main" id="{306202AC-B1A7-443B-84FA-0EE3C85D4C0C}"/>
            </a:ext>
          </a:extLst>
        </xdr:cNvPr>
        <xdr:cNvCxnSpPr/>
      </xdr:nvCxnSpPr>
      <xdr:spPr>
        <a:xfrm flipV="1">
          <a:off x="15668165880" y="6150427"/>
          <a:ext cx="29260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47</xdr:row>
      <xdr:rowOff>97974</xdr:rowOff>
    </xdr:from>
    <xdr:to>
      <xdr:col>26</xdr:col>
      <xdr:colOff>350262</xdr:colOff>
      <xdr:row>47</xdr:row>
      <xdr:rowOff>97976</xdr:rowOff>
    </xdr:to>
    <xdr:cxnSp macro="">
      <xdr:nvCxnSpPr>
        <xdr:cNvPr id="231" name="Straight Arrow Connector 230">
          <a:extLst>
            <a:ext uri="{FF2B5EF4-FFF2-40B4-BE49-F238E27FC236}">
              <a16:creationId xmlns:a16="http://schemas.microsoft.com/office/drawing/2014/main" id="{972BB8BE-B7C6-4EAF-9023-B24E5B5B7914}"/>
            </a:ext>
          </a:extLst>
        </xdr:cNvPr>
        <xdr:cNvCxnSpPr/>
      </xdr:nvCxnSpPr>
      <xdr:spPr>
        <a:xfrm flipV="1">
          <a:off x="15670734909" y="932906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49</xdr:row>
      <xdr:rowOff>97972</xdr:rowOff>
    </xdr:from>
    <xdr:to>
      <xdr:col>26</xdr:col>
      <xdr:colOff>350262</xdr:colOff>
      <xdr:row>49</xdr:row>
      <xdr:rowOff>97974</xdr:rowOff>
    </xdr:to>
    <xdr:cxnSp macro="">
      <xdr:nvCxnSpPr>
        <xdr:cNvPr id="235" name="Straight Arrow Connector 234">
          <a:extLst>
            <a:ext uri="{FF2B5EF4-FFF2-40B4-BE49-F238E27FC236}">
              <a16:creationId xmlns:a16="http://schemas.microsoft.com/office/drawing/2014/main" id="{8F5D8EAB-5A72-462E-A969-50D861B25680}"/>
            </a:ext>
          </a:extLst>
        </xdr:cNvPr>
        <xdr:cNvCxnSpPr/>
      </xdr:nvCxnSpPr>
      <xdr:spPr>
        <a:xfrm flipV="1">
          <a:off x="15670734909" y="9742715"/>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52</xdr:row>
      <xdr:rowOff>97970</xdr:rowOff>
    </xdr:from>
    <xdr:to>
      <xdr:col>26</xdr:col>
      <xdr:colOff>350262</xdr:colOff>
      <xdr:row>52</xdr:row>
      <xdr:rowOff>97972</xdr:rowOff>
    </xdr:to>
    <xdr:cxnSp macro="">
      <xdr:nvCxnSpPr>
        <xdr:cNvPr id="236" name="Straight Arrow Connector 235">
          <a:extLst>
            <a:ext uri="{FF2B5EF4-FFF2-40B4-BE49-F238E27FC236}">
              <a16:creationId xmlns:a16="http://schemas.microsoft.com/office/drawing/2014/main" id="{5A74463B-C2FF-460B-8A27-5A80FD412C28}"/>
            </a:ext>
          </a:extLst>
        </xdr:cNvPr>
        <xdr:cNvCxnSpPr/>
      </xdr:nvCxnSpPr>
      <xdr:spPr>
        <a:xfrm flipV="1">
          <a:off x="15670734909" y="1037408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191335</xdr:colOff>
      <xdr:row>49</xdr:row>
      <xdr:rowOff>87084</xdr:rowOff>
    </xdr:from>
    <xdr:to>
      <xdr:col>19</xdr:col>
      <xdr:colOff>1471495</xdr:colOff>
      <xdr:row>49</xdr:row>
      <xdr:rowOff>87086</xdr:rowOff>
    </xdr:to>
    <xdr:cxnSp macro="">
      <xdr:nvCxnSpPr>
        <xdr:cNvPr id="237" name="Straight Arrow Connector 236">
          <a:extLst>
            <a:ext uri="{FF2B5EF4-FFF2-40B4-BE49-F238E27FC236}">
              <a16:creationId xmlns:a16="http://schemas.microsoft.com/office/drawing/2014/main" id="{8FFBFE34-18B2-41C6-8118-92E0B39B074F}"/>
            </a:ext>
          </a:extLst>
        </xdr:cNvPr>
        <xdr:cNvCxnSpPr/>
      </xdr:nvCxnSpPr>
      <xdr:spPr>
        <a:xfrm flipV="1">
          <a:off x="15677799734" y="9731827"/>
          <a:ext cx="128016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75</xdr:row>
      <xdr:rowOff>110840</xdr:rowOff>
    </xdr:from>
    <xdr:to>
      <xdr:col>26</xdr:col>
      <xdr:colOff>350262</xdr:colOff>
      <xdr:row>75</xdr:row>
      <xdr:rowOff>110842</xdr:rowOff>
    </xdr:to>
    <xdr:cxnSp macro="">
      <xdr:nvCxnSpPr>
        <xdr:cNvPr id="238" name="Straight Arrow Connector 237">
          <a:extLst>
            <a:ext uri="{FF2B5EF4-FFF2-40B4-BE49-F238E27FC236}">
              <a16:creationId xmlns:a16="http://schemas.microsoft.com/office/drawing/2014/main" id="{FAC17946-FF69-42F9-9EC1-E2E3FA693E01}"/>
            </a:ext>
          </a:extLst>
        </xdr:cNvPr>
        <xdr:cNvCxnSpPr/>
      </xdr:nvCxnSpPr>
      <xdr:spPr>
        <a:xfrm flipV="1">
          <a:off x="15638355847" y="14879785"/>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77</xdr:row>
      <xdr:rowOff>83130</xdr:rowOff>
    </xdr:from>
    <xdr:to>
      <xdr:col>26</xdr:col>
      <xdr:colOff>350262</xdr:colOff>
      <xdr:row>77</xdr:row>
      <xdr:rowOff>83132</xdr:rowOff>
    </xdr:to>
    <xdr:cxnSp macro="">
      <xdr:nvCxnSpPr>
        <xdr:cNvPr id="239" name="Straight Arrow Connector 238">
          <a:extLst>
            <a:ext uri="{FF2B5EF4-FFF2-40B4-BE49-F238E27FC236}">
              <a16:creationId xmlns:a16="http://schemas.microsoft.com/office/drawing/2014/main" id="{41B2CE09-4F99-4AF5-BF91-D62FC18FAEAB}"/>
            </a:ext>
          </a:extLst>
        </xdr:cNvPr>
        <xdr:cNvCxnSpPr/>
      </xdr:nvCxnSpPr>
      <xdr:spPr>
        <a:xfrm flipV="1">
          <a:off x="15638355847" y="15267712"/>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79</xdr:row>
      <xdr:rowOff>96985</xdr:rowOff>
    </xdr:from>
    <xdr:to>
      <xdr:col>26</xdr:col>
      <xdr:colOff>350262</xdr:colOff>
      <xdr:row>79</xdr:row>
      <xdr:rowOff>96987</xdr:rowOff>
    </xdr:to>
    <xdr:cxnSp macro="">
      <xdr:nvCxnSpPr>
        <xdr:cNvPr id="240" name="Straight Arrow Connector 239">
          <a:extLst>
            <a:ext uri="{FF2B5EF4-FFF2-40B4-BE49-F238E27FC236}">
              <a16:creationId xmlns:a16="http://schemas.microsoft.com/office/drawing/2014/main" id="{AD226EFD-8457-4524-BB6A-5518BF114E6A}"/>
            </a:ext>
          </a:extLst>
        </xdr:cNvPr>
        <xdr:cNvCxnSpPr/>
      </xdr:nvCxnSpPr>
      <xdr:spPr>
        <a:xfrm flipV="1">
          <a:off x="15638355847" y="1569720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0</xdr:colOff>
      <xdr:row>103</xdr:row>
      <xdr:rowOff>110832</xdr:rowOff>
    </xdr:from>
    <xdr:to>
      <xdr:col>26</xdr:col>
      <xdr:colOff>350262</xdr:colOff>
      <xdr:row>103</xdr:row>
      <xdr:rowOff>110834</xdr:rowOff>
    </xdr:to>
    <xdr:cxnSp macro="">
      <xdr:nvCxnSpPr>
        <xdr:cNvPr id="241" name="Straight Arrow Connector 240">
          <a:extLst>
            <a:ext uri="{FF2B5EF4-FFF2-40B4-BE49-F238E27FC236}">
              <a16:creationId xmlns:a16="http://schemas.microsoft.com/office/drawing/2014/main" id="{09D8B997-16D3-48A3-8EED-97655B89E9C6}"/>
            </a:ext>
          </a:extLst>
        </xdr:cNvPr>
        <xdr:cNvCxnSpPr/>
      </xdr:nvCxnSpPr>
      <xdr:spPr>
        <a:xfrm flipV="1">
          <a:off x="15638355847" y="20698687"/>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xdr:col>
      <xdr:colOff>0</xdr:colOff>
      <xdr:row>1</xdr:row>
      <xdr:rowOff>38100</xdr:rowOff>
    </xdr:from>
    <xdr:to>
      <xdr:col>2</xdr:col>
      <xdr:colOff>594937</xdr:colOff>
      <xdr:row>3</xdr:row>
      <xdr:rowOff>168346</xdr:rowOff>
    </xdr:to>
    <xdr:sp macro="" textlink="">
      <xdr:nvSpPr>
        <xdr:cNvPr id="246" name="Rectangle: Rounded Corners 245">
          <a:extLst>
            <a:ext uri="{FF2B5EF4-FFF2-40B4-BE49-F238E27FC236}">
              <a16:creationId xmlns:a16="http://schemas.microsoft.com/office/drawing/2014/main" id="{CB6E80A4-8C9C-489C-BE5A-12DCDBF5B5CF}"/>
            </a:ext>
          </a:extLst>
        </xdr:cNvPr>
        <xdr:cNvSpPr/>
      </xdr:nvSpPr>
      <xdr:spPr>
        <a:xfrm>
          <a:off x="15607813013" y="209550"/>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596057</xdr:colOff>
      <xdr:row>1</xdr:row>
      <xdr:rowOff>38100</xdr:rowOff>
    </xdr:from>
    <xdr:to>
      <xdr:col>4</xdr:col>
      <xdr:colOff>420188</xdr:colOff>
      <xdr:row>3</xdr:row>
      <xdr:rowOff>168346</xdr:rowOff>
    </xdr:to>
    <xdr:sp macro="" textlink="">
      <xdr:nvSpPr>
        <xdr:cNvPr id="247" name="Rectangle: Rounded Corners 246">
          <a:extLst>
            <a:ext uri="{FF2B5EF4-FFF2-40B4-BE49-F238E27FC236}">
              <a16:creationId xmlns:a16="http://schemas.microsoft.com/office/drawing/2014/main" id="{9AC98D4A-D143-471C-8043-3E55A576D7F7}"/>
            </a:ext>
          </a:extLst>
        </xdr:cNvPr>
        <xdr:cNvSpPr/>
      </xdr:nvSpPr>
      <xdr:spPr>
        <a:xfrm>
          <a:off x="15606254212" y="209550"/>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1984568</xdr:colOff>
      <xdr:row>1</xdr:row>
      <xdr:rowOff>38100</xdr:rowOff>
    </xdr:from>
    <xdr:to>
      <xdr:col>6</xdr:col>
      <xdr:colOff>246428</xdr:colOff>
      <xdr:row>3</xdr:row>
      <xdr:rowOff>168346</xdr:rowOff>
    </xdr:to>
    <xdr:sp macro="" textlink="">
      <xdr:nvSpPr>
        <xdr:cNvPr id="248" name="Rectangle: Rounded Corners 247">
          <a:extLst>
            <a:ext uri="{FF2B5EF4-FFF2-40B4-BE49-F238E27FC236}">
              <a16:creationId xmlns:a16="http://schemas.microsoft.com/office/drawing/2014/main" id="{D8CD8A17-CF44-4E34-9A0B-CDCE4444689C}"/>
            </a:ext>
          </a:extLst>
        </xdr:cNvPr>
        <xdr:cNvSpPr/>
      </xdr:nvSpPr>
      <xdr:spPr>
        <a:xfrm>
          <a:off x="15603132322" y="209550"/>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276148</xdr:colOff>
      <xdr:row>1</xdr:row>
      <xdr:rowOff>38100</xdr:rowOff>
    </xdr:from>
    <xdr:to>
      <xdr:col>8</xdr:col>
      <xdr:colOff>487639</xdr:colOff>
      <xdr:row>3</xdr:row>
      <xdr:rowOff>168346</xdr:rowOff>
    </xdr:to>
    <xdr:sp macro="" textlink="">
      <xdr:nvSpPr>
        <xdr:cNvPr id="249" name="Rectangle: Rounded Corners 248">
          <a:extLst>
            <a:ext uri="{FF2B5EF4-FFF2-40B4-BE49-F238E27FC236}">
              <a16:creationId xmlns:a16="http://schemas.microsoft.com/office/drawing/2014/main" id="{BE13CFCF-622C-4798-83E2-2D30254A48AD}"/>
            </a:ext>
          </a:extLst>
        </xdr:cNvPr>
        <xdr:cNvSpPr/>
      </xdr:nvSpPr>
      <xdr:spPr>
        <a:xfrm>
          <a:off x="15600030147" y="209550"/>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244763</xdr:colOff>
      <xdr:row>1</xdr:row>
      <xdr:rowOff>38100</xdr:rowOff>
    </xdr:from>
    <xdr:to>
      <xdr:col>7</xdr:col>
      <xdr:colOff>277564</xdr:colOff>
      <xdr:row>3</xdr:row>
      <xdr:rowOff>168346</xdr:rowOff>
    </xdr:to>
    <xdr:sp macro="" textlink="">
      <xdr:nvSpPr>
        <xdr:cNvPr id="250" name="Rectangle: Rounded Corners 249">
          <a:extLst>
            <a:ext uri="{FF2B5EF4-FFF2-40B4-BE49-F238E27FC236}">
              <a16:creationId xmlns:a16="http://schemas.microsoft.com/office/drawing/2014/main" id="{1C1FD0F2-CD6F-41AC-AAC0-C5805323BA8E}"/>
            </a:ext>
          </a:extLst>
        </xdr:cNvPr>
        <xdr:cNvSpPr/>
      </xdr:nvSpPr>
      <xdr:spPr>
        <a:xfrm>
          <a:off x="15601580650" y="209550"/>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4</xdr:col>
      <xdr:colOff>422457</xdr:colOff>
      <xdr:row>1</xdr:row>
      <xdr:rowOff>38100</xdr:rowOff>
    </xdr:from>
    <xdr:to>
      <xdr:col>4</xdr:col>
      <xdr:colOff>1979499</xdr:colOff>
      <xdr:row>3</xdr:row>
      <xdr:rowOff>168346</xdr:rowOff>
    </xdr:to>
    <xdr:sp macro="" textlink="">
      <xdr:nvSpPr>
        <xdr:cNvPr id="251" name="Rectangle: Rounded Corners 250">
          <a:extLst>
            <a:ext uri="{FF2B5EF4-FFF2-40B4-BE49-F238E27FC236}">
              <a16:creationId xmlns:a16="http://schemas.microsoft.com/office/drawing/2014/main" id="{87DDB785-B3E2-4A61-9A27-CF132B65D387}"/>
            </a:ext>
          </a:extLst>
        </xdr:cNvPr>
        <xdr:cNvSpPr/>
      </xdr:nvSpPr>
      <xdr:spPr>
        <a:xfrm>
          <a:off x="15604694901" y="209550"/>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482907</xdr:colOff>
      <xdr:row>1</xdr:row>
      <xdr:rowOff>38100</xdr:rowOff>
    </xdr:from>
    <xdr:to>
      <xdr:col>10</xdr:col>
      <xdr:colOff>138217</xdr:colOff>
      <xdr:row>3</xdr:row>
      <xdr:rowOff>168346</xdr:rowOff>
    </xdr:to>
    <xdr:sp macro="" textlink="">
      <xdr:nvSpPr>
        <xdr:cNvPr id="252" name="Rectangle: Rounded Corners 251">
          <a:extLst>
            <a:ext uri="{FF2B5EF4-FFF2-40B4-BE49-F238E27FC236}">
              <a16:creationId xmlns:a16="http://schemas.microsoft.com/office/drawing/2014/main" id="{CD571BEF-A46E-464F-BC13-C53B5858509B}"/>
            </a:ext>
          </a:extLst>
        </xdr:cNvPr>
        <xdr:cNvSpPr/>
      </xdr:nvSpPr>
      <xdr:spPr>
        <a:xfrm>
          <a:off x="15598474570" y="209550"/>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136999</xdr:colOff>
      <xdr:row>1</xdr:row>
      <xdr:rowOff>40945</xdr:rowOff>
    </xdr:from>
    <xdr:to>
      <xdr:col>11</xdr:col>
      <xdr:colOff>557004</xdr:colOff>
      <xdr:row>3</xdr:row>
      <xdr:rowOff>171191</xdr:rowOff>
    </xdr:to>
    <xdr:sp macro="" textlink="">
      <xdr:nvSpPr>
        <xdr:cNvPr id="253" name="Rectangle: Rounded Corners 252">
          <a:extLst>
            <a:ext uri="{FF2B5EF4-FFF2-40B4-BE49-F238E27FC236}">
              <a16:creationId xmlns:a16="http://schemas.microsoft.com/office/drawing/2014/main" id="{7319B5C9-47AA-4E6B-A95E-1B92F22A1ADA}"/>
            </a:ext>
          </a:extLst>
        </xdr:cNvPr>
        <xdr:cNvSpPr/>
      </xdr:nvSpPr>
      <xdr:spPr>
        <a:xfrm>
          <a:off x="15596920947" y="212395"/>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28</xdr:col>
      <xdr:colOff>0</xdr:colOff>
      <xdr:row>13</xdr:row>
      <xdr:rowOff>119743</xdr:rowOff>
    </xdr:from>
    <xdr:to>
      <xdr:col>28</xdr:col>
      <xdr:colOff>350262</xdr:colOff>
      <xdr:row>13</xdr:row>
      <xdr:rowOff>119745</xdr:rowOff>
    </xdr:to>
    <xdr:cxnSp macro="">
      <xdr:nvCxnSpPr>
        <xdr:cNvPr id="166" name="Straight Arrow Connector 165">
          <a:extLst>
            <a:ext uri="{FF2B5EF4-FFF2-40B4-BE49-F238E27FC236}">
              <a16:creationId xmlns:a16="http://schemas.microsoft.com/office/drawing/2014/main" id="{433A687E-3CCD-4595-91C8-0754C54A2F2C}"/>
            </a:ext>
          </a:extLst>
        </xdr:cNvPr>
        <xdr:cNvCxnSpPr/>
      </xdr:nvCxnSpPr>
      <xdr:spPr>
        <a:xfrm flipV="1">
          <a:off x="15668198538" y="13389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13</xdr:row>
      <xdr:rowOff>119743</xdr:rowOff>
    </xdr:from>
    <xdr:to>
      <xdr:col>28</xdr:col>
      <xdr:colOff>350262</xdr:colOff>
      <xdr:row>13</xdr:row>
      <xdr:rowOff>119745</xdr:rowOff>
    </xdr:to>
    <xdr:cxnSp macro="">
      <xdr:nvCxnSpPr>
        <xdr:cNvPr id="167" name="Straight Arrow Connector 166">
          <a:extLst>
            <a:ext uri="{FF2B5EF4-FFF2-40B4-BE49-F238E27FC236}">
              <a16:creationId xmlns:a16="http://schemas.microsoft.com/office/drawing/2014/main" id="{CE42C224-0116-4B74-97F4-467BAF8788C0}"/>
            </a:ext>
          </a:extLst>
        </xdr:cNvPr>
        <xdr:cNvCxnSpPr/>
      </xdr:nvCxnSpPr>
      <xdr:spPr>
        <a:xfrm flipV="1">
          <a:off x="15668198538" y="1338943"/>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10886</xdr:colOff>
      <xdr:row>67</xdr:row>
      <xdr:rowOff>65315</xdr:rowOff>
    </xdr:from>
    <xdr:to>
      <xdr:col>17</xdr:col>
      <xdr:colOff>285206</xdr:colOff>
      <xdr:row>72</xdr:row>
      <xdr:rowOff>108858</xdr:rowOff>
    </xdr:to>
    <xdr:cxnSp macro="">
      <xdr:nvCxnSpPr>
        <xdr:cNvPr id="164" name="Connector: Elbow 163">
          <a:extLst>
            <a:ext uri="{FF2B5EF4-FFF2-40B4-BE49-F238E27FC236}">
              <a16:creationId xmlns:a16="http://schemas.microsoft.com/office/drawing/2014/main" id="{4044692D-DFEC-40C4-B457-1CD7CC910705}"/>
            </a:ext>
          </a:extLst>
        </xdr:cNvPr>
        <xdr:cNvCxnSpPr/>
      </xdr:nvCxnSpPr>
      <xdr:spPr>
        <a:xfrm rot="5400000" flipH="1" flipV="1">
          <a:off x="15681235011" y="12392298"/>
          <a:ext cx="914400" cy="274320"/>
        </a:xfrm>
        <a:prstGeom prst="bentConnector3">
          <a:avLst>
            <a:gd name="adj1" fmla="val 9974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xdr:row>
      <xdr:rowOff>119743</xdr:rowOff>
    </xdr:from>
    <xdr:to>
      <xdr:col>28</xdr:col>
      <xdr:colOff>350262</xdr:colOff>
      <xdr:row>7</xdr:row>
      <xdr:rowOff>119745</xdr:rowOff>
    </xdr:to>
    <xdr:cxnSp macro="">
      <xdr:nvCxnSpPr>
        <xdr:cNvPr id="163" name="Straight Arrow Connector 162">
          <a:extLst>
            <a:ext uri="{FF2B5EF4-FFF2-40B4-BE49-F238E27FC236}">
              <a16:creationId xmlns:a16="http://schemas.microsoft.com/office/drawing/2014/main" id="{003FC3E1-E252-4E19-9AF3-976245252232}"/>
            </a:ext>
          </a:extLst>
        </xdr:cNvPr>
        <xdr:cNvCxnSpPr/>
      </xdr:nvCxnSpPr>
      <xdr:spPr>
        <a:xfrm flipV="1">
          <a:off x="15635820466" y="1740725"/>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17933</xdr:colOff>
      <xdr:row>7</xdr:row>
      <xdr:rowOff>87086</xdr:rowOff>
    </xdr:from>
    <xdr:to>
      <xdr:col>26</xdr:col>
      <xdr:colOff>368195</xdr:colOff>
      <xdr:row>7</xdr:row>
      <xdr:rowOff>87088</xdr:rowOff>
    </xdr:to>
    <xdr:cxnSp macro="">
      <xdr:nvCxnSpPr>
        <xdr:cNvPr id="165" name="Straight Arrow Connector 164">
          <a:extLst>
            <a:ext uri="{FF2B5EF4-FFF2-40B4-BE49-F238E27FC236}">
              <a16:creationId xmlns:a16="http://schemas.microsoft.com/office/drawing/2014/main" id="{21ECE822-42C9-4726-BF30-4CDC96A4AC61}"/>
            </a:ext>
          </a:extLst>
        </xdr:cNvPr>
        <xdr:cNvCxnSpPr/>
      </xdr:nvCxnSpPr>
      <xdr:spPr>
        <a:xfrm flipV="1">
          <a:off x="15638337914" y="1708068"/>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0</xdr:colOff>
      <xdr:row>7</xdr:row>
      <xdr:rowOff>119743</xdr:rowOff>
    </xdr:from>
    <xdr:to>
      <xdr:col>28</xdr:col>
      <xdr:colOff>350262</xdr:colOff>
      <xdr:row>7</xdr:row>
      <xdr:rowOff>119745</xdr:rowOff>
    </xdr:to>
    <xdr:cxnSp macro="">
      <xdr:nvCxnSpPr>
        <xdr:cNvPr id="168" name="Straight Arrow Connector 167">
          <a:extLst>
            <a:ext uri="{FF2B5EF4-FFF2-40B4-BE49-F238E27FC236}">
              <a16:creationId xmlns:a16="http://schemas.microsoft.com/office/drawing/2014/main" id="{FDC16CD4-3EC5-4B68-A9FC-20CEEC04B312}"/>
            </a:ext>
          </a:extLst>
        </xdr:cNvPr>
        <xdr:cNvCxnSpPr/>
      </xdr:nvCxnSpPr>
      <xdr:spPr>
        <a:xfrm flipV="1">
          <a:off x="15635820466" y="1740725"/>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762000</xdr:colOff>
      <xdr:row>9</xdr:row>
      <xdr:rowOff>152401</xdr:rowOff>
    </xdr:from>
    <xdr:to>
      <xdr:col>24</xdr:col>
      <xdr:colOff>155403</xdr:colOff>
      <xdr:row>9</xdr:row>
      <xdr:rowOff>152403</xdr:rowOff>
    </xdr:to>
    <xdr:cxnSp macro="">
      <xdr:nvCxnSpPr>
        <xdr:cNvPr id="169" name="Straight Arrow Connector 168">
          <a:extLst>
            <a:ext uri="{FF2B5EF4-FFF2-40B4-BE49-F238E27FC236}">
              <a16:creationId xmlns:a16="http://schemas.microsoft.com/office/drawing/2014/main" id="{B519C12E-5B44-4D25-97CC-980AEC915FF6}"/>
            </a:ext>
          </a:extLst>
        </xdr:cNvPr>
        <xdr:cNvCxnSpPr/>
      </xdr:nvCxnSpPr>
      <xdr:spPr>
        <a:xfrm flipV="1">
          <a:off x="15641044525" y="1773383"/>
          <a:ext cx="349366"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140</xdr:row>
      <xdr:rowOff>76200</xdr:rowOff>
    </xdr:from>
    <xdr:to>
      <xdr:col>26</xdr:col>
      <xdr:colOff>363067</xdr:colOff>
      <xdr:row>140</xdr:row>
      <xdr:rowOff>76202</xdr:rowOff>
    </xdr:to>
    <xdr:cxnSp macro="">
      <xdr:nvCxnSpPr>
        <xdr:cNvPr id="172" name="Straight Arrow Connector 171">
          <a:extLst>
            <a:ext uri="{FF2B5EF4-FFF2-40B4-BE49-F238E27FC236}">
              <a16:creationId xmlns:a16="http://schemas.microsoft.com/office/drawing/2014/main" id="{1B489773-D2B0-4533-9356-6BFB86322956}"/>
            </a:ext>
          </a:extLst>
        </xdr:cNvPr>
        <xdr:cNvCxnSpPr/>
      </xdr:nvCxnSpPr>
      <xdr:spPr>
        <a:xfrm flipV="1">
          <a:off x="15670722105" y="2414451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140</xdr:row>
      <xdr:rowOff>97971</xdr:rowOff>
    </xdr:from>
    <xdr:to>
      <xdr:col>28</xdr:col>
      <xdr:colOff>391727</xdr:colOff>
      <xdr:row>140</xdr:row>
      <xdr:rowOff>97973</xdr:rowOff>
    </xdr:to>
    <xdr:cxnSp macro="">
      <xdr:nvCxnSpPr>
        <xdr:cNvPr id="173" name="Straight Arrow Connector 172">
          <a:extLst>
            <a:ext uri="{FF2B5EF4-FFF2-40B4-BE49-F238E27FC236}">
              <a16:creationId xmlns:a16="http://schemas.microsoft.com/office/drawing/2014/main" id="{CB26E8ED-8A59-40CD-9EF7-75A2E63572A0}"/>
            </a:ext>
          </a:extLst>
        </xdr:cNvPr>
        <xdr:cNvCxnSpPr/>
      </xdr:nvCxnSpPr>
      <xdr:spPr>
        <a:xfrm flipV="1">
          <a:off x="15635779001" y="8105898"/>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140</xdr:row>
      <xdr:rowOff>124691</xdr:rowOff>
    </xdr:from>
    <xdr:to>
      <xdr:col>24</xdr:col>
      <xdr:colOff>455221</xdr:colOff>
      <xdr:row>140</xdr:row>
      <xdr:rowOff>125973</xdr:rowOff>
    </xdr:to>
    <xdr:cxnSp macro="">
      <xdr:nvCxnSpPr>
        <xdr:cNvPr id="175" name="Straight Arrow Connector 174">
          <a:extLst>
            <a:ext uri="{FF2B5EF4-FFF2-40B4-BE49-F238E27FC236}">
              <a16:creationId xmlns:a16="http://schemas.microsoft.com/office/drawing/2014/main" id="{418988A4-3948-49F5-B5C5-D4EAD6987BEF}"/>
            </a:ext>
          </a:extLst>
        </xdr:cNvPr>
        <xdr:cNvCxnSpPr/>
      </xdr:nvCxnSpPr>
      <xdr:spPr>
        <a:xfrm flipV="1">
          <a:off x="15640744707" y="24855055"/>
          <a:ext cx="13696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1282098</xdr:colOff>
      <xdr:row>130</xdr:row>
      <xdr:rowOff>78239</xdr:rowOff>
    </xdr:from>
    <xdr:to>
      <xdr:col>20</xdr:col>
      <xdr:colOff>827669</xdr:colOff>
      <xdr:row>130</xdr:row>
      <xdr:rowOff>79521</xdr:rowOff>
    </xdr:to>
    <xdr:cxnSp macro="">
      <xdr:nvCxnSpPr>
        <xdr:cNvPr id="176" name="Straight Arrow Connector 175">
          <a:extLst>
            <a:ext uri="{FF2B5EF4-FFF2-40B4-BE49-F238E27FC236}">
              <a16:creationId xmlns:a16="http://schemas.microsoft.com/office/drawing/2014/main" id="{F3748E9D-E373-41A8-BDA4-AF14DD5A0D97}"/>
            </a:ext>
          </a:extLst>
        </xdr:cNvPr>
        <xdr:cNvCxnSpPr/>
      </xdr:nvCxnSpPr>
      <xdr:spPr>
        <a:xfrm flipV="1">
          <a:off x="15644500913" y="23727948"/>
          <a:ext cx="612648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847806</xdr:colOff>
      <xdr:row>123</xdr:row>
      <xdr:rowOff>75326</xdr:rowOff>
    </xdr:from>
    <xdr:to>
      <xdr:col>21</xdr:col>
      <xdr:colOff>143436</xdr:colOff>
      <xdr:row>152</xdr:row>
      <xdr:rowOff>0</xdr:rowOff>
    </xdr:to>
    <xdr:sp macro="" textlink="">
      <xdr:nvSpPr>
        <xdr:cNvPr id="177" name="Right Brace 176">
          <a:extLst>
            <a:ext uri="{FF2B5EF4-FFF2-40B4-BE49-F238E27FC236}">
              <a16:creationId xmlns:a16="http://schemas.microsoft.com/office/drawing/2014/main" id="{8B6522D4-6496-4AAD-97D2-C26591BB254E}"/>
            </a:ext>
          </a:extLst>
        </xdr:cNvPr>
        <xdr:cNvSpPr/>
      </xdr:nvSpPr>
      <xdr:spPr>
        <a:xfrm>
          <a:off x="15697558588" y="22379514"/>
          <a:ext cx="254853" cy="5124204"/>
        </a:xfrm>
        <a:prstGeom prst="rightBrace">
          <a:avLst>
            <a:gd name="adj1" fmla="val 49935"/>
            <a:gd name="adj2" fmla="val 24709"/>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28</xdr:col>
      <xdr:colOff>43543</xdr:colOff>
      <xdr:row>129</xdr:row>
      <xdr:rowOff>97971</xdr:rowOff>
    </xdr:from>
    <xdr:to>
      <xdr:col>28</xdr:col>
      <xdr:colOff>391727</xdr:colOff>
      <xdr:row>129</xdr:row>
      <xdr:rowOff>97973</xdr:rowOff>
    </xdr:to>
    <xdr:cxnSp macro="">
      <xdr:nvCxnSpPr>
        <xdr:cNvPr id="178" name="Straight Arrow Connector 177">
          <a:extLst>
            <a:ext uri="{FF2B5EF4-FFF2-40B4-BE49-F238E27FC236}">
              <a16:creationId xmlns:a16="http://schemas.microsoft.com/office/drawing/2014/main" id="{C778DF37-7D78-42EF-B2C9-250197B7CEFD}"/>
            </a:ext>
          </a:extLst>
        </xdr:cNvPr>
        <xdr:cNvCxnSpPr/>
      </xdr:nvCxnSpPr>
      <xdr:spPr>
        <a:xfrm flipV="1">
          <a:off x="15668157073" y="24166285"/>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129</xdr:row>
      <xdr:rowOff>76200</xdr:rowOff>
    </xdr:from>
    <xdr:to>
      <xdr:col>26</xdr:col>
      <xdr:colOff>363067</xdr:colOff>
      <xdr:row>129</xdr:row>
      <xdr:rowOff>76202</xdr:rowOff>
    </xdr:to>
    <xdr:cxnSp macro="">
      <xdr:nvCxnSpPr>
        <xdr:cNvPr id="179" name="Straight Arrow Connector 178">
          <a:extLst>
            <a:ext uri="{FF2B5EF4-FFF2-40B4-BE49-F238E27FC236}">
              <a16:creationId xmlns:a16="http://schemas.microsoft.com/office/drawing/2014/main" id="{4FD33FE7-7C2D-497F-A90D-A131CE0F5BC2}"/>
            </a:ext>
          </a:extLst>
        </xdr:cNvPr>
        <xdr:cNvCxnSpPr/>
      </xdr:nvCxnSpPr>
      <xdr:spPr>
        <a:xfrm flipV="1">
          <a:off x="15670722105" y="2414451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134</xdr:row>
      <xdr:rowOff>76200</xdr:rowOff>
    </xdr:from>
    <xdr:to>
      <xdr:col>26</xdr:col>
      <xdr:colOff>363067</xdr:colOff>
      <xdr:row>134</xdr:row>
      <xdr:rowOff>76202</xdr:rowOff>
    </xdr:to>
    <xdr:cxnSp macro="">
      <xdr:nvCxnSpPr>
        <xdr:cNvPr id="180" name="Straight Arrow Connector 179">
          <a:extLst>
            <a:ext uri="{FF2B5EF4-FFF2-40B4-BE49-F238E27FC236}">
              <a16:creationId xmlns:a16="http://schemas.microsoft.com/office/drawing/2014/main" id="{9A1CB8BF-89C3-448C-B594-65662F96A018}"/>
            </a:ext>
          </a:extLst>
        </xdr:cNvPr>
        <xdr:cNvCxnSpPr/>
      </xdr:nvCxnSpPr>
      <xdr:spPr>
        <a:xfrm flipV="1">
          <a:off x="15670722105" y="2414451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12805</xdr:colOff>
      <xdr:row>134</xdr:row>
      <xdr:rowOff>76200</xdr:rowOff>
    </xdr:from>
    <xdr:to>
      <xdr:col>28</xdr:col>
      <xdr:colOff>363067</xdr:colOff>
      <xdr:row>134</xdr:row>
      <xdr:rowOff>76202</xdr:rowOff>
    </xdr:to>
    <xdr:cxnSp macro="">
      <xdr:nvCxnSpPr>
        <xdr:cNvPr id="181" name="Straight Arrow Connector 180">
          <a:extLst>
            <a:ext uri="{FF2B5EF4-FFF2-40B4-BE49-F238E27FC236}">
              <a16:creationId xmlns:a16="http://schemas.microsoft.com/office/drawing/2014/main" id="{83C35B35-B0CB-458F-9CF1-D83A7FFB92A2}"/>
            </a:ext>
          </a:extLst>
        </xdr:cNvPr>
        <xdr:cNvCxnSpPr/>
      </xdr:nvCxnSpPr>
      <xdr:spPr>
        <a:xfrm flipV="1">
          <a:off x="15670722105" y="2414451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54428</xdr:colOff>
      <xdr:row>129</xdr:row>
      <xdr:rowOff>99252</xdr:rowOff>
    </xdr:from>
    <xdr:to>
      <xdr:col>24</xdr:col>
      <xdr:colOff>435428</xdr:colOff>
      <xdr:row>129</xdr:row>
      <xdr:rowOff>108856</xdr:rowOff>
    </xdr:to>
    <xdr:cxnSp macro="">
      <xdr:nvCxnSpPr>
        <xdr:cNvPr id="182" name="Straight Arrow Connector 181">
          <a:extLst>
            <a:ext uri="{FF2B5EF4-FFF2-40B4-BE49-F238E27FC236}">
              <a16:creationId xmlns:a16="http://schemas.microsoft.com/office/drawing/2014/main" id="{6C4BC17B-E138-4A89-9C36-D0A19878EE8F}"/>
            </a:ext>
          </a:extLst>
        </xdr:cNvPr>
        <xdr:cNvCxnSpPr/>
      </xdr:nvCxnSpPr>
      <xdr:spPr>
        <a:xfrm>
          <a:off x="15673153458" y="25212595"/>
          <a:ext cx="2394857" cy="9604"/>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65313</xdr:colOff>
      <xdr:row>134</xdr:row>
      <xdr:rowOff>87086</xdr:rowOff>
    </xdr:from>
    <xdr:to>
      <xdr:col>24</xdr:col>
      <xdr:colOff>446313</xdr:colOff>
      <xdr:row>134</xdr:row>
      <xdr:rowOff>96690</xdr:rowOff>
    </xdr:to>
    <xdr:cxnSp macro="">
      <xdr:nvCxnSpPr>
        <xdr:cNvPr id="183" name="Straight Arrow Connector 182">
          <a:extLst>
            <a:ext uri="{FF2B5EF4-FFF2-40B4-BE49-F238E27FC236}">
              <a16:creationId xmlns:a16="http://schemas.microsoft.com/office/drawing/2014/main" id="{39E8676F-BF44-4A05-A4FB-EEACCB4AA8D0}"/>
            </a:ext>
          </a:extLst>
        </xdr:cNvPr>
        <xdr:cNvCxnSpPr/>
      </xdr:nvCxnSpPr>
      <xdr:spPr>
        <a:xfrm>
          <a:off x="15673142573" y="25897115"/>
          <a:ext cx="2394857" cy="9604"/>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167</xdr:row>
      <xdr:rowOff>76200</xdr:rowOff>
    </xdr:from>
    <xdr:to>
      <xdr:col>26</xdr:col>
      <xdr:colOff>363067</xdr:colOff>
      <xdr:row>167</xdr:row>
      <xdr:rowOff>76202</xdr:rowOff>
    </xdr:to>
    <xdr:cxnSp macro="">
      <xdr:nvCxnSpPr>
        <xdr:cNvPr id="192" name="Straight Arrow Connector 191">
          <a:extLst>
            <a:ext uri="{FF2B5EF4-FFF2-40B4-BE49-F238E27FC236}">
              <a16:creationId xmlns:a16="http://schemas.microsoft.com/office/drawing/2014/main" id="{0FFB74BE-36D6-481D-9B29-64B63DF712DB}"/>
            </a:ext>
          </a:extLst>
        </xdr:cNvPr>
        <xdr:cNvCxnSpPr/>
      </xdr:nvCxnSpPr>
      <xdr:spPr>
        <a:xfrm flipV="1">
          <a:off x="15638343042" y="2480656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167</xdr:row>
      <xdr:rowOff>97971</xdr:rowOff>
    </xdr:from>
    <xdr:to>
      <xdr:col>28</xdr:col>
      <xdr:colOff>391727</xdr:colOff>
      <xdr:row>167</xdr:row>
      <xdr:rowOff>97973</xdr:rowOff>
    </xdr:to>
    <xdr:cxnSp macro="">
      <xdr:nvCxnSpPr>
        <xdr:cNvPr id="193" name="Straight Arrow Connector 192">
          <a:extLst>
            <a:ext uri="{FF2B5EF4-FFF2-40B4-BE49-F238E27FC236}">
              <a16:creationId xmlns:a16="http://schemas.microsoft.com/office/drawing/2014/main" id="{11729BC1-BDD3-45B9-80EB-A21127BD7E4A}"/>
            </a:ext>
          </a:extLst>
        </xdr:cNvPr>
        <xdr:cNvCxnSpPr/>
      </xdr:nvCxnSpPr>
      <xdr:spPr>
        <a:xfrm flipV="1">
          <a:off x="15635779001" y="24828335"/>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167</xdr:row>
      <xdr:rowOff>124691</xdr:rowOff>
    </xdr:from>
    <xdr:to>
      <xdr:col>24</xdr:col>
      <xdr:colOff>455221</xdr:colOff>
      <xdr:row>167</xdr:row>
      <xdr:rowOff>125973</xdr:rowOff>
    </xdr:to>
    <xdr:cxnSp macro="">
      <xdr:nvCxnSpPr>
        <xdr:cNvPr id="194" name="Straight Arrow Connector 193">
          <a:extLst>
            <a:ext uri="{FF2B5EF4-FFF2-40B4-BE49-F238E27FC236}">
              <a16:creationId xmlns:a16="http://schemas.microsoft.com/office/drawing/2014/main" id="{765E360D-745A-486A-8E86-3EED2B999FC3}"/>
            </a:ext>
          </a:extLst>
        </xdr:cNvPr>
        <xdr:cNvCxnSpPr/>
      </xdr:nvCxnSpPr>
      <xdr:spPr>
        <a:xfrm flipV="1">
          <a:off x="15640744707" y="24855055"/>
          <a:ext cx="13696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10885</xdr:colOff>
      <xdr:row>170</xdr:row>
      <xdr:rowOff>87086</xdr:rowOff>
    </xdr:from>
    <xdr:to>
      <xdr:col>26</xdr:col>
      <xdr:colOff>361147</xdr:colOff>
      <xdr:row>170</xdr:row>
      <xdr:rowOff>87088</xdr:rowOff>
    </xdr:to>
    <xdr:cxnSp macro="">
      <xdr:nvCxnSpPr>
        <xdr:cNvPr id="196" name="Straight Arrow Connector 195">
          <a:extLst>
            <a:ext uri="{FF2B5EF4-FFF2-40B4-BE49-F238E27FC236}">
              <a16:creationId xmlns:a16="http://schemas.microsoft.com/office/drawing/2014/main" id="{567CCB7B-FD56-406E-A75C-2FD611CA3C35}"/>
            </a:ext>
          </a:extLst>
        </xdr:cNvPr>
        <xdr:cNvCxnSpPr/>
      </xdr:nvCxnSpPr>
      <xdr:spPr>
        <a:xfrm flipV="1">
          <a:off x="15638344962" y="4257304"/>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11083</xdr:colOff>
      <xdr:row>170</xdr:row>
      <xdr:rowOff>96982</xdr:rowOff>
    </xdr:from>
    <xdr:to>
      <xdr:col>28</xdr:col>
      <xdr:colOff>359267</xdr:colOff>
      <xdr:row>170</xdr:row>
      <xdr:rowOff>96984</xdr:rowOff>
    </xdr:to>
    <xdr:cxnSp macro="">
      <xdr:nvCxnSpPr>
        <xdr:cNvPr id="197" name="Straight Arrow Connector 196">
          <a:extLst>
            <a:ext uri="{FF2B5EF4-FFF2-40B4-BE49-F238E27FC236}">
              <a16:creationId xmlns:a16="http://schemas.microsoft.com/office/drawing/2014/main" id="{72CBD349-8A4A-42BF-A076-8C0A6DDC2307}"/>
            </a:ext>
          </a:extLst>
        </xdr:cNvPr>
        <xdr:cNvCxnSpPr/>
      </xdr:nvCxnSpPr>
      <xdr:spPr>
        <a:xfrm flipV="1">
          <a:off x="15635811461" y="4267200"/>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893195</xdr:colOff>
      <xdr:row>168</xdr:row>
      <xdr:rowOff>19879</xdr:rowOff>
    </xdr:from>
    <xdr:to>
      <xdr:col>24</xdr:col>
      <xdr:colOff>426718</xdr:colOff>
      <xdr:row>170</xdr:row>
      <xdr:rowOff>132522</xdr:rowOff>
    </xdr:to>
    <xdr:cxnSp macro="">
      <xdr:nvCxnSpPr>
        <xdr:cNvPr id="198" name="Connector: Elbow 197">
          <a:extLst>
            <a:ext uri="{FF2B5EF4-FFF2-40B4-BE49-F238E27FC236}">
              <a16:creationId xmlns:a16="http://schemas.microsoft.com/office/drawing/2014/main" id="{B154E869-DAD0-46FF-BC37-7EBC870DAF16}"/>
            </a:ext>
          </a:extLst>
        </xdr:cNvPr>
        <xdr:cNvCxnSpPr/>
      </xdr:nvCxnSpPr>
      <xdr:spPr>
        <a:xfrm flipV="1">
          <a:off x="15719593525" y="29386696"/>
          <a:ext cx="1554480" cy="457200"/>
        </a:xfrm>
        <a:prstGeom prst="bentConnector3">
          <a:avLst>
            <a:gd name="adj1" fmla="val 10008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712960</xdr:colOff>
      <xdr:row>138</xdr:row>
      <xdr:rowOff>14940</xdr:rowOff>
    </xdr:from>
    <xdr:to>
      <xdr:col>19</xdr:col>
      <xdr:colOff>264072</xdr:colOff>
      <xdr:row>167</xdr:row>
      <xdr:rowOff>95297</xdr:rowOff>
    </xdr:to>
    <xdr:cxnSp macro="">
      <xdr:nvCxnSpPr>
        <xdr:cNvPr id="202" name="Connector: Elbow 201">
          <a:extLst>
            <a:ext uri="{FF2B5EF4-FFF2-40B4-BE49-F238E27FC236}">
              <a16:creationId xmlns:a16="http://schemas.microsoft.com/office/drawing/2014/main" id="{0AAADBCC-2C72-4F65-8399-757DF8984966}"/>
            </a:ext>
          </a:extLst>
        </xdr:cNvPr>
        <xdr:cNvCxnSpPr/>
      </xdr:nvCxnSpPr>
      <xdr:spPr>
        <a:xfrm flipV="1">
          <a:off x="15646616219" y="25105522"/>
          <a:ext cx="3291840" cy="5303520"/>
        </a:xfrm>
        <a:prstGeom prst="bentConnector3">
          <a:avLst>
            <a:gd name="adj1" fmla="val 8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179</xdr:row>
      <xdr:rowOff>76200</xdr:rowOff>
    </xdr:from>
    <xdr:to>
      <xdr:col>26</xdr:col>
      <xdr:colOff>363067</xdr:colOff>
      <xdr:row>179</xdr:row>
      <xdr:rowOff>76202</xdr:rowOff>
    </xdr:to>
    <xdr:cxnSp macro="">
      <xdr:nvCxnSpPr>
        <xdr:cNvPr id="220" name="Straight Arrow Connector 219">
          <a:extLst>
            <a:ext uri="{FF2B5EF4-FFF2-40B4-BE49-F238E27FC236}">
              <a16:creationId xmlns:a16="http://schemas.microsoft.com/office/drawing/2014/main" id="{881D653A-6461-4DF9-8768-98DAE2D1EA6B}"/>
            </a:ext>
          </a:extLst>
        </xdr:cNvPr>
        <xdr:cNvCxnSpPr/>
      </xdr:nvCxnSpPr>
      <xdr:spPr>
        <a:xfrm flipV="1">
          <a:off x="15670722105" y="2956560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179</xdr:row>
      <xdr:rowOff>97971</xdr:rowOff>
    </xdr:from>
    <xdr:to>
      <xdr:col>28</xdr:col>
      <xdr:colOff>391727</xdr:colOff>
      <xdr:row>179</xdr:row>
      <xdr:rowOff>97973</xdr:rowOff>
    </xdr:to>
    <xdr:cxnSp macro="">
      <xdr:nvCxnSpPr>
        <xdr:cNvPr id="223" name="Straight Arrow Connector 222">
          <a:extLst>
            <a:ext uri="{FF2B5EF4-FFF2-40B4-BE49-F238E27FC236}">
              <a16:creationId xmlns:a16="http://schemas.microsoft.com/office/drawing/2014/main" id="{B06E15D1-607B-4E9B-9C9C-A8FCEAA1AD6E}"/>
            </a:ext>
          </a:extLst>
        </xdr:cNvPr>
        <xdr:cNvCxnSpPr/>
      </xdr:nvCxnSpPr>
      <xdr:spPr>
        <a:xfrm flipV="1">
          <a:off x="15668157073" y="29587371"/>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179</xdr:row>
      <xdr:rowOff>124691</xdr:rowOff>
    </xdr:from>
    <xdr:to>
      <xdr:col>24</xdr:col>
      <xdr:colOff>455221</xdr:colOff>
      <xdr:row>179</xdr:row>
      <xdr:rowOff>125973</xdr:rowOff>
    </xdr:to>
    <xdr:cxnSp macro="">
      <xdr:nvCxnSpPr>
        <xdr:cNvPr id="224" name="Straight Arrow Connector 223">
          <a:extLst>
            <a:ext uri="{FF2B5EF4-FFF2-40B4-BE49-F238E27FC236}">
              <a16:creationId xmlns:a16="http://schemas.microsoft.com/office/drawing/2014/main" id="{541A07B9-B3D0-49B5-A4E4-4F6F035A4E33}"/>
            </a:ext>
          </a:extLst>
        </xdr:cNvPr>
        <xdr:cNvCxnSpPr/>
      </xdr:nvCxnSpPr>
      <xdr:spPr>
        <a:xfrm flipV="1">
          <a:off x="15673133665" y="29614091"/>
          <a:ext cx="13716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632788</xdr:colOff>
      <xdr:row>151</xdr:row>
      <xdr:rowOff>54429</xdr:rowOff>
    </xdr:from>
    <xdr:to>
      <xdr:col>22</xdr:col>
      <xdr:colOff>500742</xdr:colOff>
      <xdr:row>166</xdr:row>
      <xdr:rowOff>164706</xdr:rowOff>
    </xdr:to>
    <xdr:cxnSp macro="">
      <xdr:nvCxnSpPr>
        <xdr:cNvPr id="227" name="Connector: Elbow 226">
          <a:extLst>
            <a:ext uri="{FF2B5EF4-FFF2-40B4-BE49-F238E27FC236}">
              <a16:creationId xmlns:a16="http://schemas.microsoft.com/office/drawing/2014/main" id="{F7E9AF5B-9F7E-41F7-8B03-2D7CFBA502FE}"/>
            </a:ext>
          </a:extLst>
        </xdr:cNvPr>
        <xdr:cNvCxnSpPr/>
      </xdr:nvCxnSpPr>
      <xdr:spPr>
        <a:xfrm rot="16200000" flipV="1">
          <a:off x="15674730468" y="27128619"/>
          <a:ext cx="2722849" cy="1979783"/>
        </a:xfrm>
        <a:prstGeom prst="bentConnector3">
          <a:avLst>
            <a:gd name="adj1" fmla="val 8318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119</xdr:row>
      <xdr:rowOff>76200</xdr:rowOff>
    </xdr:from>
    <xdr:to>
      <xdr:col>26</xdr:col>
      <xdr:colOff>363067</xdr:colOff>
      <xdr:row>119</xdr:row>
      <xdr:rowOff>76202</xdr:rowOff>
    </xdr:to>
    <xdr:cxnSp macro="">
      <xdr:nvCxnSpPr>
        <xdr:cNvPr id="228" name="Straight Arrow Connector 227">
          <a:extLst>
            <a:ext uri="{FF2B5EF4-FFF2-40B4-BE49-F238E27FC236}">
              <a16:creationId xmlns:a16="http://schemas.microsoft.com/office/drawing/2014/main" id="{7A48CA4A-D32D-4186-B436-A6F269A437D7}"/>
            </a:ext>
          </a:extLst>
        </xdr:cNvPr>
        <xdr:cNvCxnSpPr/>
      </xdr:nvCxnSpPr>
      <xdr:spPr>
        <a:xfrm flipV="1">
          <a:off x="15581698733" y="29222700"/>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119</xdr:row>
      <xdr:rowOff>97971</xdr:rowOff>
    </xdr:from>
    <xdr:to>
      <xdr:col>28</xdr:col>
      <xdr:colOff>391727</xdr:colOff>
      <xdr:row>119</xdr:row>
      <xdr:rowOff>97973</xdr:rowOff>
    </xdr:to>
    <xdr:cxnSp macro="">
      <xdr:nvCxnSpPr>
        <xdr:cNvPr id="229" name="Straight Arrow Connector 228">
          <a:extLst>
            <a:ext uri="{FF2B5EF4-FFF2-40B4-BE49-F238E27FC236}">
              <a16:creationId xmlns:a16="http://schemas.microsoft.com/office/drawing/2014/main" id="{65FA0DC9-3AA5-4261-9868-C4427F218549}"/>
            </a:ext>
          </a:extLst>
        </xdr:cNvPr>
        <xdr:cNvCxnSpPr/>
      </xdr:nvCxnSpPr>
      <xdr:spPr>
        <a:xfrm flipV="1">
          <a:off x="15579136423" y="29244471"/>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701042</xdr:colOff>
      <xdr:row>119</xdr:row>
      <xdr:rowOff>124691</xdr:rowOff>
    </xdr:from>
    <xdr:to>
      <xdr:col>24</xdr:col>
      <xdr:colOff>332511</xdr:colOff>
      <xdr:row>136</xdr:row>
      <xdr:rowOff>171796</xdr:rowOff>
    </xdr:to>
    <xdr:cxnSp macro="">
      <xdr:nvCxnSpPr>
        <xdr:cNvPr id="232" name="Connector: Elbow 231">
          <a:extLst>
            <a:ext uri="{FF2B5EF4-FFF2-40B4-BE49-F238E27FC236}">
              <a16:creationId xmlns:a16="http://schemas.microsoft.com/office/drawing/2014/main" id="{D179E1CB-9C66-491D-8338-7B3B7F90AA59}"/>
            </a:ext>
          </a:extLst>
        </xdr:cNvPr>
        <xdr:cNvCxnSpPr/>
      </xdr:nvCxnSpPr>
      <xdr:spPr>
        <a:xfrm>
          <a:off x="15640867417" y="21793200"/>
          <a:ext cx="9052560" cy="3108960"/>
        </a:xfrm>
        <a:prstGeom prst="bentConnector3">
          <a:avLst>
            <a:gd name="adj1" fmla="val 6351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994123</xdr:colOff>
      <xdr:row>181</xdr:row>
      <xdr:rowOff>108857</xdr:rowOff>
    </xdr:from>
    <xdr:to>
      <xdr:col>12</xdr:col>
      <xdr:colOff>1192243</xdr:colOff>
      <xdr:row>181</xdr:row>
      <xdr:rowOff>110139</xdr:rowOff>
    </xdr:to>
    <xdr:cxnSp macro="">
      <xdr:nvCxnSpPr>
        <xdr:cNvPr id="233" name="Straight Arrow Connector 232">
          <a:extLst>
            <a:ext uri="{FF2B5EF4-FFF2-40B4-BE49-F238E27FC236}">
              <a16:creationId xmlns:a16="http://schemas.microsoft.com/office/drawing/2014/main" id="{998DE5C1-9727-4A75-9A4A-94CCCE4FCEAE}"/>
            </a:ext>
          </a:extLst>
        </xdr:cNvPr>
        <xdr:cNvCxnSpPr/>
      </xdr:nvCxnSpPr>
      <xdr:spPr>
        <a:xfrm flipV="1">
          <a:off x="15707455687" y="32812104"/>
          <a:ext cx="1193202"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1066800</xdr:colOff>
      <xdr:row>181</xdr:row>
      <xdr:rowOff>97972</xdr:rowOff>
    </xdr:from>
    <xdr:to>
      <xdr:col>19</xdr:col>
      <xdr:colOff>1286123</xdr:colOff>
      <xdr:row>184</xdr:row>
      <xdr:rowOff>101758</xdr:rowOff>
    </xdr:to>
    <xdr:cxnSp macro="">
      <xdr:nvCxnSpPr>
        <xdr:cNvPr id="234" name="Connector: Elbow 233">
          <a:extLst>
            <a:ext uri="{FF2B5EF4-FFF2-40B4-BE49-F238E27FC236}">
              <a16:creationId xmlns:a16="http://schemas.microsoft.com/office/drawing/2014/main" id="{A867D90D-8C39-4C88-8BAA-2C580CFDF5AD}"/>
            </a:ext>
          </a:extLst>
        </xdr:cNvPr>
        <xdr:cNvCxnSpPr/>
      </xdr:nvCxnSpPr>
      <xdr:spPr>
        <a:xfrm flipV="1">
          <a:off x="15677985106" y="31710086"/>
          <a:ext cx="3942237" cy="526301"/>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1077686</xdr:colOff>
      <xdr:row>183</xdr:row>
      <xdr:rowOff>65314</xdr:rowOff>
    </xdr:from>
    <xdr:to>
      <xdr:col>19</xdr:col>
      <xdr:colOff>1275236</xdr:colOff>
      <xdr:row>189</xdr:row>
      <xdr:rowOff>156189</xdr:rowOff>
    </xdr:to>
    <xdr:cxnSp macro="">
      <xdr:nvCxnSpPr>
        <xdr:cNvPr id="242" name="Connector: Elbow 241">
          <a:extLst>
            <a:ext uri="{FF2B5EF4-FFF2-40B4-BE49-F238E27FC236}">
              <a16:creationId xmlns:a16="http://schemas.microsoft.com/office/drawing/2014/main" id="{7034F01F-FB6C-4680-8B6C-2A07A27D2C62}"/>
            </a:ext>
          </a:extLst>
        </xdr:cNvPr>
        <xdr:cNvCxnSpPr/>
      </xdr:nvCxnSpPr>
      <xdr:spPr>
        <a:xfrm flipV="1">
          <a:off x="15677995993" y="32025771"/>
          <a:ext cx="3920464" cy="1135904"/>
        </a:xfrm>
        <a:prstGeom prst="bentConnector3">
          <a:avLst>
            <a:gd name="adj1" fmla="val 57775"/>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1064623</xdr:colOff>
      <xdr:row>179</xdr:row>
      <xdr:rowOff>108857</xdr:rowOff>
    </xdr:from>
    <xdr:to>
      <xdr:col>19</xdr:col>
      <xdr:colOff>1273629</xdr:colOff>
      <xdr:row>179</xdr:row>
      <xdr:rowOff>110139</xdr:rowOff>
    </xdr:to>
    <xdr:cxnSp macro="">
      <xdr:nvCxnSpPr>
        <xdr:cNvPr id="243" name="Straight Arrow Connector 242">
          <a:extLst>
            <a:ext uri="{FF2B5EF4-FFF2-40B4-BE49-F238E27FC236}">
              <a16:creationId xmlns:a16="http://schemas.microsoft.com/office/drawing/2014/main" id="{326C8221-C55B-4CF2-9C76-945C26CECD5D}"/>
            </a:ext>
          </a:extLst>
        </xdr:cNvPr>
        <xdr:cNvCxnSpPr/>
      </xdr:nvCxnSpPr>
      <xdr:spPr>
        <a:xfrm flipV="1">
          <a:off x="15677997600" y="31361743"/>
          <a:ext cx="39319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859971</xdr:colOff>
      <xdr:row>179</xdr:row>
      <xdr:rowOff>43543</xdr:rowOff>
    </xdr:from>
    <xdr:to>
      <xdr:col>16</xdr:col>
      <xdr:colOff>972030</xdr:colOff>
      <xdr:row>183</xdr:row>
      <xdr:rowOff>130629</xdr:rowOff>
    </xdr:to>
    <xdr:sp macro="" textlink="">
      <xdr:nvSpPr>
        <xdr:cNvPr id="244" name="Right Brace 243">
          <a:extLst>
            <a:ext uri="{FF2B5EF4-FFF2-40B4-BE49-F238E27FC236}">
              <a16:creationId xmlns:a16="http://schemas.microsoft.com/office/drawing/2014/main" id="{BBDAF9A3-AC22-4B5F-B3B9-40D52939F8DC}"/>
            </a:ext>
          </a:extLst>
        </xdr:cNvPr>
        <xdr:cNvSpPr/>
      </xdr:nvSpPr>
      <xdr:spPr>
        <a:xfrm>
          <a:off x="15753242987" y="31242000"/>
          <a:ext cx="112059" cy="792480"/>
        </a:xfrm>
        <a:prstGeom prst="rightBrace">
          <a:avLst>
            <a:gd name="adj1" fmla="val 49935"/>
            <a:gd name="adj2" fmla="val 51083"/>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16</xdr:col>
      <xdr:colOff>39188</xdr:colOff>
      <xdr:row>181</xdr:row>
      <xdr:rowOff>87085</xdr:rowOff>
    </xdr:from>
    <xdr:to>
      <xdr:col>16</xdr:col>
      <xdr:colOff>770708</xdr:colOff>
      <xdr:row>181</xdr:row>
      <xdr:rowOff>88367</xdr:rowOff>
    </xdr:to>
    <xdr:cxnSp macro="">
      <xdr:nvCxnSpPr>
        <xdr:cNvPr id="245" name="Straight Arrow Connector 244">
          <a:extLst>
            <a:ext uri="{FF2B5EF4-FFF2-40B4-BE49-F238E27FC236}">
              <a16:creationId xmlns:a16="http://schemas.microsoft.com/office/drawing/2014/main" id="{6CE62EEA-686C-43C7-B1AF-65176A88D3E4}"/>
            </a:ext>
          </a:extLst>
        </xdr:cNvPr>
        <xdr:cNvCxnSpPr/>
      </xdr:nvCxnSpPr>
      <xdr:spPr>
        <a:xfrm flipV="1">
          <a:off x="15753444309" y="31642594"/>
          <a:ext cx="7315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1027940</xdr:colOff>
      <xdr:row>186</xdr:row>
      <xdr:rowOff>138257</xdr:rowOff>
    </xdr:from>
    <xdr:to>
      <xdr:col>19</xdr:col>
      <xdr:colOff>1321982</xdr:colOff>
      <xdr:row>190</xdr:row>
      <xdr:rowOff>61160</xdr:rowOff>
    </xdr:to>
    <xdr:cxnSp macro="">
      <xdr:nvCxnSpPr>
        <xdr:cNvPr id="254" name="Connector: Elbow 253">
          <a:extLst>
            <a:ext uri="{FF2B5EF4-FFF2-40B4-BE49-F238E27FC236}">
              <a16:creationId xmlns:a16="http://schemas.microsoft.com/office/drawing/2014/main" id="{53F1BBDD-BF7A-4179-92F0-DC2E7BAB6940}"/>
            </a:ext>
          </a:extLst>
        </xdr:cNvPr>
        <xdr:cNvCxnSpPr/>
      </xdr:nvCxnSpPr>
      <xdr:spPr>
        <a:xfrm>
          <a:off x="15698890159" y="33379386"/>
          <a:ext cx="4023360" cy="640080"/>
        </a:xfrm>
        <a:prstGeom prst="bentConnector3">
          <a:avLst>
            <a:gd name="adj1" fmla="val 7958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1039906</xdr:colOff>
      <xdr:row>191</xdr:row>
      <xdr:rowOff>107575</xdr:rowOff>
    </xdr:from>
    <xdr:to>
      <xdr:col>19</xdr:col>
      <xdr:colOff>1248912</xdr:colOff>
      <xdr:row>191</xdr:row>
      <xdr:rowOff>108857</xdr:rowOff>
    </xdr:to>
    <xdr:cxnSp macro="">
      <xdr:nvCxnSpPr>
        <xdr:cNvPr id="255" name="Straight Arrow Connector 254">
          <a:extLst>
            <a:ext uri="{FF2B5EF4-FFF2-40B4-BE49-F238E27FC236}">
              <a16:creationId xmlns:a16="http://schemas.microsoft.com/office/drawing/2014/main" id="{7C87E216-5DE5-48E0-B41D-7A79AA86CBFE}"/>
            </a:ext>
          </a:extLst>
        </xdr:cNvPr>
        <xdr:cNvCxnSpPr/>
      </xdr:nvCxnSpPr>
      <xdr:spPr>
        <a:xfrm flipV="1">
          <a:off x="15698963229" y="34603763"/>
          <a:ext cx="3938324"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1048871</xdr:colOff>
      <xdr:row>192</xdr:row>
      <xdr:rowOff>125503</xdr:rowOff>
    </xdr:from>
    <xdr:to>
      <xdr:col>19</xdr:col>
      <xdr:colOff>1244301</xdr:colOff>
      <xdr:row>194</xdr:row>
      <xdr:rowOff>132674</xdr:rowOff>
    </xdr:to>
    <xdr:cxnSp macro="">
      <xdr:nvCxnSpPr>
        <xdr:cNvPr id="256" name="Connector: Elbow 255">
          <a:extLst>
            <a:ext uri="{FF2B5EF4-FFF2-40B4-BE49-F238E27FC236}">
              <a16:creationId xmlns:a16="http://schemas.microsoft.com/office/drawing/2014/main" id="{0F83357D-D591-4AC8-9355-746C3FF2B4DE}"/>
            </a:ext>
          </a:extLst>
        </xdr:cNvPr>
        <xdr:cNvCxnSpPr/>
      </xdr:nvCxnSpPr>
      <xdr:spPr>
        <a:xfrm flipV="1">
          <a:off x="15698967840" y="34800985"/>
          <a:ext cx="3924748" cy="365760"/>
        </a:xfrm>
        <a:prstGeom prst="bentConnector3">
          <a:avLst>
            <a:gd name="adj1" fmla="val 79466"/>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869577</xdr:colOff>
      <xdr:row>189</xdr:row>
      <xdr:rowOff>80682</xdr:rowOff>
    </xdr:from>
    <xdr:to>
      <xdr:col>16</xdr:col>
      <xdr:colOff>981636</xdr:colOff>
      <xdr:row>193</xdr:row>
      <xdr:rowOff>167768</xdr:rowOff>
    </xdr:to>
    <xdr:sp macro="" textlink="">
      <xdr:nvSpPr>
        <xdr:cNvPr id="257" name="Right Brace 256">
          <a:extLst>
            <a:ext uri="{FF2B5EF4-FFF2-40B4-BE49-F238E27FC236}">
              <a16:creationId xmlns:a16="http://schemas.microsoft.com/office/drawing/2014/main" id="{C4FFB7BE-AC9B-4ED2-A892-33A2929A1380}"/>
            </a:ext>
          </a:extLst>
        </xdr:cNvPr>
        <xdr:cNvSpPr/>
      </xdr:nvSpPr>
      <xdr:spPr>
        <a:xfrm>
          <a:off x="15702959823" y="34218282"/>
          <a:ext cx="112059" cy="804262"/>
        </a:xfrm>
        <a:prstGeom prst="rightBrace">
          <a:avLst>
            <a:gd name="adj1" fmla="val 49935"/>
            <a:gd name="adj2" fmla="val 51083"/>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16</xdr:col>
      <xdr:colOff>53788</xdr:colOff>
      <xdr:row>191</xdr:row>
      <xdr:rowOff>134471</xdr:rowOff>
    </xdr:from>
    <xdr:to>
      <xdr:col>16</xdr:col>
      <xdr:colOff>785308</xdr:colOff>
      <xdr:row>191</xdr:row>
      <xdr:rowOff>135753</xdr:rowOff>
    </xdr:to>
    <xdr:cxnSp macro="">
      <xdr:nvCxnSpPr>
        <xdr:cNvPr id="258" name="Straight Arrow Connector 257">
          <a:extLst>
            <a:ext uri="{FF2B5EF4-FFF2-40B4-BE49-F238E27FC236}">
              <a16:creationId xmlns:a16="http://schemas.microsoft.com/office/drawing/2014/main" id="{4FC03EB2-32F9-40DD-B0A0-D47E94A8BC91}"/>
            </a:ext>
          </a:extLst>
        </xdr:cNvPr>
        <xdr:cNvCxnSpPr/>
      </xdr:nvCxnSpPr>
      <xdr:spPr>
        <a:xfrm flipV="1">
          <a:off x="15703156151" y="34272071"/>
          <a:ext cx="7315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34578</xdr:colOff>
      <xdr:row>191</xdr:row>
      <xdr:rowOff>97971</xdr:rowOff>
    </xdr:from>
    <xdr:to>
      <xdr:col>12</xdr:col>
      <xdr:colOff>1223298</xdr:colOff>
      <xdr:row>191</xdr:row>
      <xdr:rowOff>99253</xdr:rowOff>
    </xdr:to>
    <xdr:cxnSp macro="">
      <xdr:nvCxnSpPr>
        <xdr:cNvPr id="259" name="Straight Arrow Connector 258">
          <a:extLst>
            <a:ext uri="{FF2B5EF4-FFF2-40B4-BE49-F238E27FC236}">
              <a16:creationId xmlns:a16="http://schemas.microsoft.com/office/drawing/2014/main" id="{5550E8B2-0107-47D8-A7D8-8E3B52F507BA}"/>
            </a:ext>
          </a:extLst>
        </xdr:cNvPr>
        <xdr:cNvCxnSpPr/>
      </xdr:nvCxnSpPr>
      <xdr:spPr>
        <a:xfrm flipV="1">
          <a:off x="15707424632" y="34594159"/>
          <a:ext cx="11887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145</xdr:row>
      <xdr:rowOff>76200</xdr:rowOff>
    </xdr:from>
    <xdr:to>
      <xdr:col>26</xdr:col>
      <xdr:colOff>363067</xdr:colOff>
      <xdr:row>145</xdr:row>
      <xdr:rowOff>76202</xdr:rowOff>
    </xdr:to>
    <xdr:cxnSp macro="">
      <xdr:nvCxnSpPr>
        <xdr:cNvPr id="260" name="Straight Arrow Connector 259">
          <a:extLst>
            <a:ext uri="{FF2B5EF4-FFF2-40B4-BE49-F238E27FC236}">
              <a16:creationId xmlns:a16="http://schemas.microsoft.com/office/drawing/2014/main" id="{DAEFC396-3D02-4DC0-A779-F37678924758}"/>
            </a:ext>
          </a:extLst>
        </xdr:cNvPr>
        <xdr:cNvCxnSpPr/>
      </xdr:nvCxnSpPr>
      <xdr:spPr>
        <a:xfrm flipV="1">
          <a:off x="15670722105" y="24862971"/>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145</xdr:row>
      <xdr:rowOff>97971</xdr:rowOff>
    </xdr:from>
    <xdr:to>
      <xdr:col>28</xdr:col>
      <xdr:colOff>391727</xdr:colOff>
      <xdr:row>145</xdr:row>
      <xdr:rowOff>97973</xdr:rowOff>
    </xdr:to>
    <xdr:cxnSp macro="">
      <xdr:nvCxnSpPr>
        <xdr:cNvPr id="261" name="Straight Arrow Connector 260">
          <a:extLst>
            <a:ext uri="{FF2B5EF4-FFF2-40B4-BE49-F238E27FC236}">
              <a16:creationId xmlns:a16="http://schemas.microsoft.com/office/drawing/2014/main" id="{BBB6D995-0EB6-47A0-9CC3-3AF36940B10B}"/>
            </a:ext>
          </a:extLst>
        </xdr:cNvPr>
        <xdr:cNvCxnSpPr/>
      </xdr:nvCxnSpPr>
      <xdr:spPr>
        <a:xfrm flipV="1">
          <a:off x="15668157073" y="24884742"/>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145</xdr:row>
      <xdr:rowOff>124691</xdr:rowOff>
    </xdr:from>
    <xdr:to>
      <xdr:col>24</xdr:col>
      <xdr:colOff>455221</xdr:colOff>
      <xdr:row>145</xdr:row>
      <xdr:rowOff>125973</xdr:rowOff>
    </xdr:to>
    <xdr:cxnSp macro="">
      <xdr:nvCxnSpPr>
        <xdr:cNvPr id="262" name="Straight Arrow Connector 261">
          <a:extLst>
            <a:ext uri="{FF2B5EF4-FFF2-40B4-BE49-F238E27FC236}">
              <a16:creationId xmlns:a16="http://schemas.microsoft.com/office/drawing/2014/main" id="{BF16A9C6-21EA-40DC-A221-4CE471BC4106}"/>
            </a:ext>
          </a:extLst>
        </xdr:cNvPr>
        <xdr:cNvCxnSpPr/>
      </xdr:nvCxnSpPr>
      <xdr:spPr>
        <a:xfrm flipV="1">
          <a:off x="15673133665" y="24911462"/>
          <a:ext cx="13716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17813</xdr:colOff>
      <xdr:row>167</xdr:row>
      <xdr:rowOff>108857</xdr:rowOff>
    </xdr:from>
    <xdr:to>
      <xdr:col>20</xdr:col>
      <xdr:colOff>87086</xdr:colOff>
      <xdr:row>167</xdr:row>
      <xdr:rowOff>110139</xdr:rowOff>
    </xdr:to>
    <xdr:cxnSp macro="">
      <xdr:nvCxnSpPr>
        <xdr:cNvPr id="263" name="Straight Arrow Connector 262">
          <a:extLst>
            <a:ext uri="{FF2B5EF4-FFF2-40B4-BE49-F238E27FC236}">
              <a16:creationId xmlns:a16="http://schemas.microsoft.com/office/drawing/2014/main" id="{C7E1D136-C7E9-4710-801C-FC840DB41262}"/>
            </a:ext>
          </a:extLst>
        </xdr:cNvPr>
        <xdr:cNvCxnSpPr/>
      </xdr:nvCxnSpPr>
      <xdr:spPr>
        <a:xfrm flipV="1">
          <a:off x="15645241496" y="30422602"/>
          <a:ext cx="100584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184</xdr:row>
      <xdr:rowOff>76200</xdr:rowOff>
    </xdr:from>
    <xdr:to>
      <xdr:col>26</xdr:col>
      <xdr:colOff>363067</xdr:colOff>
      <xdr:row>184</xdr:row>
      <xdr:rowOff>76202</xdr:rowOff>
    </xdr:to>
    <xdr:cxnSp macro="">
      <xdr:nvCxnSpPr>
        <xdr:cNvPr id="265" name="Straight Arrow Connector 264">
          <a:extLst>
            <a:ext uri="{FF2B5EF4-FFF2-40B4-BE49-F238E27FC236}">
              <a16:creationId xmlns:a16="http://schemas.microsoft.com/office/drawing/2014/main" id="{25703688-0FBD-4366-97DF-20B4C9ECC1DC}"/>
            </a:ext>
          </a:extLst>
        </xdr:cNvPr>
        <xdr:cNvCxnSpPr/>
      </xdr:nvCxnSpPr>
      <xdr:spPr>
        <a:xfrm flipV="1">
          <a:off x="15638343042" y="3219103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184</xdr:row>
      <xdr:rowOff>97971</xdr:rowOff>
    </xdr:from>
    <xdr:to>
      <xdr:col>28</xdr:col>
      <xdr:colOff>391727</xdr:colOff>
      <xdr:row>184</xdr:row>
      <xdr:rowOff>97973</xdr:rowOff>
    </xdr:to>
    <xdr:cxnSp macro="">
      <xdr:nvCxnSpPr>
        <xdr:cNvPr id="266" name="Straight Arrow Connector 265">
          <a:extLst>
            <a:ext uri="{FF2B5EF4-FFF2-40B4-BE49-F238E27FC236}">
              <a16:creationId xmlns:a16="http://schemas.microsoft.com/office/drawing/2014/main" id="{1487BBD8-79CE-46A5-BA5F-32B31FC60C97}"/>
            </a:ext>
          </a:extLst>
        </xdr:cNvPr>
        <xdr:cNvCxnSpPr/>
      </xdr:nvCxnSpPr>
      <xdr:spPr>
        <a:xfrm flipV="1">
          <a:off x="15635779001" y="32212807"/>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184</xdr:row>
      <xdr:rowOff>124691</xdr:rowOff>
    </xdr:from>
    <xdr:to>
      <xdr:col>24</xdr:col>
      <xdr:colOff>455221</xdr:colOff>
      <xdr:row>184</xdr:row>
      <xdr:rowOff>125973</xdr:rowOff>
    </xdr:to>
    <xdr:cxnSp macro="">
      <xdr:nvCxnSpPr>
        <xdr:cNvPr id="267" name="Straight Arrow Connector 266">
          <a:extLst>
            <a:ext uri="{FF2B5EF4-FFF2-40B4-BE49-F238E27FC236}">
              <a16:creationId xmlns:a16="http://schemas.microsoft.com/office/drawing/2014/main" id="{926CFE54-9E85-4A33-B030-B1936FB49CE1}"/>
            </a:ext>
          </a:extLst>
        </xdr:cNvPr>
        <xdr:cNvCxnSpPr/>
      </xdr:nvCxnSpPr>
      <xdr:spPr>
        <a:xfrm flipV="1">
          <a:off x="15640744707" y="32239527"/>
          <a:ext cx="13696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12805</xdr:colOff>
      <xdr:row>189</xdr:row>
      <xdr:rowOff>76200</xdr:rowOff>
    </xdr:from>
    <xdr:to>
      <xdr:col>26</xdr:col>
      <xdr:colOff>363067</xdr:colOff>
      <xdr:row>189</xdr:row>
      <xdr:rowOff>76202</xdr:rowOff>
    </xdr:to>
    <xdr:cxnSp macro="">
      <xdr:nvCxnSpPr>
        <xdr:cNvPr id="268" name="Straight Arrow Connector 267">
          <a:extLst>
            <a:ext uri="{FF2B5EF4-FFF2-40B4-BE49-F238E27FC236}">
              <a16:creationId xmlns:a16="http://schemas.microsoft.com/office/drawing/2014/main" id="{4180B322-7806-45A6-A2CE-B24492893A5C}"/>
            </a:ext>
          </a:extLst>
        </xdr:cNvPr>
        <xdr:cNvCxnSpPr/>
      </xdr:nvCxnSpPr>
      <xdr:spPr>
        <a:xfrm flipV="1">
          <a:off x="15638343042" y="32191036"/>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43543</xdr:colOff>
      <xdr:row>189</xdr:row>
      <xdr:rowOff>97971</xdr:rowOff>
    </xdr:from>
    <xdr:to>
      <xdr:col>28</xdr:col>
      <xdr:colOff>391727</xdr:colOff>
      <xdr:row>189</xdr:row>
      <xdr:rowOff>97973</xdr:rowOff>
    </xdr:to>
    <xdr:cxnSp macro="">
      <xdr:nvCxnSpPr>
        <xdr:cNvPr id="269" name="Straight Arrow Connector 268">
          <a:extLst>
            <a:ext uri="{FF2B5EF4-FFF2-40B4-BE49-F238E27FC236}">
              <a16:creationId xmlns:a16="http://schemas.microsoft.com/office/drawing/2014/main" id="{AEA41E52-85E4-41AB-92F2-4BDAB8152645}"/>
            </a:ext>
          </a:extLst>
        </xdr:cNvPr>
        <xdr:cNvCxnSpPr/>
      </xdr:nvCxnSpPr>
      <xdr:spPr>
        <a:xfrm flipV="1">
          <a:off x="15635779001" y="32212807"/>
          <a:ext cx="348184"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41564</xdr:colOff>
      <xdr:row>189</xdr:row>
      <xdr:rowOff>124691</xdr:rowOff>
    </xdr:from>
    <xdr:to>
      <xdr:col>24</xdr:col>
      <xdr:colOff>455221</xdr:colOff>
      <xdr:row>189</xdr:row>
      <xdr:rowOff>125973</xdr:rowOff>
    </xdr:to>
    <xdr:cxnSp macro="">
      <xdr:nvCxnSpPr>
        <xdr:cNvPr id="270" name="Straight Arrow Connector 269">
          <a:extLst>
            <a:ext uri="{FF2B5EF4-FFF2-40B4-BE49-F238E27FC236}">
              <a16:creationId xmlns:a16="http://schemas.microsoft.com/office/drawing/2014/main" id="{F06B59D8-F5BA-46C2-B221-2FC192350DC1}"/>
            </a:ext>
          </a:extLst>
        </xdr:cNvPr>
        <xdr:cNvCxnSpPr/>
      </xdr:nvCxnSpPr>
      <xdr:spPr>
        <a:xfrm flipV="1">
          <a:off x="15640744707" y="32239527"/>
          <a:ext cx="13696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565268</xdr:colOff>
      <xdr:row>168</xdr:row>
      <xdr:rowOff>27708</xdr:rowOff>
    </xdr:from>
    <xdr:to>
      <xdr:col>22</xdr:col>
      <xdr:colOff>3</xdr:colOff>
      <xdr:row>173</xdr:row>
      <xdr:rowOff>154207</xdr:rowOff>
    </xdr:to>
    <xdr:cxnSp macro="">
      <xdr:nvCxnSpPr>
        <xdr:cNvPr id="271" name="Connector: Elbow 270">
          <a:extLst>
            <a:ext uri="{FF2B5EF4-FFF2-40B4-BE49-F238E27FC236}">
              <a16:creationId xmlns:a16="http://schemas.microsoft.com/office/drawing/2014/main" id="{8B94E38E-516D-4D79-9EC2-E96509B4532D}"/>
            </a:ext>
          </a:extLst>
        </xdr:cNvPr>
        <xdr:cNvCxnSpPr/>
      </xdr:nvCxnSpPr>
      <xdr:spPr>
        <a:xfrm rot="16200000" flipV="1">
          <a:off x="15643472552" y="30257845"/>
          <a:ext cx="1027044" cy="1554480"/>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1053728</xdr:colOff>
      <xdr:row>201</xdr:row>
      <xdr:rowOff>98613</xdr:rowOff>
    </xdr:from>
    <xdr:to>
      <xdr:col>24</xdr:col>
      <xdr:colOff>225389</xdr:colOff>
      <xdr:row>201</xdr:row>
      <xdr:rowOff>99895</xdr:rowOff>
    </xdr:to>
    <xdr:cxnSp macro="">
      <xdr:nvCxnSpPr>
        <xdr:cNvPr id="272" name="Straight Arrow Connector 271">
          <a:extLst>
            <a:ext uri="{FF2B5EF4-FFF2-40B4-BE49-F238E27FC236}">
              <a16:creationId xmlns:a16="http://schemas.microsoft.com/office/drawing/2014/main" id="{989E6E5B-D9F8-4759-BB7E-66B172EE616C}"/>
            </a:ext>
          </a:extLst>
        </xdr:cNvPr>
        <xdr:cNvCxnSpPr/>
      </xdr:nvCxnSpPr>
      <xdr:spPr>
        <a:xfrm flipV="1">
          <a:off x="15694303129" y="36387742"/>
          <a:ext cx="11887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744071</xdr:colOff>
      <xdr:row>202</xdr:row>
      <xdr:rowOff>10306</xdr:rowOff>
    </xdr:from>
    <xdr:to>
      <xdr:col>24</xdr:col>
      <xdr:colOff>277594</xdr:colOff>
      <xdr:row>204</xdr:row>
      <xdr:rowOff>108918</xdr:rowOff>
    </xdr:to>
    <xdr:cxnSp macro="">
      <xdr:nvCxnSpPr>
        <xdr:cNvPr id="273" name="Connector: Elbow 272">
          <a:extLst>
            <a:ext uri="{FF2B5EF4-FFF2-40B4-BE49-F238E27FC236}">
              <a16:creationId xmlns:a16="http://schemas.microsoft.com/office/drawing/2014/main" id="{7D802BC5-CFB6-4028-B83C-D8C9BCF9122F}"/>
            </a:ext>
          </a:extLst>
        </xdr:cNvPr>
        <xdr:cNvCxnSpPr/>
      </xdr:nvCxnSpPr>
      <xdr:spPr>
        <a:xfrm flipV="1">
          <a:off x="15694250924" y="36478730"/>
          <a:ext cx="1550582" cy="457200"/>
        </a:xfrm>
        <a:prstGeom prst="bentConnector3">
          <a:avLst>
            <a:gd name="adj1" fmla="val 10008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185</xdr:row>
      <xdr:rowOff>16297</xdr:rowOff>
    </xdr:from>
    <xdr:to>
      <xdr:col>21</xdr:col>
      <xdr:colOff>272690</xdr:colOff>
      <xdr:row>186</xdr:row>
      <xdr:rowOff>111323</xdr:rowOff>
    </xdr:to>
    <xdr:cxnSp macro="">
      <xdr:nvCxnSpPr>
        <xdr:cNvPr id="274" name="Connector: Elbow 273">
          <a:extLst>
            <a:ext uri="{FF2B5EF4-FFF2-40B4-BE49-F238E27FC236}">
              <a16:creationId xmlns:a16="http://schemas.microsoft.com/office/drawing/2014/main" id="{46F85205-BF33-4151-AE87-CB4EA8A0472A}"/>
            </a:ext>
          </a:extLst>
        </xdr:cNvPr>
        <xdr:cNvCxnSpPr/>
      </xdr:nvCxnSpPr>
      <xdr:spPr>
        <a:xfrm rot="10800000" flipH="1" flipV="1">
          <a:off x="15697429334" y="33436721"/>
          <a:ext cx="272690" cy="274320"/>
        </a:xfrm>
        <a:prstGeom prst="bentConnector3">
          <a:avLst>
            <a:gd name="adj1" fmla="val 404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0</xdr:colOff>
      <xdr:row>190</xdr:row>
      <xdr:rowOff>17930</xdr:rowOff>
    </xdr:from>
    <xdr:to>
      <xdr:col>21</xdr:col>
      <xdr:colOff>272690</xdr:colOff>
      <xdr:row>191</xdr:row>
      <xdr:rowOff>112956</xdr:rowOff>
    </xdr:to>
    <xdr:cxnSp macro="">
      <xdr:nvCxnSpPr>
        <xdr:cNvPr id="275" name="Connector: Elbow 274">
          <a:extLst>
            <a:ext uri="{FF2B5EF4-FFF2-40B4-BE49-F238E27FC236}">
              <a16:creationId xmlns:a16="http://schemas.microsoft.com/office/drawing/2014/main" id="{C8264F6D-61FF-448F-B542-08BED1F13863}"/>
            </a:ext>
          </a:extLst>
        </xdr:cNvPr>
        <xdr:cNvCxnSpPr/>
      </xdr:nvCxnSpPr>
      <xdr:spPr>
        <a:xfrm rot="10800000" flipH="1" flipV="1">
          <a:off x="15697429334" y="34334824"/>
          <a:ext cx="272690" cy="274320"/>
        </a:xfrm>
        <a:prstGeom prst="bentConnector3">
          <a:avLst>
            <a:gd name="adj1" fmla="val 404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941295</xdr:colOff>
      <xdr:row>202</xdr:row>
      <xdr:rowOff>17929</xdr:rowOff>
    </xdr:from>
    <xdr:to>
      <xdr:col>21</xdr:col>
      <xdr:colOff>254762</xdr:colOff>
      <xdr:row>203</xdr:row>
      <xdr:rowOff>112955</xdr:rowOff>
    </xdr:to>
    <xdr:cxnSp macro="">
      <xdr:nvCxnSpPr>
        <xdr:cNvPr id="276" name="Connector: Elbow 275">
          <a:extLst>
            <a:ext uri="{FF2B5EF4-FFF2-40B4-BE49-F238E27FC236}">
              <a16:creationId xmlns:a16="http://schemas.microsoft.com/office/drawing/2014/main" id="{B3E4C6E1-D12F-482C-B39B-F52015DF941B}"/>
            </a:ext>
          </a:extLst>
        </xdr:cNvPr>
        <xdr:cNvCxnSpPr/>
      </xdr:nvCxnSpPr>
      <xdr:spPr>
        <a:xfrm rot="10800000" flipH="1" flipV="1">
          <a:off x="15697447262" y="36486353"/>
          <a:ext cx="272690" cy="274320"/>
        </a:xfrm>
        <a:prstGeom prst="bentConnector3">
          <a:avLst>
            <a:gd name="adj1" fmla="val 404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7176</xdr:colOff>
      <xdr:row>203</xdr:row>
      <xdr:rowOff>98613</xdr:rowOff>
    </xdr:from>
    <xdr:to>
      <xdr:col>19</xdr:col>
      <xdr:colOff>1287336</xdr:colOff>
      <xdr:row>203</xdr:row>
      <xdr:rowOff>99895</xdr:rowOff>
    </xdr:to>
    <xdr:cxnSp macro="">
      <xdr:nvCxnSpPr>
        <xdr:cNvPr id="277" name="Straight Arrow Connector 276">
          <a:extLst>
            <a:ext uri="{FF2B5EF4-FFF2-40B4-BE49-F238E27FC236}">
              <a16:creationId xmlns:a16="http://schemas.microsoft.com/office/drawing/2014/main" id="{8015EF1D-E575-45FE-BCC6-BF241837E8C1}"/>
            </a:ext>
          </a:extLst>
        </xdr:cNvPr>
        <xdr:cNvCxnSpPr/>
      </xdr:nvCxnSpPr>
      <xdr:spPr>
        <a:xfrm flipV="1">
          <a:off x="15698924805" y="36746331"/>
          <a:ext cx="128016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1113998</xdr:colOff>
      <xdr:row>203</xdr:row>
      <xdr:rowOff>89645</xdr:rowOff>
    </xdr:from>
    <xdr:to>
      <xdr:col>21</xdr:col>
      <xdr:colOff>245318</xdr:colOff>
      <xdr:row>207</xdr:row>
      <xdr:rowOff>165845</xdr:rowOff>
    </xdr:to>
    <xdr:cxnSp macro="">
      <xdr:nvCxnSpPr>
        <xdr:cNvPr id="278" name="Connector: Elbow 277">
          <a:extLst>
            <a:ext uri="{FF2B5EF4-FFF2-40B4-BE49-F238E27FC236}">
              <a16:creationId xmlns:a16="http://schemas.microsoft.com/office/drawing/2014/main" id="{54FDE1E9-D3A3-42FC-A023-66368F07B5DA}"/>
            </a:ext>
          </a:extLst>
        </xdr:cNvPr>
        <xdr:cNvCxnSpPr/>
      </xdr:nvCxnSpPr>
      <xdr:spPr>
        <a:xfrm rot="5400000">
          <a:off x="15712552822" y="35621705"/>
          <a:ext cx="777240" cy="1645920"/>
        </a:xfrm>
        <a:prstGeom prst="bentConnector3">
          <a:avLst>
            <a:gd name="adj1" fmla="val 50000"/>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17929</xdr:colOff>
      <xdr:row>201</xdr:row>
      <xdr:rowOff>89648</xdr:rowOff>
    </xdr:from>
    <xdr:to>
      <xdr:col>28</xdr:col>
      <xdr:colOff>368191</xdr:colOff>
      <xdr:row>201</xdr:row>
      <xdr:rowOff>89650</xdr:rowOff>
    </xdr:to>
    <xdr:cxnSp macro="">
      <xdr:nvCxnSpPr>
        <xdr:cNvPr id="279" name="Straight Arrow Connector 278">
          <a:extLst>
            <a:ext uri="{FF2B5EF4-FFF2-40B4-BE49-F238E27FC236}">
              <a16:creationId xmlns:a16="http://schemas.microsoft.com/office/drawing/2014/main" id="{464DE266-BCDA-483D-8254-76A08F85160E}"/>
            </a:ext>
          </a:extLst>
        </xdr:cNvPr>
        <xdr:cNvCxnSpPr/>
      </xdr:nvCxnSpPr>
      <xdr:spPr>
        <a:xfrm flipV="1">
          <a:off x="15691659174" y="36378777"/>
          <a:ext cx="350262"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1126606</xdr:colOff>
      <xdr:row>204</xdr:row>
      <xdr:rowOff>89648</xdr:rowOff>
    </xdr:from>
    <xdr:to>
      <xdr:col>28</xdr:col>
      <xdr:colOff>386121</xdr:colOff>
      <xdr:row>204</xdr:row>
      <xdr:rowOff>89650</xdr:rowOff>
    </xdr:to>
    <xdr:cxnSp macro="">
      <xdr:nvCxnSpPr>
        <xdr:cNvPr id="280" name="Straight Arrow Connector 279">
          <a:extLst>
            <a:ext uri="{FF2B5EF4-FFF2-40B4-BE49-F238E27FC236}">
              <a16:creationId xmlns:a16="http://schemas.microsoft.com/office/drawing/2014/main" id="{E5515134-003B-46CB-8256-8CC77BF98864}"/>
            </a:ext>
          </a:extLst>
        </xdr:cNvPr>
        <xdr:cNvCxnSpPr/>
      </xdr:nvCxnSpPr>
      <xdr:spPr>
        <a:xfrm flipV="1">
          <a:off x="15689104232" y="36916660"/>
          <a:ext cx="29260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1126605</xdr:colOff>
      <xdr:row>201</xdr:row>
      <xdr:rowOff>98612</xdr:rowOff>
    </xdr:from>
    <xdr:to>
      <xdr:col>26</xdr:col>
      <xdr:colOff>179932</xdr:colOff>
      <xdr:row>201</xdr:row>
      <xdr:rowOff>98614</xdr:rowOff>
    </xdr:to>
    <xdr:cxnSp macro="">
      <xdr:nvCxnSpPr>
        <xdr:cNvPr id="281" name="Straight Arrow Connector 280">
          <a:extLst>
            <a:ext uri="{FF2B5EF4-FFF2-40B4-BE49-F238E27FC236}">
              <a16:creationId xmlns:a16="http://schemas.microsoft.com/office/drawing/2014/main" id="{B2695E4D-58FC-43B0-89D9-C0338AC7BC90}"/>
            </a:ext>
          </a:extLst>
        </xdr:cNvPr>
        <xdr:cNvCxnSpPr/>
      </xdr:nvCxnSpPr>
      <xdr:spPr>
        <a:xfrm flipV="1">
          <a:off x="15691847433" y="36387741"/>
          <a:ext cx="182880" cy="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5377</xdr:colOff>
      <xdr:row>208</xdr:row>
      <xdr:rowOff>98612</xdr:rowOff>
    </xdr:from>
    <xdr:to>
      <xdr:col>23</xdr:col>
      <xdr:colOff>919777</xdr:colOff>
      <xdr:row>208</xdr:row>
      <xdr:rowOff>99894</xdr:rowOff>
    </xdr:to>
    <xdr:cxnSp macro="">
      <xdr:nvCxnSpPr>
        <xdr:cNvPr id="282" name="Straight Arrow Connector 281">
          <a:extLst>
            <a:ext uri="{FF2B5EF4-FFF2-40B4-BE49-F238E27FC236}">
              <a16:creationId xmlns:a16="http://schemas.microsoft.com/office/drawing/2014/main" id="{F83DB810-71D9-453C-AC2E-20EB0ADCB7B6}"/>
            </a:ext>
          </a:extLst>
        </xdr:cNvPr>
        <xdr:cNvCxnSpPr/>
      </xdr:nvCxnSpPr>
      <xdr:spPr>
        <a:xfrm flipV="1">
          <a:off x="15694567964" y="37642800"/>
          <a:ext cx="9144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792163</xdr:colOff>
      <xdr:row>209</xdr:row>
      <xdr:rowOff>17930</xdr:rowOff>
    </xdr:from>
    <xdr:to>
      <xdr:col>23</xdr:col>
      <xdr:colOff>923047</xdr:colOff>
      <xdr:row>211</xdr:row>
      <xdr:rowOff>116541</xdr:rowOff>
    </xdr:to>
    <xdr:cxnSp macro="">
      <xdr:nvCxnSpPr>
        <xdr:cNvPr id="283" name="Connector: Elbow 282">
          <a:extLst>
            <a:ext uri="{FF2B5EF4-FFF2-40B4-BE49-F238E27FC236}">
              <a16:creationId xmlns:a16="http://schemas.microsoft.com/office/drawing/2014/main" id="{DF7AC490-EFDA-403B-A1B0-7EAAF7B4B291}"/>
            </a:ext>
          </a:extLst>
        </xdr:cNvPr>
        <xdr:cNvCxnSpPr/>
      </xdr:nvCxnSpPr>
      <xdr:spPr>
        <a:xfrm flipV="1">
          <a:off x="15694564694" y="37741412"/>
          <a:ext cx="1188720" cy="457200"/>
        </a:xfrm>
        <a:prstGeom prst="bentConnector3">
          <a:avLst>
            <a:gd name="adj1" fmla="val 100083"/>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1030941</xdr:colOff>
      <xdr:row>201</xdr:row>
      <xdr:rowOff>125506</xdr:rowOff>
    </xdr:from>
    <xdr:to>
      <xdr:col>19</xdr:col>
      <xdr:colOff>1324983</xdr:colOff>
      <xdr:row>204</xdr:row>
      <xdr:rowOff>136263</xdr:rowOff>
    </xdr:to>
    <xdr:cxnSp macro="">
      <xdr:nvCxnSpPr>
        <xdr:cNvPr id="284" name="Connector: Elbow 283">
          <a:extLst>
            <a:ext uri="{FF2B5EF4-FFF2-40B4-BE49-F238E27FC236}">
              <a16:creationId xmlns:a16="http://schemas.microsoft.com/office/drawing/2014/main" id="{8EF07D77-CD32-447E-ADB4-20817B4070F7}"/>
            </a:ext>
          </a:extLst>
        </xdr:cNvPr>
        <xdr:cNvCxnSpPr/>
      </xdr:nvCxnSpPr>
      <xdr:spPr>
        <a:xfrm>
          <a:off x="15698887158" y="36414635"/>
          <a:ext cx="4023360" cy="548640"/>
        </a:xfrm>
        <a:prstGeom prst="bentConnector3">
          <a:avLst>
            <a:gd name="adj1" fmla="val 79584"/>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1032733</xdr:colOff>
      <xdr:row>205</xdr:row>
      <xdr:rowOff>170326</xdr:rowOff>
    </xdr:from>
    <xdr:to>
      <xdr:col>19</xdr:col>
      <xdr:colOff>1235335</xdr:colOff>
      <xdr:row>208</xdr:row>
      <xdr:rowOff>89644</xdr:rowOff>
    </xdr:to>
    <xdr:cxnSp macro="">
      <xdr:nvCxnSpPr>
        <xdr:cNvPr id="285" name="Connector: Elbow 284">
          <a:extLst>
            <a:ext uri="{FF2B5EF4-FFF2-40B4-BE49-F238E27FC236}">
              <a16:creationId xmlns:a16="http://schemas.microsoft.com/office/drawing/2014/main" id="{86F11CB5-F5D9-485E-9C74-FFA786C32DDD}"/>
            </a:ext>
          </a:extLst>
        </xdr:cNvPr>
        <xdr:cNvCxnSpPr/>
      </xdr:nvCxnSpPr>
      <xdr:spPr>
        <a:xfrm flipV="1">
          <a:off x="15698976806" y="37176632"/>
          <a:ext cx="3931920" cy="457200"/>
        </a:xfrm>
        <a:prstGeom prst="bentConnector3">
          <a:avLst>
            <a:gd name="adj1" fmla="val 79466"/>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869574</xdr:colOff>
      <xdr:row>203</xdr:row>
      <xdr:rowOff>170329</xdr:rowOff>
    </xdr:from>
    <xdr:to>
      <xdr:col>16</xdr:col>
      <xdr:colOff>981633</xdr:colOff>
      <xdr:row>207</xdr:row>
      <xdr:rowOff>1793</xdr:rowOff>
    </xdr:to>
    <xdr:sp macro="" textlink="">
      <xdr:nvSpPr>
        <xdr:cNvPr id="286" name="Right Brace 285">
          <a:extLst>
            <a:ext uri="{FF2B5EF4-FFF2-40B4-BE49-F238E27FC236}">
              <a16:creationId xmlns:a16="http://schemas.microsoft.com/office/drawing/2014/main" id="{B564FC4E-EA0A-42DF-B83F-E3C3232104F3}"/>
            </a:ext>
          </a:extLst>
        </xdr:cNvPr>
        <xdr:cNvSpPr/>
      </xdr:nvSpPr>
      <xdr:spPr>
        <a:xfrm>
          <a:off x="15702959826" y="36818047"/>
          <a:ext cx="112059" cy="548640"/>
        </a:xfrm>
        <a:prstGeom prst="rightBrace">
          <a:avLst>
            <a:gd name="adj1" fmla="val 49935"/>
            <a:gd name="adj2" fmla="val 51083"/>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16</xdr:col>
      <xdr:colOff>35859</xdr:colOff>
      <xdr:row>205</xdr:row>
      <xdr:rowOff>89647</xdr:rowOff>
    </xdr:from>
    <xdr:to>
      <xdr:col>16</xdr:col>
      <xdr:colOff>767379</xdr:colOff>
      <xdr:row>205</xdr:row>
      <xdr:rowOff>90929</xdr:rowOff>
    </xdr:to>
    <xdr:cxnSp macro="">
      <xdr:nvCxnSpPr>
        <xdr:cNvPr id="287" name="Straight Arrow Connector 286">
          <a:extLst>
            <a:ext uri="{FF2B5EF4-FFF2-40B4-BE49-F238E27FC236}">
              <a16:creationId xmlns:a16="http://schemas.microsoft.com/office/drawing/2014/main" id="{079787E3-4C09-42FB-AB2D-591C6B1391B8}"/>
            </a:ext>
          </a:extLst>
        </xdr:cNvPr>
        <xdr:cNvCxnSpPr/>
      </xdr:nvCxnSpPr>
      <xdr:spPr>
        <a:xfrm flipV="1">
          <a:off x="15703174080" y="37095953"/>
          <a:ext cx="7315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17930</xdr:colOff>
      <xdr:row>205</xdr:row>
      <xdr:rowOff>107577</xdr:rowOff>
    </xdr:from>
    <xdr:to>
      <xdr:col>12</xdr:col>
      <xdr:colOff>1206650</xdr:colOff>
      <xdr:row>205</xdr:row>
      <xdr:rowOff>108859</xdr:rowOff>
    </xdr:to>
    <xdr:cxnSp macro="">
      <xdr:nvCxnSpPr>
        <xdr:cNvPr id="288" name="Straight Arrow Connector 287">
          <a:extLst>
            <a:ext uri="{FF2B5EF4-FFF2-40B4-BE49-F238E27FC236}">
              <a16:creationId xmlns:a16="http://schemas.microsoft.com/office/drawing/2014/main" id="{5B70D732-6FF0-4A19-875F-7F30BA400BD1}"/>
            </a:ext>
          </a:extLst>
        </xdr:cNvPr>
        <xdr:cNvCxnSpPr/>
      </xdr:nvCxnSpPr>
      <xdr:spPr>
        <a:xfrm flipV="1">
          <a:off x="15707441280" y="37113883"/>
          <a:ext cx="11887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7331</xdr:colOff>
      <xdr:row>130</xdr:row>
      <xdr:rowOff>97971</xdr:rowOff>
    </xdr:from>
    <xdr:to>
      <xdr:col>12</xdr:col>
      <xdr:colOff>1287491</xdr:colOff>
      <xdr:row>130</xdr:row>
      <xdr:rowOff>99253</xdr:rowOff>
    </xdr:to>
    <xdr:cxnSp macro="">
      <xdr:nvCxnSpPr>
        <xdr:cNvPr id="289" name="Straight Arrow Connector 288">
          <a:extLst>
            <a:ext uri="{FF2B5EF4-FFF2-40B4-BE49-F238E27FC236}">
              <a16:creationId xmlns:a16="http://schemas.microsoft.com/office/drawing/2014/main" id="{D960004C-5EF5-4926-A2D3-8425BCB3EF98}"/>
            </a:ext>
          </a:extLst>
        </xdr:cNvPr>
        <xdr:cNvCxnSpPr/>
      </xdr:nvCxnSpPr>
      <xdr:spPr>
        <a:xfrm flipV="1">
          <a:off x="15654030218" y="23747680"/>
          <a:ext cx="128016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584333</xdr:colOff>
      <xdr:row>136</xdr:row>
      <xdr:rowOff>13854</xdr:rowOff>
    </xdr:from>
    <xdr:to>
      <xdr:col>16</xdr:col>
      <xdr:colOff>696392</xdr:colOff>
      <xdr:row>139</xdr:row>
      <xdr:rowOff>25427</xdr:rowOff>
    </xdr:to>
    <xdr:sp macro="" textlink="">
      <xdr:nvSpPr>
        <xdr:cNvPr id="290" name="Right Brace 289">
          <a:extLst>
            <a:ext uri="{FF2B5EF4-FFF2-40B4-BE49-F238E27FC236}">
              <a16:creationId xmlns:a16="http://schemas.microsoft.com/office/drawing/2014/main" id="{CDF39A11-B690-4312-8D0A-BA90F56B84A3}"/>
            </a:ext>
          </a:extLst>
        </xdr:cNvPr>
        <xdr:cNvSpPr/>
      </xdr:nvSpPr>
      <xdr:spPr>
        <a:xfrm>
          <a:off x="15649924627" y="24744218"/>
          <a:ext cx="112059" cy="551900"/>
        </a:xfrm>
        <a:prstGeom prst="rightBrace">
          <a:avLst>
            <a:gd name="adj1" fmla="val 49935"/>
            <a:gd name="adj2" fmla="val 51083"/>
          </a:avLst>
        </a:prstGeom>
        <a:ln w="127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r" rtl="1"/>
          <a:endParaRPr lang="en-US" sz="1100"/>
        </a:p>
      </xdr:txBody>
    </xdr:sp>
    <xdr:clientData/>
  </xdr:twoCellAnchor>
  <xdr:twoCellAnchor>
    <xdr:from>
      <xdr:col>16</xdr:col>
      <xdr:colOff>24938</xdr:colOff>
      <xdr:row>137</xdr:row>
      <xdr:rowOff>113281</xdr:rowOff>
    </xdr:from>
    <xdr:to>
      <xdr:col>16</xdr:col>
      <xdr:colOff>482138</xdr:colOff>
      <xdr:row>137</xdr:row>
      <xdr:rowOff>114563</xdr:rowOff>
    </xdr:to>
    <xdr:cxnSp macro="">
      <xdr:nvCxnSpPr>
        <xdr:cNvPr id="291" name="Straight Arrow Connector 290">
          <a:extLst>
            <a:ext uri="{FF2B5EF4-FFF2-40B4-BE49-F238E27FC236}">
              <a16:creationId xmlns:a16="http://schemas.microsoft.com/office/drawing/2014/main" id="{0D298E91-89ED-40AC-BB77-45008D274FFA}"/>
            </a:ext>
          </a:extLst>
        </xdr:cNvPr>
        <xdr:cNvCxnSpPr/>
      </xdr:nvCxnSpPr>
      <xdr:spPr>
        <a:xfrm flipV="1">
          <a:off x="15650138881" y="25023754"/>
          <a:ext cx="45720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28531</xdr:colOff>
      <xdr:row>137</xdr:row>
      <xdr:rowOff>108857</xdr:rowOff>
    </xdr:from>
    <xdr:to>
      <xdr:col>13</xdr:col>
      <xdr:colOff>372124</xdr:colOff>
      <xdr:row>137</xdr:row>
      <xdr:rowOff>110139</xdr:rowOff>
    </xdr:to>
    <xdr:cxnSp macro="">
      <xdr:nvCxnSpPr>
        <xdr:cNvPr id="292" name="Straight Arrow Connector 291">
          <a:extLst>
            <a:ext uri="{FF2B5EF4-FFF2-40B4-BE49-F238E27FC236}">
              <a16:creationId xmlns:a16="http://schemas.microsoft.com/office/drawing/2014/main" id="{E8D5B016-B27E-4F0C-AC20-350C51FAD463}"/>
            </a:ext>
          </a:extLst>
        </xdr:cNvPr>
        <xdr:cNvCxnSpPr/>
      </xdr:nvCxnSpPr>
      <xdr:spPr>
        <a:xfrm flipV="1">
          <a:off x="15653643258" y="25019330"/>
          <a:ext cx="16459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41782</xdr:colOff>
      <xdr:row>139</xdr:row>
      <xdr:rowOff>93712</xdr:rowOff>
    </xdr:from>
    <xdr:to>
      <xdr:col>13</xdr:col>
      <xdr:colOff>385375</xdr:colOff>
      <xdr:row>139</xdr:row>
      <xdr:rowOff>94994</xdr:rowOff>
    </xdr:to>
    <xdr:cxnSp macro="">
      <xdr:nvCxnSpPr>
        <xdr:cNvPr id="293" name="Straight Arrow Connector 292">
          <a:extLst>
            <a:ext uri="{FF2B5EF4-FFF2-40B4-BE49-F238E27FC236}">
              <a16:creationId xmlns:a16="http://schemas.microsoft.com/office/drawing/2014/main" id="{E1B7FA09-7FD8-4FBE-AE51-64FBDB47F3BD}"/>
            </a:ext>
          </a:extLst>
        </xdr:cNvPr>
        <xdr:cNvCxnSpPr/>
      </xdr:nvCxnSpPr>
      <xdr:spPr>
        <a:xfrm flipV="1">
          <a:off x="15653630007" y="25364403"/>
          <a:ext cx="16459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39892</xdr:colOff>
      <xdr:row>141</xdr:row>
      <xdr:rowOff>99391</xdr:rowOff>
    </xdr:from>
    <xdr:to>
      <xdr:col>13</xdr:col>
      <xdr:colOff>383485</xdr:colOff>
      <xdr:row>141</xdr:row>
      <xdr:rowOff>100673</xdr:rowOff>
    </xdr:to>
    <xdr:cxnSp macro="">
      <xdr:nvCxnSpPr>
        <xdr:cNvPr id="294" name="Straight Arrow Connector 293">
          <a:extLst>
            <a:ext uri="{FF2B5EF4-FFF2-40B4-BE49-F238E27FC236}">
              <a16:creationId xmlns:a16="http://schemas.microsoft.com/office/drawing/2014/main" id="{CE17C6A3-12C8-4129-B57A-0E058FFF06F2}"/>
            </a:ext>
          </a:extLst>
        </xdr:cNvPr>
        <xdr:cNvCxnSpPr/>
      </xdr:nvCxnSpPr>
      <xdr:spPr>
        <a:xfrm flipV="1">
          <a:off x="15653631897" y="25730300"/>
          <a:ext cx="16459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39889</xdr:colOff>
      <xdr:row>143</xdr:row>
      <xdr:rowOff>99391</xdr:rowOff>
    </xdr:from>
    <xdr:to>
      <xdr:col>13</xdr:col>
      <xdr:colOff>383482</xdr:colOff>
      <xdr:row>143</xdr:row>
      <xdr:rowOff>100673</xdr:rowOff>
    </xdr:to>
    <xdr:cxnSp macro="">
      <xdr:nvCxnSpPr>
        <xdr:cNvPr id="295" name="Straight Arrow Connector 294">
          <a:extLst>
            <a:ext uri="{FF2B5EF4-FFF2-40B4-BE49-F238E27FC236}">
              <a16:creationId xmlns:a16="http://schemas.microsoft.com/office/drawing/2014/main" id="{1EC029D9-F229-431B-ADB8-ECFAE8A97608}"/>
            </a:ext>
          </a:extLst>
        </xdr:cNvPr>
        <xdr:cNvCxnSpPr/>
      </xdr:nvCxnSpPr>
      <xdr:spPr>
        <a:xfrm flipV="1">
          <a:off x="15653631900" y="26090518"/>
          <a:ext cx="164592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30850</xdr:colOff>
      <xdr:row>150</xdr:row>
      <xdr:rowOff>97971</xdr:rowOff>
    </xdr:from>
    <xdr:to>
      <xdr:col>12</xdr:col>
      <xdr:colOff>1128130</xdr:colOff>
      <xdr:row>150</xdr:row>
      <xdr:rowOff>99253</xdr:rowOff>
    </xdr:to>
    <xdr:cxnSp macro="">
      <xdr:nvCxnSpPr>
        <xdr:cNvPr id="296" name="Straight Arrow Connector 295">
          <a:extLst>
            <a:ext uri="{FF2B5EF4-FFF2-40B4-BE49-F238E27FC236}">
              <a16:creationId xmlns:a16="http://schemas.microsoft.com/office/drawing/2014/main" id="{28FFCD5C-62C6-45D6-829E-7CD7E80A77BD}"/>
            </a:ext>
          </a:extLst>
        </xdr:cNvPr>
        <xdr:cNvCxnSpPr/>
      </xdr:nvCxnSpPr>
      <xdr:spPr>
        <a:xfrm flipV="1">
          <a:off x="15654189579" y="27349862"/>
          <a:ext cx="1097280" cy="1282"/>
        </a:xfrm>
        <a:prstGeom prst="straightConnector1">
          <a:avLst/>
        </a:prstGeom>
        <a:ln w="127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579120</xdr:colOff>
      <xdr:row>116</xdr:row>
      <xdr:rowOff>0</xdr:rowOff>
    </xdr:from>
    <xdr:to>
      <xdr:col>23</xdr:col>
      <xdr:colOff>853785</xdr:colOff>
      <xdr:row>215</xdr:row>
      <xdr:rowOff>91440</xdr:rowOff>
    </xdr:to>
    <xdr:sp macro="" textlink="">
      <xdr:nvSpPr>
        <xdr:cNvPr id="297" name="Rectangle: Rounded Corners 296">
          <a:extLst>
            <a:ext uri="{FF2B5EF4-FFF2-40B4-BE49-F238E27FC236}">
              <a16:creationId xmlns:a16="http://schemas.microsoft.com/office/drawing/2014/main" id="{5B8418A3-2958-4293-B550-476858368278}"/>
            </a:ext>
          </a:extLst>
        </xdr:cNvPr>
        <xdr:cNvSpPr/>
      </xdr:nvSpPr>
      <xdr:spPr>
        <a:xfrm>
          <a:off x="15958565655" y="21488400"/>
          <a:ext cx="13502985" cy="18196560"/>
        </a:xfrm>
        <a:prstGeom prst="roundRect">
          <a:avLst>
            <a:gd name="adj" fmla="val 7419"/>
          </a:avLst>
        </a:prstGeom>
        <a:noFill/>
        <a:ln w="38100">
          <a:prstDash val="dash"/>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solidFill>
              <a:sysClr val="windowText" lastClr="000000"/>
            </a:solidFill>
          </a:endParaRPr>
        </a:p>
      </xdr:txBody>
    </xdr:sp>
    <xdr:clientData/>
  </xdr:twoCellAnchor>
  <xdr:twoCellAnchor>
    <xdr:from>
      <xdr:col>13</xdr:col>
      <xdr:colOff>380256</xdr:colOff>
      <xdr:row>112</xdr:row>
      <xdr:rowOff>19050</xdr:rowOff>
    </xdr:from>
    <xdr:to>
      <xdr:col>15</xdr:col>
      <xdr:colOff>989856</xdr:colOff>
      <xdr:row>115</xdr:row>
      <xdr:rowOff>53340</xdr:rowOff>
    </xdr:to>
    <xdr:sp macro="" textlink="">
      <xdr:nvSpPr>
        <xdr:cNvPr id="298" name="TextBox 297">
          <a:extLst>
            <a:ext uri="{FF2B5EF4-FFF2-40B4-BE49-F238E27FC236}">
              <a16:creationId xmlns:a16="http://schemas.microsoft.com/office/drawing/2014/main" id="{5DD66498-00A0-4A14-B9BB-045192E3B104}"/>
            </a:ext>
          </a:extLst>
        </xdr:cNvPr>
        <xdr:cNvSpPr txBox="1"/>
      </xdr:nvSpPr>
      <xdr:spPr>
        <a:xfrm>
          <a:off x="15594292644" y="20040600"/>
          <a:ext cx="2743200" cy="548640"/>
        </a:xfrm>
        <a:prstGeom prst="rect">
          <a:avLst/>
        </a:prstGeom>
        <a:ln/>
      </xdr:spPr>
      <xdr:style>
        <a:lnRef idx="3">
          <a:schemeClr val="lt1"/>
        </a:lnRef>
        <a:fillRef idx="1">
          <a:schemeClr val="accent6"/>
        </a:fillRef>
        <a:effectRef idx="1">
          <a:schemeClr val="accent6"/>
        </a:effectRef>
        <a:fontRef idx="minor">
          <a:schemeClr val="lt1"/>
        </a:fontRef>
      </xdr:style>
      <xdr:txBody>
        <a:bodyPr vertOverflow="clip" horzOverflow="clip" wrap="square" rtlCol="0" anchor="ctr"/>
        <a:lstStyle/>
        <a:p>
          <a:pPr algn="ctr" rtl="1"/>
          <a:r>
            <a:rPr lang="en-US" sz="2800" b="1">
              <a:solidFill>
                <a:schemeClr val="dk1"/>
              </a:solidFill>
              <a:latin typeface="Times New Roman" panose="02020603050405020304" pitchFamily="18" charset="0"/>
              <a:ea typeface="+mn-ea"/>
              <a:cs typeface="Times New Roman" panose="02020603050405020304" pitchFamily="18" charset="0"/>
            </a:rPr>
            <a:t>Utilities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7</xdr:col>
      <xdr:colOff>795204</xdr:colOff>
      <xdr:row>71</xdr:row>
      <xdr:rowOff>33250</xdr:rowOff>
    </xdr:from>
    <xdr:to>
      <xdr:col>13</xdr:col>
      <xdr:colOff>978084</xdr:colOff>
      <xdr:row>94</xdr:row>
      <xdr:rowOff>155170</xdr:rowOff>
    </xdr:to>
    <xdr:graphicFrame macro="">
      <xdr:nvGraphicFramePr>
        <xdr:cNvPr id="14" name="Chart 13">
          <a:extLst>
            <a:ext uri="{FF2B5EF4-FFF2-40B4-BE49-F238E27FC236}">
              <a16:creationId xmlns:a16="http://schemas.microsoft.com/office/drawing/2014/main" id="{76E99937-6E02-4DBB-8C61-546404761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735330</xdr:colOff>
      <xdr:row>46</xdr:row>
      <xdr:rowOff>182880</xdr:rowOff>
    </xdr:from>
    <xdr:to>
      <xdr:col>25</xdr:col>
      <xdr:colOff>461010</xdr:colOff>
      <xdr:row>69</xdr:row>
      <xdr:rowOff>91440</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439BBE7F-7621-41B2-8358-F6CBF3A839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7451320190" y="10309860"/>
              <a:ext cx="13129260" cy="488442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71</xdr:row>
      <xdr:rowOff>23540</xdr:rowOff>
    </xdr:from>
    <xdr:to>
      <xdr:col>25</xdr:col>
      <xdr:colOff>461010</xdr:colOff>
      <xdr:row>94</xdr:row>
      <xdr:rowOff>141650</xdr:rowOff>
    </xdr:to>
    <mc:AlternateContent xmlns:mc="http://schemas.openxmlformats.org/markup-compatibility/2006">
      <mc:Choice xmlns:cx1="http://schemas.microsoft.com/office/drawing/2015/9/8/chartex" Requires="cx1">
        <xdr:graphicFrame macro="">
          <xdr:nvGraphicFramePr>
            <xdr:cNvPr id="64" name="Chart 63">
              <a:extLst>
                <a:ext uri="{FF2B5EF4-FFF2-40B4-BE49-F238E27FC236}">
                  <a16:creationId xmlns:a16="http://schemas.microsoft.com/office/drawing/2014/main" id="{75B41817-54AE-4FFD-9C12-19839116536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451320190" y="15553100"/>
              <a:ext cx="13129260" cy="502539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849630</xdr:colOff>
      <xdr:row>46</xdr:row>
      <xdr:rowOff>182880</xdr:rowOff>
    </xdr:from>
    <xdr:to>
      <xdr:col>38</xdr:col>
      <xdr:colOff>57150</xdr:colOff>
      <xdr:row>69</xdr:row>
      <xdr:rowOff>91440</xdr:rowOff>
    </xdr:to>
    <xdr:graphicFrame macro="">
      <xdr:nvGraphicFramePr>
        <xdr:cNvPr id="77" name="Chart 76">
          <a:extLst>
            <a:ext uri="{FF2B5EF4-FFF2-40B4-BE49-F238E27FC236}">
              <a16:creationId xmlns:a16="http://schemas.microsoft.com/office/drawing/2014/main" id="{80EC1726-48B5-4F79-9C23-64F998182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849630</xdr:colOff>
      <xdr:row>71</xdr:row>
      <xdr:rowOff>23540</xdr:rowOff>
    </xdr:from>
    <xdr:to>
      <xdr:col>38</xdr:col>
      <xdr:colOff>57150</xdr:colOff>
      <xdr:row>94</xdr:row>
      <xdr:rowOff>141650</xdr:rowOff>
    </xdr:to>
    <xdr:graphicFrame macro="">
      <xdr:nvGraphicFramePr>
        <xdr:cNvPr id="78" name="Chart 77">
          <a:extLst>
            <a:ext uri="{FF2B5EF4-FFF2-40B4-BE49-F238E27FC236}">
              <a16:creationId xmlns:a16="http://schemas.microsoft.com/office/drawing/2014/main" id="{0C986061-8321-460C-A19E-DD52E6984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82732</xdr:colOff>
      <xdr:row>71</xdr:row>
      <xdr:rowOff>60959</xdr:rowOff>
    </xdr:from>
    <xdr:to>
      <xdr:col>6</xdr:col>
      <xdr:colOff>936172</xdr:colOff>
      <xdr:row>94</xdr:row>
      <xdr:rowOff>182879</xdr:rowOff>
    </xdr:to>
    <xdr:graphicFrame macro="">
      <xdr:nvGraphicFramePr>
        <xdr:cNvPr id="79" name="Chart 78">
          <a:extLst>
            <a:ext uri="{FF2B5EF4-FFF2-40B4-BE49-F238E27FC236}">
              <a16:creationId xmlns:a16="http://schemas.microsoft.com/office/drawing/2014/main" id="{FE3A1B43-0588-453B-BD9D-E470302DA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1</xdr:col>
      <xdr:colOff>2736</xdr:colOff>
      <xdr:row>1</xdr:row>
      <xdr:rowOff>3017</xdr:rowOff>
    </xdr:from>
    <xdr:to>
      <xdr:col>2</xdr:col>
      <xdr:colOff>320087</xdr:colOff>
      <xdr:row>3</xdr:row>
      <xdr:rowOff>40734</xdr:rowOff>
    </xdr:to>
    <xdr:sp macro="" textlink="">
      <xdr:nvSpPr>
        <xdr:cNvPr id="80" name="Rectangle: Rounded Corners 79">
          <a:extLst>
            <a:ext uri="{FF2B5EF4-FFF2-40B4-BE49-F238E27FC236}">
              <a16:creationId xmlns:a16="http://schemas.microsoft.com/office/drawing/2014/main" id="{C6B5C0C1-FC9F-43DD-9AFD-9DB3836F1390}"/>
            </a:ext>
          </a:extLst>
        </xdr:cNvPr>
        <xdr:cNvSpPr/>
      </xdr:nvSpPr>
      <xdr:spPr>
        <a:xfrm>
          <a:off x="15732884413" y="216377"/>
          <a:ext cx="1551791" cy="464437"/>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321207</xdr:colOff>
      <xdr:row>1</xdr:row>
      <xdr:rowOff>3017</xdr:rowOff>
    </xdr:from>
    <xdr:to>
      <xdr:col>3</xdr:col>
      <xdr:colOff>616146</xdr:colOff>
      <xdr:row>3</xdr:row>
      <xdr:rowOff>40734</xdr:rowOff>
    </xdr:to>
    <xdr:sp macro="" textlink="">
      <xdr:nvSpPr>
        <xdr:cNvPr id="81" name="Rectangle: Rounded Corners 80">
          <a:extLst>
            <a:ext uri="{FF2B5EF4-FFF2-40B4-BE49-F238E27FC236}">
              <a16:creationId xmlns:a16="http://schemas.microsoft.com/office/drawing/2014/main" id="{EC95D065-A287-454B-839F-0DBD79735B83}"/>
            </a:ext>
          </a:extLst>
        </xdr:cNvPr>
        <xdr:cNvSpPr/>
      </xdr:nvSpPr>
      <xdr:spPr>
        <a:xfrm>
          <a:off x="15731331054" y="216377"/>
          <a:ext cx="1552239" cy="464437"/>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244847</xdr:colOff>
      <xdr:row>1</xdr:row>
      <xdr:rowOff>3017</xdr:rowOff>
    </xdr:from>
    <xdr:to>
      <xdr:col>4</xdr:col>
      <xdr:colOff>1810274</xdr:colOff>
      <xdr:row>3</xdr:row>
      <xdr:rowOff>40734</xdr:rowOff>
    </xdr:to>
    <xdr:sp macro="" textlink="">
      <xdr:nvSpPr>
        <xdr:cNvPr id="82" name="Rectangle: Rounded Corners 81">
          <a:extLst>
            <a:ext uri="{FF2B5EF4-FFF2-40B4-BE49-F238E27FC236}">
              <a16:creationId xmlns:a16="http://schemas.microsoft.com/office/drawing/2014/main" id="{A62033B3-DA2E-4BC0-A63C-E876F06E85D5}"/>
            </a:ext>
          </a:extLst>
        </xdr:cNvPr>
        <xdr:cNvSpPr/>
      </xdr:nvSpPr>
      <xdr:spPr>
        <a:xfrm>
          <a:off x="15728206987" y="216377"/>
          <a:ext cx="1564042" cy="464437"/>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417429</xdr:colOff>
      <xdr:row>1</xdr:row>
      <xdr:rowOff>3017</xdr:rowOff>
    </xdr:from>
    <xdr:to>
      <xdr:col>8</xdr:col>
      <xdr:colOff>24</xdr:colOff>
      <xdr:row>3</xdr:row>
      <xdr:rowOff>40734</xdr:rowOff>
    </xdr:to>
    <xdr:sp macro="" textlink="">
      <xdr:nvSpPr>
        <xdr:cNvPr id="85" name="Rectangle: Rounded Corners 84">
          <a:extLst>
            <a:ext uri="{FF2B5EF4-FFF2-40B4-BE49-F238E27FC236}">
              <a16:creationId xmlns:a16="http://schemas.microsoft.com/office/drawing/2014/main" id="{8C52BF95-A061-45DD-8C7B-F53B8C685B82}"/>
            </a:ext>
          </a:extLst>
        </xdr:cNvPr>
        <xdr:cNvSpPr/>
      </xdr:nvSpPr>
      <xdr:spPr>
        <a:xfrm>
          <a:off x="15689478047" y="220731"/>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xdr:from>
      <xdr:col>6</xdr:col>
      <xdr:colOff>0</xdr:colOff>
      <xdr:row>9</xdr:row>
      <xdr:rowOff>45465</xdr:rowOff>
    </xdr:from>
    <xdr:to>
      <xdr:col>6</xdr:col>
      <xdr:colOff>475129</xdr:colOff>
      <xdr:row>10</xdr:row>
      <xdr:rowOff>0</xdr:rowOff>
    </xdr:to>
    <xdr:sp macro="" textlink="">
      <xdr:nvSpPr>
        <xdr:cNvPr id="87" name="Arrow: Left 86">
          <a:extLst>
            <a:ext uri="{FF2B5EF4-FFF2-40B4-BE49-F238E27FC236}">
              <a16:creationId xmlns:a16="http://schemas.microsoft.com/office/drawing/2014/main" id="{7E84C407-7E88-4378-A13F-3FA864266A8E}"/>
            </a:ext>
          </a:extLst>
        </xdr:cNvPr>
        <xdr:cNvSpPr/>
      </xdr:nvSpPr>
      <xdr:spPr>
        <a:xfrm>
          <a:off x="15693480929" y="2015779"/>
          <a:ext cx="475129" cy="1722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37</xdr:col>
      <xdr:colOff>0</xdr:colOff>
      <xdr:row>15</xdr:row>
      <xdr:rowOff>0</xdr:rowOff>
    </xdr:from>
    <xdr:to>
      <xdr:col>37</xdr:col>
      <xdr:colOff>690283</xdr:colOff>
      <xdr:row>15</xdr:row>
      <xdr:rowOff>286871</xdr:rowOff>
    </xdr:to>
    <xdr:sp macro="" textlink="">
      <xdr:nvSpPr>
        <xdr:cNvPr id="89" name="Rectangle: Rounded Corners 88">
          <a:extLst>
            <a:ext uri="{FF2B5EF4-FFF2-40B4-BE49-F238E27FC236}">
              <a16:creationId xmlns:a16="http://schemas.microsoft.com/office/drawing/2014/main" id="{B2910ABE-D670-4F10-BE13-F2A0758DB7AF}"/>
            </a:ext>
          </a:extLst>
        </xdr:cNvPr>
        <xdr:cNvSpPr/>
      </xdr:nvSpPr>
      <xdr:spPr>
        <a:xfrm>
          <a:off x="15695351477" y="35052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43</xdr:row>
      <xdr:rowOff>0</xdr:rowOff>
    </xdr:from>
    <xdr:to>
      <xdr:col>37</xdr:col>
      <xdr:colOff>690283</xdr:colOff>
      <xdr:row>43</xdr:row>
      <xdr:rowOff>286871</xdr:rowOff>
    </xdr:to>
    <xdr:sp macro="" textlink="">
      <xdr:nvSpPr>
        <xdr:cNvPr id="93" name="Rectangle: Rounded Corners 92">
          <a:extLst>
            <a:ext uri="{FF2B5EF4-FFF2-40B4-BE49-F238E27FC236}">
              <a16:creationId xmlns:a16="http://schemas.microsoft.com/office/drawing/2014/main" id="{7F2C9266-B1D7-4552-839A-1C6D1669C71A}"/>
            </a:ext>
          </a:extLst>
        </xdr:cNvPr>
        <xdr:cNvSpPr/>
      </xdr:nvSpPr>
      <xdr:spPr>
        <a:xfrm>
          <a:off x="15695351477" y="1043178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18</xdr:col>
      <xdr:colOff>861060</xdr:colOff>
      <xdr:row>17</xdr:row>
      <xdr:rowOff>6804</xdr:rowOff>
    </xdr:from>
    <xdr:to>
      <xdr:col>28</xdr:col>
      <xdr:colOff>867991</xdr:colOff>
      <xdr:row>40</xdr:row>
      <xdr:rowOff>205468</xdr:rowOff>
    </xdr:to>
    <mc:AlternateContent xmlns:mc="http://schemas.openxmlformats.org/markup-compatibility/2006">
      <mc:Choice xmlns:cx1="http://schemas.microsoft.com/office/drawing/2015/9/8/chartex" Requires="cx1">
        <xdr:graphicFrame macro="">
          <xdr:nvGraphicFramePr>
            <xdr:cNvPr id="94" name="Chart 93">
              <a:extLst>
                <a:ext uri="{FF2B5EF4-FFF2-40B4-BE49-F238E27FC236}">
                  <a16:creationId xmlns:a16="http://schemas.microsoft.com/office/drawing/2014/main" id="{E19DD779-FCC6-4FAA-864A-C77DF4BF448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7447712809" y="3740604"/>
              <a:ext cx="11665531" cy="521262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4</xdr:col>
      <xdr:colOff>1808609</xdr:colOff>
      <xdr:row>1</xdr:row>
      <xdr:rowOff>3017</xdr:rowOff>
    </xdr:from>
    <xdr:to>
      <xdr:col>6</xdr:col>
      <xdr:colOff>418845</xdr:colOff>
      <xdr:row>3</xdr:row>
      <xdr:rowOff>40734</xdr:rowOff>
    </xdr:to>
    <xdr:sp macro="" textlink="">
      <xdr:nvSpPr>
        <xdr:cNvPr id="114" name="Rectangle: Rounded Corners 113">
          <a:extLst>
            <a:ext uri="{FF2B5EF4-FFF2-40B4-BE49-F238E27FC236}">
              <a16:creationId xmlns:a16="http://schemas.microsoft.com/office/drawing/2014/main" id="{351F0A0A-68F4-42D6-A0AC-1369F2318A8E}"/>
            </a:ext>
          </a:extLst>
        </xdr:cNvPr>
        <xdr:cNvSpPr/>
      </xdr:nvSpPr>
      <xdr:spPr>
        <a:xfrm>
          <a:off x="15691028550" y="220731"/>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618415</xdr:colOff>
      <xdr:row>1</xdr:row>
      <xdr:rowOff>3017</xdr:rowOff>
    </xdr:from>
    <xdr:to>
      <xdr:col>4</xdr:col>
      <xdr:colOff>239778</xdr:colOff>
      <xdr:row>3</xdr:row>
      <xdr:rowOff>40734</xdr:rowOff>
    </xdr:to>
    <xdr:sp macro="" textlink="">
      <xdr:nvSpPr>
        <xdr:cNvPr id="116" name="Rectangle: Rounded Corners 115">
          <a:extLst>
            <a:ext uri="{FF2B5EF4-FFF2-40B4-BE49-F238E27FC236}">
              <a16:creationId xmlns:a16="http://schemas.microsoft.com/office/drawing/2014/main" id="{D828F601-D323-4FDD-A0F6-480D3820ECFC}"/>
            </a:ext>
          </a:extLst>
        </xdr:cNvPr>
        <xdr:cNvSpPr/>
      </xdr:nvSpPr>
      <xdr:spPr>
        <a:xfrm>
          <a:off x="15729776098" y="216377"/>
          <a:ext cx="1552687" cy="464437"/>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834</xdr:colOff>
      <xdr:row>1</xdr:row>
      <xdr:rowOff>3017</xdr:rowOff>
    </xdr:from>
    <xdr:to>
      <xdr:col>9</xdr:col>
      <xdr:colOff>581824</xdr:colOff>
      <xdr:row>3</xdr:row>
      <xdr:rowOff>40734</xdr:rowOff>
    </xdr:to>
    <xdr:sp macro="" textlink="">
      <xdr:nvSpPr>
        <xdr:cNvPr id="130" name="Rectangle: Rounded Corners 129">
          <a:extLst>
            <a:ext uri="{FF2B5EF4-FFF2-40B4-BE49-F238E27FC236}">
              <a16:creationId xmlns:a16="http://schemas.microsoft.com/office/drawing/2014/main" id="{350F46F7-61C9-43A1-B189-8047B0E6772E}"/>
            </a:ext>
          </a:extLst>
        </xdr:cNvPr>
        <xdr:cNvSpPr/>
      </xdr:nvSpPr>
      <xdr:spPr>
        <a:xfrm>
          <a:off x="15687922470" y="220731"/>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580606</xdr:colOff>
      <xdr:row>1</xdr:row>
      <xdr:rowOff>5862</xdr:rowOff>
    </xdr:from>
    <xdr:to>
      <xdr:col>11</xdr:col>
      <xdr:colOff>76069</xdr:colOff>
      <xdr:row>3</xdr:row>
      <xdr:rowOff>43579</xdr:rowOff>
    </xdr:to>
    <xdr:sp macro="" textlink="">
      <xdr:nvSpPr>
        <xdr:cNvPr id="131" name="Rectangle: Rounded Corners 130">
          <a:extLst>
            <a:ext uri="{FF2B5EF4-FFF2-40B4-BE49-F238E27FC236}">
              <a16:creationId xmlns:a16="http://schemas.microsoft.com/office/drawing/2014/main" id="{E134D067-FE6D-47AA-AA52-6E93576005DC}"/>
            </a:ext>
          </a:extLst>
        </xdr:cNvPr>
        <xdr:cNvSpPr/>
      </xdr:nvSpPr>
      <xdr:spPr>
        <a:xfrm>
          <a:off x="15686368847" y="223576"/>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20</xdr:col>
      <xdr:colOff>0</xdr:colOff>
      <xdr:row>97</xdr:row>
      <xdr:rowOff>0</xdr:rowOff>
    </xdr:from>
    <xdr:to>
      <xdr:col>20</xdr:col>
      <xdr:colOff>690283</xdr:colOff>
      <xdr:row>97</xdr:row>
      <xdr:rowOff>286871</xdr:rowOff>
    </xdr:to>
    <xdr:sp macro="" textlink="">
      <xdr:nvSpPr>
        <xdr:cNvPr id="21" name="Rectangle: Rounded Corners 20">
          <a:extLst>
            <a:ext uri="{FF2B5EF4-FFF2-40B4-BE49-F238E27FC236}">
              <a16:creationId xmlns:a16="http://schemas.microsoft.com/office/drawing/2014/main" id="{96262151-155B-4068-B3BB-C65E225ADAAB}"/>
            </a:ext>
          </a:extLst>
        </xdr:cNvPr>
        <xdr:cNvSpPr/>
      </xdr:nvSpPr>
      <xdr:spPr>
        <a:xfrm>
          <a:off x="15711483017" y="215798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97</xdr:row>
      <xdr:rowOff>0</xdr:rowOff>
    </xdr:from>
    <xdr:to>
      <xdr:col>37</xdr:col>
      <xdr:colOff>690283</xdr:colOff>
      <xdr:row>97</xdr:row>
      <xdr:rowOff>286871</xdr:rowOff>
    </xdr:to>
    <xdr:sp macro="" textlink="">
      <xdr:nvSpPr>
        <xdr:cNvPr id="22" name="Rectangle: Rounded Corners 21">
          <a:extLst>
            <a:ext uri="{FF2B5EF4-FFF2-40B4-BE49-F238E27FC236}">
              <a16:creationId xmlns:a16="http://schemas.microsoft.com/office/drawing/2014/main" id="{7C0FD1DD-6F8F-4920-87FC-183D826E5321}"/>
            </a:ext>
          </a:extLst>
        </xdr:cNvPr>
        <xdr:cNvSpPr/>
      </xdr:nvSpPr>
      <xdr:spPr>
        <a:xfrm>
          <a:off x="15695351477" y="215798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14</xdr:col>
      <xdr:colOff>735330</xdr:colOff>
      <xdr:row>101</xdr:row>
      <xdr:rowOff>9525</xdr:rowOff>
    </xdr:from>
    <xdr:to>
      <xdr:col>25</xdr:col>
      <xdr:colOff>468630</xdr:colOff>
      <xdr:row>124</xdr:row>
      <xdr:rowOff>131445</xdr:rowOff>
    </xdr:to>
    <mc:AlternateContent xmlns:mc="http://schemas.openxmlformats.org/markup-compatibility/2006">
      <mc:Choice xmlns:cx1="http://schemas.microsoft.com/office/drawing/2015/9/8/chartex" Requires="cx1">
        <xdr:graphicFrame macro="">
          <xdr:nvGraphicFramePr>
            <xdr:cNvPr id="23" name="Chart 22">
              <a:extLst>
                <a:ext uri="{FF2B5EF4-FFF2-40B4-BE49-F238E27FC236}">
                  <a16:creationId xmlns:a16="http://schemas.microsoft.com/office/drawing/2014/main" id="{D20CB45B-2E5F-421B-8C09-4472E7E4A2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7451312570" y="22214205"/>
              <a:ext cx="1313688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19050</xdr:colOff>
      <xdr:row>17</xdr:row>
      <xdr:rowOff>6804</xdr:rowOff>
    </xdr:from>
    <xdr:to>
      <xdr:col>18</xdr:col>
      <xdr:colOff>3121</xdr:colOff>
      <xdr:row>40</xdr:row>
      <xdr:rowOff>205468</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30CC3D46-EABB-4A81-A2E7-851A7D2F3B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7460236279" y="3740604"/>
              <a:ext cx="11848411" cy="5212624"/>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205</xdr:row>
      <xdr:rowOff>0</xdr:rowOff>
    </xdr:from>
    <xdr:to>
      <xdr:col>20</xdr:col>
      <xdr:colOff>690283</xdr:colOff>
      <xdr:row>205</xdr:row>
      <xdr:rowOff>286871</xdr:rowOff>
    </xdr:to>
    <xdr:sp macro="" textlink="">
      <xdr:nvSpPr>
        <xdr:cNvPr id="29" name="Rectangle: Rounded Corners 28">
          <a:extLst>
            <a:ext uri="{FF2B5EF4-FFF2-40B4-BE49-F238E27FC236}">
              <a16:creationId xmlns:a16="http://schemas.microsoft.com/office/drawing/2014/main" id="{5F33085A-A5E4-4983-9DF4-8B03E4800EFF}"/>
            </a:ext>
          </a:extLst>
        </xdr:cNvPr>
        <xdr:cNvSpPr/>
      </xdr:nvSpPr>
      <xdr:spPr>
        <a:xfrm>
          <a:off x="15711483017" y="448970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322</xdr:row>
      <xdr:rowOff>0</xdr:rowOff>
    </xdr:from>
    <xdr:to>
      <xdr:col>20</xdr:col>
      <xdr:colOff>690283</xdr:colOff>
      <xdr:row>322</xdr:row>
      <xdr:rowOff>286871</xdr:rowOff>
    </xdr:to>
    <xdr:sp macro="" textlink="">
      <xdr:nvSpPr>
        <xdr:cNvPr id="30" name="Rectangle: Rounded Corners 29">
          <a:extLst>
            <a:ext uri="{FF2B5EF4-FFF2-40B4-BE49-F238E27FC236}">
              <a16:creationId xmlns:a16="http://schemas.microsoft.com/office/drawing/2014/main" id="{23975D38-C878-477E-BEE3-42FCFFB94311}"/>
            </a:ext>
          </a:extLst>
        </xdr:cNvPr>
        <xdr:cNvSpPr/>
      </xdr:nvSpPr>
      <xdr:spPr>
        <a:xfrm>
          <a:off x="15711483017" y="699973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205</xdr:row>
      <xdr:rowOff>0</xdr:rowOff>
    </xdr:from>
    <xdr:to>
      <xdr:col>37</xdr:col>
      <xdr:colOff>690283</xdr:colOff>
      <xdr:row>205</xdr:row>
      <xdr:rowOff>286871</xdr:rowOff>
    </xdr:to>
    <xdr:sp macro="" textlink="">
      <xdr:nvSpPr>
        <xdr:cNvPr id="31" name="Rectangle: Rounded Corners 30">
          <a:extLst>
            <a:ext uri="{FF2B5EF4-FFF2-40B4-BE49-F238E27FC236}">
              <a16:creationId xmlns:a16="http://schemas.microsoft.com/office/drawing/2014/main" id="{F2A5153D-FA72-4567-8C99-FB4173AAF6A6}"/>
            </a:ext>
          </a:extLst>
        </xdr:cNvPr>
        <xdr:cNvSpPr/>
      </xdr:nvSpPr>
      <xdr:spPr>
        <a:xfrm>
          <a:off x="15695351477" y="448970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322</xdr:row>
      <xdr:rowOff>0</xdr:rowOff>
    </xdr:from>
    <xdr:to>
      <xdr:col>37</xdr:col>
      <xdr:colOff>690283</xdr:colOff>
      <xdr:row>322</xdr:row>
      <xdr:rowOff>286871</xdr:rowOff>
    </xdr:to>
    <xdr:sp macro="" textlink="">
      <xdr:nvSpPr>
        <xdr:cNvPr id="32" name="Rectangle: Rounded Corners 31">
          <a:extLst>
            <a:ext uri="{FF2B5EF4-FFF2-40B4-BE49-F238E27FC236}">
              <a16:creationId xmlns:a16="http://schemas.microsoft.com/office/drawing/2014/main" id="{A8CE66C5-83B2-4959-A7A5-E7703831E922}"/>
            </a:ext>
          </a:extLst>
        </xdr:cNvPr>
        <xdr:cNvSpPr/>
      </xdr:nvSpPr>
      <xdr:spPr>
        <a:xfrm>
          <a:off x="15695351477" y="699973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375</xdr:row>
      <xdr:rowOff>0</xdr:rowOff>
    </xdr:from>
    <xdr:to>
      <xdr:col>20</xdr:col>
      <xdr:colOff>690283</xdr:colOff>
      <xdr:row>375</xdr:row>
      <xdr:rowOff>286871</xdr:rowOff>
    </xdr:to>
    <xdr:sp macro="" textlink="">
      <xdr:nvSpPr>
        <xdr:cNvPr id="33" name="Rectangle: Rounded Corners 32">
          <a:extLst>
            <a:ext uri="{FF2B5EF4-FFF2-40B4-BE49-F238E27FC236}">
              <a16:creationId xmlns:a16="http://schemas.microsoft.com/office/drawing/2014/main" id="{21682107-941A-4DAF-B1C0-0F4E115237C6}"/>
            </a:ext>
          </a:extLst>
        </xdr:cNvPr>
        <xdr:cNvSpPr/>
      </xdr:nvSpPr>
      <xdr:spPr>
        <a:xfrm>
          <a:off x="15711483017" y="8144256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375</xdr:row>
      <xdr:rowOff>0</xdr:rowOff>
    </xdr:from>
    <xdr:to>
      <xdr:col>37</xdr:col>
      <xdr:colOff>690283</xdr:colOff>
      <xdr:row>375</xdr:row>
      <xdr:rowOff>286871</xdr:rowOff>
    </xdr:to>
    <xdr:sp macro="" textlink="">
      <xdr:nvSpPr>
        <xdr:cNvPr id="34" name="Rectangle: Rounded Corners 33">
          <a:extLst>
            <a:ext uri="{FF2B5EF4-FFF2-40B4-BE49-F238E27FC236}">
              <a16:creationId xmlns:a16="http://schemas.microsoft.com/office/drawing/2014/main" id="{1A146335-2F30-4CB7-AC28-051385575973}"/>
            </a:ext>
          </a:extLst>
        </xdr:cNvPr>
        <xdr:cNvSpPr/>
      </xdr:nvSpPr>
      <xdr:spPr>
        <a:xfrm>
          <a:off x="15695351477" y="8144256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428</xdr:row>
      <xdr:rowOff>0</xdr:rowOff>
    </xdr:from>
    <xdr:to>
      <xdr:col>20</xdr:col>
      <xdr:colOff>690283</xdr:colOff>
      <xdr:row>428</xdr:row>
      <xdr:rowOff>286871</xdr:rowOff>
    </xdr:to>
    <xdr:sp macro="" textlink="">
      <xdr:nvSpPr>
        <xdr:cNvPr id="35" name="Rectangle: Rounded Corners 34">
          <a:extLst>
            <a:ext uri="{FF2B5EF4-FFF2-40B4-BE49-F238E27FC236}">
              <a16:creationId xmlns:a16="http://schemas.microsoft.com/office/drawing/2014/main" id="{0B143A60-50CB-43E0-91C3-4C2174DB0632}"/>
            </a:ext>
          </a:extLst>
        </xdr:cNvPr>
        <xdr:cNvSpPr/>
      </xdr:nvSpPr>
      <xdr:spPr>
        <a:xfrm>
          <a:off x="15711483017" y="928878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428</xdr:row>
      <xdr:rowOff>0</xdr:rowOff>
    </xdr:from>
    <xdr:to>
      <xdr:col>37</xdr:col>
      <xdr:colOff>690283</xdr:colOff>
      <xdr:row>428</xdr:row>
      <xdr:rowOff>286871</xdr:rowOff>
    </xdr:to>
    <xdr:sp macro="" textlink="">
      <xdr:nvSpPr>
        <xdr:cNvPr id="36" name="Rectangle: Rounded Corners 35">
          <a:extLst>
            <a:ext uri="{FF2B5EF4-FFF2-40B4-BE49-F238E27FC236}">
              <a16:creationId xmlns:a16="http://schemas.microsoft.com/office/drawing/2014/main" id="{C76667EC-E251-4E6D-851B-16F3C90C6A1B}"/>
            </a:ext>
          </a:extLst>
        </xdr:cNvPr>
        <xdr:cNvSpPr/>
      </xdr:nvSpPr>
      <xdr:spPr>
        <a:xfrm>
          <a:off x="15695351477" y="928878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528</xdr:row>
      <xdr:rowOff>0</xdr:rowOff>
    </xdr:from>
    <xdr:to>
      <xdr:col>20</xdr:col>
      <xdr:colOff>690283</xdr:colOff>
      <xdr:row>528</xdr:row>
      <xdr:rowOff>286871</xdr:rowOff>
    </xdr:to>
    <xdr:sp macro="" textlink="">
      <xdr:nvSpPr>
        <xdr:cNvPr id="37" name="Rectangle: Rounded Corners 36">
          <a:extLst>
            <a:ext uri="{FF2B5EF4-FFF2-40B4-BE49-F238E27FC236}">
              <a16:creationId xmlns:a16="http://schemas.microsoft.com/office/drawing/2014/main" id="{22EB04D1-9501-46F5-A03D-CA52B3F97AB4}"/>
            </a:ext>
          </a:extLst>
        </xdr:cNvPr>
        <xdr:cNvSpPr/>
      </xdr:nvSpPr>
      <xdr:spPr>
        <a:xfrm>
          <a:off x="15711483017" y="11436096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528</xdr:row>
      <xdr:rowOff>0</xdr:rowOff>
    </xdr:from>
    <xdr:to>
      <xdr:col>37</xdr:col>
      <xdr:colOff>690283</xdr:colOff>
      <xdr:row>528</xdr:row>
      <xdr:rowOff>286871</xdr:rowOff>
    </xdr:to>
    <xdr:sp macro="" textlink="">
      <xdr:nvSpPr>
        <xdr:cNvPr id="38" name="Rectangle: Rounded Corners 37">
          <a:extLst>
            <a:ext uri="{FF2B5EF4-FFF2-40B4-BE49-F238E27FC236}">
              <a16:creationId xmlns:a16="http://schemas.microsoft.com/office/drawing/2014/main" id="{9902C759-3920-46D1-B8C4-399E032A4192}"/>
            </a:ext>
          </a:extLst>
        </xdr:cNvPr>
        <xdr:cNvSpPr/>
      </xdr:nvSpPr>
      <xdr:spPr>
        <a:xfrm>
          <a:off x="15695351477" y="11436096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582</xdr:row>
      <xdr:rowOff>0</xdr:rowOff>
    </xdr:from>
    <xdr:to>
      <xdr:col>20</xdr:col>
      <xdr:colOff>690283</xdr:colOff>
      <xdr:row>582</xdr:row>
      <xdr:rowOff>286871</xdr:rowOff>
    </xdr:to>
    <xdr:sp macro="" textlink="">
      <xdr:nvSpPr>
        <xdr:cNvPr id="39" name="Rectangle: Rounded Corners 38">
          <a:extLst>
            <a:ext uri="{FF2B5EF4-FFF2-40B4-BE49-F238E27FC236}">
              <a16:creationId xmlns:a16="http://schemas.microsoft.com/office/drawing/2014/main" id="{C05D05DB-0D28-4BA2-ABFD-20EE3E7A6302}"/>
            </a:ext>
          </a:extLst>
        </xdr:cNvPr>
        <xdr:cNvSpPr/>
      </xdr:nvSpPr>
      <xdr:spPr>
        <a:xfrm>
          <a:off x="15711483017" y="1266596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582</xdr:row>
      <xdr:rowOff>0</xdr:rowOff>
    </xdr:from>
    <xdr:to>
      <xdr:col>37</xdr:col>
      <xdr:colOff>690283</xdr:colOff>
      <xdr:row>582</xdr:row>
      <xdr:rowOff>286871</xdr:rowOff>
    </xdr:to>
    <xdr:sp macro="" textlink="">
      <xdr:nvSpPr>
        <xdr:cNvPr id="40" name="Rectangle: Rounded Corners 39">
          <a:extLst>
            <a:ext uri="{FF2B5EF4-FFF2-40B4-BE49-F238E27FC236}">
              <a16:creationId xmlns:a16="http://schemas.microsoft.com/office/drawing/2014/main" id="{9D1B7019-40DC-4086-A7C0-FDAC781052B7}"/>
            </a:ext>
          </a:extLst>
        </xdr:cNvPr>
        <xdr:cNvSpPr/>
      </xdr:nvSpPr>
      <xdr:spPr>
        <a:xfrm>
          <a:off x="15695351477" y="1266596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636</xdr:row>
      <xdr:rowOff>0</xdr:rowOff>
    </xdr:from>
    <xdr:to>
      <xdr:col>20</xdr:col>
      <xdr:colOff>690283</xdr:colOff>
      <xdr:row>636</xdr:row>
      <xdr:rowOff>286871</xdr:rowOff>
    </xdr:to>
    <xdr:sp macro="" textlink="">
      <xdr:nvSpPr>
        <xdr:cNvPr id="41" name="Rectangle: Rounded Corners 40">
          <a:extLst>
            <a:ext uri="{FF2B5EF4-FFF2-40B4-BE49-F238E27FC236}">
              <a16:creationId xmlns:a16="http://schemas.microsoft.com/office/drawing/2014/main" id="{2F62E3E2-8FEA-42B8-A73C-7E60F8950C3E}"/>
            </a:ext>
          </a:extLst>
        </xdr:cNvPr>
        <xdr:cNvSpPr/>
      </xdr:nvSpPr>
      <xdr:spPr>
        <a:xfrm>
          <a:off x="15711483017" y="1383182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636</xdr:row>
      <xdr:rowOff>0</xdr:rowOff>
    </xdr:from>
    <xdr:to>
      <xdr:col>37</xdr:col>
      <xdr:colOff>690283</xdr:colOff>
      <xdr:row>636</xdr:row>
      <xdr:rowOff>286871</xdr:rowOff>
    </xdr:to>
    <xdr:sp macro="" textlink="">
      <xdr:nvSpPr>
        <xdr:cNvPr id="42" name="Rectangle: Rounded Corners 41">
          <a:extLst>
            <a:ext uri="{FF2B5EF4-FFF2-40B4-BE49-F238E27FC236}">
              <a16:creationId xmlns:a16="http://schemas.microsoft.com/office/drawing/2014/main" id="{64F31A8C-EC33-4A83-957D-558737C9F937}"/>
            </a:ext>
          </a:extLst>
        </xdr:cNvPr>
        <xdr:cNvSpPr/>
      </xdr:nvSpPr>
      <xdr:spPr>
        <a:xfrm>
          <a:off x="15695351477" y="1383182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691</xdr:row>
      <xdr:rowOff>0</xdr:rowOff>
    </xdr:from>
    <xdr:to>
      <xdr:col>20</xdr:col>
      <xdr:colOff>690283</xdr:colOff>
      <xdr:row>691</xdr:row>
      <xdr:rowOff>286871</xdr:rowOff>
    </xdr:to>
    <xdr:sp macro="" textlink="">
      <xdr:nvSpPr>
        <xdr:cNvPr id="43" name="Rectangle: Rounded Corners 42">
          <a:extLst>
            <a:ext uri="{FF2B5EF4-FFF2-40B4-BE49-F238E27FC236}">
              <a16:creationId xmlns:a16="http://schemas.microsoft.com/office/drawing/2014/main" id="{64259BFA-D636-442F-8CE1-97ADA05643E2}"/>
            </a:ext>
          </a:extLst>
        </xdr:cNvPr>
        <xdr:cNvSpPr/>
      </xdr:nvSpPr>
      <xdr:spPr>
        <a:xfrm>
          <a:off x="15711483017" y="1506169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691</xdr:row>
      <xdr:rowOff>0</xdr:rowOff>
    </xdr:from>
    <xdr:to>
      <xdr:col>37</xdr:col>
      <xdr:colOff>690283</xdr:colOff>
      <xdr:row>691</xdr:row>
      <xdr:rowOff>286871</xdr:rowOff>
    </xdr:to>
    <xdr:sp macro="" textlink="">
      <xdr:nvSpPr>
        <xdr:cNvPr id="44" name="Rectangle: Rounded Corners 43">
          <a:extLst>
            <a:ext uri="{FF2B5EF4-FFF2-40B4-BE49-F238E27FC236}">
              <a16:creationId xmlns:a16="http://schemas.microsoft.com/office/drawing/2014/main" id="{143F1BB8-7C87-427C-988D-2FBDAB485EAC}"/>
            </a:ext>
          </a:extLst>
        </xdr:cNvPr>
        <xdr:cNvSpPr/>
      </xdr:nvSpPr>
      <xdr:spPr>
        <a:xfrm>
          <a:off x="15695351477" y="1506169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803</xdr:row>
      <xdr:rowOff>0</xdr:rowOff>
    </xdr:from>
    <xdr:to>
      <xdr:col>20</xdr:col>
      <xdr:colOff>690283</xdr:colOff>
      <xdr:row>803</xdr:row>
      <xdr:rowOff>286871</xdr:rowOff>
    </xdr:to>
    <xdr:sp macro="" textlink="">
      <xdr:nvSpPr>
        <xdr:cNvPr id="45" name="Rectangle: Rounded Corners 44">
          <a:extLst>
            <a:ext uri="{FF2B5EF4-FFF2-40B4-BE49-F238E27FC236}">
              <a16:creationId xmlns:a16="http://schemas.microsoft.com/office/drawing/2014/main" id="{0492509D-9630-4E71-9D3A-BED1B5E5BFBA}"/>
            </a:ext>
          </a:extLst>
        </xdr:cNvPr>
        <xdr:cNvSpPr/>
      </xdr:nvSpPr>
      <xdr:spPr>
        <a:xfrm>
          <a:off x="15711483017" y="1755038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803</xdr:row>
      <xdr:rowOff>0</xdr:rowOff>
    </xdr:from>
    <xdr:to>
      <xdr:col>37</xdr:col>
      <xdr:colOff>690283</xdr:colOff>
      <xdr:row>803</xdr:row>
      <xdr:rowOff>286871</xdr:rowOff>
    </xdr:to>
    <xdr:sp macro="" textlink="">
      <xdr:nvSpPr>
        <xdr:cNvPr id="46" name="Rectangle: Rounded Corners 45">
          <a:extLst>
            <a:ext uri="{FF2B5EF4-FFF2-40B4-BE49-F238E27FC236}">
              <a16:creationId xmlns:a16="http://schemas.microsoft.com/office/drawing/2014/main" id="{2E1C037A-ADEC-45A5-890E-23BFD9894DAF}"/>
            </a:ext>
          </a:extLst>
        </xdr:cNvPr>
        <xdr:cNvSpPr/>
      </xdr:nvSpPr>
      <xdr:spPr>
        <a:xfrm>
          <a:off x="15695351477" y="1755038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857</xdr:row>
      <xdr:rowOff>0</xdr:rowOff>
    </xdr:from>
    <xdr:to>
      <xdr:col>20</xdr:col>
      <xdr:colOff>690283</xdr:colOff>
      <xdr:row>857</xdr:row>
      <xdr:rowOff>286871</xdr:rowOff>
    </xdr:to>
    <xdr:sp macro="" textlink="">
      <xdr:nvSpPr>
        <xdr:cNvPr id="47" name="Rectangle: Rounded Corners 46">
          <a:extLst>
            <a:ext uri="{FF2B5EF4-FFF2-40B4-BE49-F238E27FC236}">
              <a16:creationId xmlns:a16="http://schemas.microsoft.com/office/drawing/2014/main" id="{92DC82B0-0D4F-43DF-B0EE-BCAD582AE78B}"/>
            </a:ext>
          </a:extLst>
        </xdr:cNvPr>
        <xdr:cNvSpPr/>
      </xdr:nvSpPr>
      <xdr:spPr>
        <a:xfrm>
          <a:off x="15711483017" y="1873758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857</xdr:row>
      <xdr:rowOff>0</xdr:rowOff>
    </xdr:from>
    <xdr:to>
      <xdr:col>37</xdr:col>
      <xdr:colOff>690283</xdr:colOff>
      <xdr:row>857</xdr:row>
      <xdr:rowOff>286871</xdr:rowOff>
    </xdr:to>
    <xdr:sp macro="" textlink="">
      <xdr:nvSpPr>
        <xdr:cNvPr id="48" name="Rectangle: Rounded Corners 47">
          <a:extLst>
            <a:ext uri="{FF2B5EF4-FFF2-40B4-BE49-F238E27FC236}">
              <a16:creationId xmlns:a16="http://schemas.microsoft.com/office/drawing/2014/main" id="{BFFC9844-3E20-43B2-A937-B57869796CE0}"/>
            </a:ext>
          </a:extLst>
        </xdr:cNvPr>
        <xdr:cNvSpPr/>
      </xdr:nvSpPr>
      <xdr:spPr>
        <a:xfrm>
          <a:off x="15695351477" y="1873758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911</xdr:row>
      <xdr:rowOff>0</xdr:rowOff>
    </xdr:from>
    <xdr:to>
      <xdr:col>20</xdr:col>
      <xdr:colOff>690283</xdr:colOff>
      <xdr:row>911</xdr:row>
      <xdr:rowOff>286871</xdr:rowOff>
    </xdr:to>
    <xdr:sp macro="" textlink="">
      <xdr:nvSpPr>
        <xdr:cNvPr id="49" name="Rectangle: Rounded Corners 48">
          <a:extLst>
            <a:ext uri="{FF2B5EF4-FFF2-40B4-BE49-F238E27FC236}">
              <a16:creationId xmlns:a16="http://schemas.microsoft.com/office/drawing/2014/main" id="{8DC62C95-4788-4B85-AE6E-79D116CFD67E}"/>
            </a:ext>
          </a:extLst>
        </xdr:cNvPr>
        <xdr:cNvSpPr/>
      </xdr:nvSpPr>
      <xdr:spPr>
        <a:xfrm>
          <a:off x="15711483017" y="1994611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911</xdr:row>
      <xdr:rowOff>0</xdr:rowOff>
    </xdr:from>
    <xdr:to>
      <xdr:col>37</xdr:col>
      <xdr:colOff>690283</xdr:colOff>
      <xdr:row>911</xdr:row>
      <xdr:rowOff>286871</xdr:rowOff>
    </xdr:to>
    <xdr:sp macro="" textlink="">
      <xdr:nvSpPr>
        <xdr:cNvPr id="51" name="Rectangle: Rounded Corners 50">
          <a:extLst>
            <a:ext uri="{FF2B5EF4-FFF2-40B4-BE49-F238E27FC236}">
              <a16:creationId xmlns:a16="http://schemas.microsoft.com/office/drawing/2014/main" id="{2470AE74-8B7B-4B08-9561-BCFFC078D66C}"/>
            </a:ext>
          </a:extLst>
        </xdr:cNvPr>
        <xdr:cNvSpPr/>
      </xdr:nvSpPr>
      <xdr:spPr>
        <a:xfrm>
          <a:off x="15695351477" y="1994611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20</xdr:col>
      <xdr:colOff>0</xdr:colOff>
      <xdr:row>965</xdr:row>
      <xdr:rowOff>0</xdr:rowOff>
    </xdr:from>
    <xdr:to>
      <xdr:col>20</xdr:col>
      <xdr:colOff>690283</xdr:colOff>
      <xdr:row>965</xdr:row>
      <xdr:rowOff>286871</xdr:rowOff>
    </xdr:to>
    <xdr:sp macro="" textlink="">
      <xdr:nvSpPr>
        <xdr:cNvPr id="52" name="Rectangle: Rounded Corners 51">
          <a:extLst>
            <a:ext uri="{FF2B5EF4-FFF2-40B4-BE49-F238E27FC236}">
              <a16:creationId xmlns:a16="http://schemas.microsoft.com/office/drawing/2014/main" id="{45508E34-E871-42E7-B521-465C216FD937}"/>
            </a:ext>
          </a:extLst>
        </xdr:cNvPr>
        <xdr:cNvSpPr/>
      </xdr:nvSpPr>
      <xdr:spPr>
        <a:xfrm>
          <a:off x="15711483017" y="2111197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965</xdr:row>
      <xdr:rowOff>0</xdr:rowOff>
    </xdr:from>
    <xdr:to>
      <xdr:col>37</xdr:col>
      <xdr:colOff>690283</xdr:colOff>
      <xdr:row>965</xdr:row>
      <xdr:rowOff>286871</xdr:rowOff>
    </xdr:to>
    <xdr:sp macro="" textlink="">
      <xdr:nvSpPr>
        <xdr:cNvPr id="53" name="Rectangle: Rounded Corners 52">
          <a:extLst>
            <a:ext uri="{FF2B5EF4-FFF2-40B4-BE49-F238E27FC236}">
              <a16:creationId xmlns:a16="http://schemas.microsoft.com/office/drawing/2014/main" id="{476AEE89-22D3-45B1-88D4-62BB69EE4946}"/>
            </a:ext>
          </a:extLst>
        </xdr:cNvPr>
        <xdr:cNvSpPr/>
      </xdr:nvSpPr>
      <xdr:spPr>
        <a:xfrm>
          <a:off x="15695351477" y="21111972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14</xdr:col>
      <xdr:colOff>735330</xdr:colOff>
      <xdr:row>271</xdr:row>
      <xdr:rowOff>190500</xdr:rowOff>
    </xdr:from>
    <xdr:to>
      <xdr:col>25</xdr:col>
      <xdr:colOff>461010</xdr:colOff>
      <xdr:row>294</xdr:row>
      <xdr:rowOff>163830</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737C8CA9-53A7-4E60-B44F-837D8FAA948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7451320190" y="59489340"/>
              <a:ext cx="13129260" cy="501777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324</xdr:row>
      <xdr:rowOff>190500</xdr:rowOff>
    </xdr:from>
    <xdr:to>
      <xdr:col>25</xdr:col>
      <xdr:colOff>461010</xdr:colOff>
      <xdr:row>347</xdr:row>
      <xdr:rowOff>163830</xdr:rowOff>
    </xdr:to>
    <mc:AlternateContent xmlns:mc="http://schemas.openxmlformats.org/markup-compatibility/2006">
      <mc:Choice xmlns:cx1="http://schemas.microsoft.com/office/drawing/2015/9/8/chartex" Requires="cx1">
        <xdr:graphicFrame macro="">
          <xdr:nvGraphicFramePr>
            <xdr:cNvPr id="58" name="Chart 57">
              <a:extLst>
                <a:ext uri="{FF2B5EF4-FFF2-40B4-BE49-F238E27FC236}">
                  <a16:creationId xmlns:a16="http://schemas.microsoft.com/office/drawing/2014/main" id="{780A0D06-29DF-4ADB-8E79-0728BB8975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7451320190" y="71071740"/>
              <a:ext cx="13129260" cy="501777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378</xdr:row>
      <xdr:rowOff>47625</xdr:rowOff>
    </xdr:from>
    <xdr:to>
      <xdr:col>25</xdr:col>
      <xdr:colOff>461010</xdr:colOff>
      <xdr:row>401</xdr:row>
      <xdr:rowOff>17145</xdr:rowOff>
    </xdr:to>
    <mc:AlternateContent xmlns:mc="http://schemas.openxmlformats.org/markup-compatibility/2006">
      <mc:Choice xmlns:cx1="http://schemas.microsoft.com/office/drawing/2015/9/8/chartex" Requires="cx1">
        <xdr:graphicFrame macro="">
          <xdr:nvGraphicFramePr>
            <xdr:cNvPr id="62" name="Chart 61">
              <a:extLst>
                <a:ext uri="{FF2B5EF4-FFF2-40B4-BE49-F238E27FC236}">
                  <a16:creationId xmlns:a16="http://schemas.microsoft.com/office/drawing/2014/main" id="{0C88526E-D652-4F6A-A5CC-E4CACCC9685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7451320190" y="8272462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477</xdr:row>
      <xdr:rowOff>211455</xdr:rowOff>
    </xdr:from>
    <xdr:to>
      <xdr:col>25</xdr:col>
      <xdr:colOff>461010</xdr:colOff>
      <xdr:row>500</xdr:row>
      <xdr:rowOff>180975</xdr:rowOff>
    </xdr:to>
    <mc:AlternateContent xmlns:mc="http://schemas.openxmlformats.org/markup-compatibility/2006">
      <mc:Choice xmlns:cx1="http://schemas.microsoft.com/office/drawing/2015/9/8/chartex" Requires="cx1">
        <xdr:graphicFrame macro="">
          <xdr:nvGraphicFramePr>
            <xdr:cNvPr id="67" name="Chart 66">
              <a:extLst>
                <a:ext uri="{FF2B5EF4-FFF2-40B4-BE49-F238E27FC236}">
                  <a16:creationId xmlns:a16="http://schemas.microsoft.com/office/drawing/2014/main" id="{76DC0DDE-4CC1-4430-84A3-6E737DDB7A1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3"/>
            </a:graphicData>
          </a:graphic>
        </xdr:graphicFrame>
      </mc:Choice>
      <mc:Fallback>
        <xdr:sp macro="" textlink="">
          <xdr:nvSpPr>
            <xdr:cNvPr id="0" name=""/>
            <xdr:cNvSpPr>
              <a:spLocks noTextEdit="1"/>
            </xdr:cNvSpPr>
          </xdr:nvSpPr>
          <xdr:spPr>
            <a:xfrm>
              <a:off x="17451320190" y="10455973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531</xdr:row>
      <xdr:rowOff>19050</xdr:rowOff>
    </xdr:from>
    <xdr:to>
      <xdr:col>25</xdr:col>
      <xdr:colOff>461010</xdr:colOff>
      <xdr:row>553</xdr:row>
      <xdr:rowOff>201930</xdr:rowOff>
    </xdr:to>
    <mc:AlternateContent xmlns:mc="http://schemas.openxmlformats.org/markup-compatibility/2006">
      <mc:Choice xmlns:cx1="http://schemas.microsoft.com/office/drawing/2015/9/8/chartex" Requires="cx1">
        <xdr:graphicFrame macro="">
          <xdr:nvGraphicFramePr>
            <xdr:cNvPr id="71" name="Chart 70">
              <a:extLst>
                <a:ext uri="{FF2B5EF4-FFF2-40B4-BE49-F238E27FC236}">
                  <a16:creationId xmlns:a16="http://schemas.microsoft.com/office/drawing/2014/main" id="{620AEB25-3493-4C65-A61D-1507C6B90B6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7451320190" y="116163090"/>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584</xdr:row>
      <xdr:rowOff>201930</xdr:rowOff>
    </xdr:from>
    <xdr:to>
      <xdr:col>25</xdr:col>
      <xdr:colOff>461010</xdr:colOff>
      <xdr:row>607</xdr:row>
      <xdr:rowOff>171450</xdr:rowOff>
    </xdr:to>
    <mc:AlternateContent xmlns:mc="http://schemas.openxmlformats.org/markup-compatibility/2006">
      <mc:Choice xmlns:cx1="http://schemas.microsoft.com/office/drawing/2015/9/8/chartex" Requires="cx1">
        <xdr:graphicFrame macro="">
          <xdr:nvGraphicFramePr>
            <xdr:cNvPr id="75" name="Chart 74">
              <a:extLst>
                <a:ext uri="{FF2B5EF4-FFF2-40B4-BE49-F238E27FC236}">
                  <a16:creationId xmlns:a16="http://schemas.microsoft.com/office/drawing/2014/main" id="{DCE08B01-FB35-41E3-AD18-7113D8AB65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17451320190" y="127928370"/>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639</xdr:row>
      <xdr:rowOff>9525</xdr:rowOff>
    </xdr:from>
    <xdr:to>
      <xdr:col>25</xdr:col>
      <xdr:colOff>461010</xdr:colOff>
      <xdr:row>661</xdr:row>
      <xdr:rowOff>192405</xdr:rowOff>
    </xdr:to>
    <mc:AlternateContent xmlns:mc="http://schemas.openxmlformats.org/markup-compatibility/2006">
      <mc:Choice xmlns:cx1="http://schemas.microsoft.com/office/drawing/2015/9/8/chartex" Requires="cx1">
        <xdr:graphicFrame macro="">
          <xdr:nvGraphicFramePr>
            <xdr:cNvPr id="86" name="Chart 85">
              <a:extLst>
                <a:ext uri="{FF2B5EF4-FFF2-40B4-BE49-F238E27FC236}">
                  <a16:creationId xmlns:a16="http://schemas.microsoft.com/office/drawing/2014/main" id="{027B19E2-07EF-4659-9EE9-EA5D16F992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7451320190" y="13974508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753</xdr:row>
      <xdr:rowOff>9525</xdr:rowOff>
    </xdr:from>
    <xdr:to>
      <xdr:col>25</xdr:col>
      <xdr:colOff>461010</xdr:colOff>
      <xdr:row>775</xdr:row>
      <xdr:rowOff>192405</xdr:rowOff>
    </xdr:to>
    <mc:AlternateContent xmlns:mc="http://schemas.openxmlformats.org/markup-compatibility/2006">
      <mc:Choice xmlns:cx1="http://schemas.microsoft.com/office/drawing/2015/9/8/chartex" Requires="cx1">
        <xdr:graphicFrame macro="">
          <xdr:nvGraphicFramePr>
            <xdr:cNvPr id="95" name="Chart 94">
              <a:extLst>
                <a:ext uri="{FF2B5EF4-FFF2-40B4-BE49-F238E27FC236}">
                  <a16:creationId xmlns:a16="http://schemas.microsoft.com/office/drawing/2014/main" id="{39A59964-9675-4376-9297-9ADDA10613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7451320190" y="16461676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806</xdr:row>
      <xdr:rowOff>9525</xdr:rowOff>
    </xdr:from>
    <xdr:to>
      <xdr:col>25</xdr:col>
      <xdr:colOff>461010</xdr:colOff>
      <xdr:row>828</xdr:row>
      <xdr:rowOff>192405</xdr:rowOff>
    </xdr:to>
    <mc:AlternateContent xmlns:mc="http://schemas.openxmlformats.org/markup-compatibility/2006">
      <mc:Choice xmlns:cx1="http://schemas.microsoft.com/office/drawing/2015/9/8/chartex" Requires="cx1">
        <xdr:graphicFrame macro="">
          <xdr:nvGraphicFramePr>
            <xdr:cNvPr id="99" name="Chart 98">
              <a:extLst>
                <a:ext uri="{FF2B5EF4-FFF2-40B4-BE49-F238E27FC236}">
                  <a16:creationId xmlns:a16="http://schemas.microsoft.com/office/drawing/2014/main" id="{054F66DC-8FFE-46E7-9B78-86E392CCE7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8"/>
            </a:graphicData>
          </a:graphic>
        </xdr:graphicFrame>
      </mc:Choice>
      <mc:Fallback>
        <xdr:sp macro="" textlink="">
          <xdr:nvSpPr>
            <xdr:cNvPr id="0" name=""/>
            <xdr:cNvSpPr>
              <a:spLocks noTextEdit="1"/>
            </xdr:cNvSpPr>
          </xdr:nvSpPr>
          <xdr:spPr>
            <a:xfrm>
              <a:off x="17451320190" y="17619916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860</xdr:row>
      <xdr:rowOff>19050</xdr:rowOff>
    </xdr:from>
    <xdr:to>
      <xdr:col>25</xdr:col>
      <xdr:colOff>461010</xdr:colOff>
      <xdr:row>882</xdr:row>
      <xdr:rowOff>201930</xdr:rowOff>
    </xdr:to>
    <mc:AlternateContent xmlns:mc="http://schemas.openxmlformats.org/markup-compatibility/2006">
      <mc:Choice xmlns:cx1="http://schemas.microsoft.com/office/drawing/2015/9/8/chartex" Requires="cx1">
        <xdr:graphicFrame macro="">
          <xdr:nvGraphicFramePr>
            <xdr:cNvPr id="103" name="Chart 102">
              <a:extLst>
                <a:ext uri="{FF2B5EF4-FFF2-40B4-BE49-F238E27FC236}">
                  <a16:creationId xmlns:a16="http://schemas.microsoft.com/office/drawing/2014/main" id="{9394597E-F331-4741-A8D5-EE670404271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7451320190" y="188004450"/>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914</xdr:row>
      <xdr:rowOff>28575</xdr:rowOff>
    </xdr:from>
    <xdr:to>
      <xdr:col>25</xdr:col>
      <xdr:colOff>461010</xdr:colOff>
      <xdr:row>936</xdr:row>
      <xdr:rowOff>211455</xdr:rowOff>
    </xdr:to>
    <mc:AlternateContent xmlns:mc="http://schemas.openxmlformats.org/markup-compatibility/2006">
      <mc:Choice xmlns:cx1="http://schemas.microsoft.com/office/drawing/2015/9/8/chartex" Requires="cx1">
        <xdr:graphicFrame macro="">
          <xdr:nvGraphicFramePr>
            <xdr:cNvPr id="107" name="Chart 106">
              <a:extLst>
                <a:ext uri="{FF2B5EF4-FFF2-40B4-BE49-F238E27FC236}">
                  <a16:creationId xmlns:a16="http://schemas.microsoft.com/office/drawing/2014/main" id="{F4D205D0-DFB3-4D0D-82C8-799830B3955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7451320190" y="19980973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968</xdr:row>
      <xdr:rowOff>9525</xdr:rowOff>
    </xdr:from>
    <xdr:to>
      <xdr:col>25</xdr:col>
      <xdr:colOff>461010</xdr:colOff>
      <xdr:row>990</xdr:row>
      <xdr:rowOff>192405</xdr:rowOff>
    </xdr:to>
    <mc:AlternateContent xmlns:mc="http://schemas.openxmlformats.org/markup-compatibility/2006">
      <mc:Choice xmlns:cx1="http://schemas.microsoft.com/office/drawing/2015/9/8/chartex" Requires="cx1">
        <xdr:graphicFrame macro="">
          <xdr:nvGraphicFramePr>
            <xdr:cNvPr id="111" name="Chart 110">
              <a:extLst>
                <a:ext uri="{FF2B5EF4-FFF2-40B4-BE49-F238E27FC236}">
                  <a16:creationId xmlns:a16="http://schemas.microsoft.com/office/drawing/2014/main" id="{47B5E014-6F09-485C-AB71-B71727E5D39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7451320190" y="211586445"/>
              <a:ext cx="13129260" cy="501396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0</xdr:colOff>
      <xdr:row>151</xdr:row>
      <xdr:rowOff>0</xdr:rowOff>
    </xdr:from>
    <xdr:to>
      <xdr:col>20</xdr:col>
      <xdr:colOff>690283</xdr:colOff>
      <xdr:row>151</xdr:row>
      <xdr:rowOff>286871</xdr:rowOff>
    </xdr:to>
    <xdr:sp macro="" textlink="">
      <xdr:nvSpPr>
        <xdr:cNvPr id="129" name="Rectangle: Rounded Corners 128">
          <a:extLst>
            <a:ext uri="{FF2B5EF4-FFF2-40B4-BE49-F238E27FC236}">
              <a16:creationId xmlns:a16="http://schemas.microsoft.com/office/drawing/2014/main" id="{07058351-3453-4254-A2E5-86B87DFF8656}"/>
            </a:ext>
          </a:extLst>
        </xdr:cNvPr>
        <xdr:cNvSpPr/>
      </xdr:nvSpPr>
      <xdr:spPr>
        <a:xfrm>
          <a:off x="15711483017" y="332384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151</xdr:row>
      <xdr:rowOff>0</xdr:rowOff>
    </xdr:from>
    <xdr:to>
      <xdr:col>37</xdr:col>
      <xdr:colOff>690283</xdr:colOff>
      <xdr:row>151</xdr:row>
      <xdr:rowOff>286871</xdr:rowOff>
    </xdr:to>
    <xdr:sp macro="" textlink="">
      <xdr:nvSpPr>
        <xdr:cNvPr id="132" name="Rectangle: Rounded Corners 131">
          <a:extLst>
            <a:ext uri="{FF2B5EF4-FFF2-40B4-BE49-F238E27FC236}">
              <a16:creationId xmlns:a16="http://schemas.microsoft.com/office/drawing/2014/main" id="{7CD737FF-4E59-4DCB-B5D3-025F615BFFFC}"/>
            </a:ext>
          </a:extLst>
        </xdr:cNvPr>
        <xdr:cNvSpPr/>
      </xdr:nvSpPr>
      <xdr:spPr>
        <a:xfrm>
          <a:off x="15695351477" y="3323844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14</xdr:col>
      <xdr:colOff>735330</xdr:colOff>
      <xdr:row>154</xdr:row>
      <xdr:rowOff>257175</xdr:rowOff>
    </xdr:from>
    <xdr:to>
      <xdr:col>25</xdr:col>
      <xdr:colOff>461010</xdr:colOff>
      <xdr:row>178</xdr:row>
      <xdr:rowOff>36195</xdr:rowOff>
    </xdr:to>
    <mc:AlternateContent xmlns:mc="http://schemas.openxmlformats.org/markup-compatibility/2006">
      <mc:Choice xmlns:cx1="http://schemas.microsoft.com/office/drawing/2015/9/8/chartex" Requires="cx1">
        <xdr:graphicFrame macro="">
          <xdr:nvGraphicFramePr>
            <xdr:cNvPr id="133" name="Chart 132">
              <a:extLst>
                <a:ext uri="{FF2B5EF4-FFF2-40B4-BE49-F238E27FC236}">
                  <a16:creationId xmlns:a16="http://schemas.microsoft.com/office/drawing/2014/main" id="{0653DC91-C065-4CF2-88E4-D8A8890DC5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2"/>
            </a:graphicData>
          </a:graphic>
        </xdr:graphicFrame>
      </mc:Choice>
      <mc:Fallback>
        <xdr:sp macro="" textlink="">
          <xdr:nvSpPr>
            <xdr:cNvPr id="0" name=""/>
            <xdr:cNvSpPr>
              <a:spLocks noTextEdit="1"/>
            </xdr:cNvSpPr>
          </xdr:nvSpPr>
          <xdr:spPr>
            <a:xfrm>
              <a:off x="17451320190" y="33907095"/>
              <a:ext cx="13129260" cy="503682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849630</xdr:colOff>
      <xdr:row>154</xdr:row>
      <xdr:rowOff>266700</xdr:rowOff>
    </xdr:from>
    <xdr:to>
      <xdr:col>38</xdr:col>
      <xdr:colOff>57150</xdr:colOff>
      <xdr:row>178</xdr:row>
      <xdr:rowOff>26670</xdr:rowOff>
    </xdr:to>
    <xdr:graphicFrame macro="">
      <xdr:nvGraphicFramePr>
        <xdr:cNvPr id="135" name="Chart 134">
          <a:extLst>
            <a:ext uri="{FF2B5EF4-FFF2-40B4-BE49-F238E27FC236}">
              <a16:creationId xmlns:a16="http://schemas.microsoft.com/office/drawing/2014/main" id="{33B3AD71-9D64-41F2-BFFC-E0BC7A15D6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xdr:col>
      <xdr:colOff>0</xdr:colOff>
      <xdr:row>1018</xdr:row>
      <xdr:rowOff>0</xdr:rowOff>
    </xdr:from>
    <xdr:to>
      <xdr:col>20</xdr:col>
      <xdr:colOff>690283</xdr:colOff>
      <xdr:row>1018</xdr:row>
      <xdr:rowOff>286871</xdr:rowOff>
    </xdr:to>
    <xdr:sp macro="" textlink="">
      <xdr:nvSpPr>
        <xdr:cNvPr id="138" name="Rectangle: Rounded Corners 137">
          <a:extLst>
            <a:ext uri="{FF2B5EF4-FFF2-40B4-BE49-F238E27FC236}">
              <a16:creationId xmlns:a16="http://schemas.microsoft.com/office/drawing/2014/main" id="{880E2839-6DE8-46FD-AA60-274C9D04BDA9}"/>
            </a:ext>
          </a:extLst>
        </xdr:cNvPr>
        <xdr:cNvSpPr/>
      </xdr:nvSpPr>
      <xdr:spPr>
        <a:xfrm>
          <a:off x="15711483017" y="2553462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37</xdr:col>
      <xdr:colOff>0</xdr:colOff>
      <xdr:row>1018</xdr:row>
      <xdr:rowOff>0</xdr:rowOff>
    </xdr:from>
    <xdr:to>
      <xdr:col>37</xdr:col>
      <xdr:colOff>690283</xdr:colOff>
      <xdr:row>1018</xdr:row>
      <xdr:rowOff>286871</xdr:rowOff>
    </xdr:to>
    <xdr:sp macro="" textlink="">
      <xdr:nvSpPr>
        <xdr:cNvPr id="139" name="Rectangle: Rounded Corners 138">
          <a:extLst>
            <a:ext uri="{FF2B5EF4-FFF2-40B4-BE49-F238E27FC236}">
              <a16:creationId xmlns:a16="http://schemas.microsoft.com/office/drawing/2014/main" id="{357003A8-B73B-472B-B456-99F4633762DE}"/>
            </a:ext>
          </a:extLst>
        </xdr:cNvPr>
        <xdr:cNvSpPr/>
      </xdr:nvSpPr>
      <xdr:spPr>
        <a:xfrm>
          <a:off x="15695351477" y="2553462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25</xdr:col>
      <xdr:colOff>849630</xdr:colOff>
      <xdr:row>101</xdr:row>
      <xdr:rowOff>9525</xdr:rowOff>
    </xdr:from>
    <xdr:to>
      <xdr:col>38</xdr:col>
      <xdr:colOff>57150</xdr:colOff>
      <xdr:row>124</xdr:row>
      <xdr:rowOff>131445</xdr:rowOff>
    </xdr:to>
    <xdr:graphicFrame macro="">
      <xdr:nvGraphicFramePr>
        <xdr:cNvPr id="141" name="Chart 140">
          <a:extLst>
            <a:ext uri="{FF2B5EF4-FFF2-40B4-BE49-F238E27FC236}">
              <a16:creationId xmlns:a16="http://schemas.microsoft.com/office/drawing/2014/main" id="{FD57E640-E8AF-4747-B2BD-0EB9A58FF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25</xdr:col>
      <xdr:colOff>849630</xdr:colOff>
      <xdr:row>271</xdr:row>
      <xdr:rowOff>192405</xdr:rowOff>
    </xdr:from>
    <xdr:to>
      <xdr:col>38</xdr:col>
      <xdr:colOff>57150</xdr:colOff>
      <xdr:row>294</xdr:row>
      <xdr:rowOff>161925</xdr:rowOff>
    </xdr:to>
    <xdr:graphicFrame macro="">
      <xdr:nvGraphicFramePr>
        <xdr:cNvPr id="142" name="Chart 141">
          <a:extLst>
            <a:ext uri="{FF2B5EF4-FFF2-40B4-BE49-F238E27FC236}">
              <a16:creationId xmlns:a16="http://schemas.microsoft.com/office/drawing/2014/main" id="{643774A1-FAA3-4F1C-864F-68172E3B5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25</xdr:col>
      <xdr:colOff>849630</xdr:colOff>
      <xdr:row>324</xdr:row>
      <xdr:rowOff>192405</xdr:rowOff>
    </xdr:from>
    <xdr:to>
      <xdr:col>38</xdr:col>
      <xdr:colOff>57150</xdr:colOff>
      <xdr:row>347</xdr:row>
      <xdr:rowOff>161925</xdr:rowOff>
    </xdr:to>
    <xdr:graphicFrame macro="">
      <xdr:nvGraphicFramePr>
        <xdr:cNvPr id="143" name="Chart 142">
          <a:extLst>
            <a:ext uri="{FF2B5EF4-FFF2-40B4-BE49-F238E27FC236}">
              <a16:creationId xmlns:a16="http://schemas.microsoft.com/office/drawing/2014/main" id="{7CDB3CB4-D04D-457B-9C55-45FB12C57A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25</xdr:col>
      <xdr:colOff>849630</xdr:colOff>
      <xdr:row>378</xdr:row>
      <xdr:rowOff>47625</xdr:rowOff>
    </xdr:from>
    <xdr:to>
      <xdr:col>38</xdr:col>
      <xdr:colOff>57150</xdr:colOff>
      <xdr:row>401</xdr:row>
      <xdr:rowOff>17145</xdr:rowOff>
    </xdr:to>
    <xdr:graphicFrame macro="">
      <xdr:nvGraphicFramePr>
        <xdr:cNvPr id="144" name="Chart 143">
          <a:extLst>
            <a:ext uri="{FF2B5EF4-FFF2-40B4-BE49-F238E27FC236}">
              <a16:creationId xmlns:a16="http://schemas.microsoft.com/office/drawing/2014/main" id="{A4FA9AD2-821D-458A-9906-E61B790FA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25</xdr:col>
      <xdr:colOff>849630</xdr:colOff>
      <xdr:row>477</xdr:row>
      <xdr:rowOff>211455</xdr:rowOff>
    </xdr:from>
    <xdr:to>
      <xdr:col>38</xdr:col>
      <xdr:colOff>57150</xdr:colOff>
      <xdr:row>500</xdr:row>
      <xdr:rowOff>180975</xdr:rowOff>
    </xdr:to>
    <xdr:graphicFrame macro="">
      <xdr:nvGraphicFramePr>
        <xdr:cNvPr id="145" name="Chart 144">
          <a:extLst>
            <a:ext uri="{FF2B5EF4-FFF2-40B4-BE49-F238E27FC236}">
              <a16:creationId xmlns:a16="http://schemas.microsoft.com/office/drawing/2014/main" id="{5542DA8B-E22E-47D9-A60A-D1A447BBEF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25</xdr:col>
      <xdr:colOff>849630</xdr:colOff>
      <xdr:row>531</xdr:row>
      <xdr:rowOff>19050</xdr:rowOff>
    </xdr:from>
    <xdr:to>
      <xdr:col>38</xdr:col>
      <xdr:colOff>57150</xdr:colOff>
      <xdr:row>553</xdr:row>
      <xdr:rowOff>201930</xdr:rowOff>
    </xdr:to>
    <xdr:graphicFrame macro="">
      <xdr:nvGraphicFramePr>
        <xdr:cNvPr id="146" name="Chart 145">
          <a:extLst>
            <a:ext uri="{FF2B5EF4-FFF2-40B4-BE49-F238E27FC236}">
              <a16:creationId xmlns:a16="http://schemas.microsoft.com/office/drawing/2014/main" id="{F60449C4-4297-4EB8-9BE0-D46CF89A96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25</xdr:col>
      <xdr:colOff>849630</xdr:colOff>
      <xdr:row>584</xdr:row>
      <xdr:rowOff>201930</xdr:rowOff>
    </xdr:from>
    <xdr:to>
      <xdr:col>38</xdr:col>
      <xdr:colOff>57150</xdr:colOff>
      <xdr:row>607</xdr:row>
      <xdr:rowOff>171450</xdr:rowOff>
    </xdr:to>
    <xdr:graphicFrame macro="">
      <xdr:nvGraphicFramePr>
        <xdr:cNvPr id="147" name="Chart 146">
          <a:extLst>
            <a:ext uri="{FF2B5EF4-FFF2-40B4-BE49-F238E27FC236}">
              <a16:creationId xmlns:a16="http://schemas.microsoft.com/office/drawing/2014/main" id="{5E037717-6561-4E45-A1DC-0708D30760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25</xdr:col>
      <xdr:colOff>849630</xdr:colOff>
      <xdr:row>639</xdr:row>
      <xdr:rowOff>9525</xdr:rowOff>
    </xdr:from>
    <xdr:to>
      <xdr:col>38</xdr:col>
      <xdr:colOff>57150</xdr:colOff>
      <xdr:row>661</xdr:row>
      <xdr:rowOff>192405</xdr:rowOff>
    </xdr:to>
    <xdr:graphicFrame macro="">
      <xdr:nvGraphicFramePr>
        <xdr:cNvPr id="148" name="Chart 147">
          <a:extLst>
            <a:ext uri="{FF2B5EF4-FFF2-40B4-BE49-F238E27FC236}">
              <a16:creationId xmlns:a16="http://schemas.microsoft.com/office/drawing/2014/main" id="{5F717932-D42E-4C4E-88E8-12950B792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25</xdr:col>
      <xdr:colOff>849630</xdr:colOff>
      <xdr:row>753</xdr:row>
      <xdr:rowOff>9525</xdr:rowOff>
    </xdr:from>
    <xdr:to>
      <xdr:col>38</xdr:col>
      <xdr:colOff>57150</xdr:colOff>
      <xdr:row>775</xdr:row>
      <xdr:rowOff>192405</xdr:rowOff>
    </xdr:to>
    <xdr:graphicFrame macro="">
      <xdr:nvGraphicFramePr>
        <xdr:cNvPr id="149" name="Chart 148">
          <a:extLst>
            <a:ext uri="{FF2B5EF4-FFF2-40B4-BE49-F238E27FC236}">
              <a16:creationId xmlns:a16="http://schemas.microsoft.com/office/drawing/2014/main" id="{81C44EE2-E3DC-4C13-8D5C-0B61213B07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25</xdr:col>
      <xdr:colOff>849630</xdr:colOff>
      <xdr:row>806</xdr:row>
      <xdr:rowOff>9525</xdr:rowOff>
    </xdr:from>
    <xdr:to>
      <xdr:col>38</xdr:col>
      <xdr:colOff>57150</xdr:colOff>
      <xdr:row>828</xdr:row>
      <xdr:rowOff>192405</xdr:rowOff>
    </xdr:to>
    <xdr:graphicFrame macro="">
      <xdr:nvGraphicFramePr>
        <xdr:cNvPr id="150" name="Chart 149">
          <a:extLst>
            <a:ext uri="{FF2B5EF4-FFF2-40B4-BE49-F238E27FC236}">
              <a16:creationId xmlns:a16="http://schemas.microsoft.com/office/drawing/2014/main" id="{03633867-E298-480D-8D52-7D95F6FDE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xdr:from>
      <xdr:col>25</xdr:col>
      <xdr:colOff>849630</xdr:colOff>
      <xdr:row>860</xdr:row>
      <xdr:rowOff>19050</xdr:rowOff>
    </xdr:from>
    <xdr:to>
      <xdr:col>38</xdr:col>
      <xdr:colOff>57150</xdr:colOff>
      <xdr:row>882</xdr:row>
      <xdr:rowOff>201930</xdr:rowOff>
    </xdr:to>
    <xdr:graphicFrame macro="">
      <xdr:nvGraphicFramePr>
        <xdr:cNvPr id="151" name="Chart 150">
          <a:extLst>
            <a:ext uri="{FF2B5EF4-FFF2-40B4-BE49-F238E27FC236}">
              <a16:creationId xmlns:a16="http://schemas.microsoft.com/office/drawing/2014/main" id="{6A216F9D-A6D5-4628-889E-D38803004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4"/>
        </a:graphicData>
      </a:graphic>
    </xdr:graphicFrame>
    <xdr:clientData/>
  </xdr:twoCellAnchor>
  <xdr:twoCellAnchor>
    <xdr:from>
      <xdr:col>25</xdr:col>
      <xdr:colOff>849630</xdr:colOff>
      <xdr:row>914</xdr:row>
      <xdr:rowOff>28575</xdr:rowOff>
    </xdr:from>
    <xdr:to>
      <xdr:col>38</xdr:col>
      <xdr:colOff>57150</xdr:colOff>
      <xdr:row>936</xdr:row>
      <xdr:rowOff>211455</xdr:rowOff>
    </xdr:to>
    <xdr:graphicFrame macro="">
      <xdr:nvGraphicFramePr>
        <xdr:cNvPr id="152" name="Chart 151">
          <a:extLst>
            <a:ext uri="{FF2B5EF4-FFF2-40B4-BE49-F238E27FC236}">
              <a16:creationId xmlns:a16="http://schemas.microsoft.com/office/drawing/2014/main" id="{FD47F3E0-0E20-4162-AA86-B2D836D5CE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5"/>
        </a:graphicData>
      </a:graphic>
    </xdr:graphicFrame>
    <xdr:clientData/>
  </xdr:twoCellAnchor>
  <xdr:twoCellAnchor>
    <xdr:from>
      <xdr:col>25</xdr:col>
      <xdr:colOff>849630</xdr:colOff>
      <xdr:row>968</xdr:row>
      <xdr:rowOff>9525</xdr:rowOff>
    </xdr:from>
    <xdr:to>
      <xdr:col>38</xdr:col>
      <xdr:colOff>57150</xdr:colOff>
      <xdr:row>990</xdr:row>
      <xdr:rowOff>192405</xdr:rowOff>
    </xdr:to>
    <xdr:graphicFrame macro="">
      <xdr:nvGraphicFramePr>
        <xdr:cNvPr id="153" name="Chart 152">
          <a:extLst>
            <a:ext uri="{FF2B5EF4-FFF2-40B4-BE49-F238E27FC236}">
              <a16:creationId xmlns:a16="http://schemas.microsoft.com/office/drawing/2014/main" id="{C9568E05-D2CD-4FBF-AF0D-8D45FD3B6B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6"/>
        </a:graphicData>
      </a:graphic>
    </xdr:graphicFrame>
    <xdr:clientData/>
  </xdr:twoCellAnchor>
  <xdr:twoCellAnchor>
    <xdr:from>
      <xdr:col>14</xdr:col>
      <xdr:colOff>735330</xdr:colOff>
      <xdr:row>126</xdr:row>
      <xdr:rowOff>123825</xdr:rowOff>
    </xdr:from>
    <xdr:to>
      <xdr:col>25</xdr:col>
      <xdr:colOff>461010</xdr:colOff>
      <xdr:row>150</xdr:row>
      <xdr:rowOff>32385</xdr:rowOff>
    </xdr:to>
    <mc:AlternateContent xmlns:mc="http://schemas.openxmlformats.org/markup-compatibility/2006">
      <mc:Choice xmlns:cx1="http://schemas.microsoft.com/office/drawing/2015/9/8/chartex" Requires="cx1">
        <xdr:graphicFrame macro="">
          <xdr:nvGraphicFramePr>
            <xdr:cNvPr id="154" name="Chart 153">
              <a:extLst>
                <a:ext uri="{FF2B5EF4-FFF2-40B4-BE49-F238E27FC236}">
                  <a16:creationId xmlns:a16="http://schemas.microsoft.com/office/drawing/2014/main" id="{B172361F-1709-4DFF-A4F2-34ABE2C9519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7"/>
            </a:graphicData>
          </a:graphic>
        </xdr:graphicFrame>
      </mc:Choice>
      <mc:Fallback>
        <xdr:sp macro="" textlink="">
          <xdr:nvSpPr>
            <xdr:cNvPr id="0" name=""/>
            <xdr:cNvSpPr>
              <a:spLocks noTextEdit="1"/>
            </xdr:cNvSpPr>
          </xdr:nvSpPr>
          <xdr:spPr>
            <a:xfrm>
              <a:off x="17451320190" y="27662505"/>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179</xdr:row>
      <xdr:rowOff>190500</xdr:rowOff>
    </xdr:from>
    <xdr:to>
      <xdr:col>25</xdr:col>
      <xdr:colOff>461010</xdr:colOff>
      <xdr:row>203</xdr:row>
      <xdr:rowOff>102870</xdr:rowOff>
    </xdr:to>
    <mc:AlternateContent xmlns:mc="http://schemas.openxmlformats.org/markup-compatibility/2006">
      <mc:Choice xmlns:cx1="http://schemas.microsoft.com/office/drawing/2015/9/8/chartex" Requires="cx1">
        <xdr:graphicFrame macro="">
          <xdr:nvGraphicFramePr>
            <xdr:cNvPr id="155" name="Chart 154">
              <a:extLst>
                <a:ext uri="{FF2B5EF4-FFF2-40B4-BE49-F238E27FC236}">
                  <a16:creationId xmlns:a16="http://schemas.microsoft.com/office/drawing/2014/main" id="{17093364-CBC5-4602-A553-82B033606A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8"/>
            </a:graphicData>
          </a:graphic>
        </xdr:graphicFrame>
      </mc:Choice>
      <mc:Fallback>
        <xdr:sp macro="" textlink="">
          <xdr:nvSpPr>
            <xdr:cNvPr id="0" name=""/>
            <xdr:cNvSpPr>
              <a:spLocks noTextEdit="1"/>
            </xdr:cNvSpPr>
          </xdr:nvSpPr>
          <xdr:spPr>
            <a:xfrm>
              <a:off x="17451320190" y="39311580"/>
              <a:ext cx="13129260" cy="503301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296</xdr:row>
      <xdr:rowOff>83820</xdr:rowOff>
    </xdr:from>
    <xdr:to>
      <xdr:col>25</xdr:col>
      <xdr:colOff>461010</xdr:colOff>
      <xdr:row>319</xdr:row>
      <xdr:rowOff>205740</xdr:rowOff>
    </xdr:to>
    <mc:AlternateContent xmlns:mc="http://schemas.openxmlformats.org/markup-compatibility/2006">
      <mc:Choice xmlns:cx1="http://schemas.microsoft.com/office/drawing/2015/9/8/chartex" Requires="cx1">
        <xdr:graphicFrame macro="">
          <xdr:nvGraphicFramePr>
            <xdr:cNvPr id="156" name="Chart 155">
              <a:extLst>
                <a:ext uri="{FF2B5EF4-FFF2-40B4-BE49-F238E27FC236}">
                  <a16:creationId xmlns:a16="http://schemas.microsoft.com/office/drawing/2014/main" id="{21B7FF84-12C7-4681-AD3C-208F3260626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9"/>
            </a:graphicData>
          </a:graphic>
        </xdr:graphicFrame>
      </mc:Choice>
      <mc:Fallback>
        <xdr:sp macro="" textlink="">
          <xdr:nvSpPr>
            <xdr:cNvPr id="0" name=""/>
            <xdr:cNvSpPr>
              <a:spLocks noTextEdit="1"/>
            </xdr:cNvSpPr>
          </xdr:nvSpPr>
          <xdr:spPr>
            <a:xfrm>
              <a:off x="17451320190" y="6485382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350</xdr:row>
      <xdr:rowOff>83820</xdr:rowOff>
    </xdr:from>
    <xdr:to>
      <xdr:col>25</xdr:col>
      <xdr:colOff>461010</xdr:colOff>
      <xdr:row>373</xdr:row>
      <xdr:rowOff>205740</xdr:rowOff>
    </xdr:to>
    <mc:AlternateContent xmlns:mc="http://schemas.openxmlformats.org/markup-compatibility/2006">
      <mc:Choice xmlns:cx1="http://schemas.microsoft.com/office/drawing/2015/9/8/chartex" Requires="cx1">
        <xdr:graphicFrame macro="">
          <xdr:nvGraphicFramePr>
            <xdr:cNvPr id="157" name="Chart 156">
              <a:extLst>
                <a:ext uri="{FF2B5EF4-FFF2-40B4-BE49-F238E27FC236}">
                  <a16:creationId xmlns:a16="http://schemas.microsoft.com/office/drawing/2014/main" id="{B6F420D3-51EA-4C1B-ACEC-BA41D253EA1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0"/>
            </a:graphicData>
          </a:graphic>
        </xdr:graphicFrame>
      </mc:Choice>
      <mc:Fallback>
        <xdr:sp macro="" textlink="">
          <xdr:nvSpPr>
            <xdr:cNvPr id="0" name=""/>
            <xdr:cNvSpPr>
              <a:spLocks noTextEdit="1"/>
            </xdr:cNvSpPr>
          </xdr:nvSpPr>
          <xdr:spPr>
            <a:xfrm>
              <a:off x="17451320190" y="7664958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402</xdr:row>
      <xdr:rowOff>163830</xdr:rowOff>
    </xdr:from>
    <xdr:to>
      <xdr:col>25</xdr:col>
      <xdr:colOff>461010</xdr:colOff>
      <xdr:row>426</xdr:row>
      <xdr:rowOff>72390</xdr:rowOff>
    </xdr:to>
    <mc:AlternateContent xmlns:mc="http://schemas.openxmlformats.org/markup-compatibility/2006">
      <mc:Choice xmlns:cx1="http://schemas.microsoft.com/office/drawing/2015/9/8/chartex" Requires="cx1">
        <xdr:graphicFrame macro="">
          <xdr:nvGraphicFramePr>
            <xdr:cNvPr id="158" name="Chart 157">
              <a:extLst>
                <a:ext uri="{FF2B5EF4-FFF2-40B4-BE49-F238E27FC236}">
                  <a16:creationId xmlns:a16="http://schemas.microsoft.com/office/drawing/2014/main" id="{F9E1AE94-468D-4BAB-975B-7B2434FD235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1"/>
            </a:graphicData>
          </a:graphic>
        </xdr:graphicFrame>
      </mc:Choice>
      <mc:Fallback>
        <xdr:sp macro="" textlink="">
          <xdr:nvSpPr>
            <xdr:cNvPr id="0" name=""/>
            <xdr:cNvSpPr>
              <a:spLocks noTextEdit="1"/>
            </xdr:cNvSpPr>
          </xdr:nvSpPr>
          <xdr:spPr>
            <a:xfrm>
              <a:off x="17451320190" y="8809863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503</xdr:row>
      <xdr:rowOff>38100</xdr:rowOff>
    </xdr:from>
    <xdr:to>
      <xdr:col>25</xdr:col>
      <xdr:colOff>461010</xdr:colOff>
      <xdr:row>526</xdr:row>
      <xdr:rowOff>160020</xdr:rowOff>
    </xdr:to>
    <mc:AlternateContent xmlns:mc="http://schemas.openxmlformats.org/markup-compatibility/2006">
      <mc:Choice xmlns:cx1="http://schemas.microsoft.com/office/drawing/2015/9/8/chartex" Requires="cx1">
        <xdr:graphicFrame macro="">
          <xdr:nvGraphicFramePr>
            <xdr:cNvPr id="159" name="Chart 158">
              <a:extLst>
                <a:ext uri="{FF2B5EF4-FFF2-40B4-BE49-F238E27FC236}">
                  <a16:creationId xmlns:a16="http://schemas.microsoft.com/office/drawing/2014/main" id="{4074F4C4-B699-4464-9B1D-2CF8CB930A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2"/>
            </a:graphicData>
          </a:graphic>
        </xdr:graphicFrame>
      </mc:Choice>
      <mc:Fallback>
        <xdr:sp macro="" textlink="">
          <xdr:nvSpPr>
            <xdr:cNvPr id="0" name=""/>
            <xdr:cNvSpPr>
              <a:spLocks noTextEdit="1"/>
            </xdr:cNvSpPr>
          </xdr:nvSpPr>
          <xdr:spPr>
            <a:xfrm>
              <a:off x="17451320190" y="11007090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556</xdr:row>
      <xdr:rowOff>76200</xdr:rowOff>
    </xdr:from>
    <xdr:to>
      <xdr:col>25</xdr:col>
      <xdr:colOff>461010</xdr:colOff>
      <xdr:row>579</xdr:row>
      <xdr:rowOff>198120</xdr:rowOff>
    </xdr:to>
    <mc:AlternateContent xmlns:mc="http://schemas.openxmlformats.org/markup-compatibility/2006">
      <mc:Choice xmlns:cx1="http://schemas.microsoft.com/office/drawing/2015/9/8/chartex" Requires="cx1">
        <xdr:graphicFrame macro="">
          <xdr:nvGraphicFramePr>
            <xdr:cNvPr id="160" name="Chart 159">
              <a:extLst>
                <a:ext uri="{FF2B5EF4-FFF2-40B4-BE49-F238E27FC236}">
                  <a16:creationId xmlns:a16="http://schemas.microsoft.com/office/drawing/2014/main" id="{F0F15CE5-B730-4419-918C-212B6A5827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3"/>
            </a:graphicData>
          </a:graphic>
        </xdr:graphicFrame>
      </mc:Choice>
      <mc:Fallback>
        <xdr:sp macro="" textlink="">
          <xdr:nvSpPr>
            <xdr:cNvPr id="0" name=""/>
            <xdr:cNvSpPr>
              <a:spLocks noTextEdit="1"/>
            </xdr:cNvSpPr>
          </xdr:nvSpPr>
          <xdr:spPr>
            <a:xfrm>
              <a:off x="17451320190" y="12169140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610</xdr:row>
      <xdr:rowOff>47625</xdr:rowOff>
    </xdr:from>
    <xdr:to>
      <xdr:col>25</xdr:col>
      <xdr:colOff>461010</xdr:colOff>
      <xdr:row>633</xdr:row>
      <xdr:rowOff>169545</xdr:rowOff>
    </xdr:to>
    <mc:AlternateContent xmlns:mc="http://schemas.openxmlformats.org/markup-compatibility/2006">
      <mc:Choice xmlns:cx1="http://schemas.microsoft.com/office/drawing/2015/9/8/chartex" Requires="cx1">
        <xdr:graphicFrame macro="">
          <xdr:nvGraphicFramePr>
            <xdr:cNvPr id="161" name="Chart 160">
              <a:extLst>
                <a:ext uri="{FF2B5EF4-FFF2-40B4-BE49-F238E27FC236}">
                  <a16:creationId xmlns:a16="http://schemas.microsoft.com/office/drawing/2014/main" id="{0CE8C8FE-E4E9-4A14-9B27-28A364D3D3A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4"/>
            </a:graphicData>
          </a:graphic>
        </xdr:graphicFrame>
      </mc:Choice>
      <mc:Fallback>
        <xdr:sp macro="" textlink="">
          <xdr:nvSpPr>
            <xdr:cNvPr id="0" name=""/>
            <xdr:cNvSpPr>
              <a:spLocks noTextEdit="1"/>
            </xdr:cNvSpPr>
          </xdr:nvSpPr>
          <xdr:spPr>
            <a:xfrm>
              <a:off x="17451320190" y="133458585"/>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664</xdr:row>
      <xdr:rowOff>182880</xdr:rowOff>
    </xdr:from>
    <xdr:to>
      <xdr:col>25</xdr:col>
      <xdr:colOff>461010</xdr:colOff>
      <xdr:row>688</xdr:row>
      <xdr:rowOff>91440</xdr:rowOff>
    </xdr:to>
    <mc:AlternateContent xmlns:mc="http://schemas.openxmlformats.org/markup-compatibility/2006">
      <mc:Choice xmlns:cx1="http://schemas.microsoft.com/office/drawing/2015/9/8/chartex" Requires="cx1">
        <xdr:graphicFrame macro="">
          <xdr:nvGraphicFramePr>
            <xdr:cNvPr id="162" name="Chart 161">
              <a:extLst>
                <a:ext uri="{FF2B5EF4-FFF2-40B4-BE49-F238E27FC236}">
                  <a16:creationId xmlns:a16="http://schemas.microsoft.com/office/drawing/2014/main" id="{FCEB986B-3A4B-46B6-839F-8A93CBD718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5"/>
            </a:graphicData>
          </a:graphic>
        </xdr:graphicFrame>
      </mc:Choice>
      <mc:Fallback>
        <xdr:sp macro="" textlink="">
          <xdr:nvSpPr>
            <xdr:cNvPr id="0" name=""/>
            <xdr:cNvSpPr>
              <a:spLocks noTextEdit="1"/>
            </xdr:cNvSpPr>
          </xdr:nvSpPr>
          <xdr:spPr>
            <a:xfrm>
              <a:off x="17451320190" y="14538960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777</xdr:row>
      <xdr:rowOff>135255</xdr:rowOff>
    </xdr:from>
    <xdr:to>
      <xdr:col>25</xdr:col>
      <xdr:colOff>461010</xdr:colOff>
      <xdr:row>801</xdr:row>
      <xdr:rowOff>43815</xdr:rowOff>
    </xdr:to>
    <mc:AlternateContent xmlns:mc="http://schemas.openxmlformats.org/markup-compatibility/2006">
      <mc:Choice xmlns:cx1="http://schemas.microsoft.com/office/drawing/2015/9/8/chartex" Requires="cx1">
        <xdr:graphicFrame macro="">
          <xdr:nvGraphicFramePr>
            <xdr:cNvPr id="163" name="Chart 162">
              <a:extLst>
                <a:ext uri="{FF2B5EF4-FFF2-40B4-BE49-F238E27FC236}">
                  <a16:creationId xmlns:a16="http://schemas.microsoft.com/office/drawing/2014/main" id="{2C455CE8-A147-4618-9F85-7379578F272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6"/>
            </a:graphicData>
          </a:graphic>
        </xdr:graphicFrame>
      </mc:Choice>
      <mc:Fallback>
        <xdr:sp macro="" textlink="">
          <xdr:nvSpPr>
            <xdr:cNvPr id="0" name=""/>
            <xdr:cNvSpPr>
              <a:spLocks noTextEdit="1"/>
            </xdr:cNvSpPr>
          </xdr:nvSpPr>
          <xdr:spPr>
            <a:xfrm>
              <a:off x="17451320190" y="170000295"/>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831</xdr:row>
      <xdr:rowOff>95250</xdr:rowOff>
    </xdr:from>
    <xdr:to>
      <xdr:col>25</xdr:col>
      <xdr:colOff>461010</xdr:colOff>
      <xdr:row>855</xdr:row>
      <xdr:rowOff>3810</xdr:rowOff>
    </xdr:to>
    <mc:AlternateContent xmlns:mc="http://schemas.openxmlformats.org/markup-compatibility/2006">
      <mc:Choice xmlns:cx1="http://schemas.microsoft.com/office/drawing/2015/9/8/chartex" Requires="cx1">
        <xdr:graphicFrame macro="">
          <xdr:nvGraphicFramePr>
            <xdr:cNvPr id="164" name="Chart 163">
              <a:extLst>
                <a:ext uri="{FF2B5EF4-FFF2-40B4-BE49-F238E27FC236}">
                  <a16:creationId xmlns:a16="http://schemas.microsoft.com/office/drawing/2014/main" id="{D709AC0F-5F41-4BA4-842F-43C53F463A8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7"/>
            </a:graphicData>
          </a:graphic>
        </xdr:graphicFrame>
      </mc:Choice>
      <mc:Fallback>
        <xdr:sp macro="" textlink="">
          <xdr:nvSpPr>
            <xdr:cNvPr id="0" name=""/>
            <xdr:cNvSpPr>
              <a:spLocks noTextEdit="1"/>
            </xdr:cNvSpPr>
          </xdr:nvSpPr>
          <xdr:spPr>
            <a:xfrm>
              <a:off x="17451320190" y="18175605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885</xdr:row>
      <xdr:rowOff>95250</xdr:rowOff>
    </xdr:from>
    <xdr:to>
      <xdr:col>25</xdr:col>
      <xdr:colOff>461010</xdr:colOff>
      <xdr:row>909</xdr:row>
      <xdr:rowOff>3810</xdr:rowOff>
    </xdr:to>
    <mc:AlternateContent xmlns:mc="http://schemas.openxmlformats.org/markup-compatibility/2006">
      <mc:Choice xmlns:cx1="http://schemas.microsoft.com/office/drawing/2015/9/8/chartex" Requires="cx1">
        <xdr:graphicFrame macro="">
          <xdr:nvGraphicFramePr>
            <xdr:cNvPr id="165" name="Chart 164">
              <a:extLst>
                <a:ext uri="{FF2B5EF4-FFF2-40B4-BE49-F238E27FC236}">
                  <a16:creationId xmlns:a16="http://schemas.microsoft.com/office/drawing/2014/main" id="{B83BA2B8-5B01-4370-9B56-E21FFEADAA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8"/>
            </a:graphicData>
          </a:graphic>
        </xdr:graphicFrame>
      </mc:Choice>
      <mc:Fallback>
        <xdr:sp macro="" textlink="">
          <xdr:nvSpPr>
            <xdr:cNvPr id="0" name=""/>
            <xdr:cNvSpPr>
              <a:spLocks noTextEdit="1"/>
            </xdr:cNvSpPr>
          </xdr:nvSpPr>
          <xdr:spPr>
            <a:xfrm>
              <a:off x="17451320190" y="193551810"/>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939</xdr:row>
      <xdr:rowOff>9525</xdr:rowOff>
    </xdr:from>
    <xdr:to>
      <xdr:col>25</xdr:col>
      <xdr:colOff>461010</xdr:colOff>
      <xdr:row>962</xdr:row>
      <xdr:rowOff>131445</xdr:rowOff>
    </xdr:to>
    <mc:AlternateContent xmlns:mc="http://schemas.openxmlformats.org/markup-compatibility/2006">
      <mc:Choice xmlns:cx1="http://schemas.microsoft.com/office/drawing/2015/9/8/chartex" Requires="cx1">
        <xdr:graphicFrame macro="">
          <xdr:nvGraphicFramePr>
            <xdr:cNvPr id="166" name="Chart 165">
              <a:extLst>
                <a:ext uri="{FF2B5EF4-FFF2-40B4-BE49-F238E27FC236}">
                  <a16:creationId xmlns:a16="http://schemas.microsoft.com/office/drawing/2014/main" id="{230E7E9F-EE19-4B82-9B1E-89BF5CF05BD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9"/>
            </a:graphicData>
          </a:graphic>
        </xdr:graphicFrame>
      </mc:Choice>
      <mc:Fallback>
        <xdr:sp macro="" textlink="">
          <xdr:nvSpPr>
            <xdr:cNvPr id="0" name=""/>
            <xdr:cNvSpPr>
              <a:spLocks noTextEdit="1"/>
            </xdr:cNvSpPr>
          </xdr:nvSpPr>
          <xdr:spPr>
            <a:xfrm>
              <a:off x="17451320190" y="205261845"/>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735330</xdr:colOff>
      <xdr:row>992</xdr:row>
      <xdr:rowOff>116205</xdr:rowOff>
    </xdr:from>
    <xdr:to>
      <xdr:col>25</xdr:col>
      <xdr:colOff>461010</xdr:colOff>
      <xdr:row>1016</xdr:row>
      <xdr:rowOff>24765</xdr:rowOff>
    </xdr:to>
    <mc:AlternateContent xmlns:mc="http://schemas.openxmlformats.org/markup-compatibility/2006">
      <mc:Choice xmlns:cx1="http://schemas.microsoft.com/office/drawing/2015/9/8/chartex" Requires="cx1">
        <xdr:graphicFrame macro="">
          <xdr:nvGraphicFramePr>
            <xdr:cNvPr id="167" name="Chart 166">
              <a:extLst>
                <a:ext uri="{FF2B5EF4-FFF2-40B4-BE49-F238E27FC236}">
                  <a16:creationId xmlns:a16="http://schemas.microsoft.com/office/drawing/2014/main" id="{16FBC9C0-4B56-4FB0-8E18-C85F5A3BAAB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0"/>
            </a:graphicData>
          </a:graphic>
        </xdr:graphicFrame>
      </mc:Choice>
      <mc:Fallback>
        <xdr:sp macro="" textlink="">
          <xdr:nvSpPr>
            <xdr:cNvPr id="0" name=""/>
            <xdr:cNvSpPr>
              <a:spLocks noTextEdit="1"/>
            </xdr:cNvSpPr>
          </xdr:nvSpPr>
          <xdr:spPr>
            <a:xfrm>
              <a:off x="17451320190" y="216950925"/>
              <a:ext cx="13129260" cy="5029200"/>
            </a:xfrm>
            <a:prstGeom prst="rect">
              <a:avLst/>
            </a:prstGeom>
            <a:solidFill>
              <a:prstClr val="white"/>
            </a:solidFill>
            <a:ln w="1">
              <a:solidFill>
                <a:prstClr val="green"/>
              </a:solidFill>
            </a:ln>
          </xdr:spPr>
          <xdr:txBody>
            <a:bodyPr vertOverflow="clip" horzOverflow="clip"/>
            <a:lstStyle/>
            <a:p>
              <a:r>
                <a:rPr lang="fa-I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25</xdr:col>
      <xdr:colOff>849630</xdr:colOff>
      <xdr:row>126</xdr:row>
      <xdr:rowOff>123825</xdr:rowOff>
    </xdr:from>
    <xdr:to>
      <xdr:col>38</xdr:col>
      <xdr:colOff>57150</xdr:colOff>
      <xdr:row>150</xdr:row>
      <xdr:rowOff>32385</xdr:rowOff>
    </xdr:to>
    <xdr:graphicFrame macro="">
      <xdr:nvGraphicFramePr>
        <xdr:cNvPr id="168" name="Chart 167">
          <a:extLst>
            <a:ext uri="{FF2B5EF4-FFF2-40B4-BE49-F238E27FC236}">
              <a16:creationId xmlns:a16="http://schemas.microsoft.com/office/drawing/2014/main" id="{2994B881-5221-4C5D-964C-1B69A276FC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1"/>
        </a:graphicData>
      </a:graphic>
    </xdr:graphicFrame>
    <xdr:clientData/>
  </xdr:twoCellAnchor>
  <xdr:twoCellAnchor>
    <xdr:from>
      <xdr:col>25</xdr:col>
      <xdr:colOff>849630</xdr:colOff>
      <xdr:row>179</xdr:row>
      <xdr:rowOff>192405</xdr:rowOff>
    </xdr:from>
    <xdr:to>
      <xdr:col>38</xdr:col>
      <xdr:colOff>57150</xdr:colOff>
      <xdr:row>203</xdr:row>
      <xdr:rowOff>100965</xdr:rowOff>
    </xdr:to>
    <xdr:graphicFrame macro="">
      <xdr:nvGraphicFramePr>
        <xdr:cNvPr id="169" name="Chart 168">
          <a:extLst>
            <a:ext uri="{FF2B5EF4-FFF2-40B4-BE49-F238E27FC236}">
              <a16:creationId xmlns:a16="http://schemas.microsoft.com/office/drawing/2014/main" id="{72763F91-17D7-4643-992E-46EC1E34A8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2"/>
        </a:graphicData>
      </a:graphic>
    </xdr:graphicFrame>
    <xdr:clientData/>
  </xdr:twoCellAnchor>
  <xdr:twoCellAnchor>
    <xdr:from>
      <xdr:col>25</xdr:col>
      <xdr:colOff>849630</xdr:colOff>
      <xdr:row>296</xdr:row>
      <xdr:rowOff>85725</xdr:rowOff>
    </xdr:from>
    <xdr:to>
      <xdr:col>38</xdr:col>
      <xdr:colOff>57150</xdr:colOff>
      <xdr:row>319</xdr:row>
      <xdr:rowOff>203835</xdr:rowOff>
    </xdr:to>
    <xdr:graphicFrame macro="">
      <xdr:nvGraphicFramePr>
        <xdr:cNvPr id="170" name="Chart 169">
          <a:extLst>
            <a:ext uri="{FF2B5EF4-FFF2-40B4-BE49-F238E27FC236}">
              <a16:creationId xmlns:a16="http://schemas.microsoft.com/office/drawing/2014/main" id="{13398373-9E3A-49A9-B2DC-7DD025CA90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3"/>
        </a:graphicData>
      </a:graphic>
    </xdr:graphicFrame>
    <xdr:clientData/>
  </xdr:twoCellAnchor>
  <xdr:twoCellAnchor>
    <xdr:from>
      <xdr:col>25</xdr:col>
      <xdr:colOff>849630</xdr:colOff>
      <xdr:row>350</xdr:row>
      <xdr:rowOff>85725</xdr:rowOff>
    </xdr:from>
    <xdr:to>
      <xdr:col>38</xdr:col>
      <xdr:colOff>57150</xdr:colOff>
      <xdr:row>373</xdr:row>
      <xdr:rowOff>203835</xdr:rowOff>
    </xdr:to>
    <xdr:graphicFrame macro="">
      <xdr:nvGraphicFramePr>
        <xdr:cNvPr id="171" name="Chart 170">
          <a:extLst>
            <a:ext uri="{FF2B5EF4-FFF2-40B4-BE49-F238E27FC236}">
              <a16:creationId xmlns:a16="http://schemas.microsoft.com/office/drawing/2014/main" id="{E43AEB03-D5A0-4CD1-BA03-743BE47219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4"/>
        </a:graphicData>
      </a:graphic>
    </xdr:graphicFrame>
    <xdr:clientData/>
  </xdr:twoCellAnchor>
  <xdr:twoCellAnchor>
    <xdr:from>
      <xdr:col>25</xdr:col>
      <xdr:colOff>849630</xdr:colOff>
      <xdr:row>402</xdr:row>
      <xdr:rowOff>163830</xdr:rowOff>
    </xdr:from>
    <xdr:to>
      <xdr:col>38</xdr:col>
      <xdr:colOff>57150</xdr:colOff>
      <xdr:row>426</xdr:row>
      <xdr:rowOff>72390</xdr:rowOff>
    </xdr:to>
    <xdr:graphicFrame macro="">
      <xdr:nvGraphicFramePr>
        <xdr:cNvPr id="172" name="Chart 171">
          <a:extLst>
            <a:ext uri="{FF2B5EF4-FFF2-40B4-BE49-F238E27FC236}">
              <a16:creationId xmlns:a16="http://schemas.microsoft.com/office/drawing/2014/main" id="{36DE980A-1A6E-444A-88C2-27F1BF08C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5"/>
        </a:graphicData>
      </a:graphic>
    </xdr:graphicFrame>
    <xdr:clientData/>
  </xdr:twoCellAnchor>
  <xdr:twoCellAnchor>
    <xdr:from>
      <xdr:col>25</xdr:col>
      <xdr:colOff>849630</xdr:colOff>
      <xdr:row>503</xdr:row>
      <xdr:rowOff>38100</xdr:rowOff>
    </xdr:from>
    <xdr:to>
      <xdr:col>38</xdr:col>
      <xdr:colOff>57150</xdr:colOff>
      <xdr:row>526</xdr:row>
      <xdr:rowOff>160020</xdr:rowOff>
    </xdr:to>
    <xdr:graphicFrame macro="">
      <xdr:nvGraphicFramePr>
        <xdr:cNvPr id="173" name="Chart 172">
          <a:extLst>
            <a:ext uri="{FF2B5EF4-FFF2-40B4-BE49-F238E27FC236}">
              <a16:creationId xmlns:a16="http://schemas.microsoft.com/office/drawing/2014/main" id="{8CEE957B-BEFD-4659-8CFE-68338350F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6"/>
        </a:graphicData>
      </a:graphic>
    </xdr:graphicFrame>
    <xdr:clientData/>
  </xdr:twoCellAnchor>
  <xdr:twoCellAnchor>
    <xdr:from>
      <xdr:col>25</xdr:col>
      <xdr:colOff>849630</xdr:colOff>
      <xdr:row>556</xdr:row>
      <xdr:rowOff>76200</xdr:rowOff>
    </xdr:from>
    <xdr:to>
      <xdr:col>38</xdr:col>
      <xdr:colOff>57150</xdr:colOff>
      <xdr:row>579</xdr:row>
      <xdr:rowOff>198120</xdr:rowOff>
    </xdr:to>
    <xdr:graphicFrame macro="">
      <xdr:nvGraphicFramePr>
        <xdr:cNvPr id="174" name="Chart 173">
          <a:extLst>
            <a:ext uri="{FF2B5EF4-FFF2-40B4-BE49-F238E27FC236}">
              <a16:creationId xmlns:a16="http://schemas.microsoft.com/office/drawing/2014/main" id="{5CCD8EC9-F4F8-454B-9AD3-DD35CA04A2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7"/>
        </a:graphicData>
      </a:graphic>
    </xdr:graphicFrame>
    <xdr:clientData/>
  </xdr:twoCellAnchor>
  <xdr:twoCellAnchor>
    <xdr:from>
      <xdr:col>25</xdr:col>
      <xdr:colOff>849630</xdr:colOff>
      <xdr:row>610</xdr:row>
      <xdr:rowOff>47625</xdr:rowOff>
    </xdr:from>
    <xdr:to>
      <xdr:col>38</xdr:col>
      <xdr:colOff>57150</xdr:colOff>
      <xdr:row>633</xdr:row>
      <xdr:rowOff>169545</xdr:rowOff>
    </xdr:to>
    <xdr:graphicFrame macro="">
      <xdr:nvGraphicFramePr>
        <xdr:cNvPr id="175" name="Chart 174">
          <a:extLst>
            <a:ext uri="{FF2B5EF4-FFF2-40B4-BE49-F238E27FC236}">
              <a16:creationId xmlns:a16="http://schemas.microsoft.com/office/drawing/2014/main" id="{7EA5DF72-08A5-4812-9F10-0B95B74D2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8"/>
        </a:graphicData>
      </a:graphic>
    </xdr:graphicFrame>
    <xdr:clientData/>
  </xdr:twoCellAnchor>
  <xdr:twoCellAnchor>
    <xdr:from>
      <xdr:col>25</xdr:col>
      <xdr:colOff>849630</xdr:colOff>
      <xdr:row>664</xdr:row>
      <xdr:rowOff>182880</xdr:rowOff>
    </xdr:from>
    <xdr:to>
      <xdr:col>38</xdr:col>
      <xdr:colOff>57150</xdr:colOff>
      <xdr:row>688</xdr:row>
      <xdr:rowOff>91440</xdr:rowOff>
    </xdr:to>
    <xdr:graphicFrame macro="">
      <xdr:nvGraphicFramePr>
        <xdr:cNvPr id="176" name="Chart 175">
          <a:extLst>
            <a:ext uri="{FF2B5EF4-FFF2-40B4-BE49-F238E27FC236}">
              <a16:creationId xmlns:a16="http://schemas.microsoft.com/office/drawing/2014/main" id="{522044C6-4452-4195-AB11-E58C493B3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9"/>
        </a:graphicData>
      </a:graphic>
    </xdr:graphicFrame>
    <xdr:clientData/>
  </xdr:twoCellAnchor>
  <xdr:twoCellAnchor>
    <xdr:from>
      <xdr:col>25</xdr:col>
      <xdr:colOff>849630</xdr:colOff>
      <xdr:row>777</xdr:row>
      <xdr:rowOff>135255</xdr:rowOff>
    </xdr:from>
    <xdr:to>
      <xdr:col>38</xdr:col>
      <xdr:colOff>57150</xdr:colOff>
      <xdr:row>801</xdr:row>
      <xdr:rowOff>43815</xdr:rowOff>
    </xdr:to>
    <xdr:graphicFrame macro="">
      <xdr:nvGraphicFramePr>
        <xdr:cNvPr id="177" name="Chart 176">
          <a:extLst>
            <a:ext uri="{FF2B5EF4-FFF2-40B4-BE49-F238E27FC236}">
              <a16:creationId xmlns:a16="http://schemas.microsoft.com/office/drawing/2014/main" id="{F4834DE5-BB41-48C7-9CA6-896309540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0"/>
        </a:graphicData>
      </a:graphic>
    </xdr:graphicFrame>
    <xdr:clientData/>
  </xdr:twoCellAnchor>
  <xdr:twoCellAnchor>
    <xdr:from>
      <xdr:col>25</xdr:col>
      <xdr:colOff>849630</xdr:colOff>
      <xdr:row>831</xdr:row>
      <xdr:rowOff>95250</xdr:rowOff>
    </xdr:from>
    <xdr:to>
      <xdr:col>38</xdr:col>
      <xdr:colOff>57150</xdr:colOff>
      <xdr:row>855</xdr:row>
      <xdr:rowOff>3810</xdr:rowOff>
    </xdr:to>
    <xdr:graphicFrame macro="">
      <xdr:nvGraphicFramePr>
        <xdr:cNvPr id="178" name="Chart 177">
          <a:extLst>
            <a:ext uri="{FF2B5EF4-FFF2-40B4-BE49-F238E27FC236}">
              <a16:creationId xmlns:a16="http://schemas.microsoft.com/office/drawing/2014/main" id="{0F817E6E-0D2C-40C7-9105-3410D7F9DF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1"/>
        </a:graphicData>
      </a:graphic>
    </xdr:graphicFrame>
    <xdr:clientData/>
  </xdr:twoCellAnchor>
  <xdr:twoCellAnchor>
    <xdr:from>
      <xdr:col>25</xdr:col>
      <xdr:colOff>849630</xdr:colOff>
      <xdr:row>885</xdr:row>
      <xdr:rowOff>95250</xdr:rowOff>
    </xdr:from>
    <xdr:to>
      <xdr:col>38</xdr:col>
      <xdr:colOff>57150</xdr:colOff>
      <xdr:row>909</xdr:row>
      <xdr:rowOff>3810</xdr:rowOff>
    </xdr:to>
    <xdr:graphicFrame macro="">
      <xdr:nvGraphicFramePr>
        <xdr:cNvPr id="179" name="Chart 178">
          <a:extLst>
            <a:ext uri="{FF2B5EF4-FFF2-40B4-BE49-F238E27FC236}">
              <a16:creationId xmlns:a16="http://schemas.microsoft.com/office/drawing/2014/main" id="{304E024A-2716-4CA6-AB83-24B725F89E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2"/>
        </a:graphicData>
      </a:graphic>
    </xdr:graphicFrame>
    <xdr:clientData/>
  </xdr:twoCellAnchor>
  <xdr:twoCellAnchor>
    <xdr:from>
      <xdr:col>25</xdr:col>
      <xdr:colOff>849630</xdr:colOff>
      <xdr:row>939</xdr:row>
      <xdr:rowOff>9525</xdr:rowOff>
    </xdr:from>
    <xdr:to>
      <xdr:col>38</xdr:col>
      <xdr:colOff>57150</xdr:colOff>
      <xdr:row>962</xdr:row>
      <xdr:rowOff>131445</xdr:rowOff>
    </xdr:to>
    <xdr:graphicFrame macro="">
      <xdr:nvGraphicFramePr>
        <xdr:cNvPr id="180" name="Chart 179">
          <a:extLst>
            <a:ext uri="{FF2B5EF4-FFF2-40B4-BE49-F238E27FC236}">
              <a16:creationId xmlns:a16="http://schemas.microsoft.com/office/drawing/2014/main" id="{5A281EFD-0940-43B6-A879-AE6B42539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3"/>
        </a:graphicData>
      </a:graphic>
    </xdr:graphicFrame>
    <xdr:clientData/>
  </xdr:twoCellAnchor>
  <xdr:twoCellAnchor>
    <xdr:from>
      <xdr:col>25</xdr:col>
      <xdr:colOff>849630</xdr:colOff>
      <xdr:row>992</xdr:row>
      <xdr:rowOff>116205</xdr:rowOff>
    </xdr:from>
    <xdr:to>
      <xdr:col>38</xdr:col>
      <xdr:colOff>57150</xdr:colOff>
      <xdr:row>1016</xdr:row>
      <xdr:rowOff>24765</xdr:rowOff>
    </xdr:to>
    <xdr:graphicFrame macro="">
      <xdr:nvGraphicFramePr>
        <xdr:cNvPr id="181" name="Chart 180">
          <a:extLst>
            <a:ext uri="{FF2B5EF4-FFF2-40B4-BE49-F238E27FC236}">
              <a16:creationId xmlns:a16="http://schemas.microsoft.com/office/drawing/2014/main" id="{B5207FA0-CCC5-4351-B1A7-F41DB3A06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4"/>
        </a:graphicData>
      </a:graphic>
    </xdr:graphicFrame>
    <xdr:clientData/>
  </xdr:twoCellAnchor>
  <xdr:twoCellAnchor>
    <xdr:from>
      <xdr:col>7</xdr:col>
      <xdr:colOff>728702</xdr:colOff>
      <xdr:row>126</xdr:row>
      <xdr:rowOff>174913</xdr:rowOff>
    </xdr:from>
    <xdr:to>
      <xdr:col>13</xdr:col>
      <xdr:colOff>978084</xdr:colOff>
      <xdr:row>150</xdr:row>
      <xdr:rowOff>33596</xdr:rowOff>
    </xdr:to>
    <xdr:graphicFrame macro="">
      <xdr:nvGraphicFramePr>
        <xdr:cNvPr id="182" name="Chart 181">
          <a:extLst>
            <a:ext uri="{FF2B5EF4-FFF2-40B4-BE49-F238E27FC236}">
              <a16:creationId xmlns:a16="http://schemas.microsoft.com/office/drawing/2014/main" id="{C61C76BC-DBC5-4CF9-8C32-011F57A0D0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5"/>
        </a:graphicData>
      </a:graphic>
    </xdr:graphicFrame>
    <xdr:clientData/>
  </xdr:twoCellAnchor>
  <xdr:twoCellAnchor>
    <xdr:from>
      <xdr:col>7</xdr:col>
      <xdr:colOff>742557</xdr:colOff>
      <xdr:row>179</xdr:row>
      <xdr:rowOff>190499</xdr:rowOff>
    </xdr:from>
    <xdr:to>
      <xdr:col>13</xdr:col>
      <xdr:colOff>978084</xdr:colOff>
      <xdr:row>203</xdr:row>
      <xdr:rowOff>140623</xdr:rowOff>
    </xdr:to>
    <xdr:graphicFrame macro="">
      <xdr:nvGraphicFramePr>
        <xdr:cNvPr id="183" name="Chart 182">
          <a:extLst>
            <a:ext uri="{FF2B5EF4-FFF2-40B4-BE49-F238E27FC236}">
              <a16:creationId xmlns:a16="http://schemas.microsoft.com/office/drawing/2014/main" id="{5500CA51-9B80-4BC0-964C-5CE0BD5615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6"/>
        </a:graphicData>
      </a:graphic>
    </xdr:graphicFrame>
    <xdr:clientData/>
  </xdr:twoCellAnchor>
  <xdr:twoCellAnchor>
    <xdr:from>
      <xdr:col>7</xdr:col>
      <xdr:colOff>742557</xdr:colOff>
      <xdr:row>296</xdr:row>
      <xdr:rowOff>46758</xdr:rowOff>
    </xdr:from>
    <xdr:to>
      <xdr:col>13</xdr:col>
      <xdr:colOff>978084</xdr:colOff>
      <xdr:row>320</xdr:row>
      <xdr:rowOff>88321</xdr:rowOff>
    </xdr:to>
    <xdr:graphicFrame macro="">
      <xdr:nvGraphicFramePr>
        <xdr:cNvPr id="184" name="Chart 183">
          <a:extLst>
            <a:ext uri="{FF2B5EF4-FFF2-40B4-BE49-F238E27FC236}">
              <a16:creationId xmlns:a16="http://schemas.microsoft.com/office/drawing/2014/main" id="{1EB47A98-81AF-41F6-9947-A1D5C97F86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7"/>
        </a:graphicData>
      </a:graphic>
    </xdr:graphicFrame>
    <xdr:clientData/>
  </xdr:twoCellAnchor>
  <xdr:twoCellAnchor>
    <xdr:from>
      <xdr:col>7</xdr:col>
      <xdr:colOff>742557</xdr:colOff>
      <xdr:row>350</xdr:row>
      <xdr:rowOff>126422</xdr:rowOff>
    </xdr:from>
    <xdr:to>
      <xdr:col>13</xdr:col>
      <xdr:colOff>978084</xdr:colOff>
      <xdr:row>373</xdr:row>
      <xdr:rowOff>192924</xdr:rowOff>
    </xdr:to>
    <xdr:graphicFrame macro="">
      <xdr:nvGraphicFramePr>
        <xdr:cNvPr id="185" name="Chart 184">
          <a:extLst>
            <a:ext uri="{FF2B5EF4-FFF2-40B4-BE49-F238E27FC236}">
              <a16:creationId xmlns:a16="http://schemas.microsoft.com/office/drawing/2014/main" id="{43332DDB-DEF7-412C-941D-15FE8EE59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8"/>
        </a:graphicData>
      </a:graphic>
    </xdr:graphicFrame>
    <xdr:clientData/>
  </xdr:twoCellAnchor>
  <xdr:twoCellAnchor>
    <xdr:from>
      <xdr:col>7</xdr:col>
      <xdr:colOff>742557</xdr:colOff>
      <xdr:row>403</xdr:row>
      <xdr:rowOff>-1</xdr:rowOff>
    </xdr:from>
    <xdr:to>
      <xdr:col>13</xdr:col>
      <xdr:colOff>978084</xdr:colOff>
      <xdr:row>426</xdr:row>
      <xdr:rowOff>157941</xdr:rowOff>
    </xdr:to>
    <xdr:graphicFrame macro="">
      <xdr:nvGraphicFramePr>
        <xdr:cNvPr id="186" name="Chart 185">
          <a:extLst>
            <a:ext uri="{FF2B5EF4-FFF2-40B4-BE49-F238E27FC236}">
              <a16:creationId xmlns:a16="http://schemas.microsoft.com/office/drawing/2014/main" id="{FC3ED165-72E5-4793-AB27-74332087DD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9"/>
        </a:graphicData>
      </a:graphic>
    </xdr:graphicFrame>
    <xdr:clientData/>
  </xdr:twoCellAnchor>
  <xdr:twoCellAnchor>
    <xdr:from>
      <xdr:col>7</xdr:col>
      <xdr:colOff>742557</xdr:colOff>
      <xdr:row>503</xdr:row>
      <xdr:rowOff>83128</xdr:rowOff>
    </xdr:from>
    <xdr:to>
      <xdr:col>13</xdr:col>
      <xdr:colOff>978084</xdr:colOff>
      <xdr:row>526</xdr:row>
      <xdr:rowOff>135082</xdr:rowOff>
    </xdr:to>
    <xdr:graphicFrame macro="">
      <xdr:nvGraphicFramePr>
        <xdr:cNvPr id="187" name="Chart 186">
          <a:extLst>
            <a:ext uri="{FF2B5EF4-FFF2-40B4-BE49-F238E27FC236}">
              <a16:creationId xmlns:a16="http://schemas.microsoft.com/office/drawing/2014/main" id="{39B3940C-FF7A-4D01-8E59-652FB6037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0"/>
        </a:graphicData>
      </a:graphic>
    </xdr:graphicFrame>
    <xdr:clientData/>
  </xdr:twoCellAnchor>
  <xdr:twoCellAnchor>
    <xdr:from>
      <xdr:col>7</xdr:col>
      <xdr:colOff>742557</xdr:colOff>
      <xdr:row>559</xdr:row>
      <xdr:rowOff>95249</xdr:rowOff>
    </xdr:from>
    <xdr:to>
      <xdr:col>13</xdr:col>
      <xdr:colOff>978084</xdr:colOff>
      <xdr:row>580</xdr:row>
      <xdr:rowOff>28748</xdr:rowOff>
    </xdr:to>
    <xdr:graphicFrame macro="">
      <xdr:nvGraphicFramePr>
        <xdr:cNvPr id="188" name="Chart 187">
          <a:extLst>
            <a:ext uri="{FF2B5EF4-FFF2-40B4-BE49-F238E27FC236}">
              <a16:creationId xmlns:a16="http://schemas.microsoft.com/office/drawing/2014/main" id="{C400358E-FD4C-415A-8E8D-BBDAF859EC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1"/>
        </a:graphicData>
      </a:graphic>
    </xdr:graphicFrame>
    <xdr:clientData/>
  </xdr:twoCellAnchor>
  <xdr:twoCellAnchor>
    <xdr:from>
      <xdr:col>7</xdr:col>
      <xdr:colOff>749484</xdr:colOff>
      <xdr:row>611</xdr:row>
      <xdr:rowOff>38101</xdr:rowOff>
    </xdr:from>
    <xdr:to>
      <xdr:col>13</xdr:col>
      <xdr:colOff>978084</xdr:colOff>
      <xdr:row>633</xdr:row>
      <xdr:rowOff>131618</xdr:rowOff>
    </xdr:to>
    <xdr:graphicFrame macro="">
      <xdr:nvGraphicFramePr>
        <xdr:cNvPr id="189" name="Chart 188">
          <a:extLst>
            <a:ext uri="{FF2B5EF4-FFF2-40B4-BE49-F238E27FC236}">
              <a16:creationId xmlns:a16="http://schemas.microsoft.com/office/drawing/2014/main" id="{4D79EDFC-8776-4A2A-AF2D-9067EC009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2"/>
        </a:graphicData>
      </a:graphic>
    </xdr:graphicFrame>
    <xdr:clientData/>
  </xdr:twoCellAnchor>
  <xdr:twoCellAnchor>
    <xdr:from>
      <xdr:col>7</xdr:col>
      <xdr:colOff>742557</xdr:colOff>
      <xdr:row>668</xdr:row>
      <xdr:rowOff>38101</xdr:rowOff>
    </xdr:from>
    <xdr:to>
      <xdr:col>13</xdr:col>
      <xdr:colOff>978084</xdr:colOff>
      <xdr:row>688</xdr:row>
      <xdr:rowOff>124692</xdr:rowOff>
    </xdr:to>
    <xdr:graphicFrame macro="">
      <xdr:nvGraphicFramePr>
        <xdr:cNvPr id="190" name="Chart 189">
          <a:extLst>
            <a:ext uri="{FF2B5EF4-FFF2-40B4-BE49-F238E27FC236}">
              <a16:creationId xmlns:a16="http://schemas.microsoft.com/office/drawing/2014/main" id="{37F0D19B-331B-40ED-808A-8034DB60E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3"/>
        </a:graphicData>
      </a:graphic>
    </xdr:graphicFrame>
    <xdr:clientData/>
  </xdr:twoCellAnchor>
  <xdr:twoCellAnchor>
    <xdr:from>
      <xdr:col>7</xdr:col>
      <xdr:colOff>728702</xdr:colOff>
      <xdr:row>781</xdr:row>
      <xdr:rowOff>166256</xdr:rowOff>
    </xdr:from>
    <xdr:to>
      <xdr:col>13</xdr:col>
      <xdr:colOff>978084</xdr:colOff>
      <xdr:row>801</xdr:row>
      <xdr:rowOff>124692</xdr:rowOff>
    </xdr:to>
    <xdr:graphicFrame macro="">
      <xdr:nvGraphicFramePr>
        <xdr:cNvPr id="191" name="Chart 190">
          <a:extLst>
            <a:ext uri="{FF2B5EF4-FFF2-40B4-BE49-F238E27FC236}">
              <a16:creationId xmlns:a16="http://schemas.microsoft.com/office/drawing/2014/main" id="{861B3129-44B2-4D5D-A97B-38E7CF2F8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4"/>
        </a:graphicData>
      </a:graphic>
    </xdr:graphicFrame>
    <xdr:clientData/>
  </xdr:twoCellAnchor>
  <xdr:twoCellAnchor>
    <xdr:from>
      <xdr:col>7</xdr:col>
      <xdr:colOff>742557</xdr:colOff>
      <xdr:row>832</xdr:row>
      <xdr:rowOff>93518</xdr:rowOff>
    </xdr:from>
    <xdr:to>
      <xdr:col>13</xdr:col>
      <xdr:colOff>978084</xdr:colOff>
      <xdr:row>854</xdr:row>
      <xdr:rowOff>188767</xdr:rowOff>
    </xdr:to>
    <xdr:graphicFrame macro="">
      <xdr:nvGraphicFramePr>
        <xdr:cNvPr id="192" name="Chart 191">
          <a:extLst>
            <a:ext uri="{FF2B5EF4-FFF2-40B4-BE49-F238E27FC236}">
              <a16:creationId xmlns:a16="http://schemas.microsoft.com/office/drawing/2014/main" id="{9AF96D2F-438C-4827-B222-1783B86871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5"/>
        </a:graphicData>
      </a:graphic>
    </xdr:graphicFrame>
    <xdr:clientData/>
  </xdr:twoCellAnchor>
  <xdr:twoCellAnchor>
    <xdr:from>
      <xdr:col>7</xdr:col>
      <xdr:colOff>742557</xdr:colOff>
      <xdr:row>887</xdr:row>
      <xdr:rowOff>51955</xdr:rowOff>
    </xdr:from>
    <xdr:to>
      <xdr:col>13</xdr:col>
      <xdr:colOff>978084</xdr:colOff>
      <xdr:row>909</xdr:row>
      <xdr:rowOff>1</xdr:rowOff>
    </xdr:to>
    <xdr:graphicFrame macro="">
      <xdr:nvGraphicFramePr>
        <xdr:cNvPr id="193" name="Chart 192">
          <a:extLst>
            <a:ext uri="{FF2B5EF4-FFF2-40B4-BE49-F238E27FC236}">
              <a16:creationId xmlns:a16="http://schemas.microsoft.com/office/drawing/2014/main" id="{EBB3C4AA-8D45-444F-9AAB-8AAE636460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6"/>
        </a:graphicData>
      </a:graphic>
    </xdr:graphicFrame>
    <xdr:clientData/>
  </xdr:twoCellAnchor>
  <xdr:twoCellAnchor>
    <xdr:from>
      <xdr:col>7</xdr:col>
      <xdr:colOff>742557</xdr:colOff>
      <xdr:row>939</xdr:row>
      <xdr:rowOff>27709</xdr:rowOff>
    </xdr:from>
    <xdr:to>
      <xdr:col>13</xdr:col>
      <xdr:colOff>978084</xdr:colOff>
      <xdr:row>962</xdr:row>
      <xdr:rowOff>180109</xdr:rowOff>
    </xdr:to>
    <xdr:graphicFrame macro="">
      <xdr:nvGraphicFramePr>
        <xdr:cNvPr id="194" name="Chart 193">
          <a:extLst>
            <a:ext uri="{FF2B5EF4-FFF2-40B4-BE49-F238E27FC236}">
              <a16:creationId xmlns:a16="http://schemas.microsoft.com/office/drawing/2014/main" id="{5A32F085-0ADA-419F-8310-7B16079C1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7"/>
        </a:graphicData>
      </a:graphic>
    </xdr:graphicFrame>
    <xdr:clientData/>
  </xdr:twoCellAnchor>
  <xdr:twoCellAnchor>
    <xdr:from>
      <xdr:col>7</xdr:col>
      <xdr:colOff>742557</xdr:colOff>
      <xdr:row>993</xdr:row>
      <xdr:rowOff>124691</xdr:rowOff>
    </xdr:from>
    <xdr:to>
      <xdr:col>13</xdr:col>
      <xdr:colOff>978084</xdr:colOff>
      <xdr:row>1016</xdr:row>
      <xdr:rowOff>12122</xdr:rowOff>
    </xdr:to>
    <xdr:graphicFrame macro="">
      <xdr:nvGraphicFramePr>
        <xdr:cNvPr id="195" name="Chart 194">
          <a:extLst>
            <a:ext uri="{FF2B5EF4-FFF2-40B4-BE49-F238E27FC236}">
              <a16:creationId xmlns:a16="http://schemas.microsoft.com/office/drawing/2014/main" id="{7B5E4751-ADE6-40E0-8CBC-08CB19857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8"/>
        </a:graphicData>
      </a:graphic>
    </xdr:graphicFrame>
    <xdr:clientData/>
  </xdr:twoCellAnchor>
  <xdr:twoCellAnchor>
    <xdr:from>
      <xdr:col>0</xdr:col>
      <xdr:colOff>0</xdr:colOff>
      <xdr:row>97</xdr:row>
      <xdr:rowOff>0</xdr:rowOff>
    </xdr:from>
    <xdr:to>
      <xdr:col>0</xdr:col>
      <xdr:colOff>690283</xdr:colOff>
      <xdr:row>97</xdr:row>
      <xdr:rowOff>286871</xdr:rowOff>
    </xdr:to>
    <xdr:sp macro="" textlink="">
      <xdr:nvSpPr>
        <xdr:cNvPr id="205" name="Rectangle: Rounded Corners 204">
          <a:extLst>
            <a:ext uri="{FF2B5EF4-FFF2-40B4-BE49-F238E27FC236}">
              <a16:creationId xmlns:a16="http://schemas.microsoft.com/office/drawing/2014/main" id="{55C154E7-5C5E-4C7B-B100-91CD2441B73A}"/>
            </a:ext>
          </a:extLst>
        </xdr:cNvPr>
        <xdr:cNvSpPr/>
      </xdr:nvSpPr>
      <xdr:spPr>
        <a:xfrm>
          <a:off x="15609794117" y="210693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43</xdr:row>
      <xdr:rowOff>0</xdr:rowOff>
    </xdr:from>
    <xdr:to>
      <xdr:col>0</xdr:col>
      <xdr:colOff>690283</xdr:colOff>
      <xdr:row>43</xdr:row>
      <xdr:rowOff>286871</xdr:rowOff>
    </xdr:to>
    <xdr:sp macro="" textlink="">
      <xdr:nvSpPr>
        <xdr:cNvPr id="206" name="Rectangle: Rounded Corners 205">
          <a:extLst>
            <a:ext uri="{FF2B5EF4-FFF2-40B4-BE49-F238E27FC236}">
              <a16:creationId xmlns:a16="http://schemas.microsoft.com/office/drawing/2014/main" id="{7DE2C1D0-4A3B-4C18-9979-E280C3727A0F}"/>
            </a:ext>
          </a:extLst>
        </xdr:cNvPr>
        <xdr:cNvSpPr/>
      </xdr:nvSpPr>
      <xdr:spPr>
        <a:xfrm>
          <a:off x="15609794117" y="94297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151</xdr:row>
      <xdr:rowOff>0</xdr:rowOff>
    </xdr:from>
    <xdr:to>
      <xdr:col>0</xdr:col>
      <xdr:colOff>690283</xdr:colOff>
      <xdr:row>151</xdr:row>
      <xdr:rowOff>286871</xdr:rowOff>
    </xdr:to>
    <xdr:sp macro="" textlink="">
      <xdr:nvSpPr>
        <xdr:cNvPr id="207" name="Rectangle: Rounded Corners 206">
          <a:extLst>
            <a:ext uri="{FF2B5EF4-FFF2-40B4-BE49-F238E27FC236}">
              <a16:creationId xmlns:a16="http://schemas.microsoft.com/office/drawing/2014/main" id="{CC35522F-9CB5-4008-BFFD-D7D3F17C105F}"/>
            </a:ext>
          </a:extLst>
        </xdr:cNvPr>
        <xdr:cNvSpPr/>
      </xdr:nvSpPr>
      <xdr:spPr>
        <a:xfrm>
          <a:off x="15609794117" y="326517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205</xdr:row>
      <xdr:rowOff>0</xdr:rowOff>
    </xdr:from>
    <xdr:to>
      <xdr:col>0</xdr:col>
      <xdr:colOff>690283</xdr:colOff>
      <xdr:row>205</xdr:row>
      <xdr:rowOff>286871</xdr:rowOff>
    </xdr:to>
    <xdr:sp macro="" textlink="">
      <xdr:nvSpPr>
        <xdr:cNvPr id="208" name="Rectangle: Rounded Corners 207">
          <a:extLst>
            <a:ext uri="{FF2B5EF4-FFF2-40B4-BE49-F238E27FC236}">
              <a16:creationId xmlns:a16="http://schemas.microsoft.com/office/drawing/2014/main" id="{F90955AB-BDE3-494F-ACE9-EE10136E8BFD}"/>
            </a:ext>
          </a:extLst>
        </xdr:cNvPr>
        <xdr:cNvSpPr/>
      </xdr:nvSpPr>
      <xdr:spPr>
        <a:xfrm>
          <a:off x="15609794117" y="442341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322</xdr:row>
      <xdr:rowOff>0</xdr:rowOff>
    </xdr:from>
    <xdr:to>
      <xdr:col>0</xdr:col>
      <xdr:colOff>690283</xdr:colOff>
      <xdr:row>322</xdr:row>
      <xdr:rowOff>286871</xdr:rowOff>
    </xdr:to>
    <xdr:sp macro="" textlink="">
      <xdr:nvSpPr>
        <xdr:cNvPr id="209" name="Rectangle: Rounded Corners 208">
          <a:extLst>
            <a:ext uri="{FF2B5EF4-FFF2-40B4-BE49-F238E27FC236}">
              <a16:creationId xmlns:a16="http://schemas.microsoft.com/office/drawing/2014/main" id="{9010B9A0-EDA3-44FA-97E5-BE9D119D2591}"/>
            </a:ext>
          </a:extLst>
        </xdr:cNvPr>
        <xdr:cNvSpPr/>
      </xdr:nvSpPr>
      <xdr:spPr>
        <a:xfrm>
          <a:off x="15609794117" y="694182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375</xdr:row>
      <xdr:rowOff>0</xdr:rowOff>
    </xdr:from>
    <xdr:to>
      <xdr:col>0</xdr:col>
      <xdr:colOff>690283</xdr:colOff>
      <xdr:row>375</xdr:row>
      <xdr:rowOff>286871</xdr:rowOff>
    </xdr:to>
    <xdr:sp macro="" textlink="">
      <xdr:nvSpPr>
        <xdr:cNvPr id="210" name="Rectangle: Rounded Corners 209">
          <a:extLst>
            <a:ext uri="{FF2B5EF4-FFF2-40B4-BE49-F238E27FC236}">
              <a16:creationId xmlns:a16="http://schemas.microsoft.com/office/drawing/2014/main" id="{00AEE6BA-718D-40A1-A53E-C79DB25145FC}"/>
            </a:ext>
          </a:extLst>
        </xdr:cNvPr>
        <xdr:cNvSpPr/>
      </xdr:nvSpPr>
      <xdr:spPr>
        <a:xfrm>
          <a:off x="15609794117" y="807910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428</xdr:row>
      <xdr:rowOff>0</xdr:rowOff>
    </xdr:from>
    <xdr:to>
      <xdr:col>0</xdr:col>
      <xdr:colOff>690283</xdr:colOff>
      <xdr:row>428</xdr:row>
      <xdr:rowOff>286871</xdr:rowOff>
    </xdr:to>
    <xdr:sp macro="" textlink="">
      <xdr:nvSpPr>
        <xdr:cNvPr id="211" name="Rectangle: Rounded Corners 210">
          <a:extLst>
            <a:ext uri="{FF2B5EF4-FFF2-40B4-BE49-F238E27FC236}">
              <a16:creationId xmlns:a16="http://schemas.microsoft.com/office/drawing/2014/main" id="{7C9A4B37-2753-4FD2-8398-B809CC372C50}"/>
            </a:ext>
          </a:extLst>
        </xdr:cNvPr>
        <xdr:cNvSpPr/>
      </xdr:nvSpPr>
      <xdr:spPr>
        <a:xfrm>
          <a:off x="15609794117" y="921639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528</xdr:row>
      <xdr:rowOff>0</xdr:rowOff>
    </xdr:from>
    <xdr:to>
      <xdr:col>0</xdr:col>
      <xdr:colOff>690283</xdr:colOff>
      <xdr:row>528</xdr:row>
      <xdr:rowOff>286871</xdr:rowOff>
    </xdr:to>
    <xdr:sp macro="" textlink="">
      <xdr:nvSpPr>
        <xdr:cNvPr id="212" name="Rectangle: Rounded Corners 211">
          <a:extLst>
            <a:ext uri="{FF2B5EF4-FFF2-40B4-BE49-F238E27FC236}">
              <a16:creationId xmlns:a16="http://schemas.microsoft.com/office/drawing/2014/main" id="{9D22B96D-3FCB-4AD2-A574-8FE1324BD76D}"/>
            </a:ext>
          </a:extLst>
        </xdr:cNvPr>
        <xdr:cNvSpPr/>
      </xdr:nvSpPr>
      <xdr:spPr>
        <a:xfrm>
          <a:off x="15609794117" y="1136523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582</xdr:row>
      <xdr:rowOff>0</xdr:rowOff>
    </xdr:from>
    <xdr:to>
      <xdr:col>0</xdr:col>
      <xdr:colOff>690283</xdr:colOff>
      <xdr:row>582</xdr:row>
      <xdr:rowOff>286871</xdr:rowOff>
    </xdr:to>
    <xdr:sp macro="" textlink="">
      <xdr:nvSpPr>
        <xdr:cNvPr id="213" name="Rectangle: Rounded Corners 212">
          <a:extLst>
            <a:ext uri="{FF2B5EF4-FFF2-40B4-BE49-F238E27FC236}">
              <a16:creationId xmlns:a16="http://schemas.microsoft.com/office/drawing/2014/main" id="{FD7C8E20-3669-43F8-A988-D639228B97BE}"/>
            </a:ext>
          </a:extLst>
        </xdr:cNvPr>
        <xdr:cNvSpPr/>
      </xdr:nvSpPr>
      <xdr:spPr>
        <a:xfrm>
          <a:off x="15609794117" y="1252347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636</xdr:row>
      <xdr:rowOff>0</xdr:rowOff>
    </xdr:from>
    <xdr:to>
      <xdr:col>0</xdr:col>
      <xdr:colOff>690283</xdr:colOff>
      <xdr:row>636</xdr:row>
      <xdr:rowOff>286871</xdr:rowOff>
    </xdr:to>
    <xdr:sp macro="" textlink="">
      <xdr:nvSpPr>
        <xdr:cNvPr id="214" name="Rectangle: Rounded Corners 213">
          <a:extLst>
            <a:ext uri="{FF2B5EF4-FFF2-40B4-BE49-F238E27FC236}">
              <a16:creationId xmlns:a16="http://schemas.microsoft.com/office/drawing/2014/main" id="{BF789C9A-B30E-42EC-963C-8F5DF2A79523}"/>
            </a:ext>
          </a:extLst>
        </xdr:cNvPr>
        <xdr:cNvSpPr/>
      </xdr:nvSpPr>
      <xdr:spPr>
        <a:xfrm>
          <a:off x="15609794117" y="1368171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691</xdr:row>
      <xdr:rowOff>0</xdr:rowOff>
    </xdr:from>
    <xdr:to>
      <xdr:col>0</xdr:col>
      <xdr:colOff>690283</xdr:colOff>
      <xdr:row>691</xdr:row>
      <xdr:rowOff>286871</xdr:rowOff>
    </xdr:to>
    <xdr:sp macro="" textlink="">
      <xdr:nvSpPr>
        <xdr:cNvPr id="215" name="Rectangle: Rounded Corners 214">
          <a:extLst>
            <a:ext uri="{FF2B5EF4-FFF2-40B4-BE49-F238E27FC236}">
              <a16:creationId xmlns:a16="http://schemas.microsoft.com/office/drawing/2014/main" id="{72C39800-A693-487B-87A2-7788B566B113}"/>
            </a:ext>
          </a:extLst>
        </xdr:cNvPr>
        <xdr:cNvSpPr/>
      </xdr:nvSpPr>
      <xdr:spPr>
        <a:xfrm>
          <a:off x="15609794117" y="1486090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803</xdr:row>
      <xdr:rowOff>0</xdr:rowOff>
    </xdr:from>
    <xdr:to>
      <xdr:col>0</xdr:col>
      <xdr:colOff>690283</xdr:colOff>
      <xdr:row>803</xdr:row>
      <xdr:rowOff>286871</xdr:rowOff>
    </xdr:to>
    <xdr:sp macro="" textlink="">
      <xdr:nvSpPr>
        <xdr:cNvPr id="216" name="Rectangle: Rounded Corners 215">
          <a:extLst>
            <a:ext uri="{FF2B5EF4-FFF2-40B4-BE49-F238E27FC236}">
              <a16:creationId xmlns:a16="http://schemas.microsoft.com/office/drawing/2014/main" id="{4DDB1AEB-F6BA-4954-BAE7-0CC2802F9B8F}"/>
            </a:ext>
          </a:extLst>
        </xdr:cNvPr>
        <xdr:cNvSpPr/>
      </xdr:nvSpPr>
      <xdr:spPr>
        <a:xfrm>
          <a:off x="15609794117" y="1726120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857</xdr:row>
      <xdr:rowOff>0</xdr:rowOff>
    </xdr:from>
    <xdr:to>
      <xdr:col>0</xdr:col>
      <xdr:colOff>690283</xdr:colOff>
      <xdr:row>857</xdr:row>
      <xdr:rowOff>286871</xdr:rowOff>
    </xdr:to>
    <xdr:sp macro="" textlink="">
      <xdr:nvSpPr>
        <xdr:cNvPr id="217" name="Rectangle: Rounded Corners 216">
          <a:extLst>
            <a:ext uri="{FF2B5EF4-FFF2-40B4-BE49-F238E27FC236}">
              <a16:creationId xmlns:a16="http://schemas.microsoft.com/office/drawing/2014/main" id="{1E2EE477-9239-4836-9522-884CD2B7BB9D}"/>
            </a:ext>
          </a:extLst>
        </xdr:cNvPr>
        <xdr:cNvSpPr/>
      </xdr:nvSpPr>
      <xdr:spPr>
        <a:xfrm>
          <a:off x="15609794117" y="1841944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911</xdr:row>
      <xdr:rowOff>0</xdr:rowOff>
    </xdr:from>
    <xdr:to>
      <xdr:col>0</xdr:col>
      <xdr:colOff>690283</xdr:colOff>
      <xdr:row>911</xdr:row>
      <xdr:rowOff>286871</xdr:rowOff>
    </xdr:to>
    <xdr:sp macro="" textlink="">
      <xdr:nvSpPr>
        <xdr:cNvPr id="218" name="Rectangle: Rounded Corners 217">
          <a:extLst>
            <a:ext uri="{FF2B5EF4-FFF2-40B4-BE49-F238E27FC236}">
              <a16:creationId xmlns:a16="http://schemas.microsoft.com/office/drawing/2014/main" id="{6104D8EC-D592-4974-9701-A2C5B24EEF0D}"/>
            </a:ext>
          </a:extLst>
        </xdr:cNvPr>
        <xdr:cNvSpPr/>
      </xdr:nvSpPr>
      <xdr:spPr>
        <a:xfrm>
          <a:off x="15609794117" y="1957768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965</xdr:row>
      <xdr:rowOff>0</xdr:rowOff>
    </xdr:from>
    <xdr:to>
      <xdr:col>0</xdr:col>
      <xdr:colOff>690283</xdr:colOff>
      <xdr:row>965</xdr:row>
      <xdr:rowOff>286871</xdr:rowOff>
    </xdr:to>
    <xdr:sp macro="" textlink="">
      <xdr:nvSpPr>
        <xdr:cNvPr id="219" name="Rectangle: Rounded Corners 218">
          <a:extLst>
            <a:ext uri="{FF2B5EF4-FFF2-40B4-BE49-F238E27FC236}">
              <a16:creationId xmlns:a16="http://schemas.microsoft.com/office/drawing/2014/main" id="{2F7B1675-E0A5-4A75-A8CD-AC08FD7591B7}"/>
            </a:ext>
          </a:extLst>
        </xdr:cNvPr>
        <xdr:cNvSpPr/>
      </xdr:nvSpPr>
      <xdr:spPr>
        <a:xfrm>
          <a:off x="15609794117" y="20735925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twoCellAnchor>
    <xdr:from>
      <xdr:col>0</xdr:col>
      <xdr:colOff>0</xdr:colOff>
      <xdr:row>1018</xdr:row>
      <xdr:rowOff>0</xdr:rowOff>
    </xdr:from>
    <xdr:to>
      <xdr:col>0</xdr:col>
      <xdr:colOff>690283</xdr:colOff>
      <xdr:row>1018</xdr:row>
      <xdr:rowOff>286871</xdr:rowOff>
    </xdr:to>
    <xdr:sp macro="" textlink="">
      <xdr:nvSpPr>
        <xdr:cNvPr id="220" name="Rectangle: Rounded Corners 219">
          <a:extLst>
            <a:ext uri="{FF2B5EF4-FFF2-40B4-BE49-F238E27FC236}">
              <a16:creationId xmlns:a16="http://schemas.microsoft.com/office/drawing/2014/main" id="{78E37857-228C-4AAC-8541-F88B29CBF223}"/>
            </a:ext>
          </a:extLst>
        </xdr:cNvPr>
        <xdr:cNvSpPr/>
      </xdr:nvSpPr>
      <xdr:spPr>
        <a:xfrm>
          <a:off x="15609794117" y="218732100"/>
          <a:ext cx="690283" cy="286871"/>
        </a:xfrm>
        <a:prstGeom prst="roundRect">
          <a:avLst/>
        </a:prstGeom>
      </xdr:spPr>
      <xdr:style>
        <a:lnRef idx="2">
          <a:schemeClr val="accent5">
            <a:shade val="50000"/>
          </a:schemeClr>
        </a:lnRef>
        <a:fillRef idx="1">
          <a:schemeClr val="accent5"/>
        </a:fillRef>
        <a:effectRef idx="0">
          <a:schemeClr val="accent5"/>
        </a:effectRef>
        <a:fontRef idx="minor">
          <a:schemeClr val="lt1"/>
        </a:fontRef>
      </xdr:style>
      <xdr:txBody>
        <a:bodyPr vertOverflow="clip" horzOverflow="clip" rtlCol="0" anchor="ctr"/>
        <a:lstStyle/>
        <a:p>
          <a:pPr algn="ctr" rtl="1"/>
          <a:r>
            <a:rPr lang="en-US" sz="1100" b="1">
              <a:solidFill>
                <a:sysClr val="windowText" lastClr="000000"/>
              </a:solidFill>
              <a:latin typeface="Times New Roman" panose="02020603050405020304" pitchFamily="18" charset="0"/>
              <a:cs typeface="Times New Roman" panose="02020603050405020304" pitchFamily="18" charset="0"/>
            </a:rPr>
            <a:t>Top </a:t>
          </a:r>
          <a:r>
            <a:rPr lang="en-US" sz="1100" b="1">
              <a:solidFill>
                <a:sysClr val="windowText" lastClr="000000"/>
              </a:solidFill>
              <a:latin typeface="Times New Roman" panose="02020603050405020304" pitchFamily="18" charset="0"/>
              <a:cs typeface="Times New Roman" panose="02020603050405020304" pitchFamily="18" charset="0"/>
              <a:sym typeface="Symbol" panose="05050102010706020507" pitchFamily="18" charset="2"/>
            </a:rPr>
            <a:t></a:t>
          </a:r>
          <a:r>
            <a:rPr lang="en-US" sz="1100" baseline="0"/>
            <a:t> </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1547437</xdr:colOff>
      <xdr:row>3</xdr:row>
      <xdr:rowOff>114558</xdr:rowOff>
    </xdr:to>
    <xdr:sp macro="" textlink="">
      <xdr:nvSpPr>
        <xdr:cNvPr id="14" name="Rectangle: Rounded Corners 13">
          <a:extLst>
            <a:ext uri="{FF2B5EF4-FFF2-40B4-BE49-F238E27FC236}">
              <a16:creationId xmlns:a16="http://schemas.microsoft.com/office/drawing/2014/main" id="{D4359506-5D2B-467B-8013-09337FC8ED98}"/>
            </a:ext>
          </a:extLst>
        </xdr:cNvPr>
        <xdr:cNvSpPr/>
      </xdr:nvSpPr>
      <xdr:spPr>
        <a:xfrm>
          <a:off x="9990881292"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1</xdr:col>
      <xdr:colOff>1548557</xdr:colOff>
      <xdr:row>1</xdr:row>
      <xdr:rowOff>0</xdr:rowOff>
    </xdr:from>
    <xdr:to>
      <xdr:col>2</xdr:col>
      <xdr:colOff>1340191</xdr:colOff>
      <xdr:row>3</xdr:row>
      <xdr:rowOff>114558</xdr:rowOff>
    </xdr:to>
    <xdr:sp macro="" textlink="">
      <xdr:nvSpPr>
        <xdr:cNvPr id="15" name="Rectangle: Rounded Corners 14">
          <a:extLst>
            <a:ext uri="{FF2B5EF4-FFF2-40B4-BE49-F238E27FC236}">
              <a16:creationId xmlns:a16="http://schemas.microsoft.com/office/drawing/2014/main" id="{971F8B44-BDBB-45C6-A6B4-485AEF5B5F88}"/>
            </a:ext>
          </a:extLst>
        </xdr:cNvPr>
        <xdr:cNvSpPr/>
      </xdr:nvSpPr>
      <xdr:spPr>
        <a:xfrm>
          <a:off x="9989322491"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2</xdr:col>
      <xdr:colOff>2904571</xdr:colOff>
      <xdr:row>1</xdr:row>
      <xdr:rowOff>0</xdr:rowOff>
    </xdr:from>
    <xdr:to>
      <xdr:col>2</xdr:col>
      <xdr:colOff>4462081</xdr:colOff>
      <xdr:row>3</xdr:row>
      <xdr:rowOff>114558</xdr:rowOff>
    </xdr:to>
    <xdr:sp macro="" textlink="">
      <xdr:nvSpPr>
        <xdr:cNvPr id="16" name="Rectangle: Rounded Corners 15">
          <a:extLst>
            <a:ext uri="{FF2B5EF4-FFF2-40B4-BE49-F238E27FC236}">
              <a16:creationId xmlns:a16="http://schemas.microsoft.com/office/drawing/2014/main" id="{A1CC6FC2-B3FB-4317-97D9-33400E48E8DF}"/>
            </a:ext>
          </a:extLst>
        </xdr:cNvPr>
        <xdr:cNvSpPr/>
      </xdr:nvSpPr>
      <xdr:spPr>
        <a:xfrm>
          <a:off x="9986200601"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4</xdr:col>
      <xdr:colOff>552831</xdr:colOff>
      <xdr:row>1</xdr:row>
      <xdr:rowOff>0</xdr:rowOff>
    </xdr:from>
    <xdr:to>
      <xdr:col>7</xdr:col>
      <xdr:colOff>275950</xdr:colOff>
      <xdr:row>3</xdr:row>
      <xdr:rowOff>114558</xdr:rowOff>
    </xdr:to>
    <xdr:sp macro="" textlink="">
      <xdr:nvSpPr>
        <xdr:cNvPr id="17" name="Rectangle: Rounded Corners 16">
          <a:extLst>
            <a:ext uri="{FF2B5EF4-FFF2-40B4-BE49-F238E27FC236}">
              <a16:creationId xmlns:a16="http://schemas.microsoft.com/office/drawing/2014/main" id="{53286B44-6F16-461B-A694-5818BD6592BC}"/>
            </a:ext>
          </a:extLst>
        </xdr:cNvPr>
        <xdr:cNvSpPr/>
      </xdr:nvSpPr>
      <xdr:spPr>
        <a:xfrm>
          <a:off x="9983098426"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2</xdr:col>
      <xdr:colOff>4460416</xdr:colOff>
      <xdr:row>1</xdr:row>
      <xdr:rowOff>0</xdr:rowOff>
    </xdr:from>
    <xdr:to>
      <xdr:col>4</xdr:col>
      <xdr:colOff>554247</xdr:colOff>
      <xdr:row>3</xdr:row>
      <xdr:rowOff>114558</xdr:rowOff>
    </xdr:to>
    <xdr:sp macro="" textlink="">
      <xdr:nvSpPr>
        <xdr:cNvPr id="18" name="Rectangle: Rounded Corners 17">
          <a:extLst>
            <a:ext uri="{FF2B5EF4-FFF2-40B4-BE49-F238E27FC236}">
              <a16:creationId xmlns:a16="http://schemas.microsoft.com/office/drawing/2014/main" id="{8CBC0BF1-B6D7-41F6-A9DA-4FA1C38045D8}"/>
            </a:ext>
          </a:extLst>
        </xdr:cNvPr>
        <xdr:cNvSpPr/>
      </xdr:nvSpPr>
      <xdr:spPr>
        <a:xfrm>
          <a:off x="9984648929"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1342460</xdr:colOff>
      <xdr:row>1</xdr:row>
      <xdr:rowOff>0</xdr:rowOff>
    </xdr:from>
    <xdr:to>
      <xdr:col>2</xdr:col>
      <xdr:colOff>2899502</xdr:colOff>
      <xdr:row>3</xdr:row>
      <xdr:rowOff>114558</xdr:rowOff>
    </xdr:to>
    <xdr:sp macro="" textlink="">
      <xdr:nvSpPr>
        <xdr:cNvPr id="19" name="Rectangle: Rounded Corners 18">
          <a:extLst>
            <a:ext uri="{FF2B5EF4-FFF2-40B4-BE49-F238E27FC236}">
              <a16:creationId xmlns:a16="http://schemas.microsoft.com/office/drawing/2014/main" id="{4308748D-C3AC-4DE4-A620-6965F7A042F5}"/>
            </a:ext>
          </a:extLst>
        </xdr:cNvPr>
        <xdr:cNvSpPr/>
      </xdr:nvSpPr>
      <xdr:spPr>
        <a:xfrm>
          <a:off x="9987763180"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7</xdr:col>
      <xdr:colOff>271218</xdr:colOff>
      <xdr:row>1</xdr:row>
      <xdr:rowOff>0</xdr:rowOff>
    </xdr:from>
    <xdr:to>
      <xdr:col>10</xdr:col>
      <xdr:colOff>2727</xdr:colOff>
      <xdr:row>3</xdr:row>
      <xdr:rowOff>114558</xdr:rowOff>
    </xdr:to>
    <xdr:sp macro="" textlink="">
      <xdr:nvSpPr>
        <xdr:cNvPr id="20" name="Rectangle: Rounded Corners 19">
          <a:extLst>
            <a:ext uri="{FF2B5EF4-FFF2-40B4-BE49-F238E27FC236}">
              <a16:creationId xmlns:a16="http://schemas.microsoft.com/office/drawing/2014/main" id="{86205C3C-EF28-4B4E-A189-A940F51D7858}"/>
            </a:ext>
          </a:extLst>
        </xdr:cNvPr>
        <xdr:cNvSpPr/>
      </xdr:nvSpPr>
      <xdr:spPr>
        <a:xfrm>
          <a:off x="9981542849"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1509</xdr:colOff>
      <xdr:row>1</xdr:row>
      <xdr:rowOff>2845</xdr:rowOff>
    </xdr:from>
    <xdr:to>
      <xdr:col>12</xdr:col>
      <xdr:colOff>337150</xdr:colOff>
      <xdr:row>3</xdr:row>
      <xdr:rowOff>117403</xdr:rowOff>
    </xdr:to>
    <xdr:sp macro="" textlink="">
      <xdr:nvSpPr>
        <xdr:cNvPr id="21" name="Rectangle: Rounded Corners 20">
          <a:extLst>
            <a:ext uri="{FF2B5EF4-FFF2-40B4-BE49-F238E27FC236}">
              <a16:creationId xmlns:a16="http://schemas.microsoft.com/office/drawing/2014/main" id="{5F84409D-811B-415F-9C0F-1D1B5027DA30}"/>
            </a:ext>
          </a:extLst>
        </xdr:cNvPr>
        <xdr:cNvSpPr/>
      </xdr:nvSpPr>
      <xdr:spPr>
        <a:xfrm>
          <a:off x="9979989226"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389592</xdr:colOff>
      <xdr:row>3</xdr:row>
      <xdr:rowOff>59489</xdr:rowOff>
    </xdr:to>
    <xdr:sp macro="" textlink="">
      <xdr:nvSpPr>
        <xdr:cNvPr id="8" name="Rectangle: Rounded Corners 7">
          <a:extLst>
            <a:ext uri="{FF2B5EF4-FFF2-40B4-BE49-F238E27FC236}">
              <a16:creationId xmlns:a16="http://schemas.microsoft.com/office/drawing/2014/main" id="{FB879355-4B56-4AC4-9C05-7E0E1FBCFC02}"/>
            </a:ext>
          </a:extLst>
        </xdr:cNvPr>
        <xdr:cNvSpPr/>
      </xdr:nvSpPr>
      <xdr:spPr>
        <a:xfrm>
          <a:off x="9992594191"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390712</xdr:colOff>
      <xdr:row>1</xdr:row>
      <xdr:rowOff>0</xdr:rowOff>
    </xdr:from>
    <xdr:to>
      <xdr:col>2</xdr:col>
      <xdr:colOff>1956112</xdr:colOff>
      <xdr:row>3</xdr:row>
      <xdr:rowOff>59489</xdr:rowOff>
    </xdr:to>
    <xdr:sp macro="" textlink="">
      <xdr:nvSpPr>
        <xdr:cNvPr id="9" name="Rectangle: Rounded Corners 8">
          <a:extLst>
            <a:ext uri="{FF2B5EF4-FFF2-40B4-BE49-F238E27FC236}">
              <a16:creationId xmlns:a16="http://schemas.microsoft.com/office/drawing/2014/main" id="{030BA438-D313-480D-A2F0-FC501E0C104A}"/>
            </a:ext>
          </a:extLst>
        </xdr:cNvPr>
        <xdr:cNvSpPr/>
      </xdr:nvSpPr>
      <xdr:spPr>
        <a:xfrm>
          <a:off x="9991035390"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600152</xdr:colOff>
      <xdr:row>1</xdr:row>
      <xdr:rowOff>0</xdr:rowOff>
    </xdr:from>
    <xdr:to>
      <xdr:col>6</xdr:col>
      <xdr:colOff>554529</xdr:colOff>
      <xdr:row>3</xdr:row>
      <xdr:rowOff>59489</xdr:rowOff>
    </xdr:to>
    <xdr:sp macro="" textlink="">
      <xdr:nvSpPr>
        <xdr:cNvPr id="10" name="Rectangle: Rounded Corners 9">
          <a:extLst>
            <a:ext uri="{FF2B5EF4-FFF2-40B4-BE49-F238E27FC236}">
              <a16:creationId xmlns:a16="http://schemas.microsoft.com/office/drawing/2014/main" id="{6C2D4EC5-D3EE-4306-B7AA-3DC21F68329D}"/>
            </a:ext>
          </a:extLst>
        </xdr:cNvPr>
        <xdr:cNvSpPr/>
      </xdr:nvSpPr>
      <xdr:spPr>
        <a:xfrm>
          <a:off x="9987913500"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8</xdr:col>
      <xdr:colOff>311932</xdr:colOff>
      <xdr:row>1</xdr:row>
      <xdr:rowOff>0</xdr:rowOff>
    </xdr:from>
    <xdr:to>
      <xdr:col>10</xdr:col>
      <xdr:colOff>404291</xdr:colOff>
      <xdr:row>3</xdr:row>
      <xdr:rowOff>59489</xdr:rowOff>
    </xdr:to>
    <xdr:sp macro="" textlink="">
      <xdr:nvSpPr>
        <xdr:cNvPr id="11" name="Rectangle: Rounded Corners 10">
          <a:extLst>
            <a:ext uri="{FF2B5EF4-FFF2-40B4-BE49-F238E27FC236}">
              <a16:creationId xmlns:a16="http://schemas.microsoft.com/office/drawing/2014/main" id="{BC4DDD25-C666-4765-9ED1-042511AACEC7}"/>
            </a:ext>
          </a:extLst>
        </xdr:cNvPr>
        <xdr:cNvSpPr/>
      </xdr:nvSpPr>
      <xdr:spPr>
        <a:xfrm>
          <a:off x="9984811325"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552864</xdr:colOff>
      <xdr:row>1</xdr:row>
      <xdr:rowOff>0</xdr:rowOff>
    </xdr:from>
    <xdr:to>
      <xdr:col>8</xdr:col>
      <xdr:colOff>313348</xdr:colOff>
      <xdr:row>3</xdr:row>
      <xdr:rowOff>59489</xdr:rowOff>
    </xdr:to>
    <xdr:sp macro="" textlink="">
      <xdr:nvSpPr>
        <xdr:cNvPr id="12" name="Rectangle: Rounded Corners 11">
          <a:extLst>
            <a:ext uri="{FF2B5EF4-FFF2-40B4-BE49-F238E27FC236}">
              <a16:creationId xmlns:a16="http://schemas.microsoft.com/office/drawing/2014/main" id="{05E1FA80-0B8D-4280-A7A9-0A8C63621113}"/>
            </a:ext>
          </a:extLst>
        </xdr:cNvPr>
        <xdr:cNvSpPr/>
      </xdr:nvSpPr>
      <xdr:spPr>
        <a:xfrm>
          <a:off x="9986361828"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1958381</xdr:colOff>
      <xdr:row>1</xdr:row>
      <xdr:rowOff>0</xdr:rowOff>
    </xdr:from>
    <xdr:to>
      <xdr:col>4</xdr:col>
      <xdr:colOff>595083</xdr:colOff>
      <xdr:row>3</xdr:row>
      <xdr:rowOff>59489</xdr:rowOff>
    </xdr:to>
    <xdr:sp macro="" textlink="">
      <xdr:nvSpPr>
        <xdr:cNvPr id="13" name="Rectangle: Rounded Corners 12">
          <a:extLst>
            <a:ext uri="{FF2B5EF4-FFF2-40B4-BE49-F238E27FC236}">
              <a16:creationId xmlns:a16="http://schemas.microsoft.com/office/drawing/2014/main" id="{4EA52E2B-D01C-4B5E-B159-E890172368FF}"/>
            </a:ext>
          </a:extLst>
        </xdr:cNvPr>
        <xdr:cNvSpPr/>
      </xdr:nvSpPr>
      <xdr:spPr>
        <a:xfrm>
          <a:off x="9989476079"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10</xdr:col>
      <xdr:colOff>399559</xdr:colOff>
      <xdr:row>1</xdr:row>
      <xdr:rowOff>0</xdr:rowOff>
    </xdr:from>
    <xdr:to>
      <xdr:col>12</xdr:col>
      <xdr:colOff>564744</xdr:colOff>
      <xdr:row>3</xdr:row>
      <xdr:rowOff>59489</xdr:rowOff>
    </xdr:to>
    <xdr:sp macro="" textlink="">
      <xdr:nvSpPr>
        <xdr:cNvPr id="20" name="Rectangle: Rounded Corners 19">
          <a:extLst>
            <a:ext uri="{FF2B5EF4-FFF2-40B4-BE49-F238E27FC236}">
              <a16:creationId xmlns:a16="http://schemas.microsoft.com/office/drawing/2014/main" id="{C616482D-D843-4149-B223-544F076A7604}"/>
            </a:ext>
          </a:extLst>
        </xdr:cNvPr>
        <xdr:cNvSpPr/>
      </xdr:nvSpPr>
      <xdr:spPr>
        <a:xfrm>
          <a:off x="9983255748"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12</xdr:col>
      <xdr:colOff>563526</xdr:colOff>
      <xdr:row>1</xdr:row>
      <xdr:rowOff>2845</xdr:rowOff>
    </xdr:from>
    <xdr:to>
      <xdr:col>14</xdr:col>
      <xdr:colOff>254348</xdr:colOff>
      <xdr:row>3</xdr:row>
      <xdr:rowOff>62334</xdr:rowOff>
    </xdr:to>
    <xdr:sp macro="" textlink="">
      <xdr:nvSpPr>
        <xdr:cNvPr id="21" name="Rectangle: Rounded Corners 20">
          <a:extLst>
            <a:ext uri="{FF2B5EF4-FFF2-40B4-BE49-F238E27FC236}">
              <a16:creationId xmlns:a16="http://schemas.microsoft.com/office/drawing/2014/main" id="{C0478941-338F-4684-8F38-5F26F7A65BDD}"/>
            </a:ext>
          </a:extLst>
        </xdr:cNvPr>
        <xdr:cNvSpPr/>
      </xdr:nvSpPr>
      <xdr:spPr>
        <a:xfrm>
          <a:off x="9981702125"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328237</xdr:colOff>
      <xdr:row>3</xdr:row>
      <xdr:rowOff>59489</xdr:rowOff>
    </xdr:to>
    <xdr:sp macro="" textlink="">
      <xdr:nvSpPr>
        <xdr:cNvPr id="8" name="Rectangle: Rounded Corners 7">
          <a:extLst>
            <a:ext uri="{FF2B5EF4-FFF2-40B4-BE49-F238E27FC236}">
              <a16:creationId xmlns:a16="http://schemas.microsoft.com/office/drawing/2014/main" id="{9E3113E5-298B-458F-A9BD-434361E4CB8C}"/>
            </a:ext>
          </a:extLst>
        </xdr:cNvPr>
        <xdr:cNvSpPr/>
      </xdr:nvSpPr>
      <xdr:spPr>
        <a:xfrm>
          <a:off x="10170945735"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329357</xdr:colOff>
      <xdr:row>1</xdr:row>
      <xdr:rowOff>0</xdr:rowOff>
    </xdr:from>
    <xdr:to>
      <xdr:col>3</xdr:col>
      <xdr:colOff>395695</xdr:colOff>
      <xdr:row>3</xdr:row>
      <xdr:rowOff>59489</xdr:rowOff>
    </xdr:to>
    <xdr:sp macro="" textlink="">
      <xdr:nvSpPr>
        <xdr:cNvPr id="9" name="Rectangle: Rounded Corners 8">
          <a:extLst>
            <a:ext uri="{FF2B5EF4-FFF2-40B4-BE49-F238E27FC236}">
              <a16:creationId xmlns:a16="http://schemas.microsoft.com/office/drawing/2014/main" id="{24ECCA83-8B4D-41D8-B518-FC3DDC787EAE}"/>
            </a:ext>
          </a:extLst>
        </xdr:cNvPr>
        <xdr:cNvSpPr/>
      </xdr:nvSpPr>
      <xdr:spPr>
        <a:xfrm>
          <a:off x="10169386934"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1089218</xdr:colOff>
      <xdr:row>1</xdr:row>
      <xdr:rowOff>0</xdr:rowOff>
    </xdr:from>
    <xdr:to>
      <xdr:col>4</xdr:col>
      <xdr:colOff>2646728</xdr:colOff>
      <xdr:row>3</xdr:row>
      <xdr:rowOff>59489</xdr:rowOff>
    </xdr:to>
    <xdr:sp macro="" textlink="">
      <xdr:nvSpPr>
        <xdr:cNvPr id="10" name="Rectangle: Rounded Corners 9">
          <a:extLst>
            <a:ext uri="{FF2B5EF4-FFF2-40B4-BE49-F238E27FC236}">
              <a16:creationId xmlns:a16="http://schemas.microsoft.com/office/drawing/2014/main" id="{3E6AC0A1-8589-4EF6-84BC-D78E83B9F679}"/>
            </a:ext>
          </a:extLst>
        </xdr:cNvPr>
        <xdr:cNvSpPr/>
      </xdr:nvSpPr>
      <xdr:spPr>
        <a:xfrm>
          <a:off x="10166265044"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550269</xdr:colOff>
      <xdr:row>1</xdr:row>
      <xdr:rowOff>0</xdr:rowOff>
    </xdr:from>
    <xdr:to>
      <xdr:col>8</xdr:col>
      <xdr:colOff>414903</xdr:colOff>
      <xdr:row>3</xdr:row>
      <xdr:rowOff>59489</xdr:rowOff>
    </xdr:to>
    <xdr:sp macro="" textlink="">
      <xdr:nvSpPr>
        <xdr:cNvPr id="11" name="Rectangle: Rounded Corners 10">
          <a:extLst>
            <a:ext uri="{FF2B5EF4-FFF2-40B4-BE49-F238E27FC236}">
              <a16:creationId xmlns:a16="http://schemas.microsoft.com/office/drawing/2014/main" id="{F67FC790-F2B5-4981-899E-7ACC4F08CEF5}"/>
            </a:ext>
          </a:extLst>
        </xdr:cNvPr>
        <xdr:cNvSpPr/>
      </xdr:nvSpPr>
      <xdr:spPr>
        <a:xfrm>
          <a:off x="10163162869"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4</xdr:col>
      <xdr:colOff>2645063</xdr:colOff>
      <xdr:row>1</xdr:row>
      <xdr:rowOff>0</xdr:rowOff>
    </xdr:from>
    <xdr:to>
      <xdr:col>6</xdr:col>
      <xdr:colOff>551685</xdr:colOff>
      <xdr:row>3</xdr:row>
      <xdr:rowOff>59489</xdr:rowOff>
    </xdr:to>
    <xdr:sp macro="" textlink="">
      <xdr:nvSpPr>
        <xdr:cNvPr id="12" name="Rectangle: Rounded Corners 11">
          <a:extLst>
            <a:ext uri="{FF2B5EF4-FFF2-40B4-BE49-F238E27FC236}">
              <a16:creationId xmlns:a16="http://schemas.microsoft.com/office/drawing/2014/main" id="{1FDAFF7D-B50B-4F7D-852D-AEABC342E271}"/>
            </a:ext>
          </a:extLst>
        </xdr:cNvPr>
        <xdr:cNvSpPr/>
      </xdr:nvSpPr>
      <xdr:spPr>
        <a:xfrm>
          <a:off x="10164713372"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397964</xdr:colOff>
      <xdr:row>1</xdr:row>
      <xdr:rowOff>0</xdr:rowOff>
    </xdr:from>
    <xdr:to>
      <xdr:col>4</xdr:col>
      <xdr:colOff>1084149</xdr:colOff>
      <xdr:row>3</xdr:row>
      <xdr:rowOff>59489</xdr:rowOff>
    </xdr:to>
    <xdr:sp macro="" textlink="">
      <xdr:nvSpPr>
        <xdr:cNvPr id="13" name="Rectangle: Rounded Corners 12">
          <a:extLst>
            <a:ext uri="{FF2B5EF4-FFF2-40B4-BE49-F238E27FC236}">
              <a16:creationId xmlns:a16="http://schemas.microsoft.com/office/drawing/2014/main" id="{7A3A8FDE-7ADE-4333-9A1D-54CA40A92C38}"/>
            </a:ext>
          </a:extLst>
        </xdr:cNvPr>
        <xdr:cNvSpPr/>
      </xdr:nvSpPr>
      <xdr:spPr>
        <a:xfrm>
          <a:off x="10167827623"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410171</xdr:colOff>
      <xdr:row>1</xdr:row>
      <xdr:rowOff>0</xdr:rowOff>
    </xdr:from>
    <xdr:to>
      <xdr:col>9</xdr:col>
      <xdr:colOff>696851</xdr:colOff>
      <xdr:row>3</xdr:row>
      <xdr:rowOff>59489</xdr:rowOff>
    </xdr:to>
    <xdr:sp macro="" textlink="">
      <xdr:nvSpPr>
        <xdr:cNvPr id="20" name="Rectangle: Rounded Corners 19">
          <a:extLst>
            <a:ext uri="{FF2B5EF4-FFF2-40B4-BE49-F238E27FC236}">
              <a16:creationId xmlns:a16="http://schemas.microsoft.com/office/drawing/2014/main" id="{CCF1DA1E-C80A-4F66-B14E-A1280FCDFD80}"/>
            </a:ext>
          </a:extLst>
        </xdr:cNvPr>
        <xdr:cNvSpPr/>
      </xdr:nvSpPr>
      <xdr:spPr>
        <a:xfrm>
          <a:off x="10161607292"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695633</xdr:colOff>
      <xdr:row>1</xdr:row>
      <xdr:rowOff>2845</xdr:rowOff>
    </xdr:from>
    <xdr:to>
      <xdr:col>11</xdr:col>
      <xdr:colOff>225731</xdr:colOff>
      <xdr:row>3</xdr:row>
      <xdr:rowOff>62334</xdr:rowOff>
    </xdr:to>
    <xdr:sp macro="" textlink="">
      <xdr:nvSpPr>
        <xdr:cNvPr id="21" name="Rectangle: Rounded Corners 20">
          <a:extLst>
            <a:ext uri="{FF2B5EF4-FFF2-40B4-BE49-F238E27FC236}">
              <a16:creationId xmlns:a16="http://schemas.microsoft.com/office/drawing/2014/main" id="{EE108B3B-B773-44A6-A9D1-0793BDB25799}"/>
            </a:ext>
          </a:extLst>
        </xdr:cNvPr>
        <xdr:cNvSpPr/>
      </xdr:nvSpPr>
      <xdr:spPr>
        <a:xfrm>
          <a:off x="10160053669"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643922</xdr:colOff>
      <xdr:row>3</xdr:row>
      <xdr:rowOff>59489</xdr:rowOff>
    </xdr:to>
    <xdr:sp macro="" textlink="">
      <xdr:nvSpPr>
        <xdr:cNvPr id="8" name="Rectangle: Rounded Corners 7">
          <a:extLst>
            <a:ext uri="{FF2B5EF4-FFF2-40B4-BE49-F238E27FC236}">
              <a16:creationId xmlns:a16="http://schemas.microsoft.com/office/drawing/2014/main" id="{32C2251A-4E00-48AF-A692-C7042BC792E7}"/>
            </a:ext>
          </a:extLst>
        </xdr:cNvPr>
        <xdr:cNvSpPr/>
      </xdr:nvSpPr>
      <xdr:spPr>
        <a:xfrm>
          <a:off x="10169878935"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645042</xdr:colOff>
      <xdr:row>1</xdr:row>
      <xdr:rowOff>0</xdr:rowOff>
    </xdr:from>
    <xdr:to>
      <xdr:col>3</xdr:col>
      <xdr:colOff>1048838</xdr:colOff>
      <xdr:row>3</xdr:row>
      <xdr:rowOff>59489</xdr:rowOff>
    </xdr:to>
    <xdr:sp macro="" textlink="">
      <xdr:nvSpPr>
        <xdr:cNvPr id="9" name="Rectangle: Rounded Corners 8">
          <a:extLst>
            <a:ext uri="{FF2B5EF4-FFF2-40B4-BE49-F238E27FC236}">
              <a16:creationId xmlns:a16="http://schemas.microsoft.com/office/drawing/2014/main" id="{18E63FD7-511B-462C-8D06-C012E404916A}"/>
            </a:ext>
          </a:extLst>
        </xdr:cNvPr>
        <xdr:cNvSpPr/>
      </xdr:nvSpPr>
      <xdr:spPr>
        <a:xfrm>
          <a:off x="10168320134"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129353</xdr:colOff>
      <xdr:row>1</xdr:row>
      <xdr:rowOff>0</xdr:rowOff>
    </xdr:from>
    <xdr:to>
      <xdr:col>5</xdr:col>
      <xdr:colOff>906934</xdr:colOff>
      <xdr:row>3</xdr:row>
      <xdr:rowOff>59489</xdr:rowOff>
    </xdr:to>
    <xdr:sp macro="" textlink="">
      <xdr:nvSpPr>
        <xdr:cNvPr id="10" name="Rectangle: Rounded Corners 9">
          <a:extLst>
            <a:ext uri="{FF2B5EF4-FFF2-40B4-BE49-F238E27FC236}">
              <a16:creationId xmlns:a16="http://schemas.microsoft.com/office/drawing/2014/main" id="{844C19E6-40CC-484C-A8DD-165F7944DD85}"/>
            </a:ext>
          </a:extLst>
        </xdr:cNvPr>
        <xdr:cNvSpPr/>
      </xdr:nvSpPr>
      <xdr:spPr>
        <a:xfrm>
          <a:off x="10165198244"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411957</xdr:colOff>
      <xdr:row>1</xdr:row>
      <xdr:rowOff>0</xdr:rowOff>
    </xdr:from>
    <xdr:to>
      <xdr:col>8</xdr:col>
      <xdr:colOff>940619</xdr:colOff>
      <xdr:row>3</xdr:row>
      <xdr:rowOff>59489</xdr:rowOff>
    </xdr:to>
    <xdr:sp macro="" textlink="">
      <xdr:nvSpPr>
        <xdr:cNvPr id="11" name="Rectangle: Rounded Corners 10">
          <a:extLst>
            <a:ext uri="{FF2B5EF4-FFF2-40B4-BE49-F238E27FC236}">
              <a16:creationId xmlns:a16="http://schemas.microsoft.com/office/drawing/2014/main" id="{7CF1D86C-B9D1-4980-8273-2011BC31AC6E}"/>
            </a:ext>
          </a:extLst>
        </xdr:cNvPr>
        <xdr:cNvSpPr/>
      </xdr:nvSpPr>
      <xdr:spPr>
        <a:xfrm>
          <a:off x="10162096069"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905269</xdr:colOff>
      <xdr:row>1</xdr:row>
      <xdr:rowOff>0</xdr:rowOff>
    </xdr:from>
    <xdr:to>
      <xdr:col>7</xdr:col>
      <xdr:colOff>413373</xdr:colOff>
      <xdr:row>3</xdr:row>
      <xdr:rowOff>59489</xdr:rowOff>
    </xdr:to>
    <xdr:sp macro="" textlink="">
      <xdr:nvSpPr>
        <xdr:cNvPr id="12" name="Rectangle: Rounded Corners 11">
          <a:extLst>
            <a:ext uri="{FF2B5EF4-FFF2-40B4-BE49-F238E27FC236}">
              <a16:creationId xmlns:a16="http://schemas.microsoft.com/office/drawing/2014/main" id="{96F6FB46-16DA-4DE2-97B3-60AF696A6138}"/>
            </a:ext>
          </a:extLst>
        </xdr:cNvPr>
        <xdr:cNvSpPr/>
      </xdr:nvSpPr>
      <xdr:spPr>
        <a:xfrm>
          <a:off x="10163646572"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1051107</xdr:colOff>
      <xdr:row>1</xdr:row>
      <xdr:rowOff>0</xdr:rowOff>
    </xdr:from>
    <xdr:to>
      <xdr:col>4</xdr:col>
      <xdr:colOff>124284</xdr:colOff>
      <xdr:row>3</xdr:row>
      <xdr:rowOff>59489</xdr:rowOff>
    </xdr:to>
    <xdr:sp macro="" textlink="">
      <xdr:nvSpPr>
        <xdr:cNvPr id="13" name="Rectangle: Rounded Corners 12">
          <a:extLst>
            <a:ext uri="{FF2B5EF4-FFF2-40B4-BE49-F238E27FC236}">
              <a16:creationId xmlns:a16="http://schemas.microsoft.com/office/drawing/2014/main" id="{1941C806-70ED-4E77-A1CE-CAA718373488}"/>
            </a:ext>
          </a:extLst>
        </xdr:cNvPr>
        <xdr:cNvSpPr/>
      </xdr:nvSpPr>
      <xdr:spPr>
        <a:xfrm>
          <a:off x="10166760823"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935887</xdr:colOff>
      <xdr:row>1</xdr:row>
      <xdr:rowOff>0</xdr:rowOff>
    </xdr:from>
    <xdr:to>
      <xdr:col>10</xdr:col>
      <xdr:colOff>210196</xdr:colOff>
      <xdr:row>3</xdr:row>
      <xdr:rowOff>59489</xdr:rowOff>
    </xdr:to>
    <xdr:sp macro="" textlink="">
      <xdr:nvSpPr>
        <xdr:cNvPr id="20" name="Rectangle: Rounded Corners 19">
          <a:extLst>
            <a:ext uri="{FF2B5EF4-FFF2-40B4-BE49-F238E27FC236}">
              <a16:creationId xmlns:a16="http://schemas.microsoft.com/office/drawing/2014/main" id="{758E599D-5C6C-4BAE-984B-B59E33A8D9BC}"/>
            </a:ext>
          </a:extLst>
        </xdr:cNvPr>
        <xdr:cNvSpPr/>
      </xdr:nvSpPr>
      <xdr:spPr>
        <a:xfrm>
          <a:off x="10160540492"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208978</xdr:colOff>
      <xdr:row>1</xdr:row>
      <xdr:rowOff>2845</xdr:rowOff>
    </xdr:from>
    <xdr:to>
      <xdr:col>11</xdr:col>
      <xdr:colOff>544619</xdr:colOff>
      <xdr:row>3</xdr:row>
      <xdr:rowOff>62334</xdr:rowOff>
    </xdr:to>
    <xdr:sp macro="" textlink="">
      <xdr:nvSpPr>
        <xdr:cNvPr id="21" name="Rectangle: Rounded Corners 20">
          <a:extLst>
            <a:ext uri="{FF2B5EF4-FFF2-40B4-BE49-F238E27FC236}">
              <a16:creationId xmlns:a16="http://schemas.microsoft.com/office/drawing/2014/main" id="{1B7CA9E2-B10A-416D-8EDD-FEC5F01E1DA6}"/>
            </a:ext>
          </a:extLst>
        </xdr:cNvPr>
        <xdr:cNvSpPr/>
      </xdr:nvSpPr>
      <xdr:spPr>
        <a:xfrm>
          <a:off x="10158986869"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640721</xdr:colOff>
      <xdr:row>3</xdr:row>
      <xdr:rowOff>59489</xdr:rowOff>
    </xdr:to>
    <xdr:sp macro="" textlink="">
      <xdr:nvSpPr>
        <xdr:cNvPr id="14" name="Rectangle: Rounded Corners 13">
          <a:extLst>
            <a:ext uri="{FF2B5EF4-FFF2-40B4-BE49-F238E27FC236}">
              <a16:creationId xmlns:a16="http://schemas.microsoft.com/office/drawing/2014/main" id="{4E31970F-482C-4A5C-B528-0CFE7A1E4CC9}"/>
            </a:ext>
          </a:extLst>
        </xdr:cNvPr>
        <xdr:cNvSpPr/>
      </xdr:nvSpPr>
      <xdr:spPr>
        <a:xfrm>
          <a:off x="10172132278"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641841</xdr:colOff>
      <xdr:row>1</xdr:row>
      <xdr:rowOff>0</xdr:rowOff>
    </xdr:from>
    <xdr:to>
      <xdr:col>2</xdr:col>
      <xdr:colOff>2199522</xdr:colOff>
      <xdr:row>3</xdr:row>
      <xdr:rowOff>59489</xdr:rowOff>
    </xdr:to>
    <xdr:sp macro="" textlink="">
      <xdr:nvSpPr>
        <xdr:cNvPr id="15" name="Rectangle: Rounded Corners 14">
          <a:extLst>
            <a:ext uri="{FF2B5EF4-FFF2-40B4-BE49-F238E27FC236}">
              <a16:creationId xmlns:a16="http://schemas.microsoft.com/office/drawing/2014/main" id="{675F714A-1557-4383-B7EE-F58F13DD0C2F}"/>
            </a:ext>
          </a:extLst>
        </xdr:cNvPr>
        <xdr:cNvSpPr/>
      </xdr:nvSpPr>
      <xdr:spPr>
        <a:xfrm>
          <a:off x="10170573477"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3</xdr:col>
      <xdr:colOff>719103</xdr:colOff>
      <xdr:row>1</xdr:row>
      <xdr:rowOff>0</xdr:rowOff>
    </xdr:from>
    <xdr:to>
      <xdr:col>5</xdr:col>
      <xdr:colOff>529777</xdr:colOff>
      <xdr:row>3</xdr:row>
      <xdr:rowOff>59489</xdr:rowOff>
    </xdr:to>
    <xdr:sp macro="" textlink="">
      <xdr:nvSpPr>
        <xdr:cNvPr id="16" name="Rectangle: Rounded Corners 15">
          <a:extLst>
            <a:ext uri="{FF2B5EF4-FFF2-40B4-BE49-F238E27FC236}">
              <a16:creationId xmlns:a16="http://schemas.microsoft.com/office/drawing/2014/main" id="{747849EF-F5D2-4412-B4F2-F89E8974582E}"/>
            </a:ext>
          </a:extLst>
        </xdr:cNvPr>
        <xdr:cNvSpPr/>
      </xdr:nvSpPr>
      <xdr:spPr>
        <a:xfrm>
          <a:off x="10167451587"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600856</xdr:colOff>
      <xdr:row>1</xdr:row>
      <xdr:rowOff>0</xdr:rowOff>
    </xdr:from>
    <xdr:to>
      <xdr:col>8</xdr:col>
      <xdr:colOff>225364</xdr:colOff>
      <xdr:row>3</xdr:row>
      <xdr:rowOff>59489</xdr:rowOff>
    </xdr:to>
    <xdr:sp macro="" textlink="">
      <xdr:nvSpPr>
        <xdr:cNvPr id="17" name="Rectangle: Rounded Corners 16">
          <a:extLst>
            <a:ext uri="{FF2B5EF4-FFF2-40B4-BE49-F238E27FC236}">
              <a16:creationId xmlns:a16="http://schemas.microsoft.com/office/drawing/2014/main" id="{26EAA86A-48A1-48F4-A8A2-0A7AD4B59914}"/>
            </a:ext>
          </a:extLst>
        </xdr:cNvPr>
        <xdr:cNvSpPr/>
      </xdr:nvSpPr>
      <xdr:spPr>
        <a:xfrm>
          <a:off x="10164349412"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528112</xdr:colOff>
      <xdr:row>1</xdr:row>
      <xdr:rowOff>0</xdr:rowOff>
    </xdr:from>
    <xdr:to>
      <xdr:col>6</xdr:col>
      <xdr:colOff>602272</xdr:colOff>
      <xdr:row>3</xdr:row>
      <xdr:rowOff>59489</xdr:rowOff>
    </xdr:to>
    <xdr:sp macro="" textlink="">
      <xdr:nvSpPr>
        <xdr:cNvPr id="18" name="Rectangle: Rounded Corners 17">
          <a:extLst>
            <a:ext uri="{FF2B5EF4-FFF2-40B4-BE49-F238E27FC236}">
              <a16:creationId xmlns:a16="http://schemas.microsoft.com/office/drawing/2014/main" id="{8679E26A-AED9-4235-8A06-1A5EB720A1B9}"/>
            </a:ext>
          </a:extLst>
        </xdr:cNvPr>
        <xdr:cNvSpPr/>
      </xdr:nvSpPr>
      <xdr:spPr>
        <a:xfrm>
          <a:off x="10165899915"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2201791</xdr:colOff>
      <xdr:row>1</xdr:row>
      <xdr:rowOff>0</xdr:rowOff>
    </xdr:from>
    <xdr:to>
      <xdr:col>3</xdr:col>
      <xdr:colOff>714034</xdr:colOff>
      <xdr:row>3</xdr:row>
      <xdr:rowOff>59489</xdr:rowOff>
    </xdr:to>
    <xdr:sp macro="" textlink="">
      <xdr:nvSpPr>
        <xdr:cNvPr id="19" name="Rectangle: Rounded Corners 18">
          <a:extLst>
            <a:ext uri="{FF2B5EF4-FFF2-40B4-BE49-F238E27FC236}">
              <a16:creationId xmlns:a16="http://schemas.microsoft.com/office/drawing/2014/main" id="{B65F246C-2365-478D-B171-BAB6D656F6CB}"/>
            </a:ext>
          </a:extLst>
        </xdr:cNvPr>
        <xdr:cNvSpPr/>
      </xdr:nvSpPr>
      <xdr:spPr>
        <a:xfrm>
          <a:off x="10169014166"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220632</xdr:colOff>
      <xdr:row>1</xdr:row>
      <xdr:rowOff>0</xdr:rowOff>
    </xdr:from>
    <xdr:to>
      <xdr:col>9</xdr:col>
      <xdr:colOff>880627</xdr:colOff>
      <xdr:row>3</xdr:row>
      <xdr:rowOff>59489</xdr:rowOff>
    </xdr:to>
    <xdr:sp macro="" textlink="">
      <xdr:nvSpPr>
        <xdr:cNvPr id="20" name="Rectangle: Rounded Corners 19">
          <a:extLst>
            <a:ext uri="{FF2B5EF4-FFF2-40B4-BE49-F238E27FC236}">
              <a16:creationId xmlns:a16="http://schemas.microsoft.com/office/drawing/2014/main" id="{C92550AA-77C7-43B8-BADA-D15FA4DDEC40}"/>
            </a:ext>
          </a:extLst>
        </xdr:cNvPr>
        <xdr:cNvSpPr/>
      </xdr:nvSpPr>
      <xdr:spPr>
        <a:xfrm>
          <a:off x="10162793835"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879409</xdr:colOff>
      <xdr:row>1</xdr:row>
      <xdr:rowOff>2845</xdr:rowOff>
    </xdr:from>
    <xdr:to>
      <xdr:col>11</xdr:col>
      <xdr:colOff>511962</xdr:colOff>
      <xdr:row>3</xdr:row>
      <xdr:rowOff>62334</xdr:rowOff>
    </xdr:to>
    <xdr:sp macro="" textlink="">
      <xdr:nvSpPr>
        <xdr:cNvPr id="21" name="Rectangle: Rounded Corners 20">
          <a:extLst>
            <a:ext uri="{FF2B5EF4-FFF2-40B4-BE49-F238E27FC236}">
              <a16:creationId xmlns:a16="http://schemas.microsoft.com/office/drawing/2014/main" id="{368F4C85-B551-41E2-B918-59CD7AC70B4E}"/>
            </a:ext>
          </a:extLst>
        </xdr:cNvPr>
        <xdr:cNvSpPr/>
      </xdr:nvSpPr>
      <xdr:spPr>
        <a:xfrm>
          <a:off x="10161240212"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622151</xdr:colOff>
      <xdr:row>3</xdr:row>
      <xdr:rowOff>59489</xdr:rowOff>
    </xdr:to>
    <xdr:sp macro="" textlink="">
      <xdr:nvSpPr>
        <xdr:cNvPr id="8" name="Rectangle: Rounded Corners 7">
          <a:extLst>
            <a:ext uri="{FF2B5EF4-FFF2-40B4-BE49-F238E27FC236}">
              <a16:creationId xmlns:a16="http://schemas.microsoft.com/office/drawing/2014/main" id="{E43AC89A-40A9-4E61-9DDE-A6718F3FA054}"/>
            </a:ext>
          </a:extLst>
        </xdr:cNvPr>
        <xdr:cNvSpPr/>
      </xdr:nvSpPr>
      <xdr:spPr>
        <a:xfrm>
          <a:off x="10171196106"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623271</xdr:colOff>
      <xdr:row>1</xdr:row>
      <xdr:rowOff>0</xdr:rowOff>
    </xdr:from>
    <xdr:to>
      <xdr:col>3</xdr:col>
      <xdr:colOff>38387</xdr:colOff>
      <xdr:row>3</xdr:row>
      <xdr:rowOff>59489</xdr:rowOff>
    </xdr:to>
    <xdr:sp macro="" textlink="">
      <xdr:nvSpPr>
        <xdr:cNvPr id="9" name="Rectangle: Rounded Corners 8">
          <a:extLst>
            <a:ext uri="{FF2B5EF4-FFF2-40B4-BE49-F238E27FC236}">
              <a16:creationId xmlns:a16="http://schemas.microsoft.com/office/drawing/2014/main" id="{F1220D91-7823-4F9A-91BB-C4F2DDD05CB6}"/>
            </a:ext>
          </a:extLst>
        </xdr:cNvPr>
        <xdr:cNvSpPr/>
      </xdr:nvSpPr>
      <xdr:spPr>
        <a:xfrm>
          <a:off x="10169637305"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402777</xdr:colOff>
      <xdr:row>1</xdr:row>
      <xdr:rowOff>0</xdr:rowOff>
    </xdr:from>
    <xdr:to>
      <xdr:col>5</xdr:col>
      <xdr:colOff>769902</xdr:colOff>
      <xdr:row>3</xdr:row>
      <xdr:rowOff>59489</xdr:rowOff>
    </xdr:to>
    <xdr:sp macro="" textlink="">
      <xdr:nvSpPr>
        <xdr:cNvPr id="10" name="Rectangle: Rounded Corners 9">
          <a:extLst>
            <a:ext uri="{FF2B5EF4-FFF2-40B4-BE49-F238E27FC236}">
              <a16:creationId xmlns:a16="http://schemas.microsoft.com/office/drawing/2014/main" id="{2C94A890-66DF-459D-9D21-2B437AB95A2D}"/>
            </a:ext>
          </a:extLst>
        </xdr:cNvPr>
        <xdr:cNvSpPr/>
      </xdr:nvSpPr>
      <xdr:spPr>
        <a:xfrm>
          <a:off x="10166515415"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552190</xdr:colOff>
      <xdr:row>1</xdr:row>
      <xdr:rowOff>0</xdr:rowOff>
    </xdr:from>
    <xdr:to>
      <xdr:col>9</xdr:col>
      <xdr:colOff>136356</xdr:colOff>
      <xdr:row>3</xdr:row>
      <xdr:rowOff>59489</xdr:rowOff>
    </xdr:to>
    <xdr:sp macro="" textlink="">
      <xdr:nvSpPr>
        <xdr:cNvPr id="11" name="Rectangle: Rounded Corners 10">
          <a:extLst>
            <a:ext uri="{FF2B5EF4-FFF2-40B4-BE49-F238E27FC236}">
              <a16:creationId xmlns:a16="http://schemas.microsoft.com/office/drawing/2014/main" id="{CE1280E2-A2D1-4D3B-85A3-AD1F16C53573}"/>
            </a:ext>
          </a:extLst>
        </xdr:cNvPr>
        <xdr:cNvSpPr/>
      </xdr:nvSpPr>
      <xdr:spPr>
        <a:xfrm>
          <a:off x="10163413240"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768237</xdr:colOff>
      <xdr:row>1</xdr:row>
      <xdr:rowOff>0</xdr:rowOff>
    </xdr:from>
    <xdr:to>
      <xdr:col>7</xdr:col>
      <xdr:colOff>553606</xdr:colOff>
      <xdr:row>3</xdr:row>
      <xdr:rowOff>59489</xdr:rowOff>
    </xdr:to>
    <xdr:sp macro="" textlink="">
      <xdr:nvSpPr>
        <xdr:cNvPr id="12" name="Rectangle: Rounded Corners 11">
          <a:extLst>
            <a:ext uri="{FF2B5EF4-FFF2-40B4-BE49-F238E27FC236}">
              <a16:creationId xmlns:a16="http://schemas.microsoft.com/office/drawing/2014/main" id="{739EC2ED-D538-47DF-BF06-7628A4BD8D8F}"/>
            </a:ext>
          </a:extLst>
        </xdr:cNvPr>
        <xdr:cNvSpPr/>
      </xdr:nvSpPr>
      <xdr:spPr>
        <a:xfrm>
          <a:off x="10164963743"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40656</xdr:colOff>
      <xdr:row>1</xdr:row>
      <xdr:rowOff>0</xdr:rowOff>
    </xdr:from>
    <xdr:to>
      <xdr:col>4</xdr:col>
      <xdr:colOff>397708</xdr:colOff>
      <xdr:row>3</xdr:row>
      <xdr:rowOff>59489</xdr:rowOff>
    </xdr:to>
    <xdr:sp macro="" textlink="">
      <xdr:nvSpPr>
        <xdr:cNvPr id="13" name="Rectangle: Rounded Corners 12">
          <a:extLst>
            <a:ext uri="{FF2B5EF4-FFF2-40B4-BE49-F238E27FC236}">
              <a16:creationId xmlns:a16="http://schemas.microsoft.com/office/drawing/2014/main" id="{9DAFE9F4-065D-4B0F-97C6-0B4AE311A8F3}"/>
            </a:ext>
          </a:extLst>
        </xdr:cNvPr>
        <xdr:cNvSpPr/>
      </xdr:nvSpPr>
      <xdr:spPr>
        <a:xfrm>
          <a:off x="10168077994"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9</xdr:col>
      <xdr:colOff>131624</xdr:colOff>
      <xdr:row>1</xdr:row>
      <xdr:rowOff>0</xdr:rowOff>
    </xdr:from>
    <xdr:to>
      <xdr:col>10</xdr:col>
      <xdr:colOff>636020</xdr:colOff>
      <xdr:row>3</xdr:row>
      <xdr:rowOff>59489</xdr:rowOff>
    </xdr:to>
    <xdr:sp macro="" textlink="">
      <xdr:nvSpPr>
        <xdr:cNvPr id="14" name="Rectangle: Rounded Corners 13">
          <a:extLst>
            <a:ext uri="{FF2B5EF4-FFF2-40B4-BE49-F238E27FC236}">
              <a16:creationId xmlns:a16="http://schemas.microsoft.com/office/drawing/2014/main" id="{6A6EA704-19CA-4BC9-9999-4BB65A8BBAC1}"/>
            </a:ext>
          </a:extLst>
        </xdr:cNvPr>
        <xdr:cNvSpPr/>
      </xdr:nvSpPr>
      <xdr:spPr>
        <a:xfrm>
          <a:off x="10161857663"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634802</xdr:colOff>
      <xdr:row>1</xdr:row>
      <xdr:rowOff>2845</xdr:rowOff>
    </xdr:from>
    <xdr:to>
      <xdr:col>12</xdr:col>
      <xdr:colOff>310896</xdr:colOff>
      <xdr:row>3</xdr:row>
      <xdr:rowOff>62334</xdr:rowOff>
    </xdr:to>
    <xdr:sp macro="" textlink="">
      <xdr:nvSpPr>
        <xdr:cNvPr id="21" name="Rectangle: Rounded Corners 20">
          <a:extLst>
            <a:ext uri="{FF2B5EF4-FFF2-40B4-BE49-F238E27FC236}">
              <a16:creationId xmlns:a16="http://schemas.microsoft.com/office/drawing/2014/main" id="{D6CCC58D-645B-43D7-ABE1-4CDAA1B7B452}"/>
            </a:ext>
          </a:extLst>
        </xdr:cNvPr>
        <xdr:cNvSpPr/>
      </xdr:nvSpPr>
      <xdr:spPr>
        <a:xfrm>
          <a:off x="10160304040"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29840</xdr:colOff>
      <xdr:row>3</xdr:row>
      <xdr:rowOff>60769</xdr:rowOff>
    </xdr:to>
    <xdr:sp macro="" textlink="">
      <xdr:nvSpPr>
        <xdr:cNvPr id="8" name="Rectangle: Rounded Corners 7">
          <a:extLst>
            <a:ext uri="{FF2B5EF4-FFF2-40B4-BE49-F238E27FC236}">
              <a16:creationId xmlns:a16="http://schemas.microsoft.com/office/drawing/2014/main" id="{D3738E86-FA3F-4096-A078-B9CD93F344F8}"/>
            </a:ext>
          </a:extLst>
        </xdr:cNvPr>
        <xdr:cNvSpPr/>
      </xdr:nvSpPr>
      <xdr:spPr>
        <a:xfrm>
          <a:off x="10286662798"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30960</xdr:colOff>
      <xdr:row>1</xdr:row>
      <xdr:rowOff>0</xdr:rowOff>
    </xdr:from>
    <xdr:to>
      <xdr:col>3</xdr:col>
      <xdr:colOff>405301</xdr:colOff>
      <xdr:row>3</xdr:row>
      <xdr:rowOff>60769</xdr:rowOff>
    </xdr:to>
    <xdr:sp macro="" textlink="">
      <xdr:nvSpPr>
        <xdr:cNvPr id="9" name="Rectangle: Rounded Corners 8">
          <a:extLst>
            <a:ext uri="{FF2B5EF4-FFF2-40B4-BE49-F238E27FC236}">
              <a16:creationId xmlns:a16="http://schemas.microsoft.com/office/drawing/2014/main" id="{D8EF9A9B-E988-4F1D-A923-E6826F49A500}"/>
            </a:ext>
          </a:extLst>
        </xdr:cNvPr>
        <xdr:cNvSpPr/>
      </xdr:nvSpPr>
      <xdr:spPr>
        <a:xfrm>
          <a:off x="10285103997"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840127</xdr:colOff>
      <xdr:row>1</xdr:row>
      <xdr:rowOff>0</xdr:rowOff>
    </xdr:from>
    <xdr:to>
      <xdr:col>6</xdr:col>
      <xdr:colOff>281967</xdr:colOff>
      <xdr:row>3</xdr:row>
      <xdr:rowOff>60769</xdr:rowOff>
    </xdr:to>
    <xdr:sp macro="" textlink="">
      <xdr:nvSpPr>
        <xdr:cNvPr id="10" name="Rectangle: Rounded Corners 9">
          <a:extLst>
            <a:ext uri="{FF2B5EF4-FFF2-40B4-BE49-F238E27FC236}">
              <a16:creationId xmlns:a16="http://schemas.microsoft.com/office/drawing/2014/main" id="{2D6C57EF-7529-4005-868C-593D848A994B}"/>
            </a:ext>
          </a:extLst>
        </xdr:cNvPr>
        <xdr:cNvSpPr/>
      </xdr:nvSpPr>
      <xdr:spPr>
        <a:xfrm>
          <a:off x="10281982107"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783353</xdr:colOff>
      <xdr:row>1</xdr:row>
      <xdr:rowOff>0</xdr:rowOff>
    </xdr:from>
    <xdr:to>
      <xdr:col>9</xdr:col>
      <xdr:colOff>76166</xdr:colOff>
      <xdr:row>3</xdr:row>
      <xdr:rowOff>60769</xdr:rowOff>
    </xdr:to>
    <xdr:sp macro="" textlink="">
      <xdr:nvSpPr>
        <xdr:cNvPr id="11" name="Rectangle: Rounded Corners 10">
          <a:extLst>
            <a:ext uri="{FF2B5EF4-FFF2-40B4-BE49-F238E27FC236}">
              <a16:creationId xmlns:a16="http://schemas.microsoft.com/office/drawing/2014/main" id="{CA971136-73D1-44E3-BA2D-6A7E45B510D8}"/>
            </a:ext>
          </a:extLst>
        </xdr:cNvPr>
        <xdr:cNvSpPr/>
      </xdr:nvSpPr>
      <xdr:spPr>
        <a:xfrm>
          <a:off x="10278879932"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280302</xdr:colOff>
      <xdr:row>1</xdr:row>
      <xdr:rowOff>0</xdr:rowOff>
    </xdr:from>
    <xdr:to>
      <xdr:col>7</xdr:col>
      <xdr:colOff>784769</xdr:colOff>
      <xdr:row>3</xdr:row>
      <xdr:rowOff>60769</xdr:rowOff>
    </xdr:to>
    <xdr:sp macro="" textlink="">
      <xdr:nvSpPr>
        <xdr:cNvPr id="12" name="Rectangle: Rounded Corners 11">
          <a:extLst>
            <a:ext uri="{FF2B5EF4-FFF2-40B4-BE49-F238E27FC236}">
              <a16:creationId xmlns:a16="http://schemas.microsoft.com/office/drawing/2014/main" id="{7A1D63F1-49B8-4A25-9F8B-2D79927B6A95}"/>
            </a:ext>
          </a:extLst>
        </xdr:cNvPr>
        <xdr:cNvSpPr/>
      </xdr:nvSpPr>
      <xdr:spPr>
        <a:xfrm>
          <a:off x="10280430435"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407570</xdr:colOff>
      <xdr:row>1</xdr:row>
      <xdr:rowOff>0</xdr:rowOff>
    </xdr:from>
    <xdr:to>
      <xdr:col>4</xdr:col>
      <xdr:colOff>835058</xdr:colOff>
      <xdr:row>3</xdr:row>
      <xdr:rowOff>60769</xdr:rowOff>
    </xdr:to>
    <xdr:sp macro="" textlink="">
      <xdr:nvSpPr>
        <xdr:cNvPr id="13" name="Rectangle: Rounded Corners 12">
          <a:extLst>
            <a:ext uri="{FF2B5EF4-FFF2-40B4-BE49-F238E27FC236}">
              <a16:creationId xmlns:a16="http://schemas.microsoft.com/office/drawing/2014/main" id="{5B6C6CC9-17B5-4A4B-A8B0-C655827014F8}"/>
            </a:ext>
          </a:extLst>
        </xdr:cNvPr>
        <xdr:cNvSpPr/>
      </xdr:nvSpPr>
      <xdr:spPr>
        <a:xfrm>
          <a:off x="10283544686"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9</xdr:col>
      <xdr:colOff>71434</xdr:colOff>
      <xdr:row>1</xdr:row>
      <xdr:rowOff>0</xdr:rowOff>
    </xdr:from>
    <xdr:to>
      <xdr:col>10</xdr:col>
      <xdr:colOff>502190</xdr:colOff>
      <xdr:row>3</xdr:row>
      <xdr:rowOff>60769</xdr:rowOff>
    </xdr:to>
    <xdr:sp macro="" textlink="">
      <xdr:nvSpPr>
        <xdr:cNvPr id="20" name="Rectangle: Rounded Corners 19">
          <a:extLst>
            <a:ext uri="{FF2B5EF4-FFF2-40B4-BE49-F238E27FC236}">
              <a16:creationId xmlns:a16="http://schemas.microsoft.com/office/drawing/2014/main" id="{174C2CFE-776F-4879-962A-8715017B9B23}"/>
            </a:ext>
          </a:extLst>
        </xdr:cNvPr>
        <xdr:cNvSpPr/>
      </xdr:nvSpPr>
      <xdr:spPr>
        <a:xfrm>
          <a:off x="10277324355"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500972</xdr:colOff>
      <xdr:row>1</xdr:row>
      <xdr:rowOff>2845</xdr:rowOff>
    </xdr:from>
    <xdr:to>
      <xdr:col>11</xdr:col>
      <xdr:colOff>962119</xdr:colOff>
      <xdr:row>3</xdr:row>
      <xdr:rowOff>63614</xdr:rowOff>
    </xdr:to>
    <xdr:sp macro="" textlink="">
      <xdr:nvSpPr>
        <xdr:cNvPr id="21" name="Rectangle: Rounded Corners 20">
          <a:extLst>
            <a:ext uri="{FF2B5EF4-FFF2-40B4-BE49-F238E27FC236}">
              <a16:creationId xmlns:a16="http://schemas.microsoft.com/office/drawing/2014/main" id="{F69EB8AB-0409-47BD-88E1-447A777BC235}"/>
            </a:ext>
          </a:extLst>
        </xdr:cNvPr>
        <xdr:cNvSpPr/>
      </xdr:nvSpPr>
      <xdr:spPr>
        <a:xfrm>
          <a:off x="10275770732"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23437</xdr:colOff>
      <xdr:row>3</xdr:row>
      <xdr:rowOff>59489</xdr:rowOff>
    </xdr:to>
    <xdr:sp macro="" textlink="">
      <xdr:nvSpPr>
        <xdr:cNvPr id="8" name="Rectangle: Rounded Corners 7">
          <a:extLst>
            <a:ext uri="{FF2B5EF4-FFF2-40B4-BE49-F238E27FC236}">
              <a16:creationId xmlns:a16="http://schemas.microsoft.com/office/drawing/2014/main" id="{61BEEB59-81DD-4403-B64C-C9BBF973D7D0}"/>
            </a:ext>
          </a:extLst>
        </xdr:cNvPr>
        <xdr:cNvSpPr/>
      </xdr:nvSpPr>
      <xdr:spPr>
        <a:xfrm>
          <a:off x="10171631535"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24557</xdr:colOff>
      <xdr:row>1</xdr:row>
      <xdr:rowOff>0</xdr:rowOff>
    </xdr:from>
    <xdr:to>
      <xdr:col>3</xdr:col>
      <xdr:colOff>395695</xdr:colOff>
      <xdr:row>3</xdr:row>
      <xdr:rowOff>59489</xdr:rowOff>
    </xdr:to>
    <xdr:sp macro="" textlink="">
      <xdr:nvSpPr>
        <xdr:cNvPr id="9" name="Rectangle: Rounded Corners 8">
          <a:extLst>
            <a:ext uri="{FF2B5EF4-FFF2-40B4-BE49-F238E27FC236}">
              <a16:creationId xmlns:a16="http://schemas.microsoft.com/office/drawing/2014/main" id="{15863E81-BA1E-4D43-9B02-AFA4158AC831}"/>
            </a:ext>
          </a:extLst>
        </xdr:cNvPr>
        <xdr:cNvSpPr/>
      </xdr:nvSpPr>
      <xdr:spPr>
        <a:xfrm>
          <a:off x="10170072734"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827961</xdr:colOff>
      <xdr:row>1</xdr:row>
      <xdr:rowOff>0</xdr:rowOff>
    </xdr:from>
    <xdr:to>
      <xdr:col>6</xdr:col>
      <xdr:colOff>262756</xdr:colOff>
      <xdr:row>3</xdr:row>
      <xdr:rowOff>59489</xdr:rowOff>
    </xdr:to>
    <xdr:sp macro="" textlink="">
      <xdr:nvSpPr>
        <xdr:cNvPr id="10" name="Rectangle: Rounded Corners 9">
          <a:extLst>
            <a:ext uri="{FF2B5EF4-FFF2-40B4-BE49-F238E27FC236}">
              <a16:creationId xmlns:a16="http://schemas.microsoft.com/office/drawing/2014/main" id="{B621C110-4EF9-47F3-B582-9545AD8597A7}"/>
            </a:ext>
          </a:extLst>
        </xdr:cNvPr>
        <xdr:cNvSpPr/>
      </xdr:nvSpPr>
      <xdr:spPr>
        <a:xfrm>
          <a:off x="10166950844"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757098</xdr:colOff>
      <xdr:row>1</xdr:row>
      <xdr:rowOff>0</xdr:rowOff>
    </xdr:from>
    <xdr:to>
      <xdr:col>9</xdr:col>
      <xdr:colOff>44788</xdr:colOff>
      <xdr:row>3</xdr:row>
      <xdr:rowOff>59489</xdr:rowOff>
    </xdr:to>
    <xdr:sp macro="" textlink="">
      <xdr:nvSpPr>
        <xdr:cNvPr id="11" name="Rectangle: Rounded Corners 10">
          <a:extLst>
            <a:ext uri="{FF2B5EF4-FFF2-40B4-BE49-F238E27FC236}">
              <a16:creationId xmlns:a16="http://schemas.microsoft.com/office/drawing/2014/main" id="{6692180E-5A47-4F31-A2F0-66048FBCC835}"/>
            </a:ext>
          </a:extLst>
        </xdr:cNvPr>
        <xdr:cNvSpPr/>
      </xdr:nvSpPr>
      <xdr:spPr>
        <a:xfrm>
          <a:off x="10163848669"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261091</xdr:colOff>
      <xdr:row>1</xdr:row>
      <xdr:rowOff>0</xdr:rowOff>
    </xdr:from>
    <xdr:to>
      <xdr:col>7</xdr:col>
      <xdr:colOff>758514</xdr:colOff>
      <xdr:row>3</xdr:row>
      <xdr:rowOff>59489</xdr:rowOff>
    </xdr:to>
    <xdr:sp macro="" textlink="">
      <xdr:nvSpPr>
        <xdr:cNvPr id="12" name="Rectangle: Rounded Corners 11">
          <a:extLst>
            <a:ext uri="{FF2B5EF4-FFF2-40B4-BE49-F238E27FC236}">
              <a16:creationId xmlns:a16="http://schemas.microsoft.com/office/drawing/2014/main" id="{38138790-E222-496E-8EDB-9B4219892842}"/>
            </a:ext>
          </a:extLst>
        </xdr:cNvPr>
        <xdr:cNvSpPr/>
      </xdr:nvSpPr>
      <xdr:spPr>
        <a:xfrm>
          <a:off x="10165399172"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397964</xdr:colOff>
      <xdr:row>1</xdr:row>
      <xdr:rowOff>0</xdr:rowOff>
    </xdr:from>
    <xdr:to>
      <xdr:col>4</xdr:col>
      <xdr:colOff>822892</xdr:colOff>
      <xdr:row>3</xdr:row>
      <xdr:rowOff>59489</xdr:rowOff>
    </xdr:to>
    <xdr:sp macro="" textlink="">
      <xdr:nvSpPr>
        <xdr:cNvPr id="13" name="Rectangle: Rounded Corners 12">
          <a:extLst>
            <a:ext uri="{FF2B5EF4-FFF2-40B4-BE49-F238E27FC236}">
              <a16:creationId xmlns:a16="http://schemas.microsoft.com/office/drawing/2014/main" id="{01F01541-46E1-4E7A-8276-BC937554F77E}"/>
            </a:ext>
          </a:extLst>
        </xdr:cNvPr>
        <xdr:cNvSpPr/>
      </xdr:nvSpPr>
      <xdr:spPr>
        <a:xfrm>
          <a:off x="10168513423"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9</xdr:col>
      <xdr:colOff>40056</xdr:colOff>
      <xdr:row>1</xdr:row>
      <xdr:rowOff>0</xdr:rowOff>
    </xdr:from>
    <xdr:to>
      <xdr:col>10</xdr:col>
      <xdr:colOff>468251</xdr:colOff>
      <xdr:row>3</xdr:row>
      <xdr:rowOff>59489</xdr:rowOff>
    </xdr:to>
    <xdr:sp macro="" textlink="">
      <xdr:nvSpPr>
        <xdr:cNvPr id="14" name="Rectangle: Rounded Corners 13">
          <a:extLst>
            <a:ext uri="{FF2B5EF4-FFF2-40B4-BE49-F238E27FC236}">
              <a16:creationId xmlns:a16="http://schemas.microsoft.com/office/drawing/2014/main" id="{642574AE-CA2E-4D9A-91CD-290D2462E0BD}"/>
            </a:ext>
          </a:extLst>
        </xdr:cNvPr>
        <xdr:cNvSpPr/>
      </xdr:nvSpPr>
      <xdr:spPr>
        <a:xfrm>
          <a:off x="10162293092"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467033</xdr:colOff>
      <xdr:row>1</xdr:row>
      <xdr:rowOff>2845</xdr:rowOff>
    </xdr:from>
    <xdr:to>
      <xdr:col>11</xdr:col>
      <xdr:colOff>922417</xdr:colOff>
      <xdr:row>3</xdr:row>
      <xdr:rowOff>62334</xdr:rowOff>
    </xdr:to>
    <xdr:sp macro="" textlink="">
      <xdr:nvSpPr>
        <xdr:cNvPr id="15" name="Rectangle: Rounded Corners 14">
          <a:extLst>
            <a:ext uri="{FF2B5EF4-FFF2-40B4-BE49-F238E27FC236}">
              <a16:creationId xmlns:a16="http://schemas.microsoft.com/office/drawing/2014/main" id="{819652DC-2428-49AB-856D-8C30B4094F4F}"/>
            </a:ext>
          </a:extLst>
        </xdr:cNvPr>
        <xdr:cNvSpPr/>
      </xdr:nvSpPr>
      <xdr:spPr>
        <a:xfrm>
          <a:off x="10160739469"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186722</xdr:colOff>
      <xdr:row>3</xdr:row>
      <xdr:rowOff>59489</xdr:rowOff>
    </xdr:to>
    <xdr:sp macro="" textlink="">
      <xdr:nvSpPr>
        <xdr:cNvPr id="8" name="Rectangle: Rounded Corners 7">
          <a:extLst>
            <a:ext uri="{FF2B5EF4-FFF2-40B4-BE49-F238E27FC236}">
              <a16:creationId xmlns:a16="http://schemas.microsoft.com/office/drawing/2014/main" id="{C55FBA7A-DA68-4CA7-864F-DF410CADD2AC}"/>
            </a:ext>
          </a:extLst>
        </xdr:cNvPr>
        <xdr:cNvSpPr/>
      </xdr:nvSpPr>
      <xdr:spPr>
        <a:xfrm>
          <a:off x="10172349992"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187842</xdr:colOff>
      <xdr:row>1</xdr:row>
      <xdr:rowOff>0</xdr:rowOff>
    </xdr:from>
    <xdr:to>
      <xdr:col>3</xdr:col>
      <xdr:colOff>613409</xdr:colOff>
      <xdr:row>3</xdr:row>
      <xdr:rowOff>59489</xdr:rowOff>
    </xdr:to>
    <xdr:sp macro="" textlink="">
      <xdr:nvSpPr>
        <xdr:cNvPr id="9" name="Rectangle: Rounded Corners 8">
          <a:extLst>
            <a:ext uri="{FF2B5EF4-FFF2-40B4-BE49-F238E27FC236}">
              <a16:creationId xmlns:a16="http://schemas.microsoft.com/office/drawing/2014/main" id="{97B057B5-F5AD-416E-A428-AFF9A0148683}"/>
            </a:ext>
          </a:extLst>
        </xdr:cNvPr>
        <xdr:cNvSpPr/>
      </xdr:nvSpPr>
      <xdr:spPr>
        <a:xfrm>
          <a:off x="10170791191"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936818</xdr:colOff>
      <xdr:row>1</xdr:row>
      <xdr:rowOff>0</xdr:rowOff>
    </xdr:from>
    <xdr:to>
      <xdr:col>6</xdr:col>
      <xdr:colOff>12385</xdr:colOff>
      <xdr:row>3</xdr:row>
      <xdr:rowOff>59489</xdr:rowOff>
    </xdr:to>
    <xdr:sp macro="" textlink="">
      <xdr:nvSpPr>
        <xdr:cNvPr id="10" name="Rectangle: Rounded Corners 9">
          <a:extLst>
            <a:ext uri="{FF2B5EF4-FFF2-40B4-BE49-F238E27FC236}">
              <a16:creationId xmlns:a16="http://schemas.microsoft.com/office/drawing/2014/main" id="{634B3F54-640B-4211-BB19-1FC0D55444DD}"/>
            </a:ext>
          </a:extLst>
        </xdr:cNvPr>
        <xdr:cNvSpPr/>
      </xdr:nvSpPr>
      <xdr:spPr>
        <a:xfrm>
          <a:off x="10167669301"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321669</xdr:colOff>
      <xdr:row>1</xdr:row>
      <xdr:rowOff>0</xdr:rowOff>
    </xdr:from>
    <xdr:to>
      <xdr:col>8</xdr:col>
      <xdr:colOff>632617</xdr:colOff>
      <xdr:row>3</xdr:row>
      <xdr:rowOff>59489</xdr:rowOff>
    </xdr:to>
    <xdr:sp macro="" textlink="">
      <xdr:nvSpPr>
        <xdr:cNvPr id="11" name="Rectangle: Rounded Corners 10">
          <a:extLst>
            <a:ext uri="{FF2B5EF4-FFF2-40B4-BE49-F238E27FC236}">
              <a16:creationId xmlns:a16="http://schemas.microsoft.com/office/drawing/2014/main" id="{0BA3E921-15FA-42B1-8468-54758B974E9F}"/>
            </a:ext>
          </a:extLst>
        </xdr:cNvPr>
        <xdr:cNvSpPr/>
      </xdr:nvSpPr>
      <xdr:spPr>
        <a:xfrm>
          <a:off x="10164567126"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10720</xdr:colOff>
      <xdr:row>1</xdr:row>
      <xdr:rowOff>0</xdr:rowOff>
    </xdr:from>
    <xdr:to>
      <xdr:col>7</xdr:col>
      <xdr:colOff>323085</xdr:colOff>
      <xdr:row>3</xdr:row>
      <xdr:rowOff>59489</xdr:rowOff>
    </xdr:to>
    <xdr:sp macro="" textlink="">
      <xdr:nvSpPr>
        <xdr:cNvPr id="12" name="Rectangle: Rounded Corners 11">
          <a:extLst>
            <a:ext uri="{FF2B5EF4-FFF2-40B4-BE49-F238E27FC236}">
              <a16:creationId xmlns:a16="http://schemas.microsoft.com/office/drawing/2014/main" id="{CD415352-7877-4911-8366-662E4BEAFA2E}"/>
            </a:ext>
          </a:extLst>
        </xdr:cNvPr>
        <xdr:cNvSpPr/>
      </xdr:nvSpPr>
      <xdr:spPr>
        <a:xfrm>
          <a:off x="10166117629"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615678</xdr:colOff>
      <xdr:row>1</xdr:row>
      <xdr:rowOff>0</xdr:rowOff>
    </xdr:from>
    <xdr:to>
      <xdr:col>4</xdr:col>
      <xdr:colOff>931749</xdr:colOff>
      <xdr:row>3</xdr:row>
      <xdr:rowOff>59489</xdr:rowOff>
    </xdr:to>
    <xdr:sp macro="" textlink="">
      <xdr:nvSpPr>
        <xdr:cNvPr id="13" name="Rectangle: Rounded Corners 12">
          <a:extLst>
            <a:ext uri="{FF2B5EF4-FFF2-40B4-BE49-F238E27FC236}">
              <a16:creationId xmlns:a16="http://schemas.microsoft.com/office/drawing/2014/main" id="{B24F59D7-229C-4694-BF03-C70BCEB22BF9}"/>
            </a:ext>
          </a:extLst>
        </xdr:cNvPr>
        <xdr:cNvSpPr/>
      </xdr:nvSpPr>
      <xdr:spPr>
        <a:xfrm>
          <a:off x="10169231880"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627885</xdr:colOff>
      <xdr:row>1</xdr:row>
      <xdr:rowOff>0</xdr:rowOff>
    </xdr:from>
    <xdr:to>
      <xdr:col>9</xdr:col>
      <xdr:colOff>947223</xdr:colOff>
      <xdr:row>3</xdr:row>
      <xdr:rowOff>59489</xdr:rowOff>
    </xdr:to>
    <xdr:sp macro="" textlink="">
      <xdr:nvSpPr>
        <xdr:cNvPr id="20" name="Rectangle: Rounded Corners 19">
          <a:extLst>
            <a:ext uri="{FF2B5EF4-FFF2-40B4-BE49-F238E27FC236}">
              <a16:creationId xmlns:a16="http://schemas.microsoft.com/office/drawing/2014/main" id="{6C767443-52B0-4948-A914-FF314F6152EC}"/>
            </a:ext>
          </a:extLst>
        </xdr:cNvPr>
        <xdr:cNvSpPr/>
      </xdr:nvSpPr>
      <xdr:spPr>
        <a:xfrm>
          <a:off x="10163011549"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946005</xdr:colOff>
      <xdr:row>1</xdr:row>
      <xdr:rowOff>2845</xdr:rowOff>
    </xdr:from>
    <xdr:to>
      <xdr:col>11</xdr:col>
      <xdr:colOff>18903</xdr:colOff>
      <xdr:row>3</xdr:row>
      <xdr:rowOff>62334</xdr:rowOff>
    </xdr:to>
    <xdr:sp macro="" textlink="">
      <xdr:nvSpPr>
        <xdr:cNvPr id="21" name="Rectangle: Rounded Corners 20">
          <a:extLst>
            <a:ext uri="{FF2B5EF4-FFF2-40B4-BE49-F238E27FC236}">
              <a16:creationId xmlns:a16="http://schemas.microsoft.com/office/drawing/2014/main" id="{2A88D22F-857E-4A45-BFF7-3C32F84835D6}"/>
            </a:ext>
          </a:extLst>
        </xdr:cNvPr>
        <xdr:cNvSpPr/>
      </xdr:nvSpPr>
      <xdr:spPr>
        <a:xfrm>
          <a:off x="10161457926"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19.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556837</xdr:colOff>
      <xdr:row>3</xdr:row>
      <xdr:rowOff>59489</xdr:rowOff>
    </xdr:to>
    <xdr:sp macro="" textlink="">
      <xdr:nvSpPr>
        <xdr:cNvPr id="20" name="Rectangle: Rounded Corners 19">
          <a:extLst>
            <a:ext uri="{FF2B5EF4-FFF2-40B4-BE49-F238E27FC236}">
              <a16:creationId xmlns:a16="http://schemas.microsoft.com/office/drawing/2014/main" id="{4DBCFF35-C5D5-44E2-89AA-5A630766C966}"/>
            </a:ext>
          </a:extLst>
        </xdr:cNvPr>
        <xdr:cNvSpPr/>
      </xdr:nvSpPr>
      <xdr:spPr>
        <a:xfrm>
          <a:off x="10172034306"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557957</xdr:colOff>
      <xdr:row>1</xdr:row>
      <xdr:rowOff>0</xdr:rowOff>
    </xdr:from>
    <xdr:to>
      <xdr:col>4</xdr:col>
      <xdr:colOff>112666</xdr:colOff>
      <xdr:row>3</xdr:row>
      <xdr:rowOff>59489</xdr:rowOff>
    </xdr:to>
    <xdr:sp macro="" textlink="">
      <xdr:nvSpPr>
        <xdr:cNvPr id="21" name="Rectangle: Rounded Corners 20">
          <a:extLst>
            <a:ext uri="{FF2B5EF4-FFF2-40B4-BE49-F238E27FC236}">
              <a16:creationId xmlns:a16="http://schemas.microsoft.com/office/drawing/2014/main" id="{BD520463-5308-4CED-90D2-0AC495F8063C}"/>
            </a:ext>
          </a:extLst>
        </xdr:cNvPr>
        <xdr:cNvSpPr/>
      </xdr:nvSpPr>
      <xdr:spPr>
        <a:xfrm>
          <a:off x="10170475505"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6</xdr:col>
      <xdr:colOff>44189</xdr:colOff>
      <xdr:row>1</xdr:row>
      <xdr:rowOff>0</xdr:rowOff>
    </xdr:from>
    <xdr:to>
      <xdr:col>7</xdr:col>
      <xdr:colOff>763499</xdr:colOff>
      <xdr:row>3</xdr:row>
      <xdr:rowOff>59489</xdr:rowOff>
    </xdr:to>
    <xdr:sp macro="" textlink="">
      <xdr:nvSpPr>
        <xdr:cNvPr id="22" name="Rectangle: Rounded Corners 21">
          <a:extLst>
            <a:ext uri="{FF2B5EF4-FFF2-40B4-BE49-F238E27FC236}">
              <a16:creationId xmlns:a16="http://schemas.microsoft.com/office/drawing/2014/main" id="{5BF11DBD-4E4E-45E5-B188-769017198FE7}"/>
            </a:ext>
          </a:extLst>
        </xdr:cNvPr>
        <xdr:cNvSpPr/>
      </xdr:nvSpPr>
      <xdr:spPr>
        <a:xfrm>
          <a:off x="10167353615"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8</xdr:col>
      <xdr:colOff>1475555</xdr:colOff>
      <xdr:row>1</xdr:row>
      <xdr:rowOff>0</xdr:rowOff>
    </xdr:from>
    <xdr:to>
      <xdr:col>10</xdr:col>
      <xdr:colOff>229846</xdr:colOff>
      <xdr:row>3</xdr:row>
      <xdr:rowOff>59489</xdr:rowOff>
    </xdr:to>
    <xdr:sp macro="" textlink="">
      <xdr:nvSpPr>
        <xdr:cNvPr id="23" name="Rectangle: Rounded Corners 22">
          <a:extLst>
            <a:ext uri="{FF2B5EF4-FFF2-40B4-BE49-F238E27FC236}">
              <a16:creationId xmlns:a16="http://schemas.microsoft.com/office/drawing/2014/main" id="{14435912-BAEE-49E3-A291-6932013825A4}"/>
            </a:ext>
          </a:extLst>
        </xdr:cNvPr>
        <xdr:cNvSpPr/>
      </xdr:nvSpPr>
      <xdr:spPr>
        <a:xfrm>
          <a:off x="10164251440"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7</xdr:col>
      <xdr:colOff>761834</xdr:colOff>
      <xdr:row>1</xdr:row>
      <xdr:rowOff>0</xdr:rowOff>
    </xdr:from>
    <xdr:to>
      <xdr:col>8</xdr:col>
      <xdr:colOff>1476971</xdr:colOff>
      <xdr:row>3</xdr:row>
      <xdr:rowOff>59489</xdr:rowOff>
    </xdr:to>
    <xdr:sp macro="" textlink="">
      <xdr:nvSpPr>
        <xdr:cNvPr id="24" name="Rectangle: Rounded Corners 23">
          <a:extLst>
            <a:ext uri="{FF2B5EF4-FFF2-40B4-BE49-F238E27FC236}">
              <a16:creationId xmlns:a16="http://schemas.microsoft.com/office/drawing/2014/main" id="{6E0799FD-4C9D-41C9-8911-2361B3C8AFD1}"/>
            </a:ext>
          </a:extLst>
        </xdr:cNvPr>
        <xdr:cNvSpPr/>
      </xdr:nvSpPr>
      <xdr:spPr>
        <a:xfrm>
          <a:off x="10165801943"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4</xdr:col>
      <xdr:colOff>114935</xdr:colOff>
      <xdr:row>1</xdr:row>
      <xdr:rowOff>0</xdr:rowOff>
    </xdr:from>
    <xdr:to>
      <xdr:col>6</xdr:col>
      <xdr:colOff>39120</xdr:colOff>
      <xdr:row>3</xdr:row>
      <xdr:rowOff>59489</xdr:rowOff>
    </xdr:to>
    <xdr:sp macro="" textlink="">
      <xdr:nvSpPr>
        <xdr:cNvPr id="25" name="Rectangle: Rounded Corners 24">
          <a:extLst>
            <a:ext uri="{FF2B5EF4-FFF2-40B4-BE49-F238E27FC236}">
              <a16:creationId xmlns:a16="http://schemas.microsoft.com/office/drawing/2014/main" id="{ECB14463-E4FA-4816-AA22-BE2393E8ED02}"/>
            </a:ext>
          </a:extLst>
        </xdr:cNvPr>
        <xdr:cNvSpPr/>
      </xdr:nvSpPr>
      <xdr:spPr>
        <a:xfrm>
          <a:off x="10168916194"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10</xdr:col>
      <xdr:colOff>225114</xdr:colOff>
      <xdr:row>1</xdr:row>
      <xdr:rowOff>0</xdr:rowOff>
    </xdr:from>
    <xdr:to>
      <xdr:col>11</xdr:col>
      <xdr:colOff>533565</xdr:colOff>
      <xdr:row>3</xdr:row>
      <xdr:rowOff>59489</xdr:rowOff>
    </xdr:to>
    <xdr:sp macro="" textlink="">
      <xdr:nvSpPr>
        <xdr:cNvPr id="26" name="Rectangle: Rounded Corners 25">
          <a:extLst>
            <a:ext uri="{FF2B5EF4-FFF2-40B4-BE49-F238E27FC236}">
              <a16:creationId xmlns:a16="http://schemas.microsoft.com/office/drawing/2014/main" id="{B1A4CEBE-BE9D-4378-BFBC-D174B265121E}"/>
            </a:ext>
          </a:extLst>
        </xdr:cNvPr>
        <xdr:cNvSpPr/>
      </xdr:nvSpPr>
      <xdr:spPr>
        <a:xfrm>
          <a:off x="10162695863"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11</xdr:col>
      <xdr:colOff>532347</xdr:colOff>
      <xdr:row>1</xdr:row>
      <xdr:rowOff>2845</xdr:rowOff>
    </xdr:from>
    <xdr:to>
      <xdr:col>12</xdr:col>
      <xdr:colOff>835331</xdr:colOff>
      <xdr:row>3</xdr:row>
      <xdr:rowOff>62334</xdr:rowOff>
    </xdr:to>
    <xdr:sp macro="" textlink="">
      <xdr:nvSpPr>
        <xdr:cNvPr id="27" name="Rectangle: Rounded Corners 26">
          <a:extLst>
            <a:ext uri="{FF2B5EF4-FFF2-40B4-BE49-F238E27FC236}">
              <a16:creationId xmlns:a16="http://schemas.microsoft.com/office/drawing/2014/main" id="{2F2C0C72-132C-456C-A85B-58DC41C0C32A}"/>
            </a:ext>
          </a:extLst>
        </xdr:cNvPr>
        <xdr:cNvSpPr/>
      </xdr:nvSpPr>
      <xdr:spPr>
        <a:xfrm>
          <a:off x="10161142240"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0.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298782</xdr:colOff>
      <xdr:row>3</xdr:row>
      <xdr:rowOff>60769</xdr:rowOff>
    </xdr:to>
    <xdr:sp macro="" textlink="">
      <xdr:nvSpPr>
        <xdr:cNvPr id="8" name="Rectangle: Rounded Corners 7">
          <a:extLst>
            <a:ext uri="{FF2B5EF4-FFF2-40B4-BE49-F238E27FC236}">
              <a16:creationId xmlns:a16="http://schemas.microsoft.com/office/drawing/2014/main" id="{0C3317E8-7B01-42B1-A6A8-D0CDCCB248A4}"/>
            </a:ext>
          </a:extLst>
        </xdr:cNvPr>
        <xdr:cNvSpPr/>
      </xdr:nvSpPr>
      <xdr:spPr>
        <a:xfrm>
          <a:off x="10289316351"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299902</xdr:colOff>
      <xdr:row>1</xdr:row>
      <xdr:rowOff>0</xdr:rowOff>
    </xdr:from>
    <xdr:to>
      <xdr:col>2</xdr:col>
      <xdr:colOff>1856942</xdr:colOff>
      <xdr:row>3</xdr:row>
      <xdr:rowOff>60769</xdr:rowOff>
    </xdr:to>
    <xdr:sp macro="" textlink="">
      <xdr:nvSpPr>
        <xdr:cNvPr id="9" name="Rectangle: Rounded Corners 8">
          <a:extLst>
            <a:ext uri="{FF2B5EF4-FFF2-40B4-BE49-F238E27FC236}">
              <a16:creationId xmlns:a16="http://schemas.microsoft.com/office/drawing/2014/main" id="{D20883D9-2DFF-4E83-8B11-BCF8A9C814C1}"/>
            </a:ext>
          </a:extLst>
        </xdr:cNvPr>
        <xdr:cNvSpPr/>
      </xdr:nvSpPr>
      <xdr:spPr>
        <a:xfrm>
          <a:off x="10287757550"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515477</xdr:colOff>
      <xdr:row>1</xdr:row>
      <xdr:rowOff>0</xdr:rowOff>
    </xdr:from>
    <xdr:to>
      <xdr:col>4</xdr:col>
      <xdr:colOff>2071066</xdr:colOff>
      <xdr:row>3</xdr:row>
      <xdr:rowOff>60769</xdr:rowOff>
    </xdr:to>
    <xdr:sp macro="" textlink="">
      <xdr:nvSpPr>
        <xdr:cNvPr id="10" name="Rectangle: Rounded Corners 9">
          <a:extLst>
            <a:ext uri="{FF2B5EF4-FFF2-40B4-BE49-F238E27FC236}">
              <a16:creationId xmlns:a16="http://schemas.microsoft.com/office/drawing/2014/main" id="{0F240F89-9EEF-4BAB-8755-A03BD3208C12}"/>
            </a:ext>
          </a:extLst>
        </xdr:cNvPr>
        <xdr:cNvSpPr/>
      </xdr:nvSpPr>
      <xdr:spPr>
        <a:xfrm>
          <a:off x="10284635660"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441413</xdr:colOff>
      <xdr:row>1</xdr:row>
      <xdr:rowOff>0</xdr:rowOff>
    </xdr:from>
    <xdr:to>
      <xdr:col>8</xdr:col>
      <xdr:colOff>216399</xdr:colOff>
      <xdr:row>3</xdr:row>
      <xdr:rowOff>60769</xdr:rowOff>
    </xdr:to>
    <xdr:sp macro="" textlink="">
      <xdr:nvSpPr>
        <xdr:cNvPr id="11" name="Rectangle: Rounded Corners 10">
          <a:extLst>
            <a:ext uri="{FF2B5EF4-FFF2-40B4-BE49-F238E27FC236}">
              <a16:creationId xmlns:a16="http://schemas.microsoft.com/office/drawing/2014/main" id="{50723C64-6A16-4046-96C3-63A6310AD020}"/>
            </a:ext>
          </a:extLst>
        </xdr:cNvPr>
        <xdr:cNvSpPr/>
      </xdr:nvSpPr>
      <xdr:spPr>
        <a:xfrm>
          <a:off x="10281533485"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4</xdr:col>
      <xdr:colOff>2069401</xdr:colOff>
      <xdr:row>1</xdr:row>
      <xdr:rowOff>0</xdr:rowOff>
    </xdr:from>
    <xdr:to>
      <xdr:col>6</xdr:col>
      <xdr:colOff>442829</xdr:colOff>
      <xdr:row>3</xdr:row>
      <xdr:rowOff>60769</xdr:rowOff>
    </xdr:to>
    <xdr:sp macro="" textlink="">
      <xdr:nvSpPr>
        <xdr:cNvPr id="12" name="Rectangle: Rounded Corners 11">
          <a:extLst>
            <a:ext uri="{FF2B5EF4-FFF2-40B4-BE49-F238E27FC236}">
              <a16:creationId xmlns:a16="http://schemas.microsoft.com/office/drawing/2014/main" id="{A11DC0DB-5BEF-489F-AD10-4307B4C64150}"/>
            </a:ext>
          </a:extLst>
        </xdr:cNvPr>
        <xdr:cNvSpPr/>
      </xdr:nvSpPr>
      <xdr:spPr>
        <a:xfrm>
          <a:off x="10283083988"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1859211</xdr:colOff>
      <xdr:row>1</xdr:row>
      <xdr:rowOff>0</xdr:rowOff>
    </xdr:from>
    <xdr:to>
      <xdr:col>4</xdr:col>
      <xdr:colOff>510408</xdr:colOff>
      <xdr:row>3</xdr:row>
      <xdr:rowOff>60769</xdr:rowOff>
    </xdr:to>
    <xdr:sp macro="" textlink="">
      <xdr:nvSpPr>
        <xdr:cNvPr id="13" name="Rectangle: Rounded Corners 12">
          <a:extLst>
            <a:ext uri="{FF2B5EF4-FFF2-40B4-BE49-F238E27FC236}">
              <a16:creationId xmlns:a16="http://schemas.microsoft.com/office/drawing/2014/main" id="{2B44321A-0287-46C3-93BA-3202FEEE81B5}"/>
            </a:ext>
          </a:extLst>
        </xdr:cNvPr>
        <xdr:cNvSpPr/>
      </xdr:nvSpPr>
      <xdr:spPr>
        <a:xfrm>
          <a:off x="10286198239"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211667</xdr:colOff>
      <xdr:row>1</xdr:row>
      <xdr:rowOff>0</xdr:rowOff>
    </xdr:from>
    <xdr:to>
      <xdr:col>9</xdr:col>
      <xdr:colOff>201872</xdr:colOff>
      <xdr:row>3</xdr:row>
      <xdr:rowOff>60769</xdr:rowOff>
    </xdr:to>
    <xdr:sp macro="" textlink="">
      <xdr:nvSpPr>
        <xdr:cNvPr id="20" name="Rectangle: Rounded Corners 19">
          <a:extLst>
            <a:ext uri="{FF2B5EF4-FFF2-40B4-BE49-F238E27FC236}">
              <a16:creationId xmlns:a16="http://schemas.microsoft.com/office/drawing/2014/main" id="{03C61C74-0A1D-4750-8D92-932D1519FE3F}"/>
            </a:ext>
          </a:extLst>
        </xdr:cNvPr>
        <xdr:cNvSpPr/>
      </xdr:nvSpPr>
      <xdr:spPr>
        <a:xfrm>
          <a:off x="10279977908"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200654</xdr:colOff>
      <xdr:row>1</xdr:row>
      <xdr:rowOff>2845</xdr:rowOff>
    </xdr:from>
    <xdr:to>
      <xdr:col>10</xdr:col>
      <xdr:colOff>793070</xdr:colOff>
      <xdr:row>3</xdr:row>
      <xdr:rowOff>63614</xdr:rowOff>
    </xdr:to>
    <xdr:sp macro="" textlink="">
      <xdr:nvSpPr>
        <xdr:cNvPr id="21" name="Rectangle: Rounded Corners 20">
          <a:extLst>
            <a:ext uri="{FF2B5EF4-FFF2-40B4-BE49-F238E27FC236}">
              <a16:creationId xmlns:a16="http://schemas.microsoft.com/office/drawing/2014/main" id="{5415BFF3-6FAA-4D62-B89E-45D366838C85}"/>
            </a:ext>
          </a:extLst>
        </xdr:cNvPr>
        <xdr:cNvSpPr/>
      </xdr:nvSpPr>
      <xdr:spPr>
        <a:xfrm>
          <a:off x="10278424285"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230265</xdr:colOff>
      <xdr:row>3</xdr:row>
      <xdr:rowOff>59489</xdr:rowOff>
    </xdr:to>
    <xdr:sp macro="" textlink="">
      <xdr:nvSpPr>
        <xdr:cNvPr id="14" name="Rectangle: Rounded Corners 13">
          <a:extLst>
            <a:ext uri="{FF2B5EF4-FFF2-40B4-BE49-F238E27FC236}">
              <a16:creationId xmlns:a16="http://schemas.microsoft.com/office/drawing/2014/main" id="{769636A2-48E1-46C3-95FD-DD315B55DCF9}"/>
            </a:ext>
          </a:extLst>
        </xdr:cNvPr>
        <xdr:cNvSpPr/>
      </xdr:nvSpPr>
      <xdr:spPr>
        <a:xfrm>
          <a:off x="10178162963"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231385</xdr:colOff>
      <xdr:row>1</xdr:row>
      <xdr:rowOff>0</xdr:rowOff>
    </xdr:from>
    <xdr:to>
      <xdr:col>2</xdr:col>
      <xdr:colOff>1789066</xdr:colOff>
      <xdr:row>3</xdr:row>
      <xdr:rowOff>59489</xdr:rowOff>
    </xdr:to>
    <xdr:sp macro="" textlink="">
      <xdr:nvSpPr>
        <xdr:cNvPr id="15" name="Rectangle: Rounded Corners 14">
          <a:extLst>
            <a:ext uri="{FF2B5EF4-FFF2-40B4-BE49-F238E27FC236}">
              <a16:creationId xmlns:a16="http://schemas.microsoft.com/office/drawing/2014/main" id="{3E0E406C-B2B4-4FD5-B39B-64575802830C}"/>
            </a:ext>
          </a:extLst>
        </xdr:cNvPr>
        <xdr:cNvSpPr/>
      </xdr:nvSpPr>
      <xdr:spPr>
        <a:xfrm>
          <a:off x="10176604162"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2</xdr:col>
      <xdr:colOff>3353446</xdr:colOff>
      <xdr:row>1</xdr:row>
      <xdr:rowOff>0</xdr:rowOff>
    </xdr:from>
    <xdr:to>
      <xdr:col>4</xdr:col>
      <xdr:colOff>12385</xdr:colOff>
      <xdr:row>3</xdr:row>
      <xdr:rowOff>59489</xdr:rowOff>
    </xdr:to>
    <xdr:sp macro="" textlink="">
      <xdr:nvSpPr>
        <xdr:cNvPr id="16" name="Rectangle: Rounded Corners 15">
          <a:extLst>
            <a:ext uri="{FF2B5EF4-FFF2-40B4-BE49-F238E27FC236}">
              <a16:creationId xmlns:a16="http://schemas.microsoft.com/office/drawing/2014/main" id="{DBACF746-F57D-46D3-9E38-E2AD99181B95}"/>
            </a:ext>
          </a:extLst>
        </xdr:cNvPr>
        <xdr:cNvSpPr/>
      </xdr:nvSpPr>
      <xdr:spPr>
        <a:xfrm>
          <a:off x="10173482272"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5</xdr:col>
      <xdr:colOff>365212</xdr:colOff>
      <xdr:row>1</xdr:row>
      <xdr:rowOff>0</xdr:rowOff>
    </xdr:from>
    <xdr:to>
      <xdr:col>6</xdr:col>
      <xdr:colOff>1035388</xdr:colOff>
      <xdr:row>3</xdr:row>
      <xdr:rowOff>59489</xdr:rowOff>
    </xdr:to>
    <xdr:sp macro="" textlink="">
      <xdr:nvSpPr>
        <xdr:cNvPr id="17" name="Rectangle: Rounded Corners 16">
          <a:extLst>
            <a:ext uri="{FF2B5EF4-FFF2-40B4-BE49-F238E27FC236}">
              <a16:creationId xmlns:a16="http://schemas.microsoft.com/office/drawing/2014/main" id="{7EAE9CC7-8DC2-471E-8AF7-6650AB7ACACC}"/>
            </a:ext>
          </a:extLst>
        </xdr:cNvPr>
        <xdr:cNvSpPr/>
      </xdr:nvSpPr>
      <xdr:spPr>
        <a:xfrm>
          <a:off x="10170380097"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4</xdr:col>
      <xdr:colOff>10720</xdr:colOff>
      <xdr:row>1</xdr:row>
      <xdr:rowOff>0</xdr:rowOff>
    </xdr:from>
    <xdr:to>
      <xdr:col>5</xdr:col>
      <xdr:colOff>366628</xdr:colOff>
      <xdr:row>3</xdr:row>
      <xdr:rowOff>59489</xdr:rowOff>
    </xdr:to>
    <xdr:sp macro="" textlink="">
      <xdr:nvSpPr>
        <xdr:cNvPr id="18" name="Rectangle: Rounded Corners 17">
          <a:extLst>
            <a:ext uri="{FF2B5EF4-FFF2-40B4-BE49-F238E27FC236}">
              <a16:creationId xmlns:a16="http://schemas.microsoft.com/office/drawing/2014/main" id="{5F49962C-0D53-4FFD-AD16-081B17C2CDD6}"/>
            </a:ext>
          </a:extLst>
        </xdr:cNvPr>
        <xdr:cNvSpPr/>
      </xdr:nvSpPr>
      <xdr:spPr>
        <a:xfrm>
          <a:off x="10171930600"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1791335</xdr:colOff>
      <xdr:row>1</xdr:row>
      <xdr:rowOff>0</xdr:rowOff>
    </xdr:from>
    <xdr:to>
      <xdr:col>2</xdr:col>
      <xdr:colOff>3348377</xdr:colOff>
      <xdr:row>3</xdr:row>
      <xdr:rowOff>59489</xdr:rowOff>
    </xdr:to>
    <xdr:sp macro="" textlink="">
      <xdr:nvSpPr>
        <xdr:cNvPr id="19" name="Rectangle: Rounded Corners 18">
          <a:extLst>
            <a:ext uri="{FF2B5EF4-FFF2-40B4-BE49-F238E27FC236}">
              <a16:creationId xmlns:a16="http://schemas.microsoft.com/office/drawing/2014/main" id="{3CFA0F33-6D93-4DE5-9999-76CEBC05E196}"/>
            </a:ext>
          </a:extLst>
        </xdr:cNvPr>
        <xdr:cNvSpPr/>
      </xdr:nvSpPr>
      <xdr:spPr>
        <a:xfrm>
          <a:off x="10175044851"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6</xdr:col>
      <xdr:colOff>1030656</xdr:colOff>
      <xdr:row>1</xdr:row>
      <xdr:rowOff>0</xdr:rowOff>
    </xdr:from>
    <xdr:to>
      <xdr:col>7</xdr:col>
      <xdr:colOff>1056080</xdr:colOff>
      <xdr:row>3</xdr:row>
      <xdr:rowOff>59489</xdr:rowOff>
    </xdr:to>
    <xdr:sp macro="" textlink="">
      <xdr:nvSpPr>
        <xdr:cNvPr id="20" name="Rectangle: Rounded Corners 19">
          <a:extLst>
            <a:ext uri="{FF2B5EF4-FFF2-40B4-BE49-F238E27FC236}">
              <a16:creationId xmlns:a16="http://schemas.microsoft.com/office/drawing/2014/main" id="{E347382C-E224-43D4-9552-E8FE5DD110BF}"/>
            </a:ext>
          </a:extLst>
        </xdr:cNvPr>
        <xdr:cNvSpPr/>
      </xdr:nvSpPr>
      <xdr:spPr>
        <a:xfrm>
          <a:off x="10168824520"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7</xdr:col>
      <xdr:colOff>1054862</xdr:colOff>
      <xdr:row>1</xdr:row>
      <xdr:rowOff>2845</xdr:rowOff>
    </xdr:from>
    <xdr:to>
      <xdr:col>7</xdr:col>
      <xdr:colOff>2609703</xdr:colOff>
      <xdr:row>3</xdr:row>
      <xdr:rowOff>62334</xdr:rowOff>
    </xdr:to>
    <xdr:sp macro="" textlink="">
      <xdr:nvSpPr>
        <xdr:cNvPr id="21" name="Rectangle: Rounded Corners 20">
          <a:extLst>
            <a:ext uri="{FF2B5EF4-FFF2-40B4-BE49-F238E27FC236}">
              <a16:creationId xmlns:a16="http://schemas.microsoft.com/office/drawing/2014/main" id="{98BBE36E-56F5-40E6-B119-645FD0C5EA93}"/>
            </a:ext>
          </a:extLst>
        </xdr:cNvPr>
        <xdr:cNvSpPr/>
      </xdr:nvSpPr>
      <xdr:spPr>
        <a:xfrm>
          <a:off x="10167270897"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411482</xdr:colOff>
      <xdr:row>3</xdr:row>
      <xdr:rowOff>60769</xdr:rowOff>
    </xdr:to>
    <xdr:sp macro="" textlink="">
      <xdr:nvSpPr>
        <xdr:cNvPr id="14" name="Rectangle: Rounded Corners 13">
          <a:extLst>
            <a:ext uri="{FF2B5EF4-FFF2-40B4-BE49-F238E27FC236}">
              <a16:creationId xmlns:a16="http://schemas.microsoft.com/office/drawing/2014/main" id="{C4867A8D-DD65-4036-903C-3384191FD44E}"/>
            </a:ext>
          </a:extLst>
        </xdr:cNvPr>
        <xdr:cNvSpPr/>
      </xdr:nvSpPr>
      <xdr:spPr>
        <a:xfrm>
          <a:off x="10289818374"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412602</xdr:colOff>
      <xdr:row>1</xdr:row>
      <xdr:rowOff>0</xdr:rowOff>
    </xdr:from>
    <xdr:to>
      <xdr:col>2</xdr:col>
      <xdr:colOff>1969642</xdr:colOff>
      <xdr:row>3</xdr:row>
      <xdr:rowOff>60769</xdr:rowOff>
    </xdr:to>
    <xdr:sp macro="" textlink="">
      <xdr:nvSpPr>
        <xdr:cNvPr id="15" name="Rectangle: Rounded Corners 14">
          <a:extLst>
            <a:ext uri="{FF2B5EF4-FFF2-40B4-BE49-F238E27FC236}">
              <a16:creationId xmlns:a16="http://schemas.microsoft.com/office/drawing/2014/main" id="{A05E3C57-5D36-4438-9812-B218898CE6EE}"/>
            </a:ext>
          </a:extLst>
        </xdr:cNvPr>
        <xdr:cNvSpPr/>
      </xdr:nvSpPr>
      <xdr:spPr>
        <a:xfrm>
          <a:off x="10288259573"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3</xdr:col>
      <xdr:colOff>50593</xdr:colOff>
      <xdr:row>1</xdr:row>
      <xdr:rowOff>0</xdr:rowOff>
    </xdr:from>
    <xdr:to>
      <xdr:col>3</xdr:col>
      <xdr:colOff>1608103</xdr:colOff>
      <xdr:row>3</xdr:row>
      <xdr:rowOff>60769</xdr:rowOff>
    </xdr:to>
    <xdr:sp macro="" textlink="">
      <xdr:nvSpPr>
        <xdr:cNvPr id="16" name="Rectangle: Rounded Corners 15">
          <a:extLst>
            <a:ext uri="{FF2B5EF4-FFF2-40B4-BE49-F238E27FC236}">
              <a16:creationId xmlns:a16="http://schemas.microsoft.com/office/drawing/2014/main" id="{6B300EA2-C7A2-4F0C-8DB2-8092BB3E412F}"/>
            </a:ext>
          </a:extLst>
        </xdr:cNvPr>
        <xdr:cNvSpPr/>
      </xdr:nvSpPr>
      <xdr:spPr>
        <a:xfrm>
          <a:off x="10285137683"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3</xdr:col>
      <xdr:colOff>3163482</xdr:colOff>
      <xdr:row>1</xdr:row>
      <xdr:rowOff>0</xdr:rowOff>
    </xdr:from>
    <xdr:to>
      <xdr:col>5</xdr:col>
      <xdr:colOff>219601</xdr:colOff>
      <xdr:row>3</xdr:row>
      <xdr:rowOff>60769</xdr:rowOff>
    </xdr:to>
    <xdr:sp macro="" textlink="">
      <xdr:nvSpPr>
        <xdr:cNvPr id="17" name="Rectangle: Rounded Corners 16">
          <a:extLst>
            <a:ext uri="{FF2B5EF4-FFF2-40B4-BE49-F238E27FC236}">
              <a16:creationId xmlns:a16="http://schemas.microsoft.com/office/drawing/2014/main" id="{103D81D1-98D1-44CB-88BF-4EB0B708D43E}"/>
            </a:ext>
          </a:extLst>
        </xdr:cNvPr>
        <xdr:cNvSpPr/>
      </xdr:nvSpPr>
      <xdr:spPr>
        <a:xfrm>
          <a:off x="10282035508"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3</xdr:col>
      <xdr:colOff>1606438</xdr:colOff>
      <xdr:row>1</xdr:row>
      <xdr:rowOff>0</xdr:rowOff>
    </xdr:from>
    <xdr:to>
      <xdr:col>3</xdr:col>
      <xdr:colOff>3164898</xdr:colOff>
      <xdr:row>3</xdr:row>
      <xdr:rowOff>60769</xdr:rowOff>
    </xdr:to>
    <xdr:sp macro="" textlink="">
      <xdr:nvSpPr>
        <xdr:cNvPr id="18" name="Rectangle: Rounded Corners 17">
          <a:extLst>
            <a:ext uri="{FF2B5EF4-FFF2-40B4-BE49-F238E27FC236}">
              <a16:creationId xmlns:a16="http://schemas.microsoft.com/office/drawing/2014/main" id="{4C52C96E-A4B9-4E6C-82D6-7169B342C886}"/>
            </a:ext>
          </a:extLst>
        </xdr:cNvPr>
        <xdr:cNvSpPr/>
      </xdr:nvSpPr>
      <xdr:spPr>
        <a:xfrm>
          <a:off x="10283586011"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1971911</xdr:colOff>
      <xdr:row>1</xdr:row>
      <xdr:rowOff>0</xdr:rowOff>
    </xdr:from>
    <xdr:to>
      <xdr:col>3</xdr:col>
      <xdr:colOff>45524</xdr:colOff>
      <xdr:row>3</xdr:row>
      <xdr:rowOff>60769</xdr:rowOff>
    </xdr:to>
    <xdr:sp macro="" textlink="">
      <xdr:nvSpPr>
        <xdr:cNvPr id="19" name="Rectangle: Rounded Corners 18">
          <a:extLst>
            <a:ext uri="{FF2B5EF4-FFF2-40B4-BE49-F238E27FC236}">
              <a16:creationId xmlns:a16="http://schemas.microsoft.com/office/drawing/2014/main" id="{2217C89A-35D3-4CC7-9FBD-A9FA35B2AFF0}"/>
            </a:ext>
          </a:extLst>
        </xdr:cNvPr>
        <xdr:cNvSpPr/>
      </xdr:nvSpPr>
      <xdr:spPr>
        <a:xfrm>
          <a:off x="10286700262"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5</xdr:col>
      <xdr:colOff>214869</xdr:colOff>
      <xdr:row>1</xdr:row>
      <xdr:rowOff>0</xdr:rowOff>
    </xdr:from>
    <xdr:to>
      <xdr:col>6</xdr:col>
      <xdr:colOff>582232</xdr:colOff>
      <xdr:row>3</xdr:row>
      <xdr:rowOff>60769</xdr:rowOff>
    </xdr:to>
    <xdr:sp macro="" textlink="">
      <xdr:nvSpPr>
        <xdr:cNvPr id="20" name="Rectangle: Rounded Corners 19">
          <a:extLst>
            <a:ext uri="{FF2B5EF4-FFF2-40B4-BE49-F238E27FC236}">
              <a16:creationId xmlns:a16="http://schemas.microsoft.com/office/drawing/2014/main" id="{56653B8D-964B-4E05-8DC7-BE4A47D160CD}"/>
            </a:ext>
          </a:extLst>
        </xdr:cNvPr>
        <xdr:cNvSpPr/>
      </xdr:nvSpPr>
      <xdr:spPr>
        <a:xfrm>
          <a:off x="10280479931"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6</xdr:col>
      <xdr:colOff>581014</xdr:colOff>
      <xdr:row>1</xdr:row>
      <xdr:rowOff>2845</xdr:rowOff>
    </xdr:from>
    <xdr:to>
      <xdr:col>8</xdr:col>
      <xdr:colOff>290406</xdr:colOff>
      <xdr:row>3</xdr:row>
      <xdr:rowOff>63614</xdr:rowOff>
    </xdr:to>
    <xdr:sp macro="" textlink="">
      <xdr:nvSpPr>
        <xdr:cNvPr id="21" name="Rectangle: Rounded Corners 20">
          <a:extLst>
            <a:ext uri="{FF2B5EF4-FFF2-40B4-BE49-F238E27FC236}">
              <a16:creationId xmlns:a16="http://schemas.microsoft.com/office/drawing/2014/main" id="{EB362A00-6E85-4CF6-9202-03032BC2E1B8}"/>
            </a:ext>
          </a:extLst>
        </xdr:cNvPr>
        <xdr:cNvSpPr/>
      </xdr:nvSpPr>
      <xdr:spPr>
        <a:xfrm>
          <a:off x="10278926308"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447980</xdr:colOff>
      <xdr:row>3</xdr:row>
      <xdr:rowOff>59489</xdr:rowOff>
    </xdr:to>
    <xdr:sp macro="" textlink="">
      <xdr:nvSpPr>
        <xdr:cNvPr id="8" name="Rectangle: Rounded Corners 7">
          <a:extLst>
            <a:ext uri="{FF2B5EF4-FFF2-40B4-BE49-F238E27FC236}">
              <a16:creationId xmlns:a16="http://schemas.microsoft.com/office/drawing/2014/main" id="{1FD2D8A7-6570-4AC1-8E31-8AB2C351B32A}"/>
            </a:ext>
          </a:extLst>
        </xdr:cNvPr>
        <xdr:cNvSpPr/>
      </xdr:nvSpPr>
      <xdr:spPr>
        <a:xfrm>
          <a:off x="10172110506"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449100</xdr:colOff>
      <xdr:row>1</xdr:row>
      <xdr:rowOff>0</xdr:rowOff>
    </xdr:from>
    <xdr:to>
      <xdr:col>3</xdr:col>
      <xdr:colOff>81098</xdr:colOff>
      <xdr:row>3</xdr:row>
      <xdr:rowOff>59489</xdr:rowOff>
    </xdr:to>
    <xdr:sp macro="" textlink="">
      <xdr:nvSpPr>
        <xdr:cNvPr id="9" name="Rectangle: Rounded Corners 8">
          <a:extLst>
            <a:ext uri="{FF2B5EF4-FFF2-40B4-BE49-F238E27FC236}">
              <a16:creationId xmlns:a16="http://schemas.microsoft.com/office/drawing/2014/main" id="{21B5669F-69AF-48B2-BFAE-F619DCFA2EF3}"/>
            </a:ext>
          </a:extLst>
        </xdr:cNvPr>
        <xdr:cNvSpPr/>
      </xdr:nvSpPr>
      <xdr:spPr>
        <a:xfrm>
          <a:off x="10170551705"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785506</xdr:colOff>
      <xdr:row>1</xdr:row>
      <xdr:rowOff>0</xdr:rowOff>
    </xdr:from>
    <xdr:to>
      <xdr:col>5</xdr:col>
      <xdr:colOff>1483044</xdr:colOff>
      <xdr:row>3</xdr:row>
      <xdr:rowOff>59489</xdr:rowOff>
    </xdr:to>
    <xdr:sp macro="" textlink="">
      <xdr:nvSpPr>
        <xdr:cNvPr id="10" name="Rectangle: Rounded Corners 9">
          <a:extLst>
            <a:ext uri="{FF2B5EF4-FFF2-40B4-BE49-F238E27FC236}">
              <a16:creationId xmlns:a16="http://schemas.microsoft.com/office/drawing/2014/main" id="{58F88F66-F96C-49BA-8970-ABAA6205F599}"/>
            </a:ext>
          </a:extLst>
        </xdr:cNvPr>
        <xdr:cNvSpPr/>
      </xdr:nvSpPr>
      <xdr:spPr>
        <a:xfrm>
          <a:off x="10167429815"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94157</xdr:colOff>
      <xdr:row>1</xdr:row>
      <xdr:rowOff>0</xdr:rowOff>
    </xdr:from>
    <xdr:to>
      <xdr:col>8</xdr:col>
      <xdr:colOff>568391</xdr:colOff>
      <xdr:row>3</xdr:row>
      <xdr:rowOff>59489</xdr:rowOff>
    </xdr:to>
    <xdr:sp macro="" textlink="">
      <xdr:nvSpPr>
        <xdr:cNvPr id="11" name="Rectangle: Rounded Corners 10">
          <a:extLst>
            <a:ext uri="{FF2B5EF4-FFF2-40B4-BE49-F238E27FC236}">
              <a16:creationId xmlns:a16="http://schemas.microsoft.com/office/drawing/2014/main" id="{175B28A5-238F-4A70-B359-7E6EDFEF606D}"/>
            </a:ext>
          </a:extLst>
        </xdr:cNvPr>
        <xdr:cNvSpPr/>
      </xdr:nvSpPr>
      <xdr:spPr>
        <a:xfrm>
          <a:off x="10164327640"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1481379</xdr:colOff>
      <xdr:row>1</xdr:row>
      <xdr:rowOff>0</xdr:rowOff>
    </xdr:from>
    <xdr:to>
      <xdr:col>7</xdr:col>
      <xdr:colOff>95573</xdr:colOff>
      <xdr:row>3</xdr:row>
      <xdr:rowOff>59489</xdr:rowOff>
    </xdr:to>
    <xdr:sp macro="" textlink="">
      <xdr:nvSpPr>
        <xdr:cNvPr id="12" name="Rectangle: Rounded Corners 11">
          <a:extLst>
            <a:ext uri="{FF2B5EF4-FFF2-40B4-BE49-F238E27FC236}">
              <a16:creationId xmlns:a16="http://schemas.microsoft.com/office/drawing/2014/main" id="{E89B3C74-4F7E-4DB2-BBEC-25071D2520AA}"/>
            </a:ext>
          </a:extLst>
        </xdr:cNvPr>
        <xdr:cNvSpPr/>
      </xdr:nvSpPr>
      <xdr:spPr>
        <a:xfrm>
          <a:off x="10165878143"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83367</xdr:colOff>
      <xdr:row>1</xdr:row>
      <xdr:rowOff>0</xdr:rowOff>
    </xdr:from>
    <xdr:to>
      <xdr:col>4</xdr:col>
      <xdr:colOff>780437</xdr:colOff>
      <xdr:row>3</xdr:row>
      <xdr:rowOff>59489</xdr:rowOff>
    </xdr:to>
    <xdr:sp macro="" textlink="">
      <xdr:nvSpPr>
        <xdr:cNvPr id="13" name="Rectangle: Rounded Corners 12">
          <a:extLst>
            <a:ext uri="{FF2B5EF4-FFF2-40B4-BE49-F238E27FC236}">
              <a16:creationId xmlns:a16="http://schemas.microsoft.com/office/drawing/2014/main" id="{4576CC2A-C577-4DD1-836D-26E9848B626A}"/>
            </a:ext>
          </a:extLst>
        </xdr:cNvPr>
        <xdr:cNvSpPr/>
      </xdr:nvSpPr>
      <xdr:spPr>
        <a:xfrm>
          <a:off x="10168992394"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563659</xdr:colOff>
      <xdr:row>1</xdr:row>
      <xdr:rowOff>0</xdr:rowOff>
    </xdr:from>
    <xdr:to>
      <xdr:col>10</xdr:col>
      <xdr:colOff>748013</xdr:colOff>
      <xdr:row>3</xdr:row>
      <xdr:rowOff>59489</xdr:rowOff>
    </xdr:to>
    <xdr:sp macro="" textlink="">
      <xdr:nvSpPr>
        <xdr:cNvPr id="20" name="Rectangle: Rounded Corners 19">
          <a:extLst>
            <a:ext uri="{FF2B5EF4-FFF2-40B4-BE49-F238E27FC236}">
              <a16:creationId xmlns:a16="http://schemas.microsoft.com/office/drawing/2014/main" id="{29847617-7AB6-40AE-9155-65E527FBA8BA}"/>
            </a:ext>
          </a:extLst>
        </xdr:cNvPr>
        <xdr:cNvSpPr/>
      </xdr:nvSpPr>
      <xdr:spPr>
        <a:xfrm>
          <a:off x="10162772063"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746795</xdr:colOff>
      <xdr:row>1</xdr:row>
      <xdr:rowOff>2845</xdr:rowOff>
    </xdr:from>
    <xdr:to>
      <xdr:col>13</xdr:col>
      <xdr:colOff>55338</xdr:colOff>
      <xdr:row>3</xdr:row>
      <xdr:rowOff>62334</xdr:rowOff>
    </xdr:to>
    <xdr:sp macro="" textlink="">
      <xdr:nvSpPr>
        <xdr:cNvPr id="21" name="Rectangle: Rounded Corners 20">
          <a:extLst>
            <a:ext uri="{FF2B5EF4-FFF2-40B4-BE49-F238E27FC236}">
              <a16:creationId xmlns:a16="http://schemas.microsoft.com/office/drawing/2014/main" id="{ADAF486F-AC6D-4456-A72D-67265977EE18}"/>
            </a:ext>
          </a:extLst>
        </xdr:cNvPr>
        <xdr:cNvSpPr/>
      </xdr:nvSpPr>
      <xdr:spPr>
        <a:xfrm>
          <a:off x="10161218440"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95155</xdr:colOff>
      <xdr:row>3</xdr:row>
      <xdr:rowOff>124803</xdr:rowOff>
    </xdr:to>
    <xdr:sp macro="" textlink="">
      <xdr:nvSpPr>
        <xdr:cNvPr id="8" name="Rectangle: Rounded Corners 7">
          <a:extLst>
            <a:ext uri="{FF2B5EF4-FFF2-40B4-BE49-F238E27FC236}">
              <a16:creationId xmlns:a16="http://schemas.microsoft.com/office/drawing/2014/main" id="{9B98FBB6-440D-4128-A08D-2FCBE5F84537}"/>
            </a:ext>
          </a:extLst>
        </xdr:cNvPr>
        <xdr:cNvSpPr/>
      </xdr:nvSpPr>
      <xdr:spPr>
        <a:xfrm>
          <a:off x="10175038763" y="174171"/>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96275</xdr:colOff>
      <xdr:row>1</xdr:row>
      <xdr:rowOff>0</xdr:rowOff>
    </xdr:from>
    <xdr:to>
      <xdr:col>3</xdr:col>
      <xdr:colOff>49274</xdr:colOff>
      <xdr:row>3</xdr:row>
      <xdr:rowOff>124803</xdr:rowOff>
    </xdr:to>
    <xdr:sp macro="" textlink="">
      <xdr:nvSpPr>
        <xdr:cNvPr id="9" name="Rectangle: Rounded Corners 8">
          <a:extLst>
            <a:ext uri="{FF2B5EF4-FFF2-40B4-BE49-F238E27FC236}">
              <a16:creationId xmlns:a16="http://schemas.microsoft.com/office/drawing/2014/main" id="{46CE0192-5FFC-4DD0-BFB7-A2C2A9C5AEAD}"/>
            </a:ext>
          </a:extLst>
        </xdr:cNvPr>
        <xdr:cNvSpPr/>
      </xdr:nvSpPr>
      <xdr:spPr>
        <a:xfrm>
          <a:off x="10173479962" y="174171"/>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14734</xdr:colOff>
      <xdr:row>1</xdr:row>
      <xdr:rowOff>0</xdr:rowOff>
    </xdr:from>
    <xdr:to>
      <xdr:col>5</xdr:col>
      <xdr:colOff>89865</xdr:colOff>
      <xdr:row>3</xdr:row>
      <xdr:rowOff>124803</xdr:rowOff>
    </xdr:to>
    <xdr:sp macro="" textlink="">
      <xdr:nvSpPr>
        <xdr:cNvPr id="10" name="Rectangle: Rounded Corners 9">
          <a:extLst>
            <a:ext uri="{FF2B5EF4-FFF2-40B4-BE49-F238E27FC236}">
              <a16:creationId xmlns:a16="http://schemas.microsoft.com/office/drawing/2014/main" id="{3721F840-7DA8-497C-9375-D1F04A328D95}"/>
            </a:ext>
          </a:extLst>
        </xdr:cNvPr>
        <xdr:cNvSpPr/>
      </xdr:nvSpPr>
      <xdr:spPr>
        <a:xfrm>
          <a:off x="10170358072" y="174171"/>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229461</xdr:colOff>
      <xdr:row>1</xdr:row>
      <xdr:rowOff>0</xdr:rowOff>
    </xdr:from>
    <xdr:to>
      <xdr:col>7</xdr:col>
      <xdr:colOff>672317</xdr:colOff>
      <xdr:row>3</xdr:row>
      <xdr:rowOff>124803</xdr:rowOff>
    </xdr:to>
    <xdr:sp macro="" textlink="">
      <xdr:nvSpPr>
        <xdr:cNvPr id="11" name="Rectangle: Rounded Corners 10">
          <a:extLst>
            <a:ext uri="{FF2B5EF4-FFF2-40B4-BE49-F238E27FC236}">
              <a16:creationId xmlns:a16="http://schemas.microsoft.com/office/drawing/2014/main" id="{C8DAF51F-B1B7-4C45-9C82-F0B4DB5AD394}"/>
            </a:ext>
          </a:extLst>
        </xdr:cNvPr>
        <xdr:cNvSpPr/>
      </xdr:nvSpPr>
      <xdr:spPr>
        <a:xfrm>
          <a:off x="10167255897" y="174171"/>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88200</xdr:colOff>
      <xdr:row>1</xdr:row>
      <xdr:rowOff>0</xdr:rowOff>
    </xdr:from>
    <xdr:to>
      <xdr:col>6</xdr:col>
      <xdr:colOff>230877</xdr:colOff>
      <xdr:row>3</xdr:row>
      <xdr:rowOff>124803</xdr:rowOff>
    </xdr:to>
    <xdr:sp macro="" textlink="">
      <xdr:nvSpPr>
        <xdr:cNvPr id="12" name="Rectangle: Rounded Corners 11">
          <a:extLst>
            <a:ext uri="{FF2B5EF4-FFF2-40B4-BE49-F238E27FC236}">
              <a16:creationId xmlns:a16="http://schemas.microsoft.com/office/drawing/2014/main" id="{AE00AB3B-2B6C-45E0-9666-1B54B7CBD2A8}"/>
            </a:ext>
          </a:extLst>
        </xdr:cNvPr>
        <xdr:cNvSpPr/>
      </xdr:nvSpPr>
      <xdr:spPr>
        <a:xfrm>
          <a:off x="10168806400" y="174171"/>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51543</xdr:colOff>
      <xdr:row>1</xdr:row>
      <xdr:rowOff>0</xdr:rowOff>
    </xdr:from>
    <xdr:to>
      <xdr:col>4</xdr:col>
      <xdr:colOff>9665</xdr:colOff>
      <xdr:row>3</xdr:row>
      <xdr:rowOff>124803</xdr:rowOff>
    </xdr:to>
    <xdr:sp macro="" textlink="">
      <xdr:nvSpPr>
        <xdr:cNvPr id="13" name="Rectangle: Rounded Corners 12">
          <a:extLst>
            <a:ext uri="{FF2B5EF4-FFF2-40B4-BE49-F238E27FC236}">
              <a16:creationId xmlns:a16="http://schemas.microsoft.com/office/drawing/2014/main" id="{F78DF89C-A476-4557-9B92-6069791FC1AE}"/>
            </a:ext>
          </a:extLst>
        </xdr:cNvPr>
        <xdr:cNvSpPr/>
      </xdr:nvSpPr>
      <xdr:spPr>
        <a:xfrm>
          <a:off x="10171920651" y="174171"/>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7</xdr:col>
      <xdr:colOff>667585</xdr:colOff>
      <xdr:row>1</xdr:row>
      <xdr:rowOff>0</xdr:rowOff>
    </xdr:from>
    <xdr:to>
      <xdr:col>8</xdr:col>
      <xdr:colOff>888952</xdr:colOff>
      <xdr:row>3</xdr:row>
      <xdr:rowOff>124803</xdr:rowOff>
    </xdr:to>
    <xdr:sp macro="" textlink="">
      <xdr:nvSpPr>
        <xdr:cNvPr id="20" name="Rectangle: Rounded Corners 19">
          <a:extLst>
            <a:ext uri="{FF2B5EF4-FFF2-40B4-BE49-F238E27FC236}">
              <a16:creationId xmlns:a16="http://schemas.microsoft.com/office/drawing/2014/main" id="{90FCA840-CEEF-4243-A603-BB2E45F841AB}"/>
            </a:ext>
          </a:extLst>
        </xdr:cNvPr>
        <xdr:cNvSpPr/>
      </xdr:nvSpPr>
      <xdr:spPr>
        <a:xfrm>
          <a:off x="10165700320" y="174171"/>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8</xdr:col>
      <xdr:colOff>887734</xdr:colOff>
      <xdr:row>1</xdr:row>
      <xdr:rowOff>2845</xdr:rowOff>
    </xdr:from>
    <xdr:to>
      <xdr:col>9</xdr:col>
      <xdr:colOff>1103632</xdr:colOff>
      <xdr:row>3</xdr:row>
      <xdr:rowOff>127648</xdr:rowOff>
    </xdr:to>
    <xdr:sp macro="" textlink="">
      <xdr:nvSpPr>
        <xdr:cNvPr id="21" name="Rectangle: Rounded Corners 20">
          <a:extLst>
            <a:ext uri="{FF2B5EF4-FFF2-40B4-BE49-F238E27FC236}">
              <a16:creationId xmlns:a16="http://schemas.microsoft.com/office/drawing/2014/main" id="{2831AA86-76A8-4430-B991-79D52FBC3E1A}"/>
            </a:ext>
          </a:extLst>
        </xdr:cNvPr>
        <xdr:cNvSpPr/>
      </xdr:nvSpPr>
      <xdr:spPr>
        <a:xfrm>
          <a:off x="10164146697" y="177016"/>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709237</xdr:colOff>
      <xdr:row>3</xdr:row>
      <xdr:rowOff>59489</xdr:rowOff>
    </xdr:to>
    <xdr:sp macro="" textlink="">
      <xdr:nvSpPr>
        <xdr:cNvPr id="8" name="Rectangle: Rounded Corners 7">
          <a:extLst>
            <a:ext uri="{FF2B5EF4-FFF2-40B4-BE49-F238E27FC236}">
              <a16:creationId xmlns:a16="http://schemas.microsoft.com/office/drawing/2014/main" id="{5394A6DE-F68C-4C74-8F3E-F62012D54DCE}"/>
            </a:ext>
          </a:extLst>
        </xdr:cNvPr>
        <xdr:cNvSpPr/>
      </xdr:nvSpPr>
      <xdr:spPr>
        <a:xfrm>
          <a:off x="10169639449"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710357</xdr:colOff>
      <xdr:row>1</xdr:row>
      <xdr:rowOff>0</xdr:rowOff>
    </xdr:from>
    <xdr:to>
      <xdr:col>3</xdr:col>
      <xdr:colOff>961752</xdr:colOff>
      <xdr:row>3</xdr:row>
      <xdr:rowOff>59489</xdr:rowOff>
    </xdr:to>
    <xdr:sp macro="" textlink="">
      <xdr:nvSpPr>
        <xdr:cNvPr id="9" name="Rectangle: Rounded Corners 8">
          <a:extLst>
            <a:ext uri="{FF2B5EF4-FFF2-40B4-BE49-F238E27FC236}">
              <a16:creationId xmlns:a16="http://schemas.microsoft.com/office/drawing/2014/main" id="{82195B59-6905-492E-A48A-6E1DCD619B9C}"/>
            </a:ext>
          </a:extLst>
        </xdr:cNvPr>
        <xdr:cNvSpPr/>
      </xdr:nvSpPr>
      <xdr:spPr>
        <a:xfrm>
          <a:off x="10168080648"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3</xdr:col>
      <xdr:colOff>2526132</xdr:colOff>
      <xdr:row>1</xdr:row>
      <xdr:rowOff>0</xdr:rowOff>
    </xdr:from>
    <xdr:to>
      <xdr:col>5</xdr:col>
      <xdr:colOff>469585</xdr:colOff>
      <xdr:row>3</xdr:row>
      <xdr:rowOff>59489</xdr:rowOff>
    </xdr:to>
    <xdr:sp macro="" textlink="">
      <xdr:nvSpPr>
        <xdr:cNvPr id="10" name="Rectangle: Rounded Corners 9">
          <a:extLst>
            <a:ext uri="{FF2B5EF4-FFF2-40B4-BE49-F238E27FC236}">
              <a16:creationId xmlns:a16="http://schemas.microsoft.com/office/drawing/2014/main" id="{03725B21-53A5-4F67-A760-02D8A8B6F1AF}"/>
            </a:ext>
          </a:extLst>
        </xdr:cNvPr>
        <xdr:cNvSpPr/>
      </xdr:nvSpPr>
      <xdr:spPr>
        <a:xfrm>
          <a:off x="10164958758"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985698</xdr:colOff>
      <xdr:row>1</xdr:row>
      <xdr:rowOff>0</xdr:rowOff>
    </xdr:from>
    <xdr:to>
      <xdr:col>8</xdr:col>
      <xdr:colOff>371360</xdr:colOff>
      <xdr:row>3</xdr:row>
      <xdr:rowOff>59489</xdr:rowOff>
    </xdr:to>
    <xdr:sp macro="" textlink="">
      <xdr:nvSpPr>
        <xdr:cNvPr id="11" name="Rectangle: Rounded Corners 10">
          <a:extLst>
            <a:ext uri="{FF2B5EF4-FFF2-40B4-BE49-F238E27FC236}">
              <a16:creationId xmlns:a16="http://schemas.microsoft.com/office/drawing/2014/main" id="{D94F5F14-2645-46B7-85D0-649139405A34}"/>
            </a:ext>
          </a:extLst>
        </xdr:cNvPr>
        <xdr:cNvSpPr/>
      </xdr:nvSpPr>
      <xdr:spPr>
        <a:xfrm>
          <a:off x="10161856583"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467920</xdr:colOff>
      <xdr:row>1</xdr:row>
      <xdr:rowOff>0</xdr:rowOff>
    </xdr:from>
    <xdr:to>
      <xdr:col>6</xdr:col>
      <xdr:colOff>987114</xdr:colOff>
      <xdr:row>3</xdr:row>
      <xdr:rowOff>59489</xdr:rowOff>
    </xdr:to>
    <xdr:sp macro="" textlink="">
      <xdr:nvSpPr>
        <xdr:cNvPr id="12" name="Rectangle: Rounded Corners 11">
          <a:extLst>
            <a:ext uri="{FF2B5EF4-FFF2-40B4-BE49-F238E27FC236}">
              <a16:creationId xmlns:a16="http://schemas.microsoft.com/office/drawing/2014/main" id="{85ABF0D0-7447-44B2-A4CB-65CB51C63827}"/>
            </a:ext>
          </a:extLst>
        </xdr:cNvPr>
        <xdr:cNvSpPr/>
      </xdr:nvSpPr>
      <xdr:spPr>
        <a:xfrm>
          <a:off x="10163407086"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964021</xdr:colOff>
      <xdr:row>1</xdr:row>
      <xdr:rowOff>0</xdr:rowOff>
    </xdr:from>
    <xdr:to>
      <xdr:col>3</xdr:col>
      <xdr:colOff>2521063</xdr:colOff>
      <xdr:row>3</xdr:row>
      <xdr:rowOff>59489</xdr:rowOff>
    </xdr:to>
    <xdr:sp macro="" textlink="">
      <xdr:nvSpPr>
        <xdr:cNvPr id="13" name="Rectangle: Rounded Corners 12">
          <a:extLst>
            <a:ext uri="{FF2B5EF4-FFF2-40B4-BE49-F238E27FC236}">
              <a16:creationId xmlns:a16="http://schemas.microsoft.com/office/drawing/2014/main" id="{D928BF9B-C934-48ED-9A07-63560A469C26}"/>
            </a:ext>
          </a:extLst>
        </xdr:cNvPr>
        <xdr:cNvSpPr/>
      </xdr:nvSpPr>
      <xdr:spPr>
        <a:xfrm>
          <a:off x="10166521337"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366628</xdr:colOff>
      <xdr:row>1</xdr:row>
      <xdr:rowOff>0</xdr:rowOff>
    </xdr:from>
    <xdr:to>
      <xdr:col>9</xdr:col>
      <xdr:colOff>566223</xdr:colOff>
      <xdr:row>3</xdr:row>
      <xdr:rowOff>59489</xdr:rowOff>
    </xdr:to>
    <xdr:sp macro="" textlink="">
      <xdr:nvSpPr>
        <xdr:cNvPr id="14" name="Rectangle: Rounded Corners 13">
          <a:extLst>
            <a:ext uri="{FF2B5EF4-FFF2-40B4-BE49-F238E27FC236}">
              <a16:creationId xmlns:a16="http://schemas.microsoft.com/office/drawing/2014/main" id="{B7956C87-9820-4812-A752-9F4B09E1F391}"/>
            </a:ext>
          </a:extLst>
        </xdr:cNvPr>
        <xdr:cNvSpPr/>
      </xdr:nvSpPr>
      <xdr:spPr>
        <a:xfrm>
          <a:off x="10160301006"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565005</xdr:colOff>
      <xdr:row>1</xdr:row>
      <xdr:rowOff>2845</xdr:rowOff>
    </xdr:from>
    <xdr:to>
      <xdr:col>11</xdr:col>
      <xdr:colOff>138646</xdr:colOff>
      <xdr:row>3</xdr:row>
      <xdr:rowOff>62334</xdr:rowOff>
    </xdr:to>
    <xdr:sp macro="" textlink="">
      <xdr:nvSpPr>
        <xdr:cNvPr id="15" name="Rectangle: Rounded Corners 14">
          <a:extLst>
            <a:ext uri="{FF2B5EF4-FFF2-40B4-BE49-F238E27FC236}">
              <a16:creationId xmlns:a16="http://schemas.microsoft.com/office/drawing/2014/main" id="{FFEA8D1B-C9F3-4E4E-8821-2897BD60B932}"/>
            </a:ext>
          </a:extLst>
        </xdr:cNvPr>
        <xdr:cNvSpPr/>
      </xdr:nvSpPr>
      <xdr:spPr>
        <a:xfrm>
          <a:off x="10158747383"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1547437</xdr:colOff>
      <xdr:row>3</xdr:row>
      <xdr:rowOff>114558</xdr:rowOff>
    </xdr:to>
    <xdr:sp macro="" textlink="">
      <xdr:nvSpPr>
        <xdr:cNvPr id="14" name="Rectangle: Rounded Corners 13">
          <a:extLst>
            <a:ext uri="{FF2B5EF4-FFF2-40B4-BE49-F238E27FC236}">
              <a16:creationId xmlns:a16="http://schemas.microsoft.com/office/drawing/2014/main" id="{5C6B0EFF-D5DF-4AD7-BD88-C1EF251E1391}"/>
            </a:ext>
          </a:extLst>
        </xdr:cNvPr>
        <xdr:cNvSpPr/>
      </xdr:nvSpPr>
      <xdr:spPr>
        <a:xfrm>
          <a:off x="9990594422"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1</xdr:col>
      <xdr:colOff>1548557</xdr:colOff>
      <xdr:row>1</xdr:row>
      <xdr:rowOff>0</xdr:rowOff>
    </xdr:from>
    <xdr:to>
      <xdr:col>2</xdr:col>
      <xdr:colOff>1340191</xdr:colOff>
      <xdr:row>3</xdr:row>
      <xdr:rowOff>114558</xdr:rowOff>
    </xdr:to>
    <xdr:sp macro="" textlink="">
      <xdr:nvSpPr>
        <xdr:cNvPr id="15" name="Rectangle: Rounded Corners 14">
          <a:extLst>
            <a:ext uri="{FF2B5EF4-FFF2-40B4-BE49-F238E27FC236}">
              <a16:creationId xmlns:a16="http://schemas.microsoft.com/office/drawing/2014/main" id="{7C88EE53-FA55-44B7-85D6-7766DC0721D2}"/>
            </a:ext>
          </a:extLst>
        </xdr:cNvPr>
        <xdr:cNvSpPr/>
      </xdr:nvSpPr>
      <xdr:spPr>
        <a:xfrm>
          <a:off x="9989035621"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2</xdr:col>
      <xdr:colOff>2904571</xdr:colOff>
      <xdr:row>1</xdr:row>
      <xdr:rowOff>0</xdr:rowOff>
    </xdr:from>
    <xdr:to>
      <xdr:col>2</xdr:col>
      <xdr:colOff>4462081</xdr:colOff>
      <xdr:row>3</xdr:row>
      <xdr:rowOff>114558</xdr:rowOff>
    </xdr:to>
    <xdr:sp macro="" textlink="">
      <xdr:nvSpPr>
        <xdr:cNvPr id="16" name="Rectangle: Rounded Corners 15">
          <a:extLst>
            <a:ext uri="{FF2B5EF4-FFF2-40B4-BE49-F238E27FC236}">
              <a16:creationId xmlns:a16="http://schemas.microsoft.com/office/drawing/2014/main" id="{4C894C19-D58E-413D-BB80-BDD5A3516C9A}"/>
            </a:ext>
          </a:extLst>
        </xdr:cNvPr>
        <xdr:cNvSpPr/>
      </xdr:nvSpPr>
      <xdr:spPr>
        <a:xfrm>
          <a:off x="9985913731"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4</xdr:col>
      <xdr:colOff>552831</xdr:colOff>
      <xdr:row>1</xdr:row>
      <xdr:rowOff>0</xdr:rowOff>
    </xdr:from>
    <xdr:to>
      <xdr:col>7</xdr:col>
      <xdr:colOff>275950</xdr:colOff>
      <xdr:row>3</xdr:row>
      <xdr:rowOff>114558</xdr:rowOff>
    </xdr:to>
    <xdr:sp macro="" textlink="">
      <xdr:nvSpPr>
        <xdr:cNvPr id="17" name="Rectangle: Rounded Corners 16">
          <a:extLst>
            <a:ext uri="{FF2B5EF4-FFF2-40B4-BE49-F238E27FC236}">
              <a16:creationId xmlns:a16="http://schemas.microsoft.com/office/drawing/2014/main" id="{A7D2A6E7-380E-409A-B368-8FB63DF5DEA8}"/>
            </a:ext>
          </a:extLst>
        </xdr:cNvPr>
        <xdr:cNvSpPr/>
      </xdr:nvSpPr>
      <xdr:spPr>
        <a:xfrm>
          <a:off x="9982811556"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2</xdr:col>
      <xdr:colOff>4460416</xdr:colOff>
      <xdr:row>1</xdr:row>
      <xdr:rowOff>0</xdr:rowOff>
    </xdr:from>
    <xdr:to>
      <xdr:col>4</xdr:col>
      <xdr:colOff>554247</xdr:colOff>
      <xdr:row>3</xdr:row>
      <xdr:rowOff>114558</xdr:rowOff>
    </xdr:to>
    <xdr:sp macro="" textlink="">
      <xdr:nvSpPr>
        <xdr:cNvPr id="18" name="Rectangle: Rounded Corners 17">
          <a:extLst>
            <a:ext uri="{FF2B5EF4-FFF2-40B4-BE49-F238E27FC236}">
              <a16:creationId xmlns:a16="http://schemas.microsoft.com/office/drawing/2014/main" id="{AB73FD1E-E721-4193-B7EA-10BB22D1052B}"/>
            </a:ext>
          </a:extLst>
        </xdr:cNvPr>
        <xdr:cNvSpPr/>
      </xdr:nvSpPr>
      <xdr:spPr>
        <a:xfrm>
          <a:off x="9984362059"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1342460</xdr:colOff>
      <xdr:row>1</xdr:row>
      <xdr:rowOff>0</xdr:rowOff>
    </xdr:from>
    <xdr:to>
      <xdr:col>2</xdr:col>
      <xdr:colOff>2899502</xdr:colOff>
      <xdr:row>3</xdr:row>
      <xdr:rowOff>114558</xdr:rowOff>
    </xdr:to>
    <xdr:sp macro="" textlink="">
      <xdr:nvSpPr>
        <xdr:cNvPr id="19" name="Rectangle: Rounded Corners 18">
          <a:extLst>
            <a:ext uri="{FF2B5EF4-FFF2-40B4-BE49-F238E27FC236}">
              <a16:creationId xmlns:a16="http://schemas.microsoft.com/office/drawing/2014/main" id="{351B4723-56FB-41E2-A462-8B5E2F33D1B0}"/>
            </a:ext>
          </a:extLst>
        </xdr:cNvPr>
        <xdr:cNvSpPr/>
      </xdr:nvSpPr>
      <xdr:spPr>
        <a:xfrm>
          <a:off x="9987476310"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7</xdr:col>
      <xdr:colOff>271218</xdr:colOff>
      <xdr:row>1</xdr:row>
      <xdr:rowOff>0</xdr:rowOff>
    </xdr:from>
    <xdr:to>
      <xdr:col>10</xdr:col>
      <xdr:colOff>2727</xdr:colOff>
      <xdr:row>3</xdr:row>
      <xdr:rowOff>114558</xdr:rowOff>
    </xdr:to>
    <xdr:sp macro="" textlink="">
      <xdr:nvSpPr>
        <xdr:cNvPr id="20" name="Rectangle: Rounded Corners 19">
          <a:extLst>
            <a:ext uri="{FF2B5EF4-FFF2-40B4-BE49-F238E27FC236}">
              <a16:creationId xmlns:a16="http://schemas.microsoft.com/office/drawing/2014/main" id="{15D01385-638A-4C2B-8405-84A1B443630A}"/>
            </a:ext>
          </a:extLst>
        </xdr:cNvPr>
        <xdr:cNvSpPr/>
      </xdr:nvSpPr>
      <xdr:spPr>
        <a:xfrm>
          <a:off x="9981255979"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1509</xdr:colOff>
      <xdr:row>1</xdr:row>
      <xdr:rowOff>2845</xdr:rowOff>
    </xdr:from>
    <xdr:to>
      <xdr:col>12</xdr:col>
      <xdr:colOff>337150</xdr:colOff>
      <xdr:row>3</xdr:row>
      <xdr:rowOff>117403</xdr:rowOff>
    </xdr:to>
    <xdr:sp macro="" textlink="">
      <xdr:nvSpPr>
        <xdr:cNvPr id="21" name="Rectangle: Rounded Corners 20">
          <a:extLst>
            <a:ext uri="{FF2B5EF4-FFF2-40B4-BE49-F238E27FC236}">
              <a16:creationId xmlns:a16="http://schemas.microsoft.com/office/drawing/2014/main" id="{D99B16DD-04CD-4C58-825D-D32915FA35DA}"/>
            </a:ext>
          </a:extLst>
        </xdr:cNvPr>
        <xdr:cNvSpPr/>
      </xdr:nvSpPr>
      <xdr:spPr>
        <a:xfrm>
          <a:off x="9979702356"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1</xdr:col>
      <xdr:colOff>1547437</xdr:colOff>
      <xdr:row>3</xdr:row>
      <xdr:rowOff>59489</xdr:rowOff>
    </xdr:to>
    <xdr:sp macro="" textlink="">
      <xdr:nvSpPr>
        <xdr:cNvPr id="8" name="Rectangle: Rounded Corners 7">
          <a:extLst>
            <a:ext uri="{FF2B5EF4-FFF2-40B4-BE49-F238E27FC236}">
              <a16:creationId xmlns:a16="http://schemas.microsoft.com/office/drawing/2014/main" id="{477A5AD1-CBE0-4FD6-9B3D-B594A9543FC1}"/>
            </a:ext>
          </a:extLst>
        </xdr:cNvPr>
        <xdr:cNvSpPr/>
      </xdr:nvSpPr>
      <xdr:spPr>
        <a:xfrm>
          <a:off x="10173580078" y="206829"/>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1</xdr:col>
      <xdr:colOff>1548557</xdr:colOff>
      <xdr:row>1</xdr:row>
      <xdr:rowOff>0</xdr:rowOff>
    </xdr:from>
    <xdr:to>
      <xdr:col>2</xdr:col>
      <xdr:colOff>1190352</xdr:colOff>
      <xdr:row>3</xdr:row>
      <xdr:rowOff>59489</xdr:rowOff>
    </xdr:to>
    <xdr:sp macro="" textlink="">
      <xdr:nvSpPr>
        <xdr:cNvPr id="9" name="Rectangle: Rounded Corners 8">
          <a:extLst>
            <a:ext uri="{FF2B5EF4-FFF2-40B4-BE49-F238E27FC236}">
              <a16:creationId xmlns:a16="http://schemas.microsoft.com/office/drawing/2014/main" id="{3C056FA5-E35C-484D-B895-BCE7BBA7DA39}"/>
            </a:ext>
          </a:extLst>
        </xdr:cNvPr>
        <xdr:cNvSpPr/>
      </xdr:nvSpPr>
      <xdr:spPr>
        <a:xfrm>
          <a:off x="10172021277" y="206829"/>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3</xdr:col>
      <xdr:colOff>882389</xdr:colOff>
      <xdr:row>1</xdr:row>
      <xdr:rowOff>0</xdr:rowOff>
    </xdr:from>
    <xdr:to>
      <xdr:col>4</xdr:col>
      <xdr:colOff>1209813</xdr:colOff>
      <xdr:row>3</xdr:row>
      <xdr:rowOff>59489</xdr:rowOff>
    </xdr:to>
    <xdr:sp macro="" textlink="">
      <xdr:nvSpPr>
        <xdr:cNvPr id="10" name="Rectangle: Rounded Corners 9">
          <a:extLst>
            <a:ext uri="{FF2B5EF4-FFF2-40B4-BE49-F238E27FC236}">
              <a16:creationId xmlns:a16="http://schemas.microsoft.com/office/drawing/2014/main" id="{15D07D5E-0A56-4FA8-BB64-5EE3E7145404}"/>
            </a:ext>
          </a:extLst>
        </xdr:cNvPr>
        <xdr:cNvSpPr/>
      </xdr:nvSpPr>
      <xdr:spPr>
        <a:xfrm>
          <a:off x="10168899387" y="206829"/>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5</xdr:col>
      <xdr:colOff>1072784</xdr:colOff>
      <xdr:row>1</xdr:row>
      <xdr:rowOff>0</xdr:rowOff>
    </xdr:from>
    <xdr:to>
      <xdr:col>6</xdr:col>
      <xdr:colOff>937417</xdr:colOff>
      <xdr:row>3</xdr:row>
      <xdr:rowOff>59489</xdr:rowOff>
    </xdr:to>
    <xdr:sp macro="" textlink="">
      <xdr:nvSpPr>
        <xdr:cNvPr id="11" name="Rectangle: Rounded Corners 10">
          <a:extLst>
            <a:ext uri="{FF2B5EF4-FFF2-40B4-BE49-F238E27FC236}">
              <a16:creationId xmlns:a16="http://schemas.microsoft.com/office/drawing/2014/main" id="{B4CC96C8-68E3-4558-82D6-6E33EAA92A6C}"/>
            </a:ext>
          </a:extLst>
        </xdr:cNvPr>
        <xdr:cNvSpPr/>
      </xdr:nvSpPr>
      <xdr:spPr>
        <a:xfrm>
          <a:off x="10165797212" y="206829"/>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4</xdr:col>
      <xdr:colOff>1208148</xdr:colOff>
      <xdr:row>1</xdr:row>
      <xdr:rowOff>0</xdr:rowOff>
    </xdr:from>
    <xdr:to>
      <xdr:col>5</xdr:col>
      <xdr:colOff>1074200</xdr:colOff>
      <xdr:row>3</xdr:row>
      <xdr:rowOff>59489</xdr:rowOff>
    </xdr:to>
    <xdr:sp macro="" textlink="">
      <xdr:nvSpPr>
        <xdr:cNvPr id="12" name="Rectangle: Rounded Corners 11">
          <a:extLst>
            <a:ext uri="{FF2B5EF4-FFF2-40B4-BE49-F238E27FC236}">
              <a16:creationId xmlns:a16="http://schemas.microsoft.com/office/drawing/2014/main" id="{6455FA79-4858-40F4-AB02-5B424B5563E4}"/>
            </a:ext>
          </a:extLst>
        </xdr:cNvPr>
        <xdr:cNvSpPr/>
      </xdr:nvSpPr>
      <xdr:spPr>
        <a:xfrm>
          <a:off x="10167347715" y="206829"/>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1192621</xdr:colOff>
      <xdr:row>1</xdr:row>
      <xdr:rowOff>0</xdr:rowOff>
    </xdr:from>
    <xdr:to>
      <xdr:col>3</xdr:col>
      <xdr:colOff>877320</xdr:colOff>
      <xdr:row>3</xdr:row>
      <xdr:rowOff>59489</xdr:rowOff>
    </xdr:to>
    <xdr:sp macro="" textlink="">
      <xdr:nvSpPr>
        <xdr:cNvPr id="13" name="Rectangle: Rounded Corners 12">
          <a:extLst>
            <a:ext uri="{FF2B5EF4-FFF2-40B4-BE49-F238E27FC236}">
              <a16:creationId xmlns:a16="http://schemas.microsoft.com/office/drawing/2014/main" id="{8F9E3DDB-BA5A-4C63-BE5D-8A06978E2C92}"/>
            </a:ext>
          </a:extLst>
        </xdr:cNvPr>
        <xdr:cNvSpPr/>
      </xdr:nvSpPr>
      <xdr:spPr>
        <a:xfrm>
          <a:off x="10170461966" y="206829"/>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6</xdr:col>
      <xdr:colOff>932685</xdr:colOff>
      <xdr:row>1</xdr:row>
      <xdr:rowOff>0</xdr:rowOff>
    </xdr:from>
    <xdr:to>
      <xdr:col>7</xdr:col>
      <xdr:colOff>1154051</xdr:colOff>
      <xdr:row>3</xdr:row>
      <xdr:rowOff>59489</xdr:rowOff>
    </xdr:to>
    <xdr:sp macro="" textlink="">
      <xdr:nvSpPr>
        <xdr:cNvPr id="14" name="Rectangle: Rounded Corners 13">
          <a:extLst>
            <a:ext uri="{FF2B5EF4-FFF2-40B4-BE49-F238E27FC236}">
              <a16:creationId xmlns:a16="http://schemas.microsoft.com/office/drawing/2014/main" id="{36D115F7-F249-4382-BDF4-E30DCDC27182}"/>
            </a:ext>
          </a:extLst>
        </xdr:cNvPr>
        <xdr:cNvSpPr/>
      </xdr:nvSpPr>
      <xdr:spPr>
        <a:xfrm>
          <a:off x="10164241635" y="206829"/>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7</xdr:col>
      <xdr:colOff>1152833</xdr:colOff>
      <xdr:row>1</xdr:row>
      <xdr:rowOff>2845</xdr:rowOff>
    </xdr:from>
    <xdr:to>
      <xdr:col>9</xdr:col>
      <xdr:colOff>410788</xdr:colOff>
      <xdr:row>3</xdr:row>
      <xdr:rowOff>62334</xdr:rowOff>
    </xdr:to>
    <xdr:sp macro="" textlink="">
      <xdr:nvSpPr>
        <xdr:cNvPr id="15" name="Rectangle: Rounded Corners 14">
          <a:extLst>
            <a:ext uri="{FF2B5EF4-FFF2-40B4-BE49-F238E27FC236}">
              <a16:creationId xmlns:a16="http://schemas.microsoft.com/office/drawing/2014/main" id="{51F455D5-8312-4D39-B0DE-D27E1E00239D}"/>
            </a:ext>
          </a:extLst>
        </xdr:cNvPr>
        <xdr:cNvSpPr/>
      </xdr:nvSpPr>
      <xdr:spPr>
        <a:xfrm>
          <a:off x="10162688012" y="209674"/>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498567</xdr:colOff>
      <xdr:row>3</xdr:row>
      <xdr:rowOff>60769</xdr:rowOff>
    </xdr:to>
    <xdr:sp macro="" textlink="">
      <xdr:nvSpPr>
        <xdr:cNvPr id="14" name="Rectangle: Rounded Corners 13">
          <a:extLst>
            <a:ext uri="{FF2B5EF4-FFF2-40B4-BE49-F238E27FC236}">
              <a16:creationId xmlns:a16="http://schemas.microsoft.com/office/drawing/2014/main" id="{FFE46AEA-920B-4B0A-8ABD-470E9DEF7ED2}"/>
            </a:ext>
          </a:extLst>
        </xdr:cNvPr>
        <xdr:cNvSpPr/>
      </xdr:nvSpPr>
      <xdr:spPr>
        <a:xfrm>
          <a:off x="10291225833"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499687</xdr:colOff>
      <xdr:row>1</xdr:row>
      <xdr:rowOff>0</xdr:rowOff>
    </xdr:from>
    <xdr:to>
      <xdr:col>2</xdr:col>
      <xdr:colOff>2057368</xdr:colOff>
      <xdr:row>3</xdr:row>
      <xdr:rowOff>60769</xdr:rowOff>
    </xdr:to>
    <xdr:sp macro="" textlink="">
      <xdr:nvSpPr>
        <xdr:cNvPr id="15" name="Rectangle: Rounded Corners 14">
          <a:extLst>
            <a:ext uri="{FF2B5EF4-FFF2-40B4-BE49-F238E27FC236}">
              <a16:creationId xmlns:a16="http://schemas.microsoft.com/office/drawing/2014/main" id="{5E70ECE2-3805-4435-A634-244CC4AF06A7}"/>
            </a:ext>
          </a:extLst>
        </xdr:cNvPr>
        <xdr:cNvSpPr/>
      </xdr:nvSpPr>
      <xdr:spPr>
        <a:xfrm>
          <a:off x="10289667032"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779936</xdr:colOff>
      <xdr:row>1</xdr:row>
      <xdr:rowOff>0</xdr:rowOff>
    </xdr:from>
    <xdr:to>
      <xdr:col>5</xdr:col>
      <xdr:colOff>921022</xdr:colOff>
      <xdr:row>3</xdr:row>
      <xdr:rowOff>60769</xdr:rowOff>
    </xdr:to>
    <xdr:sp macro="" textlink="">
      <xdr:nvSpPr>
        <xdr:cNvPr id="22" name="Rectangle: Rounded Corners 21">
          <a:extLst>
            <a:ext uri="{FF2B5EF4-FFF2-40B4-BE49-F238E27FC236}">
              <a16:creationId xmlns:a16="http://schemas.microsoft.com/office/drawing/2014/main" id="{DE5971EB-ADE5-4342-9F8D-558BB2992835}"/>
            </a:ext>
          </a:extLst>
        </xdr:cNvPr>
        <xdr:cNvSpPr/>
      </xdr:nvSpPr>
      <xdr:spPr>
        <a:xfrm>
          <a:off x="10286545142"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857631</xdr:colOff>
      <xdr:row>1</xdr:row>
      <xdr:rowOff>0</xdr:rowOff>
    </xdr:from>
    <xdr:to>
      <xdr:col>8</xdr:col>
      <xdr:colOff>629416</xdr:colOff>
      <xdr:row>3</xdr:row>
      <xdr:rowOff>60769</xdr:rowOff>
    </xdr:to>
    <xdr:sp macro="" textlink="">
      <xdr:nvSpPr>
        <xdr:cNvPr id="23" name="Rectangle: Rounded Corners 22">
          <a:extLst>
            <a:ext uri="{FF2B5EF4-FFF2-40B4-BE49-F238E27FC236}">
              <a16:creationId xmlns:a16="http://schemas.microsoft.com/office/drawing/2014/main" id="{C0419B0C-7E5A-4605-BB83-793338757CCC}"/>
            </a:ext>
          </a:extLst>
        </xdr:cNvPr>
        <xdr:cNvSpPr/>
      </xdr:nvSpPr>
      <xdr:spPr>
        <a:xfrm>
          <a:off x="10283442967"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919357</xdr:colOff>
      <xdr:row>1</xdr:row>
      <xdr:rowOff>0</xdr:rowOff>
    </xdr:from>
    <xdr:to>
      <xdr:col>7</xdr:col>
      <xdr:colOff>859047</xdr:colOff>
      <xdr:row>3</xdr:row>
      <xdr:rowOff>60769</xdr:rowOff>
    </xdr:to>
    <xdr:sp macro="" textlink="">
      <xdr:nvSpPr>
        <xdr:cNvPr id="24" name="Rectangle: Rounded Corners 23">
          <a:extLst>
            <a:ext uri="{FF2B5EF4-FFF2-40B4-BE49-F238E27FC236}">
              <a16:creationId xmlns:a16="http://schemas.microsoft.com/office/drawing/2014/main" id="{0EB8B263-D835-4462-B8BD-DE8FB26E0BC5}"/>
            </a:ext>
          </a:extLst>
        </xdr:cNvPr>
        <xdr:cNvSpPr/>
      </xdr:nvSpPr>
      <xdr:spPr>
        <a:xfrm>
          <a:off x="10284993470"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2</xdr:col>
      <xdr:colOff>2059637</xdr:colOff>
      <xdr:row>1</xdr:row>
      <xdr:rowOff>0</xdr:rowOff>
    </xdr:from>
    <xdr:to>
      <xdr:col>4</xdr:col>
      <xdr:colOff>774867</xdr:colOff>
      <xdr:row>3</xdr:row>
      <xdr:rowOff>60769</xdr:rowOff>
    </xdr:to>
    <xdr:sp macro="" textlink="">
      <xdr:nvSpPr>
        <xdr:cNvPr id="25" name="Rectangle: Rounded Corners 24">
          <a:extLst>
            <a:ext uri="{FF2B5EF4-FFF2-40B4-BE49-F238E27FC236}">
              <a16:creationId xmlns:a16="http://schemas.microsoft.com/office/drawing/2014/main" id="{D022A381-3BE8-4E19-9DBD-4886CE627573}"/>
            </a:ext>
          </a:extLst>
        </xdr:cNvPr>
        <xdr:cNvSpPr/>
      </xdr:nvSpPr>
      <xdr:spPr>
        <a:xfrm>
          <a:off x="10288107721"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624684</xdr:colOff>
      <xdr:row>1</xdr:row>
      <xdr:rowOff>0</xdr:rowOff>
    </xdr:from>
    <xdr:to>
      <xdr:col>9</xdr:col>
      <xdr:colOff>1436440</xdr:colOff>
      <xdr:row>3</xdr:row>
      <xdr:rowOff>60769</xdr:rowOff>
    </xdr:to>
    <xdr:sp macro="" textlink="">
      <xdr:nvSpPr>
        <xdr:cNvPr id="26" name="Rectangle: Rounded Corners 25">
          <a:extLst>
            <a:ext uri="{FF2B5EF4-FFF2-40B4-BE49-F238E27FC236}">
              <a16:creationId xmlns:a16="http://schemas.microsoft.com/office/drawing/2014/main" id="{14B1BE2D-C4C8-4C1C-9A79-8F21ECCDD182}"/>
            </a:ext>
          </a:extLst>
        </xdr:cNvPr>
        <xdr:cNvSpPr/>
      </xdr:nvSpPr>
      <xdr:spPr>
        <a:xfrm>
          <a:off x="10281887390"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1435222</xdr:colOff>
      <xdr:row>1</xdr:row>
      <xdr:rowOff>2845</xdr:rowOff>
    </xdr:from>
    <xdr:to>
      <xdr:col>11</xdr:col>
      <xdr:colOff>675889</xdr:colOff>
      <xdr:row>3</xdr:row>
      <xdr:rowOff>63614</xdr:rowOff>
    </xdr:to>
    <xdr:sp macro="" textlink="">
      <xdr:nvSpPr>
        <xdr:cNvPr id="27" name="Rectangle: Rounded Corners 26">
          <a:extLst>
            <a:ext uri="{FF2B5EF4-FFF2-40B4-BE49-F238E27FC236}">
              <a16:creationId xmlns:a16="http://schemas.microsoft.com/office/drawing/2014/main" id="{F5B7825B-A0B7-40F8-A33C-633B1B92CCEE}"/>
            </a:ext>
          </a:extLst>
        </xdr:cNvPr>
        <xdr:cNvSpPr/>
      </xdr:nvSpPr>
      <xdr:spPr>
        <a:xfrm>
          <a:off x="10280333767"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3</xdr:col>
      <xdr:colOff>114300</xdr:colOff>
      <xdr:row>70</xdr:row>
      <xdr:rowOff>15240</xdr:rowOff>
    </xdr:from>
    <xdr:to>
      <xdr:col>3</xdr:col>
      <xdr:colOff>556260</xdr:colOff>
      <xdr:row>79</xdr:row>
      <xdr:rowOff>198120</xdr:rowOff>
    </xdr:to>
    <xdr:sp macro="" textlink="">
      <xdr:nvSpPr>
        <xdr:cNvPr id="2" name="Arrow: Pentagon 1">
          <a:extLst>
            <a:ext uri="{FF2B5EF4-FFF2-40B4-BE49-F238E27FC236}">
              <a16:creationId xmlns:a16="http://schemas.microsoft.com/office/drawing/2014/main" id="{22DC0192-B904-445B-B821-142D9A301F99}"/>
            </a:ext>
          </a:extLst>
        </xdr:cNvPr>
        <xdr:cNvSpPr/>
      </xdr:nvSpPr>
      <xdr:spPr>
        <a:xfrm flipH="1">
          <a:off x="10245059520" y="15255240"/>
          <a:ext cx="441960" cy="2034540"/>
        </a:xfrm>
        <a:prstGeom prst="homePlate">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r" rtl="1"/>
          <a:endParaRPr lang="en-US" sz="1100"/>
        </a:p>
      </xdr:txBody>
    </xdr:sp>
    <xdr:clientData/>
  </xdr:twoCellAnchor>
  <xdr:twoCellAnchor>
    <xdr:from>
      <xdr:col>5</xdr:col>
      <xdr:colOff>350520</xdr:colOff>
      <xdr:row>73</xdr:row>
      <xdr:rowOff>121920</xdr:rowOff>
    </xdr:from>
    <xdr:to>
      <xdr:col>7</xdr:col>
      <xdr:colOff>701040</xdr:colOff>
      <xdr:row>77</xdr:row>
      <xdr:rowOff>22860</xdr:rowOff>
    </xdr:to>
    <xdr:sp macro="" textlink="">
      <xdr:nvSpPr>
        <xdr:cNvPr id="3" name="Flowchart: Alternate Process 2">
          <a:extLst>
            <a:ext uri="{FF2B5EF4-FFF2-40B4-BE49-F238E27FC236}">
              <a16:creationId xmlns:a16="http://schemas.microsoft.com/office/drawing/2014/main" id="{750ED047-F57E-4485-9E25-CDAFB6CECEDA}"/>
            </a:ext>
          </a:extLst>
        </xdr:cNvPr>
        <xdr:cNvSpPr/>
      </xdr:nvSpPr>
      <xdr:spPr>
        <a:xfrm>
          <a:off x="10241203800" y="15979140"/>
          <a:ext cx="1965960" cy="723900"/>
        </a:xfrm>
        <a:prstGeom prst="flowChartAlternateProcess">
          <a:avLst/>
        </a:prstGeom>
        <a:solidFill>
          <a:srgbClr val="FFFF00"/>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ctr"/>
        <a:lstStyle/>
        <a:p>
          <a:pPr algn="ctr" rtl="1"/>
          <a:r>
            <a:rPr lang="en-US" sz="1600" b="1">
              <a:solidFill>
                <a:sysClr val="windowText" lastClr="000000"/>
              </a:solidFill>
              <a:latin typeface="Times New Roman" panose="02020603050405020304" pitchFamily="18" charset="0"/>
              <a:cs typeface="Times New Roman" panose="02020603050405020304" pitchFamily="18" charset="0"/>
            </a:rPr>
            <a:t>Go</a:t>
          </a:r>
          <a:r>
            <a:rPr lang="en-US" sz="1600" b="1" baseline="0">
              <a:solidFill>
                <a:sysClr val="windowText" lastClr="000000"/>
              </a:solidFill>
              <a:latin typeface="Times New Roman" panose="02020603050405020304" pitchFamily="18" charset="0"/>
              <a:cs typeface="Times New Roman" panose="02020603050405020304" pitchFamily="18" charset="0"/>
            </a:rPr>
            <a:t> to Settings</a:t>
          </a:r>
          <a:endParaRPr lang="en-US" sz="16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9.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681369</xdr:colOff>
      <xdr:row>3</xdr:row>
      <xdr:rowOff>60769</xdr:rowOff>
    </xdr:to>
    <xdr:sp macro="" textlink="">
      <xdr:nvSpPr>
        <xdr:cNvPr id="8" name="Rectangle: Rounded Corners 7">
          <a:extLst>
            <a:ext uri="{FF2B5EF4-FFF2-40B4-BE49-F238E27FC236}">
              <a16:creationId xmlns:a16="http://schemas.microsoft.com/office/drawing/2014/main" id="{2F17F7C2-172A-4578-B08C-FF7EFA4EAFDA}"/>
            </a:ext>
          </a:extLst>
        </xdr:cNvPr>
        <xdr:cNvSpPr/>
      </xdr:nvSpPr>
      <xdr:spPr>
        <a:xfrm>
          <a:off x="10287666845"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682489</xdr:colOff>
      <xdr:row>1</xdr:row>
      <xdr:rowOff>0</xdr:rowOff>
    </xdr:from>
    <xdr:to>
      <xdr:col>3</xdr:col>
      <xdr:colOff>282244</xdr:colOff>
      <xdr:row>3</xdr:row>
      <xdr:rowOff>60769</xdr:rowOff>
    </xdr:to>
    <xdr:sp macro="" textlink="">
      <xdr:nvSpPr>
        <xdr:cNvPr id="9" name="Rectangle: Rounded Corners 8">
          <a:extLst>
            <a:ext uri="{FF2B5EF4-FFF2-40B4-BE49-F238E27FC236}">
              <a16:creationId xmlns:a16="http://schemas.microsoft.com/office/drawing/2014/main" id="{9EAEC563-AFC0-4EE9-AC08-B3A46B605B4D}"/>
            </a:ext>
          </a:extLst>
        </xdr:cNvPr>
        <xdr:cNvSpPr/>
      </xdr:nvSpPr>
      <xdr:spPr>
        <a:xfrm>
          <a:off x="10286108044"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413970</xdr:colOff>
      <xdr:row>1</xdr:row>
      <xdr:rowOff>0</xdr:rowOff>
    </xdr:from>
    <xdr:to>
      <xdr:col>5</xdr:col>
      <xdr:colOff>312368</xdr:colOff>
      <xdr:row>3</xdr:row>
      <xdr:rowOff>60769</xdr:rowOff>
    </xdr:to>
    <xdr:sp macro="" textlink="">
      <xdr:nvSpPr>
        <xdr:cNvPr id="10" name="Rectangle: Rounded Corners 9">
          <a:extLst>
            <a:ext uri="{FF2B5EF4-FFF2-40B4-BE49-F238E27FC236}">
              <a16:creationId xmlns:a16="http://schemas.microsoft.com/office/drawing/2014/main" id="{E48FA1E0-950A-4531-9853-3E933F5BB619}"/>
            </a:ext>
          </a:extLst>
        </xdr:cNvPr>
        <xdr:cNvSpPr/>
      </xdr:nvSpPr>
      <xdr:spPr>
        <a:xfrm>
          <a:off x="10282986154"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198392</xdr:colOff>
      <xdr:row>1</xdr:row>
      <xdr:rowOff>0</xdr:rowOff>
    </xdr:from>
    <xdr:to>
      <xdr:col>7</xdr:col>
      <xdr:colOff>1754270</xdr:colOff>
      <xdr:row>3</xdr:row>
      <xdr:rowOff>60769</xdr:rowOff>
    </xdr:to>
    <xdr:sp macro="" textlink="">
      <xdr:nvSpPr>
        <xdr:cNvPr id="11" name="Rectangle: Rounded Corners 10">
          <a:extLst>
            <a:ext uri="{FF2B5EF4-FFF2-40B4-BE49-F238E27FC236}">
              <a16:creationId xmlns:a16="http://schemas.microsoft.com/office/drawing/2014/main" id="{4A1C6ADA-D722-4D8C-8C04-08B9904E815D}"/>
            </a:ext>
          </a:extLst>
        </xdr:cNvPr>
        <xdr:cNvSpPr/>
      </xdr:nvSpPr>
      <xdr:spPr>
        <a:xfrm>
          <a:off x="10279883979"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310703</xdr:colOff>
      <xdr:row>1</xdr:row>
      <xdr:rowOff>0</xdr:rowOff>
    </xdr:from>
    <xdr:to>
      <xdr:col>7</xdr:col>
      <xdr:colOff>199808</xdr:colOff>
      <xdr:row>3</xdr:row>
      <xdr:rowOff>60769</xdr:rowOff>
    </xdr:to>
    <xdr:sp macro="" textlink="">
      <xdr:nvSpPr>
        <xdr:cNvPr id="12" name="Rectangle: Rounded Corners 11">
          <a:extLst>
            <a:ext uri="{FF2B5EF4-FFF2-40B4-BE49-F238E27FC236}">
              <a16:creationId xmlns:a16="http://schemas.microsoft.com/office/drawing/2014/main" id="{23136FF7-D4DD-4DBF-8D9C-510A1605C735}"/>
            </a:ext>
          </a:extLst>
        </xdr:cNvPr>
        <xdr:cNvSpPr/>
      </xdr:nvSpPr>
      <xdr:spPr>
        <a:xfrm>
          <a:off x="10281434482"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284513</xdr:colOff>
      <xdr:row>1</xdr:row>
      <xdr:rowOff>0</xdr:rowOff>
    </xdr:from>
    <xdr:to>
      <xdr:col>4</xdr:col>
      <xdr:colOff>408901</xdr:colOff>
      <xdr:row>3</xdr:row>
      <xdr:rowOff>60769</xdr:rowOff>
    </xdr:to>
    <xdr:sp macro="" textlink="">
      <xdr:nvSpPr>
        <xdr:cNvPr id="13" name="Rectangle: Rounded Corners 12">
          <a:extLst>
            <a:ext uri="{FF2B5EF4-FFF2-40B4-BE49-F238E27FC236}">
              <a16:creationId xmlns:a16="http://schemas.microsoft.com/office/drawing/2014/main" id="{776B5240-1479-4112-A377-338335A6107B}"/>
            </a:ext>
          </a:extLst>
        </xdr:cNvPr>
        <xdr:cNvSpPr/>
      </xdr:nvSpPr>
      <xdr:spPr>
        <a:xfrm>
          <a:off x="10284548733"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7</xdr:col>
      <xdr:colOff>1749538</xdr:colOff>
      <xdr:row>1</xdr:row>
      <xdr:rowOff>0</xdr:rowOff>
    </xdr:from>
    <xdr:to>
      <xdr:col>9</xdr:col>
      <xdr:colOff>647830</xdr:colOff>
      <xdr:row>3</xdr:row>
      <xdr:rowOff>60769</xdr:rowOff>
    </xdr:to>
    <xdr:sp macro="" textlink="">
      <xdr:nvSpPr>
        <xdr:cNvPr id="14" name="Rectangle: Rounded Corners 13">
          <a:extLst>
            <a:ext uri="{FF2B5EF4-FFF2-40B4-BE49-F238E27FC236}">
              <a16:creationId xmlns:a16="http://schemas.microsoft.com/office/drawing/2014/main" id="{A8CBF62E-46A8-4FED-A730-79925C6ED935}"/>
            </a:ext>
          </a:extLst>
        </xdr:cNvPr>
        <xdr:cNvSpPr/>
      </xdr:nvSpPr>
      <xdr:spPr>
        <a:xfrm>
          <a:off x="10278328402"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646612</xdr:colOff>
      <xdr:row>1</xdr:row>
      <xdr:rowOff>2845</xdr:rowOff>
    </xdr:from>
    <xdr:to>
      <xdr:col>10</xdr:col>
      <xdr:colOff>1455557</xdr:colOff>
      <xdr:row>3</xdr:row>
      <xdr:rowOff>63614</xdr:rowOff>
    </xdr:to>
    <xdr:sp macro="" textlink="">
      <xdr:nvSpPr>
        <xdr:cNvPr id="15" name="Rectangle: Rounded Corners 14">
          <a:extLst>
            <a:ext uri="{FF2B5EF4-FFF2-40B4-BE49-F238E27FC236}">
              <a16:creationId xmlns:a16="http://schemas.microsoft.com/office/drawing/2014/main" id="{15C16F1E-D725-4585-BB3B-E1759FB40BF0}"/>
            </a:ext>
          </a:extLst>
        </xdr:cNvPr>
        <xdr:cNvSpPr/>
      </xdr:nvSpPr>
      <xdr:spPr>
        <a:xfrm>
          <a:off x="10276774779"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0.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525461</xdr:colOff>
      <xdr:row>3</xdr:row>
      <xdr:rowOff>60769</xdr:rowOff>
    </xdr:to>
    <xdr:sp macro="" textlink="">
      <xdr:nvSpPr>
        <xdr:cNvPr id="10" name="Rectangle: Rounded Corners 9">
          <a:extLst>
            <a:ext uri="{FF2B5EF4-FFF2-40B4-BE49-F238E27FC236}">
              <a16:creationId xmlns:a16="http://schemas.microsoft.com/office/drawing/2014/main" id="{D49A08B2-7826-4C3C-9137-05AB60132FF4}"/>
            </a:ext>
          </a:extLst>
        </xdr:cNvPr>
        <xdr:cNvSpPr/>
      </xdr:nvSpPr>
      <xdr:spPr>
        <a:xfrm>
          <a:off x="10285739433"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526581</xdr:colOff>
      <xdr:row>1</xdr:row>
      <xdr:rowOff>0</xdr:rowOff>
    </xdr:from>
    <xdr:to>
      <xdr:col>3</xdr:col>
      <xdr:colOff>829203</xdr:colOff>
      <xdr:row>3</xdr:row>
      <xdr:rowOff>60769</xdr:rowOff>
    </xdr:to>
    <xdr:sp macro="" textlink="">
      <xdr:nvSpPr>
        <xdr:cNvPr id="11" name="Rectangle: Rounded Corners 10">
          <a:extLst>
            <a:ext uri="{FF2B5EF4-FFF2-40B4-BE49-F238E27FC236}">
              <a16:creationId xmlns:a16="http://schemas.microsoft.com/office/drawing/2014/main" id="{358DD02A-79A7-4AF0-83C6-6AE5D7B867F7}"/>
            </a:ext>
          </a:extLst>
        </xdr:cNvPr>
        <xdr:cNvSpPr/>
      </xdr:nvSpPr>
      <xdr:spPr>
        <a:xfrm>
          <a:off x="10284180632"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3</xdr:col>
      <xdr:colOff>2393583</xdr:colOff>
      <xdr:row>1</xdr:row>
      <xdr:rowOff>0</xdr:rowOff>
    </xdr:from>
    <xdr:to>
      <xdr:col>5</xdr:col>
      <xdr:colOff>652081</xdr:colOff>
      <xdr:row>3</xdr:row>
      <xdr:rowOff>60769</xdr:rowOff>
    </xdr:to>
    <xdr:sp macro="" textlink="">
      <xdr:nvSpPr>
        <xdr:cNvPr id="12" name="Rectangle: Rounded Corners 11">
          <a:extLst>
            <a:ext uri="{FF2B5EF4-FFF2-40B4-BE49-F238E27FC236}">
              <a16:creationId xmlns:a16="http://schemas.microsoft.com/office/drawing/2014/main" id="{621C61E9-CED3-43C6-AD65-86CCCCDA8216}"/>
            </a:ext>
          </a:extLst>
        </xdr:cNvPr>
        <xdr:cNvSpPr/>
      </xdr:nvSpPr>
      <xdr:spPr>
        <a:xfrm>
          <a:off x="10281058742"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6</xdr:col>
      <xdr:colOff>1323796</xdr:colOff>
      <xdr:row>1</xdr:row>
      <xdr:rowOff>0</xdr:rowOff>
    </xdr:from>
    <xdr:to>
      <xdr:col>8</xdr:col>
      <xdr:colOff>302845</xdr:colOff>
      <xdr:row>3</xdr:row>
      <xdr:rowOff>60769</xdr:rowOff>
    </xdr:to>
    <xdr:sp macro="" textlink="">
      <xdr:nvSpPr>
        <xdr:cNvPr id="13" name="Rectangle: Rounded Corners 12">
          <a:extLst>
            <a:ext uri="{FF2B5EF4-FFF2-40B4-BE49-F238E27FC236}">
              <a16:creationId xmlns:a16="http://schemas.microsoft.com/office/drawing/2014/main" id="{9A38D51F-50E3-481D-AF59-7AAD4EBFBFCC}"/>
            </a:ext>
          </a:extLst>
        </xdr:cNvPr>
        <xdr:cNvSpPr/>
      </xdr:nvSpPr>
      <xdr:spPr>
        <a:xfrm>
          <a:off x="10277956567"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650416</xdr:colOff>
      <xdr:row>1</xdr:row>
      <xdr:rowOff>0</xdr:rowOff>
    </xdr:from>
    <xdr:to>
      <xdr:col>6</xdr:col>
      <xdr:colOff>1325212</xdr:colOff>
      <xdr:row>3</xdr:row>
      <xdr:rowOff>60769</xdr:rowOff>
    </xdr:to>
    <xdr:sp macro="" textlink="">
      <xdr:nvSpPr>
        <xdr:cNvPr id="14" name="Rectangle: Rounded Corners 13">
          <a:extLst>
            <a:ext uri="{FF2B5EF4-FFF2-40B4-BE49-F238E27FC236}">
              <a16:creationId xmlns:a16="http://schemas.microsoft.com/office/drawing/2014/main" id="{5706865E-9D71-4768-971C-121611F66CAB}"/>
            </a:ext>
          </a:extLst>
        </xdr:cNvPr>
        <xdr:cNvSpPr/>
      </xdr:nvSpPr>
      <xdr:spPr>
        <a:xfrm>
          <a:off x="10279507070"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831472</xdr:colOff>
      <xdr:row>1</xdr:row>
      <xdr:rowOff>0</xdr:rowOff>
    </xdr:from>
    <xdr:to>
      <xdr:col>3</xdr:col>
      <xdr:colOff>2388514</xdr:colOff>
      <xdr:row>3</xdr:row>
      <xdr:rowOff>60769</xdr:rowOff>
    </xdr:to>
    <xdr:sp macro="" textlink="">
      <xdr:nvSpPr>
        <xdr:cNvPr id="15" name="Rectangle: Rounded Corners 14">
          <a:extLst>
            <a:ext uri="{FF2B5EF4-FFF2-40B4-BE49-F238E27FC236}">
              <a16:creationId xmlns:a16="http://schemas.microsoft.com/office/drawing/2014/main" id="{2DE60A5F-DB90-424D-BAE5-F2FDFB2D6BD3}"/>
            </a:ext>
          </a:extLst>
        </xdr:cNvPr>
        <xdr:cNvSpPr/>
      </xdr:nvSpPr>
      <xdr:spPr>
        <a:xfrm>
          <a:off x="10282621321"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298113</xdr:colOff>
      <xdr:row>1</xdr:row>
      <xdr:rowOff>0</xdr:rowOff>
    </xdr:from>
    <xdr:to>
      <xdr:col>9</xdr:col>
      <xdr:colOff>65480</xdr:colOff>
      <xdr:row>3</xdr:row>
      <xdr:rowOff>60769</xdr:rowOff>
    </xdr:to>
    <xdr:sp macro="" textlink="">
      <xdr:nvSpPr>
        <xdr:cNvPr id="16" name="Rectangle: Rounded Corners 15">
          <a:extLst>
            <a:ext uri="{FF2B5EF4-FFF2-40B4-BE49-F238E27FC236}">
              <a16:creationId xmlns:a16="http://schemas.microsoft.com/office/drawing/2014/main" id="{EFF85C91-AF84-4120-A1F3-A2F80F3601C2}"/>
            </a:ext>
          </a:extLst>
        </xdr:cNvPr>
        <xdr:cNvSpPr/>
      </xdr:nvSpPr>
      <xdr:spPr>
        <a:xfrm>
          <a:off x="10276400990"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64262</xdr:colOff>
      <xdr:row>1</xdr:row>
      <xdr:rowOff>2845</xdr:rowOff>
    </xdr:from>
    <xdr:to>
      <xdr:col>10</xdr:col>
      <xdr:colOff>677809</xdr:colOff>
      <xdr:row>3</xdr:row>
      <xdr:rowOff>63614</xdr:rowOff>
    </xdr:to>
    <xdr:sp macro="" textlink="">
      <xdr:nvSpPr>
        <xdr:cNvPr id="17" name="Rectangle: Rounded Corners 16">
          <a:extLst>
            <a:ext uri="{FF2B5EF4-FFF2-40B4-BE49-F238E27FC236}">
              <a16:creationId xmlns:a16="http://schemas.microsoft.com/office/drawing/2014/main" id="{B7E7B195-6E0A-46EE-B45E-5EF45557E74E}"/>
            </a:ext>
          </a:extLst>
        </xdr:cNvPr>
        <xdr:cNvSpPr/>
      </xdr:nvSpPr>
      <xdr:spPr>
        <a:xfrm>
          <a:off x="10274847367"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606143</xdr:colOff>
      <xdr:row>3</xdr:row>
      <xdr:rowOff>60769</xdr:rowOff>
    </xdr:to>
    <xdr:sp macro="" textlink="">
      <xdr:nvSpPr>
        <xdr:cNvPr id="8" name="Rectangle: Rounded Corners 7">
          <a:extLst>
            <a:ext uri="{FF2B5EF4-FFF2-40B4-BE49-F238E27FC236}">
              <a16:creationId xmlns:a16="http://schemas.microsoft.com/office/drawing/2014/main" id="{A1A32EB5-6968-43EC-975E-378BA1113E6F}"/>
            </a:ext>
          </a:extLst>
        </xdr:cNvPr>
        <xdr:cNvSpPr/>
      </xdr:nvSpPr>
      <xdr:spPr>
        <a:xfrm>
          <a:off x="10284636774"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607263</xdr:colOff>
      <xdr:row>1</xdr:row>
      <xdr:rowOff>0</xdr:rowOff>
    </xdr:from>
    <xdr:to>
      <xdr:col>3</xdr:col>
      <xdr:colOff>802309</xdr:colOff>
      <xdr:row>3</xdr:row>
      <xdr:rowOff>60769</xdr:rowOff>
    </xdr:to>
    <xdr:sp macro="" textlink="">
      <xdr:nvSpPr>
        <xdr:cNvPr id="9" name="Rectangle: Rounded Corners 8">
          <a:extLst>
            <a:ext uri="{FF2B5EF4-FFF2-40B4-BE49-F238E27FC236}">
              <a16:creationId xmlns:a16="http://schemas.microsoft.com/office/drawing/2014/main" id="{AEB77A13-F661-4226-BA77-A9A7E004B356}"/>
            </a:ext>
          </a:extLst>
        </xdr:cNvPr>
        <xdr:cNvSpPr/>
      </xdr:nvSpPr>
      <xdr:spPr>
        <a:xfrm>
          <a:off x="10283077973"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62760</xdr:colOff>
      <xdr:row>1</xdr:row>
      <xdr:rowOff>0</xdr:rowOff>
    </xdr:from>
    <xdr:to>
      <xdr:col>5</xdr:col>
      <xdr:colOff>741728</xdr:colOff>
      <xdr:row>3</xdr:row>
      <xdr:rowOff>60769</xdr:rowOff>
    </xdr:to>
    <xdr:sp macro="" textlink="">
      <xdr:nvSpPr>
        <xdr:cNvPr id="10" name="Rectangle: Rounded Corners 9">
          <a:extLst>
            <a:ext uri="{FF2B5EF4-FFF2-40B4-BE49-F238E27FC236}">
              <a16:creationId xmlns:a16="http://schemas.microsoft.com/office/drawing/2014/main" id="{4599C86A-F1AD-43ED-9386-AB63110D8371}"/>
            </a:ext>
          </a:extLst>
        </xdr:cNvPr>
        <xdr:cNvSpPr/>
      </xdr:nvSpPr>
      <xdr:spPr>
        <a:xfrm>
          <a:off x="10279956083"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221137</xdr:colOff>
      <xdr:row>1</xdr:row>
      <xdr:rowOff>0</xdr:rowOff>
    </xdr:from>
    <xdr:to>
      <xdr:col>8</xdr:col>
      <xdr:colOff>616609</xdr:colOff>
      <xdr:row>3</xdr:row>
      <xdr:rowOff>60769</xdr:rowOff>
    </xdr:to>
    <xdr:sp macro="" textlink="">
      <xdr:nvSpPr>
        <xdr:cNvPr id="11" name="Rectangle: Rounded Corners 10">
          <a:extLst>
            <a:ext uri="{FF2B5EF4-FFF2-40B4-BE49-F238E27FC236}">
              <a16:creationId xmlns:a16="http://schemas.microsoft.com/office/drawing/2014/main" id="{B2E2CCD2-757E-46D5-96B4-FB1478AC326C}"/>
            </a:ext>
          </a:extLst>
        </xdr:cNvPr>
        <xdr:cNvSpPr/>
      </xdr:nvSpPr>
      <xdr:spPr>
        <a:xfrm>
          <a:off x="10276853908"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5</xdr:col>
      <xdr:colOff>740063</xdr:colOff>
      <xdr:row>1</xdr:row>
      <xdr:rowOff>0</xdr:rowOff>
    </xdr:from>
    <xdr:to>
      <xdr:col>7</xdr:col>
      <xdr:colOff>222553</xdr:colOff>
      <xdr:row>3</xdr:row>
      <xdr:rowOff>60769</xdr:rowOff>
    </xdr:to>
    <xdr:sp macro="" textlink="">
      <xdr:nvSpPr>
        <xdr:cNvPr id="12" name="Rectangle: Rounded Corners 11">
          <a:extLst>
            <a:ext uri="{FF2B5EF4-FFF2-40B4-BE49-F238E27FC236}">
              <a16:creationId xmlns:a16="http://schemas.microsoft.com/office/drawing/2014/main" id="{E07319B6-E588-4E43-B50E-88183D8755EE}"/>
            </a:ext>
          </a:extLst>
        </xdr:cNvPr>
        <xdr:cNvSpPr/>
      </xdr:nvSpPr>
      <xdr:spPr>
        <a:xfrm>
          <a:off x="10278404411"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804578</xdr:colOff>
      <xdr:row>1</xdr:row>
      <xdr:rowOff>0</xdr:rowOff>
    </xdr:from>
    <xdr:to>
      <xdr:col>4</xdr:col>
      <xdr:colOff>57691</xdr:colOff>
      <xdr:row>3</xdr:row>
      <xdr:rowOff>60769</xdr:rowOff>
    </xdr:to>
    <xdr:sp macro="" textlink="">
      <xdr:nvSpPr>
        <xdr:cNvPr id="13" name="Rectangle: Rounded Corners 12">
          <a:extLst>
            <a:ext uri="{FF2B5EF4-FFF2-40B4-BE49-F238E27FC236}">
              <a16:creationId xmlns:a16="http://schemas.microsoft.com/office/drawing/2014/main" id="{C262B974-9B79-4F63-B854-554E74988998}"/>
            </a:ext>
          </a:extLst>
        </xdr:cNvPr>
        <xdr:cNvSpPr/>
      </xdr:nvSpPr>
      <xdr:spPr>
        <a:xfrm>
          <a:off x="10281518662"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611877</xdr:colOff>
      <xdr:row>1</xdr:row>
      <xdr:rowOff>0</xdr:rowOff>
    </xdr:from>
    <xdr:to>
      <xdr:col>9</xdr:col>
      <xdr:colOff>217880</xdr:colOff>
      <xdr:row>3</xdr:row>
      <xdr:rowOff>60769</xdr:rowOff>
    </xdr:to>
    <xdr:sp macro="" textlink="">
      <xdr:nvSpPr>
        <xdr:cNvPr id="14" name="Rectangle: Rounded Corners 13">
          <a:extLst>
            <a:ext uri="{FF2B5EF4-FFF2-40B4-BE49-F238E27FC236}">
              <a16:creationId xmlns:a16="http://schemas.microsoft.com/office/drawing/2014/main" id="{C3E582D2-F9DC-4D8B-A1E8-0331BD20DDB8}"/>
            </a:ext>
          </a:extLst>
        </xdr:cNvPr>
        <xdr:cNvSpPr/>
      </xdr:nvSpPr>
      <xdr:spPr>
        <a:xfrm>
          <a:off x="10275298331"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216662</xdr:colOff>
      <xdr:row>1</xdr:row>
      <xdr:rowOff>2845</xdr:rowOff>
    </xdr:from>
    <xdr:to>
      <xdr:col>11</xdr:col>
      <xdr:colOff>516445</xdr:colOff>
      <xdr:row>3</xdr:row>
      <xdr:rowOff>63614</xdr:rowOff>
    </xdr:to>
    <xdr:sp macro="" textlink="">
      <xdr:nvSpPr>
        <xdr:cNvPr id="15" name="Rectangle: Rounded Corners 14">
          <a:extLst>
            <a:ext uri="{FF2B5EF4-FFF2-40B4-BE49-F238E27FC236}">
              <a16:creationId xmlns:a16="http://schemas.microsoft.com/office/drawing/2014/main" id="{D4B8E0E9-ECC8-4101-84E2-7DE109377DD9}"/>
            </a:ext>
          </a:extLst>
        </xdr:cNvPr>
        <xdr:cNvSpPr/>
      </xdr:nvSpPr>
      <xdr:spPr>
        <a:xfrm>
          <a:off x="10273744708"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659931</xdr:colOff>
      <xdr:row>3</xdr:row>
      <xdr:rowOff>60769</xdr:rowOff>
    </xdr:to>
    <xdr:sp macro="" textlink="">
      <xdr:nvSpPr>
        <xdr:cNvPr id="14" name="Rectangle: Rounded Corners 13">
          <a:extLst>
            <a:ext uri="{FF2B5EF4-FFF2-40B4-BE49-F238E27FC236}">
              <a16:creationId xmlns:a16="http://schemas.microsoft.com/office/drawing/2014/main" id="{AF7B4632-9E4A-4A55-B3F5-BF7435149AFC}"/>
            </a:ext>
          </a:extLst>
        </xdr:cNvPr>
        <xdr:cNvSpPr/>
      </xdr:nvSpPr>
      <xdr:spPr>
        <a:xfrm>
          <a:off x="10284851927"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661051</xdr:colOff>
      <xdr:row>1</xdr:row>
      <xdr:rowOff>0</xdr:rowOff>
    </xdr:from>
    <xdr:to>
      <xdr:col>3</xdr:col>
      <xdr:colOff>1089180</xdr:colOff>
      <xdr:row>3</xdr:row>
      <xdr:rowOff>60769</xdr:rowOff>
    </xdr:to>
    <xdr:sp macro="" textlink="">
      <xdr:nvSpPr>
        <xdr:cNvPr id="15" name="Rectangle: Rounded Corners 14">
          <a:extLst>
            <a:ext uri="{FF2B5EF4-FFF2-40B4-BE49-F238E27FC236}">
              <a16:creationId xmlns:a16="http://schemas.microsoft.com/office/drawing/2014/main" id="{EFD75D13-04F7-4F54-B6E8-42DFA4BB2AC2}"/>
            </a:ext>
          </a:extLst>
        </xdr:cNvPr>
        <xdr:cNvSpPr/>
      </xdr:nvSpPr>
      <xdr:spPr>
        <a:xfrm>
          <a:off x="10283293126"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735112</xdr:colOff>
      <xdr:row>1</xdr:row>
      <xdr:rowOff>0</xdr:rowOff>
    </xdr:from>
    <xdr:to>
      <xdr:col>6</xdr:col>
      <xdr:colOff>535540</xdr:colOff>
      <xdr:row>3</xdr:row>
      <xdr:rowOff>60769</xdr:rowOff>
    </xdr:to>
    <xdr:sp macro="" textlink="">
      <xdr:nvSpPr>
        <xdr:cNvPr id="16" name="Rectangle: Rounded Corners 15">
          <a:extLst>
            <a:ext uri="{FF2B5EF4-FFF2-40B4-BE49-F238E27FC236}">
              <a16:creationId xmlns:a16="http://schemas.microsoft.com/office/drawing/2014/main" id="{37A484EB-77D3-4D11-A800-2EB88F735D39}"/>
            </a:ext>
          </a:extLst>
        </xdr:cNvPr>
        <xdr:cNvSpPr/>
      </xdr:nvSpPr>
      <xdr:spPr>
        <a:xfrm>
          <a:off x="10280171236"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588690</xdr:colOff>
      <xdr:row>1</xdr:row>
      <xdr:rowOff>0</xdr:rowOff>
    </xdr:from>
    <xdr:to>
      <xdr:col>8</xdr:col>
      <xdr:colOff>984162</xdr:colOff>
      <xdr:row>3</xdr:row>
      <xdr:rowOff>60769</xdr:rowOff>
    </xdr:to>
    <xdr:sp macro="" textlink="">
      <xdr:nvSpPr>
        <xdr:cNvPr id="17" name="Rectangle: Rounded Corners 16">
          <a:extLst>
            <a:ext uri="{FF2B5EF4-FFF2-40B4-BE49-F238E27FC236}">
              <a16:creationId xmlns:a16="http://schemas.microsoft.com/office/drawing/2014/main" id="{130F9F7E-0992-48E2-9A60-EBA897238E67}"/>
            </a:ext>
          </a:extLst>
        </xdr:cNvPr>
        <xdr:cNvSpPr/>
      </xdr:nvSpPr>
      <xdr:spPr>
        <a:xfrm>
          <a:off x="10277069061"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533875</xdr:colOff>
      <xdr:row>1</xdr:row>
      <xdr:rowOff>0</xdr:rowOff>
    </xdr:from>
    <xdr:to>
      <xdr:col>7</xdr:col>
      <xdr:colOff>590106</xdr:colOff>
      <xdr:row>3</xdr:row>
      <xdr:rowOff>60769</xdr:rowOff>
    </xdr:to>
    <xdr:sp macro="" textlink="">
      <xdr:nvSpPr>
        <xdr:cNvPr id="18" name="Rectangle: Rounded Corners 17">
          <a:extLst>
            <a:ext uri="{FF2B5EF4-FFF2-40B4-BE49-F238E27FC236}">
              <a16:creationId xmlns:a16="http://schemas.microsoft.com/office/drawing/2014/main" id="{DA4CA48A-C552-422B-B4EE-EF9573A00A1A}"/>
            </a:ext>
          </a:extLst>
        </xdr:cNvPr>
        <xdr:cNvSpPr/>
      </xdr:nvSpPr>
      <xdr:spPr>
        <a:xfrm>
          <a:off x="10278619564"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1091449</xdr:colOff>
      <xdr:row>1</xdr:row>
      <xdr:rowOff>0</xdr:rowOff>
    </xdr:from>
    <xdr:to>
      <xdr:col>4</xdr:col>
      <xdr:colOff>730043</xdr:colOff>
      <xdr:row>3</xdr:row>
      <xdr:rowOff>60769</xdr:rowOff>
    </xdr:to>
    <xdr:sp macro="" textlink="">
      <xdr:nvSpPr>
        <xdr:cNvPr id="19" name="Rectangle: Rounded Corners 18">
          <a:extLst>
            <a:ext uri="{FF2B5EF4-FFF2-40B4-BE49-F238E27FC236}">
              <a16:creationId xmlns:a16="http://schemas.microsoft.com/office/drawing/2014/main" id="{E6EE3392-8419-4484-8708-52423C514833}"/>
            </a:ext>
          </a:extLst>
        </xdr:cNvPr>
        <xdr:cNvSpPr/>
      </xdr:nvSpPr>
      <xdr:spPr>
        <a:xfrm>
          <a:off x="10281733815"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979430</xdr:colOff>
      <xdr:row>1</xdr:row>
      <xdr:rowOff>0</xdr:rowOff>
    </xdr:from>
    <xdr:to>
      <xdr:col>9</xdr:col>
      <xdr:colOff>585433</xdr:colOff>
      <xdr:row>3</xdr:row>
      <xdr:rowOff>60769</xdr:rowOff>
    </xdr:to>
    <xdr:sp macro="" textlink="">
      <xdr:nvSpPr>
        <xdr:cNvPr id="20" name="Rectangle: Rounded Corners 19">
          <a:extLst>
            <a:ext uri="{FF2B5EF4-FFF2-40B4-BE49-F238E27FC236}">
              <a16:creationId xmlns:a16="http://schemas.microsoft.com/office/drawing/2014/main" id="{DFE7F244-BE7F-443E-ABA2-D368580D4B63}"/>
            </a:ext>
          </a:extLst>
        </xdr:cNvPr>
        <xdr:cNvSpPr/>
      </xdr:nvSpPr>
      <xdr:spPr>
        <a:xfrm>
          <a:off x="10275513484"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584215</xdr:colOff>
      <xdr:row>1</xdr:row>
      <xdr:rowOff>2845</xdr:rowOff>
    </xdr:from>
    <xdr:to>
      <xdr:col>12</xdr:col>
      <xdr:colOff>256468</xdr:colOff>
      <xdr:row>3</xdr:row>
      <xdr:rowOff>63614</xdr:rowOff>
    </xdr:to>
    <xdr:sp macro="" textlink="">
      <xdr:nvSpPr>
        <xdr:cNvPr id="21" name="Rectangle: Rounded Corners 20">
          <a:extLst>
            <a:ext uri="{FF2B5EF4-FFF2-40B4-BE49-F238E27FC236}">
              <a16:creationId xmlns:a16="http://schemas.microsoft.com/office/drawing/2014/main" id="{E716C55C-8828-4AE6-9B24-6DC7C6280B27}"/>
            </a:ext>
          </a:extLst>
        </xdr:cNvPr>
        <xdr:cNvSpPr/>
      </xdr:nvSpPr>
      <xdr:spPr>
        <a:xfrm>
          <a:off x="10273959861"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642002</xdr:colOff>
      <xdr:row>3</xdr:row>
      <xdr:rowOff>60769</xdr:rowOff>
    </xdr:to>
    <xdr:sp macro="" textlink="">
      <xdr:nvSpPr>
        <xdr:cNvPr id="14" name="Rectangle: Rounded Corners 13">
          <a:extLst>
            <a:ext uri="{FF2B5EF4-FFF2-40B4-BE49-F238E27FC236}">
              <a16:creationId xmlns:a16="http://schemas.microsoft.com/office/drawing/2014/main" id="{20D5B236-4218-4A57-8C0B-387B2541F8DA}"/>
            </a:ext>
          </a:extLst>
        </xdr:cNvPr>
        <xdr:cNvSpPr/>
      </xdr:nvSpPr>
      <xdr:spPr>
        <a:xfrm>
          <a:off x="10284869857"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643122</xdr:colOff>
      <xdr:row>1</xdr:row>
      <xdr:rowOff>0</xdr:rowOff>
    </xdr:from>
    <xdr:to>
      <xdr:col>3</xdr:col>
      <xdr:colOff>1071250</xdr:colOff>
      <xdr:row>3</xdr:row>
      <xdr:rowOff>60769</xdr:rowOff>
    </xdr:to>
    <xdr:sp macro="" textlink="">
      <xdr:nvSpPr>
        <xdr:cNvPr id="15" name="Rectangle: Rounded Corners 14">
          <a:extLst>
            <a:ext uri="{FF2B5EF4-FFF2-40B4-BE49-F238E27FC236}">
              <a16:creationId xmlns:a16="http://schemas.microsoft.com/office/drawing/2014/main" id="{6620D7EE-DFA4-4B8B-AAE4-D4982BE220BE}"/>
            </a:ext>
          </a:extLst>
        </xdr:cNvPr>
        <xdr:cNvSpPr/>
      </xdr:nvSpPr>
      <xdr:spPr>
        <a:xfrm>
          <a:off x="10283311056"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717183</xdr:colOff>
      <xdr:row>1</xdr:row>
      <xdr:rowOff>0</xdr:rowOff>
    </xdr:from>
    <xdr:to>
      <xdr:col>6</xdr:col>
      <xdr:colOff>517611</xdr:colOff>
      <xdr:row>3</xdr:row>
      <xdr:rowOff>60769</xdr:rowOff>
    </xdr:to>
    <xdr:sp macro="" textlink="">
      <xdr:nvSpPr>
        <xdr:cNvPr id="16" name="Rectangle: Rounded Corners 15">
          <a:extLst>
            <a:ext uri="{FF2B5EF4-FFF2-40B4-BE49-F238E27FC236}">
              <a16:creationId xmlns:a16="http://schemas.microsoft.com/office/drawing/2014/main" id="{14023B59-3B5B-40C3-887D-604B31E11DA2}"/>
            </a:ext>
          </a:extLst>
        </xdr:cNvPr>
        <xdr:cNvSpPr/>
      </xdr:nvSpPr>
      <xdr:spPr>
        <a:xfrm>
          <a:off x="10280189166"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570761</xdr:colOff>
      <xdr:row>1</xdr:row>
      <xdr:rowOff>0</xdr:rowOff>
    </xdr:from>
    <xdr:to>
      <xdr:col>8</xdr:col>
      <xdr:colOff>966233</xdr:colOff>
      <xdr:row>3</xdr:row>
      <xdr:rowOff>60769</xdr:rowOff>
    </xdr:to>
    <xdr:sp macro="" textlink="">
      <xdr:nvSpPr>
        <xdr:cNvPr id="17" name="Rectangle: Rounded Corners 16">
          <a:extLst>
            <a:ext uri="{FF2B5EF4-FFF2-40B4-BE49-F238E27FC236}">
              <a16:creationId xmlns:a16="http://schemas.microsoft.com/office/drawing/2014/main" id="{BA31B266-F510-4C50-BCF6-6F2E92367D82}"/>
            </a:ext>
          </a:extLst>
        </xdr:cNvPr>
        <xdr:cNvSpPr/>
      </xdr:nvSpPr>
      <xdr:spPr>
        <a:xfrm>
          <a:off x="10277086991"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515946</xdr:colOff>
      <xdr:row>1</xdr:row>
      <xdr:rowOff>0</xdr:rowOff>
    </xdr:from>
    <xdr:to>
      <xdr:col>7</xdr:col>
      <xdr:colOff>572177</xdr:colOff>
      <xdr:row>3</xdr:row>
      <xdr:rowOff>60769</xdr:rowOff>
    </xdr:to>
    <xdr:sp macro="" textlink="">
      <xdr:nvSpPr>
        <xdr:cNvPr id="18" name="Rectangle: Rounded Corners 17">
          <a:extLst>
            <a:ext uri="{FF2B5EF4-FFF2-40B4-BE49-F238E27FC236}">
              <a16:creationId xmlns:a16="http://schemas.microsoft.com/office/drawing/2014/main" id="{DDDBCC50-8228-4B2F-A955-33CA69C6AF29}"/>
            </a:ext>
          </a:extLst>
        </xdr:cNvPr>
        <xdr:cNvSpPr/>
      </xdr:nvSpPr>
      <xdr:spPr>
        <a:xfrm>
          <a:off x="10278637494"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1073519</xdr:colOff>
      <xdr:row>1</xdr:row>
      <xdr:rowOff>0</xdr:rowOff>
    </xdr:from>
    <xdr:to>
      <xdr:col>4</xdr:col>
      <xdr:colOff>712114</xdr:colOff>
      <xdr:row>3</xdr:row>
      <xdr:rowOff>60769</xdr:rowOff>
    </xdr:to>
    <xdr:sp macro="" textlink="">
      <xdr:nvSpPr>
        <xdr:cNvPr id="19" name="Rectangle: Rounded Corners 18">
          <a:extLst>
            <a:ext uri="{FF2B5EF4-FFF2-40B4-BE49-F238E27FC236}">
              <a16:creationId xmlns:a16="http://schemas.microsoft.com/office/drawing/2014/main" id="{6E929EDC-DBA4-440D-9B0F-C8E11BE39E4C}"/>
            </a:ext>
          </a:extLst>
        </xdr:cNvPr>
        <xdr:cNvSpPr/>
      </xdr:nvSpPr>
      <xdr:spPr>
        <a:xfrm>
          <a:off x="10281751745"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961501</xdr:colOff>
      <xdr:row>1</xdr:row>
      <xdr:rowOff>0</xdr:rowOff>
    </xdr:from>
    <xdr:to>
      <xdr:col>9</xdr:col>
      <xdr:colOff>567504</xdr:colOff>
      <xdr:row>3</xdr:row>
      <xdr:rowOff>60769</xdr:rowOff>
    </xdr:to>
    <xdr:sp macro="" textlink="">
      <xdr:nvSpPr>
        <xdr:cNvPr id="20" name="Rectangle: Rounded Corners 19">
          <a:extLst>
            <a:ext uri="{FF2B5EF4-FFF2-40B4-BE49-F238E27FC236}">
              <a16:creationId xmlns:a16="http://schemas.microsoft.com/office/drawing/2014/main" id="{E935322D-C551-49FE-A317-EAF0F23204B3}"/>
            </a:ext>
          </a:extLst>
        </xdr:cNvPr>
        <xdr:cNvSpPr/>
      </xdr:nvSpPr>
      <xdr:spPr>
        <a:xfrm>
          <a:off x="10275531414"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566286</xdr:colOff>
      <xdr:row>1</xdr:row>
      <xdr:rowOff>2845</xdr:rowOff>
    </xdr:from>
    <xdr:to>
      <xdr:col>12</xdr:col>
      <xdr:colOff>238539</xdr:colOff>
      <xdr:row>3</xdr:row>
      <xdr:rowOff>63614</xdr:rowOff>
    </xdr:to>
    <xdr:sp macro="" textlink="">
      <xdr:nvSpPr>
        <xdr:cNvPr id="21" name="Rectangle: Rounded Corners 20">
          <a:extLst>
            <a:ext uri="{FF2B5EF4-FFF2-40B4-BE49-F238E27FC236}">
              <a16:creationId xmlns:a16="http://schemas.microsoft.com/office/drawing/2014/main" id="{5FF40C36-3C1C-4E96-86A3-564C52202D14}"/>
            </a:ext>
          </a:extLst>
        </xdr:cNvPr>
        <xdr:cNvSpPr/>
      </xdr:nvSpPr>
      <xdr:spPr>
        <a:xfrm>
          <a:off x="10273977791"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579249</xdr:colOff>
      <xdr:row>3</xdr:row>
      <xdr:rowOff>60769</xdr:rowOff>
    </xdr:to>
    <xdr:sp macro="" textlink="">
      <xdr:nvSpPr>
        <xdr:cNvPr id="14" name="Rectangle: Rounded Corners 13">
          <a:extLst>
            <a:ext uri="{FF2B5EF4-FFF2-40B4-BE49-F238E27FC236}">
              <a16:creationId xmlns:a16="http://schemas.microsoft.com/office/drawing/2014/main" id="{501BB1E0-7557-4FAD-9DF4-D6C46751D0B9}"/>
            </a:ext>
          </a:extLst>
        </xdr:cNvPr>
        <xdr:cNvSpPr/>
      </xdr:nvSpPr>
      <xdr:spPr>
        <a:xfrm>
          <a:off x="10284932610"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580369</xdr:colOff>
      <xdr:row>1</xdr:row>
      <xdr:rowOff>0</xdr:rowOff>
    </xdr:from>
    <xdr:to>
      <xdr:col>3</xdr:col>
      <xdr:colOff>1008497</xdr:colOff>
      <xdr:row>3</xdr:row>
      <xdr:rowOff>60769</xdr:rowOff>
    </xdr:to>
    <xdr:sp macro="" textlink="">
      <xdr:nvSpPr>
        <xdr:cNvPr id="15" name="Rectangle: Rounded Corners 14">
          <a:extLst>
            <a:ext uri="{FF2B5EF4-FFF2-40B4-BE49-F238E27FC236}">
              <a16:creationId xmlns:a16="http://schemas.microsoft.com/office/drawing/2014/main" id="{42B1EF07-1DDE-4AF7-8164-43507A080EBC}"/>
            </a:ext>
          </a:extLst>
        </xdr:cNvPr>
        <xdr:cNvSpPr/>
      </xdr:nvSpPr>
      <xdr:spPr>
        <a:xfrm>
          <a:off x="10283373809"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654430</xdr:colOff>
      <xdr:row>1</xdr:row>
      <xdr:rowOff>0</xdr:rowOff>
    </xdr:from>
    <xdr:to>
      <xdr:col>6</xdr:col>
      <xdr:colOff>454858</xdr:colOff>
      <xdr:row>3</xdr:row>
      <xdr:rowOff>60769</xdr:rowOff>
    </xdr:to>
    <xdr:sp macro="" textlink="">
      <xdr:nvSpPr>
        <xdr:cNvPr id="16" name="Rectangle: Rounded Corners 15">
          <a:extLst>
            <a:ext uri="{FF2B5EF4-FFF2-40B4-BE49-F238E27FC236}">
              <a16:creationId xmlns:a16="http://schemas.microsoft.com/office/drawing/2014/main" id="{1542D528-D143-4FB2-81D7-DF79FEDD6557}"/>
            </a:ext>
          </a:extLst>
        </xdr:cNvPr>
        <xdr:cNvSpPr/>
      </xdr:nvSpPr>
      <xdr:spPr>
        <a:xfrm>
          <a:off x="10280251919"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508008</xdr:colOff>
      <xdr:row>1</xdr:row>
      <xdr:rowOff>0</xdr:rowOff>
    </xdr:from>
    <xdr:to>
      <xdr:col>8</xdr:col>
      <xdr:colOff>903480</xdr:colOff>
      <xdr:row>3</xdr:row>
      <xdr:rowOff>60769</xdr:rowOff>
    </xdr:to>
    <xdr:sp macro="" textlink="">
      <xdr:nvSpPr>
        <xdr:cNvPr id="17" name="Rectangle: Rounded Corners 16">
          <a:extLst>
            <a:ext uri="{FF2B5EF4-FFF2-40B4-BE49-F238E27FC236}">
              <a16:creationId xmlns:a16="http://schemas.microsoft.com/office/drawing/2014/main" id="{39FFD9D8-B2C1-4850-A3F1-4D3F4C6E5F19}"/>
            </a:ext>
          </a:extLst>
        </xdr:cNvPr>
        <xdr:cNvSpPr/>
      </xdr:nvSpPr>
      <xdr:spPr>
        <a:xfrm>
          <a:off x="10277149744"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453193</xdr:colOff>
      <xdr:row>1</xdr:row>
      <xdr:rowOff>0</xdr:rowOff>
    </xdr:from>
    <xdr:to>
      <xdr:col>7</xdr:col>
      <xdr:colOff>509424</xdr:colOff>
      <xdr:row>3</xdr:row>
      <xdr:rowOff>60769</xdr:rowOff>
    </xdr:to>
    <xdr:sp macro="" textlink="">
      <xdr:nvSpPr>
        <xdr:cNvPr id="18" name="Rectangle: Rounded Corners 17">
          <a:extLst>
            <a:ext uri="{FF2B5EF4-FFF2-40B4-BE49-F238E27FC236}">
              <a16:creationId xmlns:a16="http://schemas.microsoft.com/office/drawing/2014/main" id="{5BDE6144-59B0-43F3-94F8-79235E571906}"/>
            </a:ext>
          </a:extLst>
        </xdr:cNvPr>
        <xdr:cNvSpPr/>
      </xdr:nvSpPr>
      <xdr:spPr>
        <a:xfrm>
          <a:off x="10278700247"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1010766</xdr:colOff>
      <xdr:row>1</xdr:row>
      <xdr:rowOff>0</xdr:rowOff>
    </xdr:from>
    <xdr:to>
      <xdr:col>4</xdr:col>
      <xdr:colOff>649361</xdr:colOff>
      <xdr:row>3</xdr:row>
      <xdr:rowOff>60769</xdr:rowOff>
    </xdr:to>
    <xdr:sp macro="" textlink="">
      <xdr:nvSpPr>
        <xdr:cNvPr id="19" name="Rectangle: Rounded Corners 18">
          <a:extLst>
            <a:ext uri="{FF2B5EF4-FFF2-40B4-BE49-F238E27FC236}">
              <a16:creationId xmlns:a16="http://schemas.microsoft.com/office/drawing/2014/main" id="{4E883605-C31F-4E1A-BE97-5A354F735CCE}"/>
            </a:ext>
          </a:extLst>
        </xdr:cNvPr>
        <xdr:cNvSpPr/>
      </xdr:nvSpPr>
      <xdr:spPr>
        <a:xfrm>
          <a:off x="10281814498"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898748</xdr:colOff>
      <xdr:row>1</xdr:row>
      <xdr:rowOff>0</xdr:rowOff>
    </xdr:from>
    <xdr:to>
      <xdr:col>9</xdr:col>
      <xdr:colOff>504751</xdr:colOff>
      <xdr:row>3</xdr:row>
      <xdr:rowOff>60769</xdr:rowOff>
    </xdr:to>
    <xdr:sp macro="" textlink="">
      <xdr:nvSpPr>
        <xdr:cNvPr id="20" name="Rectangle: Rounded Corners 19">
          <a:extLst>
            <a:ext uri="{FF2B5EF4-FFF2-40B4-BE49-F238E27FC236}">
              <a16:creationId xmlns:a16="http://schemas.microsoft.com/office/drawing/2014/main" id="{3EA20BB6-4977-4154-8DC8-DFC4C44330A1}"/>
            </a:ext>
          </a:extLst>
        </xdr:cNvPr>
        <xdr:cNvSpPr/>
      </xdr:nvSpPr>
      <xdr:spPr>
        <a:xfrm>
          <a:off x="10275594167"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503533</xdr:colOff>
      <xdr:row>1</xdr:row>
      <xdr:rowOff>2845</xdr:rowOff>
    </xdr:from>
    <xdr:to>
      <xdr:col>12</xdr:col>
      <xdr:colOff>175786</xdr:colOff>
      <xdr:row>3</xdr:row>
      <xdr:rowOff>63614</xdr:rowOff>
    </xdr:to>
    <xdr:sp macro="" textlink="">
      <xdr:nvSpPr>
        <xdr:cNvPr id="21" name="Rectangle: Rounded Corners 20">
          <a:extLst>
            <a:ext uri="{FF2B5EF4-FFF2-40B4-BE49-F238E27FC236}">
              <a16:creationId xmlns:a16="http://schemas.microsoft.com/office/drawing/2014/main" id="{0411CED2-1104-4C4E-A1F0-5EB075421D8D}"/>
            </a:ext>
          </a:extLst>
        </xdr:cNvPr>
        <xdr:cNvSpPr/>
      </xdr:nvSpPr>
      <xdr:spPr>
        <a:xfrm>
          <a:off x="10274040544"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606143</xdr:colOff>
      <xdr:row>3</xdr:row>
      <xdr:rowOff>60769</xdr:rowOff>
    </xdr:to>
    <xdr:sp macro="" textlink="">
      <xdr:nvSpPr>
        <xdr:cNvPr id="14" name="Rectangle: Rounded Corners 13">
          <a:extLst>
            <a:ext uri="{FF2B5EF4-FFF2-40B4-BE49-F238E27FC236}">
              <a16:creationId xmlns:a16="http://schemas.microsoft.com/office/drawing/2014/main" id="{4F166C22-990F-4577-BBEF-AFE5B48233BD}"/>
            </a:ext>
          </a:extLst>
        </xdr:cNvPr>
        <xdr:cNvSpPr/>
      </xdr:nvSpPr>
      <xdr:spPr>
        <a:xfrm>
          <a:off x="10284905716"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607263</xdr:colOff>
      <xdr:row>1</xdr:row>
      <xdr:rowOff>0</xdr:rowOff>
    </xdr:from>
    <xdr:to>
      <xdr:col>3</xdr:col>
      <xdr:colOff>1035391</xdr:colOff>
      <xdr:row>3</xdr:row>
      <xdr:rowOff>60769</xdr:rowOff>
    </xdr:to>
    <xdr:sp macro="" textlink="">
      <xdr:nvSpPr>
        <xdr:cNvPr id="15" name="Rectangle: Rounded Corners 14">
          <a:extLst>
            <a:ext uri="{FF2B5EF4-FFF2-40B4-BE49-F238E27FC236}">
              <a16:creationId xmlns:a16="http://schemas.microsoft.com/office/drawing/2014/main" id="{34F8AA32-A40C-463C-BB05-EF0758A6E47A}"/>
            </a:ext>
          </a:extLst>
        </xdr:cNvPr>
        <xdr:cNvSpPr/>
      </xdr:nvSpPr>
      <xdr:spPr>
        <a:xfrm>
          <a:off x="10283346915"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681324</xdr:colOff>
      <xdr:row>1</xdr:row>
      <xdr:rowOff>0</xdr:rowOff>
    </xdr:from>
    <xdr:to>
      <xdr:col>6</xdr:col>
      <xdr:colOff>481752</xdr:colOff>
      <xdr:row>3</xdr:row>
      <xdr:rowOff>60769</xdr:rowOff>
    </xdr:to>
    <xdr:sp macro="" textlink="">
      <xdr:nvSpPr>
        <xdr:cNvPr id="16" name="Rectangle: Rounded Corners 15">
          <a:extLst>
            <a:ext uri="{FF2B5EF4-FFF2-40B4-BE49-F238E27FC236}">
              <a16:creationId xmlns:a16="http://schemas.microsoft.com/office/drawing/2014/main" id="{8B05DF0D-296F-4AD6-B7E6-12D6E8E4564F}"/>
            </a:ext>
          </a:extLst>
        </xdr:cNvPr>
        <xdr:cNvSpPr/>
      </xdr:nvSpPr>
      <xdr:spPr>
        <a:xfrm>
          <a:off x="10280225025"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534902</xdr:colOff>
      <xdr:row>1</xdr:row>
      <xdr:rowOff>0</xdr:rowOff>
    </xdr:from>
    <xdr:to>
      <xdr:col>8</xdr:col>
      <xdr:colOff>930374</xdr:colOff>
      <xdr:row>3</xdr:row>
      <xdr:rowOff>60769</xdr:rowOff>
    </xdr:to>
    <xdr:sp macro="" textlink="">
      <xdr:nvSpPr>
        <xdr:cNvPr id="17" name="Rectangle: Rounded Corners 16">
          <a:extLst>
            <a:ext uri="{FF2B5EF4-FFF2-40B4-BE49-F238E27FC236}">
              <a16:creationId xmlns:a16="http://schemas.microsoft.com/office/drawing/2014/main" id="{06058583-7E9B-41A4-987F-BBFB47ECD2A9}"/>
            </a:ext>
          </a:extLst>
        </xdr:cNvPr>
        <xdr:cNvSpPr/>
      </xdr:nvSpPr>
      <xdr:spPr>
        <a:xfrm>
          <a:off x="10277122850"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480087</xdr:colOff>
      <xdr:row>1</xdr:row>
      <xdr:rowOff>0</xdr:rowOff>
    </xdr:from>
    <xdr:to>
      <xdr:col>7</xdr:col>
      <xdr:colOff>536318</xdr:colOff>
      <xdr:row>3</xdr:row>
      <xdr:rowOff>60769</xdr:rowOff>
    </xdr:to>
    <xdr:sp macro="" textlink="">
      <xdr:nvSpPr>
        <xdr:cNvPr id="18" name="Rectangle: Rounded Corners 17">
          <a:extLst>
            <a:ext uri="{FF2B5EF4-FFF2-40B4-BE49-F238E27FC236}">
              <a16:creationId xmlns:a16="http://schemas.microsoft.com/office/drawing/2014/main" id="{4E615DD5-842A-4194-983A-BBAA5CC969DD}"/>
            </a:ext>
          </a:extLst>
        </xdr:cNvPr>
        <xdr:cNvSpPr/>
      </xdr:nvSpPr>
      <xdr:spPr>
        <a:xfrm>
          <a:off x="10278673353"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1037660</xdr:colOff>
      <xdr:row>1</xdr:row>
      <xdr:rowOff>0</xdr:rowOff>
    </xdr:from>
    <xdr:to>
      <xdr:col>4</xdr:col>
      <xdr:colOff>676255</xdr:colOff>
      <xdr:row>3</xdr:row>
      <xdr:rowOff>60769</xdr:rowOff>
    </xdr:to>
    <xdr:sp macro="" textlink="">
      <xdr:nvSpPr>
        <xdr:cNvPr id="19" name="Rectangle: Rounded Corners 18">
          <a:extLst>
            <a:ext uri="{FF2B5EF4-FFF2-40B4-BE49-F238E27FC236}">
              <a16:creationId xmlns:a16="http://schemas.microsoft.com/office/drawing/2014/main" id="{5863F971-3A90-4672-8447-25E6C27CE411}"/>
            </a:ext>
          </a:extLst>
        </xdr:cNvPr>
        <xdr:cNvSpPr/>
      </xdr:nvSpPr>
      <xdr:spPr>
        <a:xfrm>
          <a:off x="10281787604"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925642</xdr:colOff>
      <xdr:row>1</xdr:row>
      <xdr:rowOff>0</xdr:rowOff>
    </xdr:from>
    <xdr:to>
      <xdr:col>9</xdr:col>
      <xdr:colOff>531645</xdr:colOff>
      <xdr:row>3</xdr:row>
      <xdr:rowOff>60769</xdr:rowOff>
    </xdr:to>
    <xdr:sp macro="" textlink="">
      <xdr:nvSpPr>
        <xdr:cNvPr id="20" name="Rectangle: Rounded Corners 19">
          <a:extLst>
            <a:ext uri="{FF2B5EF4-FFF2-40B4-BE49-F238E27FC236}">
              <a16:creationId xmlns:a16="http://schemas.microsoft.com/office/drawing/2014/main" id="{D156C466-CDA8-4ACD-9958-7B1B26DE4B43}"/>
            </a:ext>
          </a:extLst>
        </xdr:cNvPr>
        <xdr:cNvSpPr/>
      </xdr:nvSpPr>
      <xdr:spPr>
        <a:xfrm>
          <a:off x="10275567273"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9</xdr:col>
      <xdr:colOff>530427</xdr:colOff>
      <xdr:row>1</xdr:row>
      <xdr:rowOff>2845</xdr:rowOff>
    </xdr:from>
    <xdr:to>
      <xdr:col>12</xdr:col>
      <xdr:colOff>202680</xdr:colOff>
      <xdr:row>3</xdr:row>
      <xdr:rowOff>63614</xdr:rowOff>
    </xdr:to>
    <xdr:sp macro="" textlink="">
      <xdr:nvSpPr>
        <xdr:cNvPr id="21" name="Rectangle: Rounded Corners 20">
          <a:extLst>
            <a:ext uri="{FF2B5EF4-FFF2-40B4-BE49-F238E27FC236}">
              <a16:creationId xmlns:a16="http://schemas.microsoft.com/office/drawing/2014/main" id="{64AB819A-800F-416A-9421-890CBD7193B5}"/>
            </a:ext>
          </a:extLst>
        </xdr:cNvPr>
        <xdr:cNvSpPr/>
      </xdr:nvSpPr>
      <xdr:spPr>
        <a:xfrm>
          <a:off x="10274013650"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6.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633037</xdr:colOff>
      <xdr:row>3</xdr:row>
      <xdr:rowOff>60769</xdr:rowOff>
    </xdr:to>
    <xdr:sp macro="" textlink="">
      <xdr:nvSpPr>
        <xdr:cNvPr id="14" name="Rectangle: Rounded Corners 13">
          <a:extLst>
            <a:ext uri="{FF2B5EF4-FFF2-40B4-BE49-F238E27FC236}">
              <a16:creationId xmlns:a16="http://schemas.microsoft.com/office/drawing/2014/main" id="{F0ADD208-F515-4E7F-B5CB-C1B8BEF77B4D}"/>
            </a:ext>
          </a:extLst>
        </xdr:cNvPr>
        <xdr:cNvSpPr/>
      </xdr:nvSpPr>
      <xdr:spPr>
        <a:xfrm>
          <a:off x="10284726421" y="206188"/>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634157</xdr:colOff>
      <xdr:row>1</xdr:row>
      <xdr:rowOff>0</xdr:rowOff>
    </xdr:from>
    <xdr:to>
      <xdr:col>3</xdr:col>
      <xdr:colOff>1062285</xdr:colOff>
      <xdr:row>3</xdr:row>
      <xdr:rowOff>60769</xdr:rowOff>
    </xdr:to>
    <xdr:sp macro="" textlink="">
      <xdr:nvSpPr>
        <xdr:cNvPr id="15" name="Rectangle: Rounded Corners 14">
          <a:extLst>
            <a:ext uri="{FF2B5EF4-FFF2-40B4-BE49-F238E27FC236}">
              <a16:creationId xmlns:a16="http://schemas.microsoft.com/office/drawing/2014/main" id="{D962899D-6B4D-4F17-87F7-7A59D231B55E}"/>
            </a:ext>
          </a:extLst>
        </xdr:cNvPr>
        <xdr:cNvSpPr/>
      </xdr:nvSpPr>
      <xdr:spPr>
        <a:xfrm>
          <a:off x="10283167620" y="206188"/>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4</xdr:col>
      <xdr:colOff>708218</xdr:colOff>
      <xdr:row>1</xdr:row>
      <xdr:rowOff>0</xdr:rowOff>
    </xdr:from>
    <xdr:to>
      <xdr:col>6</xdr:col>
      <xdr:colOff>508646</xdr:colOff>
      <xdr:row>3</xdr:row>
      <xdr:rowOff>60769</xdr:rowOff>
    </xdr:to>
    <xdr:sp macro="" textlink="">
      <xdr:nvSpPr>
        <xdr:cNvPr id="16" name="Rectangle: Rounded Corners 15">
          <a:extLst>
            <a:ext uri="{FF2B5EF4-FFF2-40B4-BE49-F238E27FC236}">
              <a16:creationId xmlns:a16="http://schemas.microsoft.com/office/drawing/2014/main" id="{95F93905-9E1C-446E-9EC7-3D66050AD07A}"/>
            </a:ext>
          </a:extLst>
        </xdr:cNvPr>
        <xdr:cNvSpPr/>
      </xdr:nvSpPr>
      <xdr:spPr>
        <a:xfrm>
          <a:off x="10280045730" y="206188"/>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7</xdr:col>
      <xdr:colOff>759020</xdr:colOff>
      <xdr:row>1</xdr:row>
      <xdr:rowOff>0</xdr:rowOff>
    </xdr:from>
    <xdr:to>
      <xdr:col>8</xdr:col>
      <xdr:colOff>1154492</xdr:colOff>
      <xdr:row>3</xdr:row>
      <xdr:rowOff>60769</xdr:rowOff>
    </xdr:to>
    <xdr:sp macro="" textlink="">
      <xdr:nvSpPr>
        <xdr:cNvPr id="17" name="Rectangle: Rounded Corners 16">
          <a:extLst>
            <a:ext uri="{FF2B5EF4-FFF2-40B4-BE49-F238E27FC236}">
              <a16:creationId xmlns:a16="http://schemas.microsoft.com/office/drawing/2014/main" id="{1E12C09B-10EB-4BA5-9337-A37575F4A125}"/>
            </a:ext>
          </a:extLst>
        </xdr:cNvPr>
        <xdr:cNvSpPr/>
      </xdr:nvSpPr>
      <xdr:spPr>
        <a:xfrm>
          <a:off x="10276943555" y="206188"/>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6</xdr:col>
      <xdr:colOff>506981</xdr:colOff>
      <xdr:row>1</xdr:row>
      <xdr:rowOff>0</xdr:rowOff>
    </xdr:from>
    <xdr:to>
      <xdr:col>7</xdr:col>
      <xdr:colOff>760436</xdr:colOff>
      <xdr:row>3</xdr:row>
      <xdr:rowOff>60769</xdr:rowOff>
    </xdr:to>
    <xdr:sp macro="" textlink="">
      <xdr:nvSpPr>
        <xdr:cNvPr id="18" name="Rectangle: Rounded Corners 17">
          <a:extLst>
            <a:ext uri="{FF2B5EF4-FFF2-40B4-BE49-F238E27FC236}">
              <a16:creationId xmlns:a16="http://schemas.microsoft.com/office/drawing/2014/main" id="{D4C86C5B-45D1-4B5F-865A-7BADC9120526}"/>
            </a:ext>
          </a:extLst>
        </xdr:cNvPr>
        <xdr:cNvSpPr/>
      </xdr:nvSpPr>
      <xdr:spPr>
        <a:xfrm>
          <a:off x="10278494058" y="206188"/>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1064554</xdr:colOff>
      <xdr:row>1</xdr:row>
      <xdr:rowOff>0</xdr:rowOff>
    </xdr:from>
    <xdr:to>
      <xdr:col>4</xdr:col>
      <xdr:colOff>703149</xdr:colOff>
      <xdr:row>3</xdr:row>
      <xdr:rowOff>60769</xdr:rowOff>
    </xdr:to>
    <xdr:sp macro="" textlink="">
      <xdr:nvSpPr>
        <xdr:cNvPr id="19" name="Rectangle: Rounded Corners 18">
          <a:extLst>
            <a:ext uri="{FF2B5EF4-FFF2-40B4-BE49-F238E27FC236}">
              <a16:creationId xmlns:a16="http://schemas.microsoft.com/office/drawing/2014/main" id="{0263E40F-3BEF-438E-96C8-BF7C2DDBC908}"/>
            </a:ext>
          </a:extLst>
        </xdr:cNvPr>
        <xdr:cNvSpPr/>
      </xdr:nvSpPr>
      <xdr:spPr>
        <a:xfrm>
          <a:off x="10281608309" y="206188"/>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8</xdr:col>
      <xdr:colOff>1149760</xdr:colOff>
      <xdr:row>1</xdr:row>
      <xdr:rowOff>0</xdr:rowOff>
    </xdr:from>
    <xdr:to>
      <xdr:col>10</xdr:col>
      <xdr:colOff>128233</xdr:colOff>
      <xdr:row>3</xdr:row>
      <xdr:rowOff>60769</xdr:rowOff>
    </xdr:to>
    <xdr:sp macro="" textlink="">
      <xdr:nvSpPr>
        <xdr:cNvPr id="20" name="Rectangle: Rounded Corners 19">
          <a:extLst>
            <a:ext uri="{FF2B5EF4-FFF2-40B4-BE49-F238E27FC236}">
              <a16:creationId xmlns:a16="http://schemas.microsoft.com/office/drawing/2014/main" id="{DB0F9D5B-2B8F-4003-8ABA-50368AC7BE05}"/>
            </a:ext>
          </a:extLst>
        </xdr:cNvPr>
        <xdr:cNvSpPr/>
      </xdr:nvSpPr>
      <xdr:spPr>
        <a:xfrm>
          <a:off x="10275387978" y="206188"/>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10</xdr:col>
      <xdr:colOff>127015</xdr:colOff>
      <xdr:row>1</xdr:row>
      <xdr:rowOff>2845</xdr:rowOff>
    </xdr:from>
    <xdr:to>
      <xdr:col>12</xdr:col>
      <xdr:colOff>426797</xdr:colOff>
      <xdr:row>3</xdr:row>
      <xdr:rowOff>63614</xdr:rowOff>
    </xdr:to>
    <xdr:sp macro="" textlink="">
      <xdr:nvSpPr>
        <xdr:cNvPr id="21" name="Rectangle: Rounded Corners 20">
          <a:extLst>
            <a:ext uri="{FF2B5EF4-FFF2-40B4-BE49-F238E27FC236}">
              <a16:creationId xmlns:a16="http://schemas.microsoft.com/office/drawing/2014/main" id="{AC3DB007-F83A-4E18-B326-2F359FB18969}"/>
            </a:ext>
          </a:extLst>
        </xdr:cNvPr>
        <xdr:cNvSpPr/>
      </xdr:nvSpPr>
      <xdr:spPr>
        <a:xfrm>
          <a:off x="10273834355" y="209033"/>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wsDr>
</file>

<file path=xl/drawings/drawing37.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41367</xdr:colOff>
      <xdr:row>3</xdr:row>
      <xdr:rowOff>87664</xdr:rowOff>
    </xdr:to>
    <xdr:sp macro="" textlink="">
      <xdr:nvSpPr>
        <xdr:cNvPr id="2" name="Rectangle: Rounded Corners 1">
          <a:extLst>
            <a:ext uri="{FF2B5EF4-FFF2-40B4-BE49-F238E27FC236}">
              <a16:creationId xmlns:a16="http://schemas.microsoft.com/office/drawing/2014/main" id="{DF74C886-9A3C-4785-8971-2A44A1FBE723}"/>
            </a:ext>
          </a:extLst>
        </xdr:cNvPr>
        <xdr:cNvSpPr/>
      </xdr:nvSpPr>
      <xdr:spPr>
        <a:xfrm>
          <a:off x="10279266916" y="179294"/>
          <a:ext cx="1547437" cy="473146"/>
        </a:xfrm>
        <a:prstGeom prst="roundRect">
          <a:avLst/>
        </a:prstGeom>
        <a:gradFill>
          <a:gsLst>
            <a:gs pos="5000">
              <a:schemeClr val="accent1">
                <a:lumMod val="5000"/>
                <a:lumOff val="95000"/>
              </a:schemeClr>
            </a:gs>
            <a:gs pos="70000">
              <a:srgbClr val="FFFF00"/>
            </a:gs>
            <a:gs pos="86000">
              <a:srgbClr val="FFFF00"/>
            </a:gs>
            <a:gs pos="100000">
              <a:srgbClr val="FFFF0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Settings</a:t>
          </a:r>
        </a:p>
      </xdr:txBody>
    </xdr:sp>
    <xdr:clientData/>
  </xdr:twoCellAnchor>
  <xdr:twoCellAnchor editAs="absolute">
    <xdr:from>
      <xdr:col>2</xdr:col>
      <xdr:colOff>42487</xdr:colOff>
      <xdr:row>1</xdr:row>
      <xdr:rowOff>0</xdr:rowOff>
    </xdr:from>
    <xdr:to>
      <xdr:col>3</xdr:col>
      <xdr:colOff>650549</xdr:colOff>
      <xdr:row>3</xdr:row>
      <xdr:rowOff>87664</xdr:rowOff>
    </xdr:to>
    <xdr:sp macro="" textlink="">
      <xdr:nvSpPr>
        <xdr:cNvPr id="3" name="Rectangle: Rounded Corners 2">
          <a:extLst>
            <a:ext uri="{FF2B5EF4-FFF2-40B4-BE49-F238E27FC236}">
              <a16:creationId xmlns:a16="http://schemas.microsoft.com/office/drawing/2014/main" id="{363351AA-F397-41CA-A0C6-71D259E1B6D7}"/>
            </a:ext>
          </a:extLst>
        </xdr:cNvPr>
        <xdr:cNvSpPr/>
      </xdr:nvSpPr>
      <xdr:spPr>
        <a:xfrm>
          <a:off x="10277708115" y="179294"/>
          <a:ext cx="1557681" cy="473146"/>
        </a:xfrm>
        <a:prstGeom prst="roundRect">
          <a:avLst/>
        </a:prstGeom>
        <a:gradFill>
          <a:gsLst>
            <a:gs pos="5000">
              <a:schemeClr val="accent1">
                <a:lumMod val="5000"/>
                <a:lumOff val="95000"/>
              </a:schemeClr>
            </a:gs>
            <a:gs pos="79000">
              <a:srgbClr val="CC99FF"/>
            </a:gs>
            <a:gs pos="65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1</a:t>
          </a:r>
        </a:p>
      </xdr:txBody>
    </xdr:sp>
    <xdr:clientData/>
  </xdr:twoCellAnchor>
  <xdr:twoCellAnchor editAs="absolute">
    <xdr:from>
      <xdr:col>5</xdr:col>
      <xdr:colOff>323376</xdr:colOff>
      <xdr:row>1</xdr:row>
      <xdr:rowOff>0</xdr:rowOff>
    </xdr:from>
    <xdr:to>
      <xdr:col>7</xdr:col>
      <xdr:colOff>2299</xdr:colOff>
      <xdr:row>3</xdr:row>
      <xdr:rowOff>87664</xdr:rowOff>
    </xdr:to>
    <xdr:sp macro="" textlink="">
      <xdr:nvSpPr>
        <xdr:cNvPr id="4" name="Rectangle: Rounded Corners 3">
          <a:extLst>
            <a:ext uri="{FF2B5EF4-FFF2-40B4-BE49-F238E27FC236}">
              <a16:creationId xmlns:a16="http://schemas.microsoft.com/office/drawing/2014/main" id="{CA13EA62-F7F0-463A-B72F-BAEA55D48963}"/>
            </a:ext>
          </a:extLst>
        </xdr:cNvPr>
        <xdr:cNvSpPr/>
      </xdr:nvSpPr>
      <xdr:spPr>
        <a:xfrm>
          <a:off x="10274586225" y="179294"/>
          <a:ext cx="1557510"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Inventory</a:t>
          </a:r>
        </a:p>
      </xdr:txBody>
    </xdr:sp>
    <xdr:clientData/>
  </xdr:twoCellAnchor>
  <xdr:twoCellAnchor editAs="absolute">
    <xdr:from>
      <xdr:col>8</xdr:col>
      <xdr:colOff>592532</xdr:colOff>
      <xdr:row>1</xdr:row>
      <xdr:rowOff>0</xdr:rowOff>
    </xdr:from>
    <xdr:to>
      <xdr:col>10</xdr:col>
      <xdr:colOff>252899</xdr:colOff>
      <xdr:row>3</xdr:row>
      <xdr:rowOff>87664</xdr:rowOff>
    </xdr:to>
    <xdr:sp macro="" textlink="">
      <xdr:nvSpPr>
        <xdr:cNvPr id="5" name="Rectangle: Rounded Corners 4">
          <a:extLst>
            <a:ext uri="{FF2B5EF4-FFF2-40B4-BE49-F238E27FC236}">
              <a16:creationId xmlns:a16="http://schemas.microsoft.com/office/drawing/2014/main" id="{9AAD929E-62D8-4E22-9475-59340A85F226}"/>
            </a:ext>
          </a:extLst>
        </xdr:cNvPr>
        <xdr:cNvSpPr/>
      </xdr:nvSpPr>
      <xdr:spPr>
        <a:xfrm>
          <a:off x="10271484050" y="179294"/>
          <a:ext cx="155191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Life Cycle</a:t>
          </a:r>
        </a:p>
      </xdr:txBody>
    </xdr:sp>
    <xdr:clientData/>
  </xdr:twoCellAnchor>
  <xdr:twoCellAnchor editAs="absolute">
    <xdr:from>
      <xdr:col>7</xdr:col>
      <xdr:colOff>634</xdr:colOff>
      <xdr:row>1</xdr:row>
      <xdr:rowOff>0</xdr:rowOff>
    </xdr:from>
    <xdr:to>
      <xdr:col>8</xdr:col>
      <xdr:colOff>593948</xdr:colOff>
      <xdr:row>3</xdr:row>
      <xdr:rowOff>87664</xdr:rowOff>
    </xdr:to>
    <xdr:sp macro="" textlink="">
      <xdr:nvSpPr>
        <xdr:cNvPr id="6" name="Rectangle: Rounded Corners 5">
          <a:extLst>
            <a:ext uri="{FF2B5EF4-FFF2-40B4-BE49-F238E27FC236}">
              <a16:creationId xmlns:a16="http://schemas.microsoft.com/office/drawing/2014/main" id="{F3A8C355-43AE-477B-B966-A3896515CE53}"/>
            </a:ext>
          </a:extLst>
        </xdr:cNvPr>
        <xdr:cNvSpPr/>
      </xdr:nvSpPr>
      <xdr:spPr>
        <a:xfrm>
          <a:off x="10273034553" y="179294"/>
          <a:ext cx="1553337" cy="473146"/>
        </a:xfrm>
        <a:prstGeom prst="roundRect">
          <a:avLst/>
        </a:prstGeom>
        <a:gradFill>
          <a:gsLst>
            <a:gs pos="5000">
              <a:schemeClr val="accent1">
                <a:lumMod val="5000"/>
                <a:lumOff val="95000"/>
              </a:schemeClr>
            </a:gs>
            <a:gs pos="81000">
              <a:srgbClr val="33CC33"/>
            </a:gs>
            <a:gs pos="65000">
              <a:srgbClr val="33CC33"/>
            </a:gs>
            <a:gs pos="100000">
              <a:srgbClr val="33CC33"/>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Tables &amp; Graphs</a:t>
          </a:r>
        </a:p>
      </xdr:txBody>
    </xdr:sp>
    <xdr:clientData/>
  </xdr:twoCellAnchor>
  <xdr:twoCellAnchor editAs="absolute">
    <xdr:from>
      <xdr:col>3</xdr:col>
      <xdr:colOff>652818</xdr:colOff>
      <xdr:row>1</xdr:row>
      <xdr:rowOff>0</xdr:rowOff>
    </xdr:from>
    <xdr:to>
      <xdr:col>5</xdr:col>
      <xdr:colOff>318307</xdr:colOff>
      <xdr:row>3</xdr:row>
      <xdr:rowOff>87664</xdr:rowOff>
    </xdr:to>
    <xdr:sp macro="" textlink="">
      <xdr:nvSpPr>
        <xdr:cNvPr id="7" name="Rectangle: Rounded Corners 6">
          <a:extLst>
            <a:ext uri="{FF2B5EF4-FFF2-40B4-BE49-F238E27FC236}">
              <a16:creationId xmlns:a16="http://schemas.microsoft.com/office/drawing/2014/main" id="{577EA765-6F40-4326-AD87-3FE007284C51}"/>
            </a:ext>
          </a:extLst>
        </xdr:cNvPr>
        <xdr:cNvSpPr/>
      </xdr:nvSpPr>
      <xdr:spPr>
        <a:xfrm>
          <a:off x="10276148804" y="179294"/>
          <a:ext cx="1557042" cy="473146"/>
        </a:xfrm>
        <a:prstGeom prst="roundRect">
          <a:avLst/>
        </a:prstGeom>
        <a:gradFill>
          <a:gsLst>
            <a:gs pos="5000">
              <a:schemeClr val="accent1">
                <a:lumMod val="5000"/>
                <a:lumOff val="95000"/>
              </a:schemeClr>
            </a:gs>
            <a:gs pos="81000">
              <a:srgbClr val="CC99FF"/>
            </a:gs>
            <a:gs pos="68000">
              <a:srgbClr val="CC99FF"/>
            </a:gs>
            <a:gs pos="100000">
              <a:srgbClr val="CC99FF"/>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Section 2</a:t>
          </a:r>
        </a:p>
      </xdr:txBody>
    </xdr:sp>
    <xdr:clientData/>
  </xdr:twoCellAnchor>
  <xdr:twoCellAnchor editAs="absolute">
    <xdr:from>
      <xdr:col>10</xdr:col>
      <xdr:colOff>248167</xdr:colOff>
      <xdr:row>1</xdr:row>
      <xdr:rowOff>0</xdr:rowOff>
    </xdr:from>
    <xdr:to>
      <xdr:col>11</xdr:col>
      <xdr:colOff>856296</xdr:colOff>
      <xdr:row>3</xdr:row>
      <xdr:rowOff>87664</xdr:rowOff>
    </xdr:to>
    <xdr:sp macro="" textlink="">
      <xdr:nvSpPr>
        <xdr:cNvPr id="8" name="Rectangle: Rounded Corners 7">
          <a:extLst>
            <a:ext uri="{FF2B5EF4-FFF2-40B4-BE49-F238E27FC236}">
              <a16:creationId xmlns:a16="http://schemas.microsoft.com/office/drawing/2014/main" id="{05E8ECAD-3C69-422F-9044-B7501F635421}"/>
            </a:ext>
          </a:extLst>
        </xdr:cNvPr>
        <xdr:cNvSpPr/>
      </xdr:nvSpPr>
      <xdr:spPr>
        <a:xfrm>
          <a:off x="10269928473" y="179294"/>
          <a:ext cx="1560309" cy="473146"/>
        </a:xfrm>
        <a:prstGeom prst="roundRect">
          <a:avLst/>
        </a:prstGeom>
        <a:gradFill>
          <a:gsLst>
            <a:gs pos="5000">
              <a:schemeClr val="accent1">
                <a:lumMod val="5000"/>
                <a:lumOff val="95000"/>
              </a:schemeClr>
            </a:gs>
            <a:gs pos="81000">
              <a:srgbClr val="FF6699"/>
            </a:gs>
            <a:gs pos="65000">
              <a:srgbClr val="FF6699"/>
            </a:gs>
            <a:gs pos="100000">
              <a:srgbClr val="FF6699"/>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Carbon Footprints</a:t>
          </a:r>
        </a:p>
      </xdr:txBody>
    </xdr:sp>
    <xdr:clientData/>
  </xdr:twoCellAnchor>
  <xdr:twoCellAnchor editAs="absolute">
    <xdr:from>
      <xdr:col>11</xdr:col>
      <xdr:colOff>855078</xdr:colOff>
      <xdr:row>1</xdr:row>
      <xdr:rowOff>2845</xdr:rowOff>
    </xdr:from>
    <xdr:to>
      <xdr:col>13</xdr:col>
      <xdr:colOff>518364</xdr:colOff>
      <xdr:row>3</xdr:row>
      <xdr:rowOff>90509</xdr:rowOff>
    </xdr:to>
    <xdr:sp macro="" textlink="">
      <xdr:nvSpPr>
        <xdr:cNvPr id="9" name="Rectangle: Rounded Corners 8">
          <a:extLst>
            <a:ext uri="{FF2B5EF4-FFF2-40B4-BE49-F238E27FC236}">
              <a16:creationId xmlns:a16="http://schemas.microsoft.com/office/drawing/2014/main" id="{B6397EF5-43AD-4F61-AE75-6018E7DD7930}"/>
            </a:ext>
          </a:extLst>
        </xdr:cNvPr>
        <xdr:cNvSpPr/>
      </xdr:nvSpPr>
      <xdr:spPr>
        <a:xfrm>
          <a:off x="10268374850" y="182139"/>
          <a:ext cx="1554841" cy="473146"/>
        </a:xfrm>
        <a:prstGeom prst="roundRect">
          <a:avLst/>
        </a:prstGeom>
        <a:gradFill>
          <a:gsLst>
            <a:gs pos="5000">
              <a:schemeClr val="accent1">
                <a:lumMod val="5000"/>
                <a:lumOff val="95000"/>
              </a:schemeClr>
            </a:gs>
            <a:gs pos="81000">
              <a:srgbClr val="00B0F0"/>
            </a:gs>
            <a:gs pos="65000">
              <a:srgbClr val="00B0F0"/>
            </a:gs>
            <a:gs pos="95000">
              <a:srgbClr val="00B0F0"/>
            </a:gs>
          </a:gsLst>
          <a:path path="rect">
            <a:fillToRect l="50000" t="50000" r="50000" b="50000"/>
          </a:path>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1"/>
          <a:r>
            <a:rPr lang="en-US" sz="1200" b="1">
              <a:solidFill>
                <a:sysClr val="windowText" lastClr="000000"/>
              </a:solidFill>
              <a:latin typeface="Times New Roman" panose="02020603050405020304" pitchFamily="18" charset="0"/>
              <a:cs typeface="Times New Roman" panose="02020603050405020304" pitchFamily="18" charset="0"/>
            </a:rPr>
            <a:t>End Sheet</a:t>
          </a:r>
        </a:p>
      </xdr:txBody>
    </xdr:sp>
    <xdr:clientData/>
  </xdr:twoCellAnchor>
  <xdr:twoCellAnchor>
    <xdr:from>
      <xdr:col>13</xdr:col>
      <xdr:colOff>176668</xdr:colOff>
      <xdr:row>8</xdr:row>
      <xdr:rowOff>172247</xdr:rowOff>
    </xdr:from>
    <xdr:to>
      <xdr:col>19</xdr:col>
      <xdr:colOff>345076</xdr:colOff>
      <xdr:row>22</xdr:row>
      <xdr:rowOff>153038</xdr:rowOff>
    </xdr:to>
    <xdr:graphicFrame macro="">
      <xdr:nvGraphicFramePr>
        <xdr:cNvPr id="10" name="Chart 9">
          <a:extLst>
            <a:ext uri="{FF2B5EF4-FFF2-40B4-BE49-F238E27FC236}">
              <a16:creationId xmlns:a16="http://schemas.microsoft.com/office/drawing/2014/main" id="{B3E8FC8C-D766-401B-B8F6-F6444BC3B8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158162</xdr:colOff>
      <xdr:row>24</xdr:row>
      <xdr:rowOff>28716</xdr:rowOff>
    </xdr:from>
    <xdr:to>
      <xdr:col>19</xdr:col>
      <xdr:colOff>326570</xdr:colOff>
      <xdr:row>39</xdr:row>
      <xdr:rowOff>10243</xdr:rowOff>
    </xdr:to>
    <xdr:graphicFrame macro="">
      <xdr:nvGraphicFramePr>
        <xdr:cNvPr id="11" name="Chart 10">
          <a:extLst>
            <a:ext uri="{FF2B5EF4-FFF2-40B4-BE49-F238E27FC236}">
              <a16:creationId xmlns:a16="http://schemas.microsoft.com/office/drawing/2014/main" id="{50B75F6D-4009-44DF-BBFA-B80904E8A9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587700</xdr:colOff>
      <xdr:row>9</xdr:row>
      <xdr:rowOff>5411</xdr:rowOff>
    </xdr:from>
    <xdr:to>
      <xdr:col>27</xdr:col>
      <xdr:colOff>146508</xdr:colOff>
      <xdr:row>22</xdr:row>
      <xdr:rowOff>138951</xdr:rowOff>
    </xdr:to>
    <xdr:graphicFrame macro="">
      <xdr:nvGraphicFramePr>
        <xdr:cNvPr id="12" name="Chart 11">
          <a:extLst>
            <a:ext uri="{FF2B5EF4-FFF2-40B4-BE49-F238E27FC236}">
              <a16:creationId xmlns:a16="http://schemas.microsoft.com/office/drawing/2014/main" id="{35C10709-9082-42E7-928C-C0546AF221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552482</xdr:colOff>
      <xdr:row>24</xdr:row>
      <xdr:rowOff>17286</xdr:rowOff>
    </xdr:from>
    <xdr:to>
      <xdr:col>27</xdr:col>
      <xdr:colOff>111291</xdr:colOff>
      <xdr:row>38</xdr:row>
      <xdr:rowOff>173528</xdr:rowOff>
    </xdr:to>
    <xdr:graphicFrame macro="">
      <xdr:nvGraphicFramePr>
        <xdr:cNvPr id="13" name="Chart 12">
          <a:extLst>
            <a:ext uri="{FF2B5EF4-FFF2-40B4-BE49-F238E27FC236}">
              <a16:creationId xmlns:a16="http://schemas.microsoft.com/office/drawing/2014/main" id="{EFA35C45-3507-4EAA-B0CE-13D470EB3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261257</xdr:colOff>
      <xdr:row>57</xdr:row>
      <xdr:rowOff>152400</xdr:rowOff>
    </xdr:from>
    <xdr:to>
      <xdr:col>22</xdr:col>
      <xdr:colOff>337457</xdr:colOff>
      <xdr:row>73</xdr:row>
      <xdr:rowOff>76200</xdr:rowOff>
    </xdr:to>
    <xdr:graphicFrame macro="">
      <xdr:nvGraphicFramePr>
        <xdr:cNvPr id="15" name="Chart 14">
          <a:extLst>
            <a:ext uri="{FF2B5EF4-FFF2-40B4-BE49-F238E27FC236}">
              <a16:creationId xmlns:a16="http://schemas.microsoft.com/office/drawing/2014/main" id="{9A478A84-BD25-4625-B320-261FED274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283029</xdr:colOff>
      <xdr:row>76</xdr:row>
      <xdr:rowOff>119744</xdr:rowOff>
    </xdr:from>
    <xdr:to>
      <xdr:col>22</xdr:col>
      <xdr:colOff>359229</xdr:colOff>
      <xdr:row>93</xdr:row>
      <xdr:rowOff>87088</xdr:rowOff>
    </xdr:to>
    <xdr:graphicFrame macro="">
      <xdr:nvGraphicFramePr>
        <xdr:cNvPr id="16" name="Chart 15">
          <a:extLst>
            <a:ext uri="{FF2B5EF4-FFF2-40B4-BE49-F238E27FC236}">
              <a16:creationId xmlns:a16="http://schemas.microsoft.com/office/drawing/2014/main" id="{27FCC3DA-6200-4B93-A460-CFEF1333B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293916</xdr:colOff>
      <xdr:row>96</xdr:row>
      <xdr:rowOff>1</xdr:rowOff>
    </xdr:from>
    <xdr:to>
      <xdr:col>22</xdr:col>
      <xdr:colOff>370116</xdr:colOff>
      <xdr:row>108</xdr:row>
      <xdr:rowOff>152400</xdr:rowOff>
    </xdr:to>
    <xdr:graphicFrame macro="">
      <xdr:nvGraphicFramePr>
        <xdr:cNvPr id="17" name="Chart 16">
          <a:extLst>
            <a:ext uri="{FF2B5EF4-FFF2-40B4-BE49-F238E27FC236}">
              <a16:creationId xmlns:a16="http://schemas.microsoft.com/office/drawing/2014/main" id="{D5954E51-ED96-41DC-90EB-4F063740B0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293914</xdr:colOff>
      <xdr:row>111</xdr:row>
      <xdr:rowOff>1</xdr:rowOff>
    </xdr:from>
    <xdr:to>
      <xdr:col>22</xdr:col>
      <xdr:colOff>370114</xdr:colOff>
      <xdr:row>128</xdr:row>
      <xdr:rowOff>21773</xdr:rowOff>
    </xdr:to>
    <xdr:graphicFrame macro="">
      <xdr:nvGraphicFramePr>
        <xdr:cNvPr id="18" name="Chart 17">
          <a:extLst>
            <a:ext uri="{FF2B5EF4-FFF2-40B4-BE49-F238E27FC236}">
              <a16:creationId xmlns:a16="http://schemas.microsoft.com/office/drawing/2014/main" id="{CDA72B3A-C153-4057-BEF0-8952D6C4C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261257</xdr:colOff>
      <xdr:row>44</xdr:row>
      <xdr:rowOff>54428</xdr:rowOff>
    </xdr:from>
    <xdr:to>
      <xdr:col>22</xdr:col>
      <xdr:colOff>337457</xdr:colOff>
      <xdr:row>55</xdr:row>
      <xdr:rowOff>152400</xdr:rowOff>
    </xdr:to>
    <xdr:graphicFrame macro="">
      <xdr:nvGraphicFramePr>
        <xdr:cNvPr id="19" name="Chart 18">
          <a:extLst>
            <a:ext uri="{FF2B5EF4-FFF2-40B4-BE49-F238E27FC236}">
              <a16:creationId xmlns:a16="http://schemas.microsoft.com/office/drawing/2014/main" id="{50B3361D-8059-43CE-8711-2BEB3EBF67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295275</xdr:colOff>
      <xdr:row>131</xdr:row>
      <xdr:rowOff>142875</xdr:rowOff>
    </xdr:from>
    <xdr:to>
      <xdr:col>22</xdr:col>
      <xdr:colOff>371475</xdr:colOff>
      <xdr:row>148</xdr:row>
      <xdr:rowOff>164647</xdr:rowOff>
    </xdr:to>
    <xdr:graphicFrame macro="">
      <xdr:nvGraphicFramePr>
        <xdr:cNvPr id="20" name="Chart 19">
          <a:extLst>
            <a:ext uri="{FF2B5EF4-FFF2-40B4-BE49-F238E27FC236}">
              <a16:creationId xmlns:a16="http://schemas.microsoft.com/office/drawing/2014/main" id="{47CAA1D6-509C-4CD2-879A-8CE56A1A43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89610-6EA6-4641-BF67-51823B91FEE1}">
  <sheetPr>
    <tabColor rgb="FF00B0F0"/>
  </sheetPr>
  <dimension ref="B6:M48"/>
  <sheetViews>
    <sheetView rightToLeft="1" zoomScale="85" zoomScaleNormal="85" workbookViewId="0">
      <selection activeCell="P18" sqref="P18"/>
    </sheetView>
  </sheetViews>
  <sheetFormatPr defaultColWidth="8.8984375" defaultRowHeight="13.8" x14ac:dyDescent="0.25"/>
  <cols>
    <col min="1" max="16384" width="8.8984375" style="5"/>
  </cols>
  <sheetData>
    <row r="6" spans="2:13" ht="14.4" thickBot="1" x14ac:dyDescent="0.3"/>
    <row r="7" spans="2:13" x14ac:dyDescent="0.25">
      <c r="B7" s="763" t="s">
        <v>804</v>
      </c>
      <c r="C7" s="764"/>
      <c r="D7" s="764"/>
      <c r="E7" s="764"/>
      <c r="F7" s="764"/>
      <c r="G7" s="764"/>
      <c r="H7" s="764"/>
      <c r="I7" s="764"/>
      <c r="J7" s="764"/>
      <c r="K7" s="764"/>
      <c r="L7" s="764"/>
      <c r="M7" s="765"/>
    </row>
    <row r="8" spans="2:13" ht="14.4" thickBot="1" x14ac:dyDescent="0.3">
      <c r="B8" s="766"/>
      <c r="C8" s="767"/>
      <c r="D8" s="767"/>
      <c r="E8" s="767"/>
      <c r="F8" s="767"/>
      <c r="G8" s="767"/>
      <c r="H8" s="767"/>
      <c r="I8" s="767"/>
      <c r="J8" s="767"/>
      <c r="K8" s="767"/>
      <c r="L8" s="767"/>
      <c r="M8" s="768"/>
    </row>
    <row r="9" spans="2:13" ht="14.4" x14ac:dyDescent="0.25">
      <c r="B9" s="769"/>
      <c r="C9" s="770"/>
      <c r="D9" s="770"/>
      <c r="E9" s="775" t="s">
        <v>1403</v>
      </c>
      <c r="F9" s="775"/>
      <c r="G9" s="775"/>
      <c r="H9" s="775"/>
      <c r="I9" s="775"/>
      <c r="J9" s="775"/>
      <c r="K9" s="776" t="s">
        <v>1404</v>
      </c>
      <c r="L9" s="776"/>
      <c r="M9" s="777"/>
    </row>
    <row r="10" spans="2:13" ht="14.4" x14ac:dyDescent="0.25">
      <c r="B10" s="771"/>
      <c r="C10" s="772"/>
      <c r="D10" s="772"/>
      <c r="E10" s="778">
        <v>2.2000000000000002</v>
      </c>
      <c r="F10" s="778"/>
      <c r="G10" s="778"/>
      <c r="H10" s="778"/>
      <c r="I10" s="778"/>
      <c r="J10" s="778"/>
      <c r="K10" s="779" t="s">
        <v>3</v>
      </c>
      <c r="L10" s="779"/>
      <c r="M10" s="780"/>
    </row>
    <row r="11" spans="2:13" ht="14.4" x14ac:dyDescent="0.25">
      <c r="B11" s="771"/>
      <c r="C11" s="772"/>
      <c r="D11" s="772"/>
      <c r="E11" s="781" t="s">
        <v>16</v>
      </c>
      <c r="F11" s="781"/>
      <c r="G11" s="781"/>
      <c r="H11" s="781"/>
      <c r="I11" s="781"/>
      <c r="J11" s="781"/>
      <c r="K11" s="779" t="s">
        <v>4</v>
      </c>
      <c r="L11" s="779"/>
      <c r="M11" s="780"/>
    </row>
    <row r="12" spans="2:13" ht="14.4" x14ac:dyDescent="0.25">
      <c r="B12" s="771"/>
      <c r="C12" s="772"/>
      <c r="D12" s="772"/>
      <c r="E12" s="334"/>
      <c r="F12" s="334"/>
      <c r="G12" s="334"/>
      <c r="H12" s="339" t="s">
        <v>1388</v>
      </c>
      <c r="I12" s="334"/>
      <c r="J12" s="339" t="s">
        <v>1389</v>
      </c>
      <c r="K12" s="779" t="s">
        <v>1387</v>
      </c>
      <c r="L12" s="779"/>
      <c r="M12" s="780"/>
    </row>
    <row r="13" spans="2:13" ht="15" thickBot="1" x14ac:dyDescent="0.3">
      <c r="B13" s="773"/>
      <c r="C13" s="774"/>
      <c r="D13" s="774"/>
      <c r="E13" s="782" t="s">
        <v>1341</v>
      </c>
      <c r="F13" s="782"/>
      <c r="G13" s="782"/>
      <c r="H13" s="782"/>
      <c r="I13" s="782"/>
      <c r="J13" s="782"/>
      <c r="K13" s="783" t="s">
        <v>5</v>
      </c>
      <c r="L13" s="783"/>
      <c r="M13" s="784"/>
    </row>
    <row r="14" spans="2:13" ht="14.4" customHeight="1" x14ac:dyDescent="0.25">
      <c r="B14" s="802" t="s">
        <v>805</v>
      </c>
      <c r="C14" s="803"/>
      <c r="D14" s="803"/>
      <c r="E14" s="803"/>
      <c r="F14" s="803"/>
      <c r="G14" s="803"/>
      <c r="H14" s="803"/>
      <c r="I14" s="803"/>
      <c r="J14" s="803"/>
      <c r="K14" s="803"/>
      <c r="L14" s="803"/>
      <c r="M14" s="804"/>
    </row>
    <row r="15" spans="2:13" ht="14.4" customHeight="1" x14ac:dyDescent="0.25">
      <c r="B15" s="805"/>
      <c r="C15" s="806"/>
      <c r="D15" s="806"/>
      <c r="E15" s="806"/>
      <c r="F15" s="806"/>
      <c r="G15" s="806"/>
      <c r="H15" s="806"/>
      <c r="I15" s="806"/>
      <c r="J15" s="806"/>
      <c r="K15" s="806"/>
      <c r="L15" s="806"/>
      <c r="M15" s="807"/>
    </row>
    <row r="16" spans="2:13" ht="14.4" customHeight="1" x14ac:dyDescent="0.25">
      <c r="B16" s="805"/>
      <c r="C16" s="806"/>
      <c r="D16" s="806"/>
      <c r="E16" s="806"/>
      <c r="F16" s="806"/>
      <c r="G16" s="806"/>
      <c r="H16" s="806"/>
      <c r="I16" s="806"/>
      <c r="J16" s="806"/>
      <c r="K16" s="806"/>
      <c r="L16" s="806"/>
      <c r="M16" s="807"/>
    </row>
    <row r="17" spans="2:13" ht="15" customHeight="1" thickBot="1" x14ac:dyDescent="0.3">
      <c r="B17" s="808"/>
      <c r="C17" s="809"/>
      <c r="D17" s="809"/>
      <c r="E17" s="809"/>
      <c r="F17" s="809"/>
      <c r="G17" s="809"/>
      <c r="H17" s="809"/>
      <c r="I17" s="809"/>
      <c r="J17" s="809"/>
      <c r="K17" s="809"/>
      <c r="L17" s="809"/>
      <c r="M17" s="810"/>
    </row>
    <row r="18" spans="2:13" x14ac:dyDescent="0.25">
      <c r="B18" s="811" t="s">
        <v>608</v>
      </c>
      <c r="C18" s="812"/>
      <c r="D18" s="812"/>
      <c r="E18" s="812"/>
      <c r="F18" s="812"/>
      <c r="G18" s="812"/>
      <c r="H18" s="812"/>
      <c r="I18" s="812"/>
      <c r="J18" s="812"/>
      <c r="K18" s="812"/>
      <c r="L18" s="812"/>
      <c r="M18" s="813"/>
    </row>
    <row r="19" spans="2:13" x14ac:dyDescent="0.25">
      <c r="B19" s="814"/>
      <c r="C19" s="815"/>
      <c r="D19" s="815"/>
      <c r="E19" s="815"/>
      <c r="F19" s="815"/>
      <c r="G19" s="815"/>
      <c r="H19" s="815"/>
      <c r="I19" s="815"/>
      <c r="J19" s="815"/>
      <c r="K19" s="815"/>
      <c r="L19" s="815"/>
      <c r="M19" s="816"/>
    </row>
    <row r="20" spans="2:13" ht="14.4" thickBot="1" x14ac:dyDescent="0.3">
      <c r="B20" s="817"/>
      <c r="C20" s="818"/>
      <c r="D20" s="818"/>
      <c r="E20" s="818"/>
      <c r="F20" s="818"/>
      <c r="G20" s="818"/>
      <c r="H20" s="818"/>
      <c r="I20" s="818"/>
      <c r="J20" s="818"/>
      <c r="K20" s="818"/>
      <c r="L20" s="818"/>
      <c r="M20" s="819"/>
    </row>
    <row r="21" spans="2:13" x14ac:dyDescent="0.25">
      <c r="B21" s="822" t="s">
        <v>609</v>
      </c>
      <c r="C21" s="823"/>
      <c r="D21" s="823"/>
      <c r="E21" s="823"/>
      <c r="F21" s="823"/>
      <c r="G21" s="823"/>
      <c r="H21" s="823"/>
      <c r="I21" s="823"/>
      <c r="J21" s="823"/>
      <c r="K21" s="823"/>
      <c r="L21" s="823"/>
      <c r="M21" s="824"/>
    </row>
    <row r="22" spans="2:13" x14ac:dyDescent="0.25">
      <c r="B22" s="825"/>
      <c r="C22" s="826"/>
      <c r="D22" s="826"/>
      <c r="E22" s="826"/>
      <c r="F22" s="826"/>
      <c r="G22" s="826"/>
      <c r="H22" s="826"/>
      <c r="I22" s="826"/>
      <c r="J22" s="826"/>
      <c r="K22" s="826"/>
      <c r="L22" s="826"/>
      <c r="M22" s="827"/>
    </row>
    <row r="23" spans="2:13" ht="14.4" thickBot="1" x14ac:dyDescent="0.3">
      <c r="B23" s="828"/>
      <c r="C23" s="829"/>
      <c r="D23" s="829"/>
      <c r="E23" s="829"/>
      <c r="F23" s="829"/>
      <c r="G23" s="829"/>
      <c r="H23" s="829"/>
      <c r="I23" s="829"/>
      <c r="J23" s="829"/>
      <c r="K23" s="829"/>
      <c r="L23" s="829"/>
      <c r="M23" s="830"/>
    </row>
    <row r="24" spans="2:13" ht="16.8" customHeight="1" x14ac:dyDescent="0.25">
      <c r="B24" s="811" t="s">
        <v>610</v>
      </c>
      <c r="C24" s="812"/>
      <c r="D24" s="812"/>
      <c r="E24" s="812"/>
      <c r="F24" s="812"/>
      <c r="G24" s="812"/>
      <c r="H24" s="812"/>
      <c r="I24" s="812"/>
      <c r="J24" s="812"/>
      <c r="K24" s="812"/>
      <c r="L24" s="812"/>
      <c r="M24" s="813"/>
    </row>
    <row r="25" spans="2:13" ht="16.8" customHeight="1" x14ac:dyDescent="0.25">
      <c r="B25" s="814"/>
      <c r="C25" s="815"/>
      <c r="D25" s="815"/>
      <c r="E25" s="815"/>
      <c r="F25" s="815"/>
      <c r="G25" s="815"/>
      <c r="H25" s="815"/>
      <c r="I25" s="815"/>
      <c r="J25" s="815"/>
      <c r="K25" s="815"/>
      <c r="L25" s="815"/>
      <c r="M25" s="816"/>
    </row>
    <row r="26" spans="2:13" ht="17.399999999999999" customHeight="1" thickBot="1" x14ac:dyDescent="0.3">
      <c r="B26" s="817"/>
      <c r="C26" s="818"/>
      <c r="D26" s="818"/>
      <c r="E26" s="818"/>
      <c r="F26" s="818"/>
      <c r="G26" s="818"/>
      <c r="H26" s="818"/>
      <c r="I26" s="818"/>
      <c r="J26" s="818"/>
      <c r="K26" s="818"/>
      <c r="L26" s="818"/>
      <c r="M26" s="819"/>
    </row>
    <row r="27" spans="2:13" ht="14.4" customHeight="1" x14ac:dyDescent="0.25">
      <c r="B27" s="811" t="s">
        <v>611</v>
      </c>
      <c r="C27" s="812"/>
      <c r="D27" s="812"/>
      <c r="E27" s="812"/>
      <c r="F27" s="812"/>
      <c r="G27" s="812"/>
      <c r="H27" s="812"/>
      <c r="I27" s="812"/>
      <c r="J27" s="812"/>
      <c r="K27" s="812"/>
      <c r="L27" s="812"/>
      <c r="M27" s="813"/>
    </row>
    <row r="28" spans="2:13" ht="14.4" customHeight="1" x14ac:dyDescent="0.25">
      <c r="B28" s="814"/>
      <c r="C28" s="815"/>
      <c r="D28" s="815"/>
      <c r="E28" s="815"/>
      <c r="F28" s="815"/>
      <c r="G28" s="815"/>
      <c r="H28" s="815"/>
      <c r="I28" s="815"/>
      <c r="J28" s="815"/>
      <c r="K28" s="815"/>
      <c r="L28" s="815"/>
      <c r="M28" s="816"/>
    </row>
    <row r="29" spans="2:13" ht="15" customHeight="1" thickBot="1" x14ac:dyDescent="0.3">
      <c r="B29" s="817"/>
      <c r="C29" s="818"/>
      <c r="D29" s="818"/>
      <c r="E29" s="818"/>
      <c r="F29" s="818"/>
      <c r="G29" s="818"/>
      <c r="H29" s="818"/>
      <c r="I29" s="818"/>
      <c r="J29" s="818"/>
      <c r="K29" s="818"/>
      <c r="L29" s="818"/>
      <c r="M29" s="819"/>
    </row>
    <row r="30" spans="2:13" ht="16.2" customHeight="1" x14ac:dyDescent="0.25">
      <c r="B30" s="835"/>
      <c r="C30" s="836"/>
      <c r="D30" s="836"/>
      <c r="E30" s="836"/>
      <c r="F30" s="8"/>
      <c r="G30" s="8"/>
      <c r="H30" s="8"/>
      <c r="I30" s="8"/>
      <c r="J30" s="820" t="s">
        <v>612</v>
      </c>
      <c r="K30" s="820"/>
      <c r="L30" s="820"/>
      <c r="M30" s="821"/>
    </row>
    <row r="31" spans="2:13" ht="16.8" customHeight="1" x14ac:dyDescent="0.25">
      <c r="B31" s="6"/>
      <c r="C31" s="11"/>
      <c r="D31" s="839" t="s">
        <v>345</v>
      </c>
      <c r="E31" s="837"/>
      <c r="F31" s="837"/>
      <c r="G31" s="837"/>
      <c r="H31" s="837"/>
      <c r="I31" s="837"/>
      <c r="J31" s="837"/>
      <c r="K31" s="837"/>
      <c r="L31" s="837"/>
      <c r="M31" s="838"/>
    </row>
    <row r="32" spans="2:13" ht="16.8" x14ac:dyDescent="0.25">
      <c r="B32" s="6"/>
      <c r="C32" s="15"/>
      <c r="D32" s="837" t="s">
        <v>346</v>
      </c>
      <c r="E32" s="837"/>
      <c r="F32" s="837"/>
      <c r="G32" s="837"/>
      <c r="H32" s="837"/>
      <c r="I32" s="837"/>
      <c r="J32" s="837"/>
      <c r="K32" s="837"/>
      <c r="L32" s="837"/>
      <c r="M32" s="838"/>
    </row>
    <row r="33" spans="2:13" ht="16.8" x14ac:dyDescent="0.25">
      <c r="B33" s="6"/>
      <c r="C33" s="200"/>
      <c r="D33" s="837" t="s">
        <v>347</v>
      </c>
      <c r="E33" s="837"/>
      <c r="F33" s="837"/>
      <c r="G33" s="837"/>
      <c r="H33" s="837"/>
      <c r="I33" s="837"/>
      <c r="J33" s="837"/>
      <c r="K33" s="837"/>
      <c r="L33" s="837"/>
      <c r="M33" s="838"/>
    </row>
    <row r="34" spans="2:13" ht="17.399999999999999" thickBot="1" x14ac:dyDescent="0.3">
      <c r="B34" s="7"/>
      <c r="C34" s="201"/>
      <c r="D34" s="800" t="s">
        <v>854</v>
      </c>
      <c r="E34" s="800"/>
      <c r="F34" s="800"/>
      <c r="G34" s="800"/>
      <c r="H34" s="800"/>
      <c r="I34" s="800"/>
      <c r="J34" s="800"/>
      <c r="K34" s="800"/>
      <c r="L34" s="800"/>
      <c r="M34" s="801"/>
    </row>
    <row r="35" spans="2:13" ht="16.8" x14ac:dyDescent="0.25">
      <c r="B35" s="329"/>
      <c r="C35" s="330"/>
      <c r="D35" s="331"/>
      <c r="E35" s="331"/>
      <c r="F35" s="331"/>
      <c r="G35" s="331"/>
      <c r="H35" s="331"/>
      <c r="I35" s="331"/>
      <c r="J35" s="820" t="s">
        <v>613</v>
      </c>
      <c r="K35" s="820"/>
      <c r="L35" s="820"/>
      <c r="M35" s="821"/>
    </row>
    <row r="36" spans="2:13" ht="16.8" x14ac:dyDescent="0.25">
      <c r="B36" s="840"/>
      <c r="C36" s="841"/>
      <c r="D36" s="841"/>
      <c r="E36" s="841"/>
      <c r="F36" s="841"/>
      <c r="G36" s="841"/>
      <c r="H36" s="841"/>
      <c r="I36" s="841"/>
      <c r="J36" s="841"/>
      <c r="K36" s="841"/>
      <c r="L36" s="841"/>
      <c r="M36" s="842"/>
    </row>
    <row r="37" spans="2:13" x14ac:dyDescent="0.25">
      <c r="B37" s="843" t="s">
        <v>614</v>
      </c>
      <c r="C37" s="844"/>
      <c r="D37" s="844"/>
      <c r="E37" s="844" t="s">
        <v>615</v>
      </c>
      <c r="F37" s="844"/>
      <c r="G37" s="844"/>
      <c r="H37" s="844" t="s">
        <v>616</v>
      </c>
      <c r="I37" s="844"/>
      <c r="J37" s="844"/>
      <c r="K37" s="844" t="s">
        <v>617</v>
      </c>
      <c r="L37" s="844"/>
      <c r="M37" s="845"/>
    </row>
    <row r="38" spans="2:13" ht="39.6" customHeight="1" thickBot="1" x14ac:dyDescent="0.3">
      <c r="B38" s="831"/>
      <c r="C38" s="832"/>
      <c r="D38" s="832"/>
      <c r="E38" s="833"/>
      <c r="F38" s="833"/>
      <c r="G38" s="833"/>
      <c r="H38" s="833"/>
      <c r="I38" s="833"/>
      <c r="J38" s="833"/>
      <c r="K38" s="833"/>
      <c r="L38" s="833"/>
      <c r="M38" s="834"/>
    </row>
    <row r="39" spans="2:13" ht="14.4" customHeight="1" x14ac:dyDescent="0.25">
      <c r="B39" s="785" t="s">
        <v>2131</v>
      </c>
      <c r="C39" s="786"/>
      <c r="D39" s="786"/>
      <c r="E39" s="786"/>
      <c r="F39" s="786"/>
      <c r="G39" s="786"/>
      <c r="H39" s="786"/>
      <c r="I39" s="786"/>
      <c r="J39" s="786"/>
      <c r="K39" s="786"/>
      <c r="L39" s="786"/>
      <c r="M39" s="787"/>
    </row>
    <row r="40" spans="2:13" x14ac:dyDescent="0.25">
      <c r="B40" s="788"/>
      <c r="C40" s="789"/>
      <c r="D40" s="789"/>
      <c r="E40" s="789"/>
      <c r="F40" s="789"/>
      <c r="G40" s="789"/>
      <c r="H40" s="789"/>
      <c r="I40" s="789"/>
      <c r="J40" s="789"/>
      <c r="K40" s="789"/>
      <c r="L40" s="789"/>
      <c r="M40" s="790"/>
    </row>
    <row r="41" spans="2:13" x14ac:dyDescent="0.25">
      <c r="B41" s="791" t="s">
        <v>1386</v>
      </c>
      <c r="C41" s="792"/>
      <c r="D41" s="792"/>
      <c r="E41" s="792"/>
      <c r="F41" s="792"/>
      <c r="G41" s="792"/>
      <c r="H41" s="792"/>
      <c r="I41" s="792"/>
      <c r="J41" s="792"/>
      <c r="K41" s="792"/>
      <c r="L41" s="792"/>
      <c r="M41" s="793"/>
    </row>
    <row r="42" spans="2:13" x14ac:dyDescent="0.25">
      <c r="B42" s="794"/>
      <c r="C42" s="795"/>
      <c r="D42" s="795"/>
      <c r="E42" s="795"/>
      <c r="F42" s="795"/>
      <c r="G42" s="795"/>
      <c r="H42" s="795"/>
      <c r="I42" s="795"/>
      <c r="J42" s="795"/>
      <c r="K42" s="795"/>
      <c r="L42" s="795"/>
      <c r="M42" s="796"/>
    </row>
    <row r="43" spans="2:13" x14ac:dyDescent="0.25">
      <c r="B43" s="794"/>
      <c r="C43" s="795"/>
      <c r="D43" s="795"/>
      <c r="E43" s="795"/>
      <c r="F43" s="795"/>
      <c r="G43" s="795"/>
      <c r="H43" s="795"/>
      <c r="I43" s="795"/>
      <c r="J43" s="795"/>
      <c r="K43" s="795"/>
      <c r="L43" s="795"/>
      <c r="M43" s="796"/>
    </row>
    <row r="44" spans="2:13" x14ac:dyDescent="0.25">
      <c r="B44" s="794"/>
      <c r="C44" s="795"/>
      <c r="D44" s="795"/>
      <c r="E44" s="795"/>
      <c r="F44" s="795"/>
      <c r="G44" s="795"/>
      <c r="H44" s="795"/>
      <c r="I44" s="795"/>
      <c r="J44" s="795"/>
      <c r="K44" s="795"/>
      <c r="L44" s="795"/>
      <c r="M44" s="796"/>
    </row>
    <row r="45" spans="2:13" x14ac:dyDescent="0.25">
      <c r="B45" s="794"/>
      <c r="C45" s="795"/>
      <c r="D45" s="795"/>
      <c r="E45" s="795"/>
      <c r="F45" s="795"/>
      <c r="G45" s="795"/>
      <c r="H45" s="795"/>
      <c r="I45" s="795"/>
      <c r="J45" s="795"/>
      <c r="K45" s="795"/>
      <c r="L45" s="795"/>
      <c r="M45" s="796"/>
    </row>
    <row r="46" spans="2:13" x14ac:dyDescent="0.25">
      <c r="B46" s="794"/>
      <c r="C46" s="795"/>
      <c r="D46" s="795"/>
      <c r="E46" s="795"/>
      <c r="F46" s="795"/>
      <c r="G46" s="795"/>
      <c r="H46" s="795"/>
      <c r="I46" s="795"/>
      <c r="J46" s="795"/>
      <c r="K46" s="795"/>
      <c r="L46" s="795"/>
      <c r="M46" s="796"/>
    </row>
    <row r="47" spans="2:13" x14ac:dyDescent="0.25">
      <c r="B47" s="794"/>
      <c r="C47" s="795"/>
      <c r="D47" s="795"/>
      <c r="E47" s="795"/>
      <c r="F47" s="795"/>
      <c r="G47" s="795"/>
      <c r="H47" s="795"/>
      <c r="I47" s="795"/>
      <c r="J47" s="795"/>
      <c r="K47" s="795"/>
      <c r="L47" s="795"/>
      <c r="M47" s="796"/>
    </row>
    <row r="48" spans="2:13" ht="14.4" thickBot="1" x14ac:dyDescent="0.3">
      <c r="B48" s="797"/>
      <c r="C48" s="798"/>
      <c r="D48" s="798"/>
      <c r="E48" s="798"/>
      <c r="F48" s="798"/>
      <c r="G48" s="798"/>
      <c r="H48" s="798"/>
      <c r="I48" s="798"/>
      <c r="J48" s="798"/>
      <c r="K48" s="798"/>
      <c r="L48" s="798"/>
      <c r="M48" s="799"/>
    </row>
  </sheetData>
  <protectedRanges>
    <protectedRange sqref="B41" name="Range2"/>
    <protectedRange sqref="B38:M38" name="Range1"/>
  </protectedRanges>
  <mergeCells count="34">
    <mergeCell ref="D33:M33"/>
    <mergeCell ref="D31:M31"/>
    <mergeCell ref="D32:M32"/>
    <mergeCell ref="B36:M36"/>
    <mergeCell ref="B37:D37"/>
    <mergeCell ref="E37:G37"/>
    <mergeCell ref="H37:J37"/>
    <mergeCell ref="K37:M37"/>
    <mergeCell ref="B39:M40"/>
    <mergeCell ref="B41:M48"/>
    <mergeCell ref="K12:M12"/>
    <mergeCell ref="D34:M34"/>
    <mergeCell ref="B14:M17"/>
    <mergeCell ref="B18:M20"/>
    <mergeCell ref="J30:M30"/>
    <mergeCell ref="J35:M35"/>
    <mergeCell ref="B21:M23"/>
    <mergeCell ref="B24:M26"/>
    <mergeCell ref="B38:D38"/>
    <mergeCell ref="E38:G38"/>
    <mergeCell ref="H38:J38"/>
    <mergeCell ref="K38:M38"/>
    <mergeCell ref="B27:M29"/>
    <mergeCell ref="B30:E30"/>
    <mergeCell ref="B7:M8"/>
    <mergeCell ref="B9:D13"/>
    <mergeCell ref="E9:J9"/>
    <mergeCell ref="K9:M9"/>
    <mergeCell ref="E10:J10"/>
    <mergeCell ref="K10:M10"/>
    <mergeCell ref="E11:J11"/>
    <mergeCell ref="K11:M11"/>
    <mergeCell ref="E13:J13"/>
    <mergeCell ref="K13:M13"/>
  </mergeCells>
  <pageMargins left="0.7" right="0.7" top="0.75" bottom="0.75" header="0.3" footer="0.3"/>
  <pageSetup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47098-F0BF-4431-90A6-A82EE6CCD0BC}">
  <sheetPr>
    <tabColor rgb="FF00B0F0"/>
  </sheetPr>
  <dimension ref="B7:F443"/>
  <sheetViews>
    <sheetView rightToLeft="1" zoomScale="85" zoomScaleNormal="85" workbookViewId="0">
      <selection activeCell="I9" sqref="I9"/>
    </sheetView>
  </sheetViews>
  <sheetFormatPr defaultColWidth="8.8984375" defaultRowHeight="13.8" x14ac:dyDescent="0.25"/>
  <cols>
    <col min="1" max="1" width="11.09765625" style="5" customWidth="1"/>
    <col min="2" max="2" width="18.09765625" style="5" customWidth="1"/>
    <col min="3" max="3" width="56.59765625" style="5" bestFit="1" customWidth="1"/>
    <col min="4" max="4" width="29.59765625" style="5" bestFit="1" customWidth="1"/>
    <col min="5" max="5" width="22.3984375" style="5" customWidth="1"/>
    <col min="6" max="6" width="11.59765625" style="5" customWidth="1"/>
    <col min="7" max="16384" width="8.8984375" style="5"/>
  </cols>
  <sheetData>
    <row r="7" spans="2:6" ht="30" customHeight="1" x14ac:dyDescent="0.25">
      <c r="B7" s="281" t="s">
        <v>1984</v>
      </c>
      <c r="C7" s="281"/>
      <c r="D7" s="281"/>
      <c r="E7" s="281"/>
      <c r="F7" s="281"/>
    </row>
    <row r="8" spans="2:6" ht="30" customHeight="1" x14ac:dyDescent="0.25">
      <c r="B8" s="140" t="s">
        <v>398</v>
      </c>
      <c r="C8" s="140" t="s">
        <v>397</v>
      </c>
      <c r="D8" s="565" t="s">
        <v>411</v>
      </c>
      <c r="E8" s="140" t="s">
        <v>335</v>
      </c>
      <c r="F8" s="140" t="s">
        <v>334</v>
      </c>
    </row>
    <row r="9" spans="2:6" x14ac:dyDescent="0.25">
      <c r="B9" s="571">
        <v>1107</v>
      </c>
      <c r="C9" s="149" t="s">
        <v>1573</v>
      </c>
      <c r="D9" s="571" t="s">
        <v>228</v>
      </c>
      <c r="E9" s="149" t="s">
        <v>337</v>
      </c>
      <c r="F9" s="149">
        <v>1</v>
      </c>
    </row>
    <row r="10" spans="2:6" x14ac:dyDescent="0.25">
      <c r="B10" s="149">
        <v>1110</v>
      </c>
      <c r="C10" s="149" t="s">
        <v>1217</v>
      </c>
      <c r="D10" s="149" t="s">
        <v>594</v>
      </c>
      <c r="E10" s="149" t="s">
        <v>337</v>
      </c>
      <c r="F10" s="149">
        <v>1</v>
      </c>
    </row>
    <row r="11" spans="2:6" x14ac:dyDescent="0.25">
      <c r="B11" s="149">
        <v>1120</v>
      </c>
      <c r="C11" s="149" t="s">
        <v>1218</v>
      </c>
      <c r="D11" s="149" t="s">
        <v>620</v>
      </c>
      <c r="E11" s="149" t="s">
        <v>337</v>
      </c>
      <c r="F11" s="149">
        <v>1</v>
      </c>
    </row>
    <row r="12" spans="2:6" x14ac:dyDescent="0.25">
      <c r="B12" s="149">
        <v>1130</v>
      </c>
      <c r="C12" s="149" t="s">
        <v>1219</v>
      </c>
      <c r="D12" s="149" t="s">
        <v>630</v>
      </c>
      <c r="E12" s="149" t="s">
        <v>337</v>
      </c>
      <c r="F12" s="149">
        <v>1</v>
      </c>
    </row>
    <row r="13" spans="2:6" x14ac:dyDescent="0.25">
      <c r="B13" s="149">
        <v>1140</v>
      </c>
      <c r="C13" s="149" t="s">
        <v>596</v>
      </c>
      <c r="D13" s="149" t="s">
        <v>621</v>
      </c>
      <c r="E13" s="149" t="s">
        <v>337</v>
      </c>
      <c r="F13" s="149">
        <v>1</v>
      </c>
    </row>
    <row r="14" spans="2:6" x14ac:dyDescent="0.25">
      <c r="B14" s="149">
        <v>1207</v>
      </c>
      <c r="C14" s="149" t="s">
        <v>1574</v>
      </c>
      <c r="D14" s="149" t="s">
        <v>228</v>
      </c>
      <c r="E14" s="149" t="s">
        <v>337</v>
      </c>
      <c r="F14" s="149">
        <v>1</v>
      </c>
    </row>
    <row r="15" spans="2:6" x14ac:dyDescent="0.25">
      <c r="B15" s="149">
        <v>1210</v>
      </c>
      <c r="C15" s="149" t="s">
        <v>1220</v>
      </c>
      <c r="D15" s="149" t="s">
        <v>598</v>
      </c>
      <c r="E15" s="149" t="s">
        <v>337</v>
      </c>
      <c r="F15" s="149">
        <v>1</v>
      </c>
    </row>
    <row r="16" spans="2:6" x14ac:dyDescent="0.25">
      <c r="B16" s="149">
        <v>1307</v>
      </c>
      <c r="C16" s="149" t="s">
        <v>1575</v>
      </c>
      <c r="D16" s="149" t="s">
        <v>228</v>
      </c>
      <c r="E16" s="149" t="s">
        <v>337</v>
      </c>
      <c r="F16" s="149">
        <v>1</v>
      </c>
    </row>
    <row r="17" spans="2:6" x14ac:dyDescent="0.25">
      <c r="B17" s="149">
        <v>1310</v>
      </c>
      <c r="C17" s="149" t="s">
        <v>628</v>
      </c>
      <c r="D17" s="149" t="s">
        <v>599</v>
      </c>
      <c r="E17" s="149" t="s">
        <v>337</v>
      </c>
      <c r="F17" s="149">
        <v>1</v>
      </c>
    </row>
    <row r="18" spans="2:6" x14ac:dyDescent="0.25">
      <c r="B18" s="149">
        <v>1315</v>
      </c>
      <c r="C18" s="149" t="s">
        <v>629</v>
      </c>
      <c r="D18" s="149" t="s">
        <v>599</v>
      </c>
      <c r="E18" s="149" t="s">
        <v>337</v>
      </c>
      <c r="F18" s="149">
        <v>1</v>
      </c>
    </row>
    <row r="19" spans="2:6" x14ac:dyDescent="0.25">
      <c r="B19" s="149">
        <v>1317</v>
      </c>
      <c r="C19" s="149" t="s">
        <v>1576</v>
      </c>
      <c r="D19" s="149" t="s">
        <v>228</v>
      </c>
      <c r="E19" s="149" t="s">
        <v>337</v>
      </c>
      <c r="F19" s="149">
        <v>1</v>
      </c>
    </row>
    <row r="20" spans="2:6" x14ac:dyDescent="0.25">
      <c r="B20" s="149">
        <v>1320</v>
      </c>
      <c r="C20" s="149" t="s">
        <v>1577</v>
      </c>
      <c r="D20" s="149" t="s">
        <v>599</v>
      </c>
      <c r="E20" s="149" t="s">
        <v>337</v>
      </c>
      <c r="F20" s="149">
        <v>1</v>
      </c>
    </row>
    <row r="21" spans="2:6" x14ac:dyDescent="0.25">
      <c r="B21" s="149">
        <v>1325</v>
      </c>
      <c r="C21" s="149" t="s">
        <v>1578</v>
      </c>
      <c r="D21" s="149" t="s">
        <v>599</v>
      </c>
      <c r="E21" s="149" t="s">
        <v>337</v>
      </c>
      <c r="F21" s="149">
        <v>1</v>
      </c>
    </row>
    <row r="22" spans="2:6" x14ac:dyDescent="0.25">
      <c r="B22" s="149">
        <v>1330</v>
      </c>
      <c r="C22" s="149" t="s">
        <v>1221</v>
      </c>
      <c r="D22" s="149" t="s">
        <v>600</v>
      </c>
      <c r="E22" s="149" t="s">
        <v>337</v>
      </c>
      <c r="F22" s="149">
        <v>1</v>
      </c>
    </row>
    <row r="23" spans="2:6" x14ac:dyDescent="0.25">
      <c r="B23" s="149">
        <v>1335</v>
      </c>
      <c r="C23" s="149" t="s">
        <v>1222</v>
      </c>
      <c r="D23" s="149" t="s">
        <v>600</v>
      </c>
      <c r="E23" s="149" t="s">
        <v>337</v>
      </c>
      <c r="F23" s="149">
        <v>1</v>
      </c>
    </row>
    <row r="24" spans="2:6" x14ac:dyDescent="0.25">
      <c r="B24" s="149">
        <v>1710</v>
      </c>
      <c r="C24" s="149" t="s">
        <v>1579</v>
      </c>
      <c r="D24" s="149" t="s">
        <v>228</v>
      </c>
      <c r="E24" s="149" t="s">
        <v>337</v>
      </c>
      <c r="F24" s="149">
        <v>1</v>
      </c>
    </row>
    <row r="25" spans="2:6" x14ac:dyDescent="0.25">
      <c r="B25" s="149">
        <v>1800</v>
      </c>
      <c r="C25" s="149" t="s">
        <v>1572</v>
      </c>
      <c r="D25" s="149" t="s">
        <v>228</v>
      </c>
      <c r="E25" s="149" t="s">
        <v>337</v>
      </c>
      <c r="F25" s="149">
        <v>1</v>
      </c>
    </row>
    <row r="26" spans="2:6" x14ac:dyDescent="0.25">
      <c r="B26" s="149">
        <v>1901</v>
      </c>
      <c r="C26" s="149" t="s">
        <v>1580</v>
      </c>
      <c r="D26" s="149" t="s">
        <v>228</v>
      </c>
      <c r="E26" s="149" t="s">
        <v>337</v>
      </c>
      <c r="F26" s="149">
        <v>1</v>
      </c>
    </row>
    <row r="27" spans="2:6" x14ac:dyDescent="0.25">
      <c r="B27" s="149">
        <v>1907</v>
      </c>
      <c r="C27" s="149" t="s">
        <v>1581</v>
      </c>
      <c r="D27" s="149" t="s">
        <v>228</v>
      </c>
      <c r="E27" s="149" t="s">
        <v>337</v>
      </c>
      <c r="F27" s="149">
        <v>1</v>
      </c>
    </row>
    <row r="28" spans="2:6" x14ac:dyDescent="0.25">
      <c r="B28" s="149">
        <v>1917</v>
      </c>
      <c r="C28" s="149" t="s">
        <v>1582</v>
      </c>
      <c r="D28" s="149" t="s">
        <v>228</v>
      </c>
      <c r="E28" s="149" t="s">
        <v>337</v>
      </c>
      <c r="F28" s="149">
        <v>1</v>
      </c>
    </row>
    <row r="29" spans="2:6" x14ac:dyDescent="0.25">
      <c r="B29" s="150">
        <v>2107</v>
      </c>
      <c r="C29" s="150" t="s">
        <v>669</v>
      </c>
      <c r="D29" s="150" t="s">
        <v>228</v>
      </c>
      <c r="E29" s="150" t="s">
        <v>338</v>
      </c>
      <c r="F29" s="150">
        <v>2</v>
      </c>
    </row>
    <row r="30" spans="2:6" x14ac:dyDescent="0.25">
      <c r="B30" s="150">
        <v>2110</v>
      </c>
      <c r="C30" s="150" t="s">
        <v>1583</v>
      </c>
      <c r="D30" s="150" t="s">
        <v>627</v>
      </c>
      <c r="E30" s="150" t="s">
        <v>338</v>
      </c>
      <c r="F30" s="150">
        <v>2</v>
      </c>
    </row>
    <row r="31" spans="2:6" x14ac:dyDescent="0.25">
      <c r="B31" s="150">
        <v>2120</v>
      </c>
      <c r="C31" s="150" t="s">
        <v>653</v>
      </c>
      <c r="D31" s="150" t="s">
        <v>627</v>
      </c>
      <c r="E31" s="150" t="s">
        <v>338</v>
      </c>
      <c r="F31" s="150">
        <v>2</v>
      </c>
    </row>
    <row r="32" spans="2:6" x14ac:dyDescent="0.25">
      <c r="B32" s="150">
        <v>2130</v>
      </c>
      <c r="C32" s="150" t="s">
        <v>1584</v>
      </c>
      <c r="D32" s="150" t="s">
        <v>627</v>
      </c>
      <c r="E32" s="150" t="s">
        <v>338</v>
      </c>
      <c r="F32" s="150">
        <v>2</v>
      </c>
    </row>
    <row r="33" spans="2:6" x14ac:dyDescent="0.25">
      <c r="B33" s="150">
        <v>2207</v>
      </c>
      <c r="C33" s="150" t="s">
        <v>1585</v>
      </c>
      <c r="D33" s="150" t="s">
        <v>228</v>
      </c>
      <c r="E33" s="150" t="s">
        <v>338</v>
      </c>
      <c r="F33" s="150">
        <v>2</v>
      </c>
    </row>
    <row r="34" spans="2:6" x14ac:dyDescent="0.25">
      <c r="B34" s="150">
        <v>2210</v>
      </c>
      <c r="C34" s="150" t="s">
        <v>1223</v>
      </c>
      <c r="D34" s="150" t="s">
        <v>627</v>
      </c>
      <c r="E34" s="150" t="s">
        <v>338</v>
      </c>
      <c r="F34" s="150">
        <v>2</v>
      </c>
    </row>
    <row r="35" spans="2:6" x14ac:dyDescent="0.25">
      <c r="B35" s="150">
        <v>2215</v>
      </c>
      <c r="C35" s="150" t="s">
        <v>1586</v>
      </c>
      <c r="D35" s="150" t="s">
        <v>627</v>
      </c>
      <c r="E35" s="150" t="s">
        <v>338</v>
      </c>
      <c r="F35" s="150">
        <v>2</v>
      </c>
    </row>
    <row r="36" spans="2:6" x14ac:dyDescent="0.25">
      <c r="B36" s="150">
        <v>2220</v>
      </c>
      <c r="C36" s="150" t="s">
        <v>1224</v>
      </c>
      <c r="D36" s="150" t="s">
        <v>622</v>
      </c>
      <c r="E36" s="150" t="s">
        <v>338</v>
      </c>
      <c r="F36" s="150">
        <v>2</v>
      </c>
    </row>
    <row r="37" spans="2:6" x14ac:dyDescent="0.25">
      <c r="B37" s="150">
        <v>2237</v>
      </c>
      <c r="C37" s="150" t="s">
        <v>1587</v>
      </c>
      <c r="D37" s="150" t="s">
        <v>228</v>
      </c>
      <c r="E37" s="150" t="s">
        <v>338</v>
      </c>
      <c r="F37" s="150">
        <v>2</v>
      </c>
    </row>
    <row r="38" spans="2:6" x14ac:dyDescent="0.25">
      <c r="B38" s="150">
        <v>2240</v>
      </c>
      <c r="C38" s="150" t="s">
        <v>603</v>
      </c>
      <c r="D38" s="150" t="s">
        <v>631</v>
      </c>
      <c r="E38" s="150" t="s">
        <v>338</v>
      </c>
      <c r="F38" s="150">
        <v>2</v>
      </c>
    </row>
    <row r="39" spans="2:6" x14ac:dyDescent="0.25">
      <c r="B39" s="150">
        <v>2250</v>
      </c>
      <c r="C39" s="150" t="s">
        <v>1588</v>
      </c>
      <c r="D39" s="150" t="s">
        <v>631</v>
      </c>
      <c r="E39" s="150" t="s">
        <v>338</v>
      </c>
      <c r="F39" s="150">
        <v>2</v>
      </c>
    </row>
    <row r="40" spans="2:6" x14ac:dyDescent="0.25">
      <c r="B40" s="150">
        <v>2301</v>
      </c>
      <c r="C40" s="150" t="s">
        <v>1589</v>
      </c>
      <c r="D40" s="150" t="s">
        <v>631</v>
      </c>
      <c r="E40" s="150" t="s">
        <v>338</v>
      </c>
      <c r="F40" s="150">
        <v>2</v>
      </c>
    </row>
    <row r="41" spans="2:6" x14ac:dyDescent="0.25">
      <c r="B41" s="150">
        <v>2402</v>
      </c>
      <c r="C41" s="150" t="s">
        <v>1590</v>
      </c>
      <c r="D41" s="150" t="s">
        <v>623</v>
      </c>
      <c r="E41" s="150" t="s">
        <v>338</v>
      </c>
      <c r="F41" s="150">
        <v>2</v>
      </c>
    </row>
    <row r="42" spans="2:6" x14ac:dyDescent="0.25">
      <c r="B42" s="150">
        <v>2407</v>
      </c>
      <c r="C42" s="150" t="s">
        <v>1591</v>
      </c>
      <c r="D42" s="150" t="s">
        <v>228</v>
      </c>
      <c r="E42" s="150" t="s">
        <v>338</v>
      </c>
      <c r="F42" s="150">
        <v>2</v>
      </c>
    </row>
    <row r="43" spans="2:6" x14ac:dyDescent="0.25">
      <c r="B43" s="150">
        <v>2410</v>
      </c>
      <c r="C43" s="150" t="s">
        <v>1225</v>
      </c>
      <c r="D43" s="150" t="s">
        <v>623</v>
      </c>
      <c r="E43" s="150" t="s">
        <v>338</v>
      </c>
      <c r="F43" s="150">
        <v>2</v>
      </c>
    </row>
    <row r="44" spans="2:6" x14ac:dyDescent="0.25">
      <c r="B44" s="150">
        <v>2415</v>
      </c>
      <c r="C44" s="150" t="s">
        <v>1592</v>
      </c>
      <c r="D44" s="150" t="s">
        <v>623</v>
      </c>
      <c r="E44" s="150" t="s">
        <v>338</v>
      </c>
      <c r="F44" s="150">
        <v>2</v>
      </c>
    </row>
    <row r="45" spans="2:6" x14ac:dyDescent="0.25">
      <c r="B45" s="150">
        <v>2427</v>
      </c>
      <c r="C45" s="150" t="s">
        <v>1593</v>
      </c>
      <c r="D45" s="150" t="s">
        <v>228</v>
      </c>
      <c r="E45" s="150" t="s">
        <v>338</v>
      </c>
      <c r="F45" s="150">
        <v>2</v>
      </c>
    </row>
    <row r="46" spans="2:6" x14ac:dyDescent="0.25">
      <c r="B46" s="150">
        <v>2507</v>
      </c>
      <c r="C46" s="150" t="s">
        <v>1594</v>
      </c>
      <c r="D46" s="150" t="s">
        <v>228</v>
      </c>
      <c r="E46" s="150" t="s">
        <v>338</v>
      </c>
      <c r="F46" s="150">
        <v>2</v>
      </c>
    </row>
    <row r="47" spans="2:6" x14ac:dyDescent="0.25">
      <c r="B47" s="150">
        <v>2510</v>
      </c>
      <c r="C47" s="150" t="s">
        <v>1226</v>
      </c>
      <c r="D47" s="150" t="s">
        <v>624</v>
      </c>
      <c r="E47" s="150" t="s">
        <v>338</v>
      </c>
      <c r="F47" s="150">
        <v>2</v>
      </c>
    </row>
    <row r="48" spans="2:6" x14ac:dyDescent="0.25">
      <c r="B48" s="150">
        <v>2600</v>
      </c>
      <c r="C48" s="150" t="s">
        <v>1595</v>
      </c>
      <c r="D48" s="150" t="s">
        <v>228</v>
      </c>
      <c r="E48" s="150" t="s">
        <v>338</v>
      </c>
      <c r="F48" s="150">
        <v>2</v>
      </c>
    </row>
    <row r="49" spans="2:6" x14ac:dyDescent="0.25">
      <c r="B49" s="150">
        <v>2901</v>
      </c>
      <c r="C49" s="150" t="s">
        <v>1596</v>
      </c>
      <c r="D49" s="150" t="s">
        <v>228</v>
      </c>
      <c r="E49" s="150" t="s">
        <v>338</v>
      </c>
      <c r="F49" s="150">
        <v>2</v>
      </c>
    </row>
    <row r="50" spans="2:6" x14ac:dyDescent="0.25">
      <c r="B50" s="150">
        <v>2907</v>
      </c>
      <c r="C50" s="150" t="s">
        <v>1597</v>
      </c>
      <c r="D50" s="150" t="s">
        <v>228</v>
      </c>
      <c r="E50" s="150" t="s">
        <v>338</v>
      </c>
      <c r="F50" s="150">
        <v>2</v>
      </c>
    </row>
    <row r="51" spans="2:6" x14ac:dyDescent="0.25">
      <c r="B51" s="150">
        <v>2917</v>
      </c>
      <c r="C51" s="150" t="s">
        <v>1598</v>
      </c>
      <c r="D51" s="150" t="s">
        <v>228</v>
      </c>
      <c r="E51" s="150" t="s">
        <v>338</v>
      </c>
      <c r="F51" s="150">
        <v>2</v>
      </c>
    </row>
    <row r="52" spans="2:6" x14ac:dyDescent="0.25">
      <c r="B52" s="151">
        <v>3101</v>
      </c>
      <c r="C52" s="151" t="s">
        <v>635</v>
      </c>
      <c r="D52" s="151" t="s">
        <v>636</v>
      </c>
      <c r="E52" s="151" t="s">
        <v>339</v>
      </c>
      <c r="F52" s="151">
        <v>3</v>
      </c>
    </row>
    <row r="53" spans="2:6" x14ac:dyDescent="0.25">
      <c r="B53" s="151">
        <v>3107</v>
      </c>
      <c r="C53" s="151" t="s">
        <v>1599</v>
      </c>
      <c r="D53" s="151" t="s">
        <v>228</v>
      </c>
      <c r="E53" s="151" t="s">
        <v>339</v>
      </c>
      <c r="F53" s="151">
        <v>3</v>
      </c>
    </row>
    <row r="54" spans="2:6" x14ac:dyDescent="0.25">
      <c r="B54" s="151">
        <v>3207</v>
      </c>
      <c r="C54" s="151" t="s">
        <v>1600</v>
      </c>
      <c r="D54" s="151" t="s">
        <v>228</v>
      </c>
      <c r="E54" s="151" t="s">
        <v>339</v>
      </c>
      <c r="F54" s="151">
        <v>3</v>
      </c>
    </row>
    <row r="55" spans="2:6" x14ac:dyDescent="0.25">
      <c r="B55" s="151">
        <v>3210</v>
      </c>
      <c r="C55" s="151" t="s">
        <v>1227</v>
      </c>
      <c r="D55" s="151" t="s">
        <v>636</v>
      </c>
      <c r="E55" s="151" t="s">
        <v>339</v>
      </c>
      <c r="F55" s="151">
        <v>3</v>
      </c>
    </row>
    <row r="56" spans="2:6" x14ac:dyDescent="0.25">
      <c r="B56" s="151">
        <v>3310</v>
      </c>
      <c r="C56" s="151" t="s">
        <v>636</v>
      </c>
      <c r="D56" s="151" t="s">
        <v>636</v>
      </c>
      <c r="E56" s="151" t="s">
        <v>339</v>
      </c>
      <c r="F56" s="151">
        <v>3</v>
      </c>
    </row>
    <row r="57" spans="2:6" x14ac:dyDescent="0.25">
      <c r="B57" s="151">
        <v>3317</v>
      </c>
      <c r="C57" s="151" t="s">
        <v>1601</v>
      </c>
      <c r="D57" s="151" t="s">
        <v>228</v>
      </c>
      <c r="E57" s="151" t="s">
        <v>339</v>
      </c>
      <c r="F57" s="151">
        <v>3</v>
      </c>
    </row>
    <row r="58" spans="2:6" x14ac:dyDescent="0.25">
      <c r="B58" s="151">
        <v>3327</v>
      </c>
      <c r="C58" s="151" t="s">
        <v>1602</v>
      </c>
      <c r="D58" s="151" t="s">
        <v>228</v>
      </c>
      <c r="E58" s="151" t="s">
        <v>339</v>
      </c>
      <c r="F58" s="151">
        <v>3</v>
      </c>
    </row>
    <row r="59" spans="2:6" x14ac:dyDescent="0.25">
      <c r="B59" s="151">
        <v>3400</v>
      </c>
      <c r="C59" s="151" t="s">
        <v>1603</v>
      </c>
      <c r="D59" s="151" t="s">
        <v>638</v>
      </c>
      <c r="E59" s="151" t="s">
        <v>339</v>
      </c>
      <c r="F59" s="151">
        <v>3</v>
      </c>
    </row>
    <row r="60" spans="2:6" x14ac:dyDescent="0.25">
      <c r="B60" s="151">
        <v>3407</v>
      </c>
      <c r="C60" s="151" t="s">
        <v>1604</v>
      </c>
      <c r="D60" s="151" t="s">
        <v>228</v>
      </c>
      <c r="E60" s="151" t="s">
        <v>339</v>
      </c>
      <c r="F60" s="151">
        <v>3</v>
      </c>
    </row>
    <row r="61" spans="2:6" x14ac:dyDescent="0.25">
      <c r="B61" s="151">
        <v>3410</v>
      </c>
      <c r="C61" s="151" t="s">
        <v>637</v>
      </c>
      <c r="D61" s="151" t="s">
        <v>638</v>
      </c>
      <c r="E61" s="151" t="s">
        <v>339</v>
      </c>
      <c r="F61" s="151">
        <v>3</v>
      </c>
    </row>
    <row r="62" spans="2:6" x14ac:dyDescent="0.25">
      <c r="B62" s="151">
        <v>3420</v>
      </c>
      <c r="C62" s="151" t="s">
        <v>1228</v>
      </c>
      <c r="D62" s="151" t="s">
        <v>638</v>
      </c>
      <c r="E62" s="151" t="s">
        <v>339</v>
      </c>
      <c r="F62" s="151">
        <v>3</v>
      </c>
    </row>
    <row r="63" spans="2:6" x14ac:dyDescent="0.25">
      <c r="B63" s="151">
        <v>3430</v>
      </c>
      <c r="C63" s="151" t="s">
        <v>1229</v>
      </c>
      <c r="D63" s="151" t="s">
        <v>639</v>
      </c>
      <c r="E63" s="151" t="s">
        <v>339</v>
      </c>
      <c r="F63" s="151">
        <v>3</v>
      </c>
    </row>
    <row r="64" spans="2:6" x14ac:dyDescent="0.25">
      <c r="B64" s="151">
        <v>3440</v>
      </c>
      <c r="C64" s="151" t="s">
        <v>1230</v>
      </c>
      <c r="D64" s="151" t="s">
        <v>640</v>
      </c>
      <c r="E64" s="151" t="s">
        <v>339</v>
      </c>
      <c r="F64" s="151">
        <v>3</v>
      </c>
    </row>
    <row r="65" spans="2:6" x14ac:dyDescent="0.25">
      <c r="B65" s="151">
        <v>3450</v>
      </c>
      <c r="C65" s="151" t="s">
        <v>641</v>
      </c>
      <c r="D65" s="151" t="s">
        <v>641</v>
      </c>
      <c r="E65" s="151" t="s">
        <v>339</v>
      </c>
      <c r="F65" s="151">
        <v>3</v>
      </c>
    </row>
    <row r="66" spans="2:6" x14ac:dyDescent="0.25">
      <c r="B66" s="151">
        <v>3460</v>
      </c>
      <c r="C66" s="151" t="s">
        <v>1231</v>
      </c>
      <c r="D66" s="151" t="s">
        <v>641</v>
      </c>
      <c r="E66" s="151" t="s">
        <v>339</v>
      </c>
      <c r="F66" s="151">
        <v>3</v>
      </c>
    </row>
    <row r="67" spans="2:6" x14ac:dyDescent="0.25">
      <c r="B67" s="151">
        <v>3800</v>
      </c>
      <c r="C67" s="151" t="s">
        <v>1572</v>
      </c>
      <c r="D67" s="151" t="s">
        <v>228</v>
      </c>
      <c r="E67" s="151" t="s">
        <v>339</v>
      </c>
      <c r="F67" s="151">
        <v>3</v>
      </c>
    </row>
    <row r="68" spans="2:6" x14ac:dyDescent="0.25">
      <c r="B68" s="151">
        <v>3901</v>
      </c>
      <c r="C68" s="151" t="s">
        <v>1605</v>
      </c>
      <c r="D68" s="151" t="s">
        <v>1999</v>
      </c>
      <c r="E68" s="151" t="s">
        <v>339</v>
      </c>
      <c r="F68" s="151">
        <v>3</v>
      </c>
    </row>
    <row r="69" spans="2:6" x14ac:dyDescent="0.25">
      <c r="B69" s="151">
        <v>3907</v>
      </c>
      <c r="C69" s="151" t="s">
        <v>1606</v>
      </c>
      <c r="D69" s="151" t="s">
        <v>228</v>
      </c>
      <c r="E69" s="151" t="s">
        <v>339</v>
      </c>
      <c r="F69" s="151">
        <v>3</v>
      </c>
    </row>
    <row r="70" spans="2:6" x14ac:dyDescent="0.25">
      <c r="B70" s="151">
        <v>3917</v>
      </c>
      <c r="C70" s="151" t="s">
        <v>1607</v>
      </c>
      <c r="D70" s="151" t="s">
        <v>228</v>
      </c>
      <c r="E70" s="151" t="s">
        <v>339</v>
      </c>
      <c r="F70" s="151">
        <v>3</v>
      </c>
    </row>
    <row r="71" spans="2:6" x14ac:dyDescent="0.25">
      <c r="B71" s="152">
        <v>4007</v>
      </c>
      <c r="C71" s="152" t="s">
        <v>1608</v>
      </c>
      <c r="D71" s="152" t="s">
        <v>228</v>
      </c>
      <c r="E71" s="152" t="s">
        <v>340</v>
      </c>
      <c r="F71" s="152">
        <v>4</v>
      </c>
    </row>
    <row r="72" spans="2:6" x14ac:dyDescent="0.25">
      <c r="B72" s="152">
        <v>4101</v>
      </c>
      <c r="C72" s="152" t="s">
        <v>1232</v>
      </c>
      <c r="D72" s="152" t="s">
        <v>1377</v>
      </c>
      <c r="E72" s="152" t="s">
        <v>340</v>
      </c>
      <c r="F72" s="152">
        <v>4</v>
      </c>
    </row>
    <row r="73" spans="2:6" x14ac:dyDescent="0.25">
      <c r="B73" s="152">
        <v>4102</v>
      </c>
      <c r="C73" s="152" t="s">
        <v>1233</v>
      </c>
      <c r="D73" s="152" t="s">
        <v>1377</v>
      </c>
      <c r="E73" s="152" t="s">
        <v>340</v>
      </c>
      <c r="F73" s="152">
        <v>4</v>
      </c>
    </row>
    <row r="74" spans="2:6" x14ac:dyDescent="0.25">
      <c r="B74" s="152">
        <v>4103</v>
      </c>
      <c r="C74" s="152" t="s">
        <v>1609</v>
      </c>
      <c r="D74" s="152" t="s">
        <v>1377</v>
      </c>
      <c r="E74" s="152" t="s">
        <v>340</v>
      </c>
      <c r="F74" s="152">
        <v>4</v>
      </c>
    </row>
    <row r="75" spans="2:6" x14ac:dyDescent="0.25">
      <c r="B75" s="152">
        <v>4107</v>
      </c>
      <c r="C75" s="152" t="s">
        <v>1610</v>
      </c>
      <c r="D75" s="152" t="s">
        <v>228</v>
      </c>
      <c r="E75" s="152" t="s">
        <v>340</v>
      </c>
      <c r="F75" s="152">
        <v>4</v>
      </c>
    </row>
    <row r="76" spans="2:6" x14ac:dyDescent="0.25">
      <c r="B76" s="152">
        <v>4207</v>
      </c>
      <c r="C76" s="152" t="s">
        <v>1611</v>
      </c>
      <c r="D76" s="152" t="s">
        <v>228</v>
      </c>
      <c r="E76" s="152" t="s">
        <v>340</v>
      </c>
      <c r="F76" s="152">
        <v>4</v>
      </c>
    </row>
    <row r="77" spans="2:6" x14ac:dyDescent="0.25">
      <c r="B77" s="152">
        <v>4217</v>
      </c>
      <c r="C77" s="152" t="s">
        <v>1612</v>
      </c>
      <c r="D77" s="152" t="s">
        <v>228</v>
      </c>
      <c r="E77" s="152" t="s">
        <v>340</v>
      </c>
      <c r="F77" s="152">
        <v>4</v>
      </c>
    </row>
    <row r="78" spans="2:6" x14ac:dyDescent="0.25">
      <c r="B78" s="152">
        <v>4220</v>
      </c>
      <c r="C78" s="152" t="s">
        <v>1234</v>
      </c>
      <c r="D78" s="152" t="s">
        <v>1377</v>
      </c>
      <c r="E78" s="152" t="s">
        <v>340</v>
      </c>
      <c r="F78" s="152">
        <v>4</v>
      </c>
    </row>
    <row r="79" spans="2:6" x14ac:dyDescent="0.25">
      <c r="B79" s="152">
        <v>4225</v>
      </c>
      <c r="C79" s="152" t="s">
        <v>1235</v>
      </c>
      <c r="D79" s="152" t="s">
        <v>1377</v>
      </c>
      <c r="E79" s="152" t="s">
        <v>340</v>
      </c>
      <c r="F79" s="152">
        <v>4</v>
      </c>
    </row>
    <row r="80" spans="2:6" x14ac:dyDescent="0.25">
      <c r="B80" s="152">
        <v>4230</v>
      </c>
      <c r="C80" s="152" t="s">
        <v>1236</v>
      </c>
      <c r="D80" s="152" t="s">
        <v>1377</v>
      </c>
      <c r="E80" s="152" t="s">
        <v>340</v>
      </c>
      <c r="F80" s="152">
        <v>4</v>
      </c>
    </row>
    <row r="81" spans="2:6" x14ac:dyDescent="0.25">
      <c r="B81" s="152">
        <v>4235</v>
      </c>
      <c r="C81" s="152" t="s">
        <v>1237</v>
      </c>
      <c r="D81" s="152" t="s">
        <v>1377</v>
      </c>
      <c r="E81" s="152" t="s">
        <v>340</v>
      </c>
      <c r="F81" s="152">
        <v>4</v>
      </c>
    </row>
    <row r="82" spans="2:6" x14ac:dyDescent="0.25">
      <c r="B82" s="152">
        <v>4300</v>
      </c>
      <c r="C82" s="152" t="s">
        <v>1613</v>
      </c>
      <c r="D82" s="152" t="s">
        <v>654</v>
      </c>
      <c r="E82" s="152" t="s">
        <v>340</v>
      </c>
      <c r="F82" s="152">
        <v>4</v>
      </c>
    </row>
    <row r="83" spans="2:6" x14ac:dyDescent="0.25">
      <c r="B83" s="152">
        <v>4307</v>
      </c>
      <c r="C83" s="152" t="s">
        <v>1614</v>
      </c>
      <c r="D83" s="152" t="s">
        <v>228</v>
      </c>
      <c r="E83" s="152" t="s">
        <v>340</v>
      </c>
      <c r="F83" s="152">
        <v>4</v>
      </c>
    </row>
    <row r="84" spans="2:6" x14ac:dyDescent="0.25">
      <c r="B84" s="152">
        <v>4310</v>
      </c>
      <c r="C84" s="152" t="s">
        <v>654</v>
      </c>
      <c r="D84" s="152" t="s">
        <v>654</v>
      </c>
      <c r="E84" s="152" t="s">
        <v>340</v>
      </c>
      <c r="F84" s="152">
        <v>4</v>
      </c>
    </row>
    <row r="85" spans="2:6" x14ac:dyDescent="0.25">
      <c r="B85" s="152">
        <v>4315</v>
      </c>
      <c r="C85" s="152" t="s">
        <v>655</v>
      </c>
      <c r="D85" s="152" t="s">
        <v>655</v>
      </c>
      <c r="E85" s="152" t="s">
        <v>340</v>
      </c>
      <c r="F85" s="152">
        <v>4</v>
      </c>
    </row>
    <row r="86" spans="2:6" x14ac:dyDescent="0.25">
      <c r="B86" s="152">
        <v>4317</v>
      </c>
      <c r="C86" s="152" t="s">
        <v>1615</v>
      </c>
      <c r="D86" s="152" t="s">
        <v>228</v>
      </c>
      <c r="E86" s="152" t="s">
        <v>340</v>
      </c>
      <c r="F86" s="152">
        <v>4</v>
      </c>
    </row>
    <row r="87" spans="2:6" x14ac:dyDescent="0.25">
      <c r="B87" s="152">
        <v>4400</v>
      </c>
      <c r="C87" s="152" t="s">
        <v>1616</v>
      </c>
      <c r="D87" s="152" t="s">
        <v>656</v>
      </c>
      <c r="E87" s="152" t="s">
        <v>340</v>
      </c>
      <c r="F87" s="152">
        <v>4</v>
      </c>
    </row>
    <row r="88" spans="2:6" x14ac:dyDescent="0.25">
      <c r="B88" s="152">
        <v>4405</v>
      </c>
      <c r="C88" s="152" t="s">
        <v>656</v>
      </c>
      <c r="D88" s="152" t="s">
        <v>656</v>
      </c>
      <c r="E88" s="152" t="s">
        <v>340</v>
      </c>
      <c r="F88" s="152">
        <v>4</v>
      </c>
    </row>
    <row r="89" spans="2:6" x14ac:dyDescent="0.25">
      <c r="B89" s="152">
        <v>4407</v>
      </c>
      <c r="C89" s="152" t="s">
        <v>1617</v>
      </c>
      <c r="D89" s="152" t="s">
        <v>228</v>
      </c>
      <c r="E89" s="152" t="s">
        <v>340</v>
      </c>
      <c r="F89" s="152">
        <v>4</v>
      </c>
    </row>
    <row r="90" spans="2:6" x14ac:dyDescent="0.25">
      <c r="B90" s="152">
        <v>4410</v>
      </c>
      <c r="C90" s="152" t="s">
        <v>1238</v>
      </c>
      <c r="D90" s="152" t="s">
        <v>642</v>
      </c>
      <c r="E90" s="152" t="s">
        <v>340</v>
      </c>
      <c r="F90" s="152">
        <v>4</v>
      </c>
    </row>
    <row r="91" spans="2:6" x14ac:dyDescent="0.25">
      <c r="B91" s="152">
        <v>4415</v>
      </c>
      <c r="C91" s="152" t="s">
        <v>1239</v>
      </c>
      <c r="D91" s="152" t="s">
        <v>643</v>
      </c>
      <c r="E91" s="152" t="s">
        <v>340</v>
      </c>
      <c r="F91" s="152">
        <v>4</v>
      </c>
    </row>
    <row r="92" spans="2:6" x14ac:dyDescent="0.25">
      <c r="B92" s="152">
        <v>4420</v>
      </c>
      <c r="C92" s="152" t="s">
        <v>1240</v>
      </c>
      <c r="D92" s="152" t="s">
        <v>644</v>
      </c>
      <c r="E92" s="152" t="s">
        <v>340</v>
      </c>
      <c r="F92" s="152">
        <v>4</v>
      </c>
    </row>
    <row r="93" spans="2:6" x14ac:dyDescent="0.25">
      <c r="B93" s="152">
        <v>4500</v>
      </c>
      <c r="C93" s="152" t="s">
        <v>1618</v>
      </c>
      <c r="D93" s="152" t="s">
        <v>1444</v>
      </c>
      <c r="E93" s="152" t="s">
        <v>340</v>
      </c>
      <c r="F93" s="152">
        <v>4</v>
      </c>
    </row>
    <row r="94" spans="2:6" x14ac:dyDescent="0.25">
      <c r="B94" s="152">
        <v>4510</v>
      </c>
      <c r="C94" s="152" t="s">
        <v>1619</v>
      </c>
      <c r="D94" s="152" t="s">
        <v>1444</v>
      </c>
      <c r="E94" s="152" t="s">
        <v>340</v>
      </c>
      <c r="F94" s="152">
        <v>4</v>
      </c>
    </row>
    <row r="95" spans="2:6" x14ac:dyDescent="0.25">
      <c r="B95" s="152">
        <v>4515</v>
      </c>
      <c r="C95" s="152" t="s">
        <v>1620</v>
      </c>
      <c r="D95" s="152" t="s">
        <v>1444</v>
      </c>
      <c r="E95" s="152" t="s">
        <v>340</v>
      </c>
      <c r="F95" s="152">
        <v>4</v>
      </c>
    </row>
    <row r="96" spans="2:6" x14ac:dyDescent="0.25">
      <c r="B96" s="152">
        <v>4517</v>
      </c>
      <c r="C96" s="152" t="s">
        <v>1621</v>
      </c>
      <c r="D96" s="152" t="s">
        <v>228</v>
      </c>
      <c r="E96" s="152" t="s">
        <v>340</v>
      </c>
      <c r="F96" s="152">
        <v>4</v>
      </c>
    </row>
    <row r="97" spans="2:6" x14ac:dyDescent="0.25">
      <c r="B97" s="152">
        <v>4520</v>
      </c>
      <c r="C97" s="152" t="s">
        <v>1241</v>
      </c>
      <c r="D97" s="152" t="s">
        <v>657</v>
      </c>
      <c r="E97" s="152" t="s">
        <v>340</v>
      </c>
      <c r="F97" s="152">
        <v>4</v>
      </c>
    </row>
    <row r="98" spans="2:6" x14ac:dyDescent="0.25">
      <c r="B98" s="152">
        <v>4600</v>
      </c>
      <c r="C98" s="152" t="s">
        <v>1622</v>
      </c>
      <c r="D98" s="152" t="s">
        <v>1382</v>
      </c>
      <c r="E98" s="152" t="s">
        <v>340</v>
      </c>
      <c r="F98" s="152">
        <v>4</v>
      </c>
    </row>
    <row r="99" spans="2:6" x14ac:dyDescent="0.25">
      <c r="B99" s="152">
        <v>4607</v>
      </c>
      <c r="C99" s="152" t="s">
        <v>1571</v>
      </c>
      <c r="D99" s="152" t="s">
        <v>228</v>
      </c>
      <c r="E99" s="152" t="s">
        <v>340</v>
      </c>
      <c r="F99" s="152">
        <v>4</v>
      </c>
    </row>
    <row r="100" spans="2:6" x14ac:dyDescent="0.25">
      <c r="B100" s="152">
        <v>4610</v>
      </c>
      <c r="C100" s="152" t="s">
        <v>1242</v>
      </c>
      <c r="D100" s="152" t="s">
        <v>1382</v>
      </c>
      <c r="E100" s="152" t="s">
        <v>340</v>
      </c>
      <c r="F100" s="152">
        <v>4</v>
      </c>
    </row>
    <row r="101" spans="2:6" x14ac:dyDescent="0.25">
      <c r="B101" s="152">
        <v>4615</v>
      </c>
      <c r="C101" s="152" t="s">
        <v>1243</v>
      </c>
      <c r="D101" s="152" t="s">
        <v>1382</v>
      </c>
      <c r="E101" s="152" t="s">
        <v>340</v>
      </c>
      <c r="F101" s="152">
        <v>4</v>
      </c>
    </row>
    <row r="102" spans="2:6" x14ac:dyDescent="0.25">
      <c r="B102" s="152">
        <v>4616</v>
      </c>
      <c r="C102" s="152" t="s">
        <v>1244</v>
      </c>
      <c r="D102" s="152" t="s">
        <v>1382</v>
      </c>
      <c r="E102" s="152" t="s">
        <v>340</v>
      </c>
      <c r="F102" s="152">
        <v>4</v>
      </c>
    </row>
    <row r="103" spans="2:6" x14ac:dyDescent="0.25">
      <c r="B103" s="152">
        <v>4618</v>
      </c>
      <c r="C103" s="152" t="s">
        <v>1245</v>
      </c>
      <c r="D103" s="152" t="s">
        <v>1382</v>
      </c>
      <c r="E103" s="152" t="s">
        <v>340</v>
      </c>
      <c r="F103" s="152">
        <v>4</v>
      </c>
    </row>
    <row r="104" spans="2:6" x14ac:dyDescent="0.25">
      <c r="B104" s="152">
        <v>4620</v>
      </c>
      <c r="C104" s="152" t="s">
        <v>658</v>
      </c>
      <c r="D104" s="152" t="s">
        <v>658</v>
      </c>
      <c r="E104" s="152" t="s">
        <v>340</v>
      </c>
      <c r="F104" s="152">
        <v>4</v>
      </c>
    </row>
    <row r="105" spans="2:6" x14ac:dyDescent="0.25">
      <c r="B105" s="152">
        <v>4621</v>
      </c>
      <c r="C105" s="152" t="s">
        <v>1623</v>
      </c>
      <c r="D105" s="152" t="s">
        <v>658</v>
      </c>
      <c r="E105" s="152" t="s">
        <v>340</v>
      </c>
      <c r="F105" s="152">
        <v>4</v>
      </c>
    </row>
    <row r="106" spans="2:6" x14ac:dyDescent="0.25">
      <c r="B106" s="152">
        <v>4625</v>
      </c>
      <c r="C106" s="152" t="s">
        <v>1624</v>
      </c>
      <c r="D106" s="152" t="s">
        <v>659</v>
      </c>
      <c r="E106" s="152" t="s">
        <v>340</v>
      </c>
      <c r="F106" s="152">
        <v>4</v>
      </c>
    </row>
    <row r="107" spans="2:6" x14ac:dyDescent="0.25">
      <c r="B107" s="152">
        <v>4630</v>
      </c>
      <c r="C107" s="152" t="s">
        <v>1246</v>
      </c>
      <c r="D107" s="152" t="s">
        <v>659</v>
      </c>
      <c r="E107" s="152" t="s">
        <v>340</v>
      </c>
      <c r="F107" s="152">
        <v>4</v>
      </c>
    </row>
    <row r="108" spans="2:6" x14ac:dyDescent="0.25">
      <c r="B108" s="152">
        <v>4640</v>
      </c>
      <c r="C108" s="152" t="s">
        <v>1247</v>
      </c>
      <c r="D108" s="152" t="s">
        <v>660</v>
      </c>
      <c r="E108" s="152" t="s">
        <v>340</v>
      </c>
      <c r="F108" s="152">
        <v>4</v>
      </c>
    </row>
    <row r="109" spans="2:6" x14ac:dyDescent="0.25">
      <c r="B109" s="152">
        <v>4660</v>
      </c>
      <c r="C109" s="152" t="s">
        <v>1248</v>
      </c>
      <c r="D109" s="152" t="s">
        <v>1990</v>
      </c>
      <c r="E109" s="152" t="s">
        <v>340</v>
      </c>
      <c r="F109" s="152">
        <v>4</v>
      </c>
    </row>
    <row r="110" spans="2:6" x14ac:dyDescent="0.25">
      <c r="B110" s="152">
        <v>4667</v>
      </c>
      <c r="C110" s="152" t="s">
        <v>1625</v>
      </c>
      <c r="D110" s="152" t="s">
        <v>228</v>
      </c>
      <c r="E110" s="152" t="s">
        <v>340</v>
      </c>
      <c r="F110" s="152">
        <v>4</v>
      </c>
    </row>
    <row r="111" spans="2:6" x14ac:dyDescent="0.25">
      <c r="B111" s="152">
        <v>4700</v>
      </c>
      <c r="C111" s="152" t="s">
        <v>1626</v>
      </c>
      <c r="D111" s="152" t="s">
        <v>645</v>
      </c>
      <c r="E111" s="152" t="s">
        <v>340</v>
      </c>
      <c r="F111" s="152">
        <v>4</v>
      </c>
    </row>
    <row r="112" spans="2:6" x14ac:dyDescent="0.25">
      <c r="B112" s="152">
        <v>4707</v>
      </c>
      <c r="C112" s="152" t="s">
        <v>1627</v>
      </c>
      <c r="D112" s="152" t="s">
        <v>228</v>
      </c>
      <c r="E112" s="152" t="s">
        <v>340</v>
      </c>
      <c r="F112" s="152">
        <v>4</v>
      </c>
    </row>
    <row r="113" spans="2:6" x14ac:dyDescent="0.25">
      <c r="B113" s="152">
        <v>4710</v>
      </c>
      <c r="C113" s="152" t="s">
        <v>645</v>
      </c>
      <c r="D113" s="152" t="s">
        <v>645</v>
      </c>
      <c r="E113" s="152" t="s">
        <v>340</v>
      </c>
      <c r="F113" s="152">
        <v>4</v>
      </c>
    </row>
    <row r="114" spans="2:6" x14ac:dyDescent="0.25">
      <c r="B114" s="152">
        <v>4720</v>
      </c>
      <c r="C114" s="152" t="s">
        <v>1249</v>
      </c>
      <c r="D114" s="152" t="s">
        <v>1384</v>
      </c>
      <c r="E114" s="152" t="s">
        <v>340</v>
      </c>
      <c r="F114" s="152">
        <v>4</v>
      </c>
    </row>
    <row r="115" spans="2:6" x14ac:dyDescent="0.25">
      <c r="B115" s="152">
        <v>4730</v>
      </c>
      <c r="C115" s="152" t="s">
        <v>1250</v>
      </c>
      <c r="D115" s="152" t="s">
        <v>1384</v>
      </c>
      <c r="E115" s="152" t="s">
        <v>340</v>
      </c>
      <c r="F115" s="152">
        <v>4</v>
      </c>
    </row>
    <row r="116" spans="2:6" x14ac:dyDescent="0.25">
      <c r="B116" s="152">
        <v>4800</v>
      </c>
      <c r="C116" s="152" t="s">
        <v>1572</v>
      </c>
      <c r="D116" s="152" t="s">
        <v>646</v>
      </c>
      <c r="E116" s="152" t="s">
        <v>340</v>
      </c>
      <c r="F116" s="152">
        <v>4</v>
      </c>
    </row>
    <row r="117" spans="2:6" x14ac:dyDescent="0.25">
      <c r="B117" s="152">
        <v>4807</v>
      </c>
      <c r="C117" s="152" t="s">
        <v>1628</v>
      </c>
      <c r="D117" s="152" t="s">
        <v>228</v>
      </c>
      <c r="E117" s="152" t="s">
        <v>340</v>
      </c>
      <c r="F117" s="152">
        <v>4</v>
      </c>
    </row>
    <row r="118" spans="2:6" x14ac:dyDescent="0.25">
      <c r="B118" s="152">
        <v>4810</v>
      </c>
      <c r="C118" s="152" t="s">
        <v>646</v>
      </c>
      <c r="D118" s="152" t="s">
        <v>646</v>
      </c>
      <c r="E118" s="152" t="s">
        <v>340</v>
      </c>
      <c r="F118" s="152">
        <v>4</v>
      </c>
    </row>
    <row r="119" spans="2:6" x14ac:dyDescent="0.25">
      <c r="B119" s="152">
        <v>4817</v>
      </c>
      <c r="C119" s="152" t="s">
        <v>1629</v>
      </c>
      <c r="D119" s="152" t="s">
        <v>228</v>
      </c>
      <c r="E119" s="152" t="s">
        <v>340</v>
      </c>
      <c r="F119" s="152">
        <v>4</v>
      </c>
    </row>
    <row r="120" spans="2:6" x14ac:dyDescent="0.25">
      <c r="B120" s="152">
        <v>4820</v>
      </c>
      <c r="C120" s="152" t="s">
        <v>647</v>
      </c>
      <c r="D120" s="152" t="s">
        <v>647</v>
      </c>
      <c r="E120" s="152" t="s">
        <v>340</v>
      </c>
      <c r="F120" s="152">
        <v>4</v>
      </c>
    </row>
    <row r="121" spans="2:6" x14ac:dyDescent="0.25">
      <c r="B121" s="152">
        <v>4825</v>
      </c>
      <c r="C121" s="152" t="s">
        <v>1630</v>
      </c>
      <c r="D121" s="152" t="s">
        <v>647</v>
      </c>
      <c r="E121" s="152" t="s">
        <v>340</v>
      </c>
      <c r="F121" s="152">
        <v>4</v>
      </c>
    </row>
    <row r="122" spans="2:6" x14ac:dyDescent="0.25">
      <c r="B122" s="152">
        <v>4901</v>
      </c>
      <c r="C122" s="152" t="s">
        <v>1631</v>
      </c>
      <c r="D122" s="152" t="s">
        <v>228</v>
      </c>
      <c r="E122" s="152" t="s">
        <v>340</v>
      </c>
      <c r="F122" s="152">
        <v>4</v>
      </c>
    </row>
    <row r="123" spans="2:6" x14ac:dyDescent="0.25">
      <c r="B123" s="152">
        <v>4907</v>
      </c>
      <c r="C123" s="152" t="s">
        <v>1632</v>
      </c>
      <c r="D123" s="152" t="s">
        <v>228</v>
      </c>
      <c r="E123" s="152" t="s">
        <v>340</v>
      </c>
      <c r="F123" s="152">
        <v>4</v>
      </c>
    </row>
    <row r="124" spans="2:6" x14ac:dyDescent="0.25">
      <c r="B124" s="152">
        <v>4917</v>
      </c>
      <c r="C124" s="152" t="s">
        <v>1633</v>
      </c>
      <c r="D124" s="152" t="s">
        <v>228</v>
      </c>
      <c r="E124" s="152" t="s">
        <v>340</v>
      </c>
      <c r="F124" s="152">
        <v>4</v>
      </c>
    </row>
    <row r="125" spans="2:6" x14ac:dyDescent="0.25">
      <c r="B125" s="153">
        <v>5105</v>
      </c>
      <c r="C125" s="153" t="s">
        <v>1251</v>
      </c>
      <c r="D125" s="153" t="s">
        <v>661</v>
      </c>
      <c r="E125" s="153" t="s">
        <v>341</v>
      </c>
      <c r="F125" s="153">
        <v>5</v>
      </c>
    </row>
    <row r="126" spans="2:6" x14ac:dyDescent="0.25">
      <c r="B126" s="153">
        <v>5107</v>
      </c>
      <c r="C126" s="153" t="s">
        <v>1634</v>
      </c>
      <c r="D126" s="153" t="s">
        <v>228</v>
      </c>
      <c r="E126" s="153" t="s">
        <v>341</v>
      </c>
      <c r="F126" s="153">
        <v>5</v>
      </c>
    </row>
    <row r="127" spans="2:6" x14ac:dyDescent="0.25">
      <c r="B127" s="153">
        <v>5110</v>
      </c>
      <c r="C127" s="153" t="s">
        <v>1252</v>
      </c>
      <c r="D127" s="153" t="s">
        <v>662</v>
      </c>
      <c r="E127" s="153" t="s">
        <v>341</v>
      </c>
      <c r="F127" s="153">
        <v>5</v>
      </c>
    </row>
    <row r="128" spans="2:6" x14ac:dyDescent="0.25">
      <c r="B128" s="153">
        <v>5120</v>
      </c>
      <c r="C128" s="153" t="s">
        <v>648</v>
      </c>
      <c r="D128" s="153" t="s">
        <v>648</v>
      </c>
      <c r="E128" s="153" t="s">
        <v>341</v>
      </c>
      <c r="F128" s="153">
        <v>5</v>
      </c>
    </row>
    <row r="129" spans="2:6" x14ac:dyDescent="0.25">
      <c r="B129" s="153">
        <v>5130</v>
      </c>
      <c r="C129" s="153" t="s">
        <v>1253</v>
      </c>
      <c r="D129" s="153" t="s">
        <v>1697</v>
      </c>
      <c r="E129" s="153" t="s">
        <v>341</v>
      </c>
      <c r="F129" s="153">
        <v>5</v>
      </c>
    </row>
    <row r="130" spans="2:6" x14ac:dyDescent="0.25">
      <c r="B130" s="153">
        <v>5140</v>
      </c>
      <c r="C130" s="153" t="s">
        <v>1254</v>
      </c>
      <c r="D130" s="153" t="s">
        <v>1699</v>
      </c>
      <c r="E130" s="153" t="s">
        <v>341</v>
      </c>
      <c r="F130" s="153">
        <v>5</v>
      </c>
    </row>
    <row r="131" spans="2:6" x14ac:dyDescent="0.25">
      <c r="B131" s="153">
        <v>5150</v>
      </c>
      <c r="C131" s="153" t="s">
        <v>1570</v>
      </c>
      <c r="D131" s="153" t="s">
        <v>1698</v>
      </c>
      <c r="E131" s="153" t="s">
        <v>341</v>
      </c>
      <c r="F131" s="153">
        <v>5</v>
      </c>
    </row>
    <row r="132" spans="2:6" x14ac:dyDescent="0.25">
      <c r="B132" s="153">
        <v>5207</v>
      </c>
      <c r="C132" s="153" t="s">
        <v>1635</v>
      </c>
      <c r="D132" s="153" t="s">
        <v>228</v>
      </c>
      <c r="E132" s="153" t="s">
        <v>341</v>
      </c>
      <c r="F132" s="153">
        <v>5</v>
      </c>
    </row>
    <row r="133" spans="2:6" x14ac:dyDescent="0.25">
      <c r="B133" s="153">
        <v>5210</v>
      </c>
      <c r="C133" s="153" t="s">
        <v>663</v>
      </c>
      <c r="D133" s="153" t="s">
        <v>663</v>
      </c>
      <c r="E133" s="153" t="s">
        <v>341</v>
      </c>
      <c r="F133" s="153">
        <v>5</v>
      </c>
    </row>
    <row r="134" spans="2:6" x14ac:dyDescent="0.25">
      <c r="B134" s="153">
        <v>5220</v>
      </c>
      <c r="C134" s="153" t="s">
        <v>1255</v>
      </c>
      <c r="D134" s="153" t="s">
        <v>649</v>
      </c>
      <c r="E134" s="153" t="s">
        <v>341</v>
      </c>
      <c r="F134" s="153">
        <v>5</v>
      </c>
    </row>
    <row r="135" spans="2:6" x14ac:dyDescent="0.25">
      <c r="B135" s="153">
        <v>5307</v>
      </c>
      <c r="C135" s="153" t="s">
        <v>1636</v>
      </c>
      <c r="D135" s="153" t="s">
        <v>228</v>
      </c>
      <c r="E135" s="153" t="s">
        <v>341</v>
      </c>
      <c r="F135" s="153">
        <v>5</v>
      </c>
    </row>
    <row r="136" spans="2:6" x14ac:dyDescent="0.25">
      <c r="B136" s="153">
        <v>5310</v>
      </c>
      <c r="C136" s="153" t="s">
        <v>1256</v>
      </c>
      <c r="D136" s="153" t="s">
        <v>651</v>
      </c>
      <c r="E136" s="153" t="s">
        <v>341</v>
      </c>
      <c r="F136" s="153">
        <v>5</v>
      </c>
    </row>
    <row r="137" spans="2:6" x14ac:dyDescent="0.25">
      <c r="B137" s="153">
        <v>5311</v>
      </c>
      <c r="C137" s="153" t="s">
        <v>664</v>
      </c>
      <c r="D137" s="153" t="s">
        <v>664</v>
      </c>
      <c r="E137" s="153" t="s">
        <v>341</v>
      </c>
      <c r="F137" s="153">
        <v>5</v>
      </c>
    </row>
    <row r="138" spans="2:6" x14ac:dyDescent="0.25">
      <c r="B138" s="153">
        <v>5317</v>
      </c>
      <c r="C138" s="153" t="s">
        <v>1637</v>
      </c>
      <c r="D138" s="153" t="s">
        <v>228</v>
      </c>
      <c r="E138" s="153" t="s">
        <v>341</v>
      </c>
      <c r="F138" s="153">
        <v>5</v>
      </c>
    </row>
    <row r="139" spans="2:6" x14ac:dyDescent="0.25">
      <c r="B139" s="153">
        <v>5320</v>
      </c>
      <c r="C139" s="153" t="s">
        <v>1257</v>
      </c>
      <c r="D139" s="153" t="s">
        <v>1700</v>
      </c>
      <c r="E139" s="153" t="s">
        <v>341</v>
      </c>
      <c r="F139" s="153">
        <v>5</v>
      </c>
    </row>
    <row r="140" spans="2:6" x14ac:dyDescent="0.25">
      <c r="B140" s="153">
        <v>5330</v>
      </c>
      <c r="C140" s="153" t="s">
        <v>700</v>
      </c>
      <c r="D140" s="153" t="s">
        <v>700</v>
      </c>
      <c r="E140" s="153" t="s">
        <v>341</v>
      </c>
      <c r="F140" s="153">
        <v>5</v>
      </c>
    </row>
    <row r="141" spans="2:6" x14ac:dyDescent="0.25">
      <c r="B141" s="153">
        <v>5335</v>
      </c>
      <c r="C141" s="153" t="s">
        <v>1998</v>
      </c>
      <c r="D141" s="153" t="s">
        <v>700</v>
      </c>
      <c r="E141" s="153" t="s">
        <v>341</v>
      </c>
      <c r="F141" s="153">
        <v>5</v>
      </c>
    </row>
    <row r="142" spans="2:6" x14ac:dyDescent="0.25">
      <c r="B142" s="153">
        <v>5340</v>
      </c>
      <c r="C142" s="153" t="s">
        <v>1258</v>
      </c>
      <c r="D142" s="153" t="s">
        <v>1993</v>
      </c>
      <c r="E142" s="153" t="s">
        <v>341</v>
      </c>
      <c r="F142" s="153">
        <v>5</v>
      </c>
    </row>
    <row r="143" spans="2:6" x14ac:dyDescent="0.25">
      <c r="B143" s="153">
        <v>5350</v>
      </c>
      <c r="C143" s="153" t="s">
        <v>1259</v>
      </c>
      <c r="D143" s="153" t="s">
        <v>665</v>
      </c>
      <c r="E143" s="153" t="s">
        <v>341</v>
      </c>
      <c r="F143" s="153">
        <v>5</v>
      </c>
    </row>
    <row r="144" spans="2:6" x14ac:dyDescent="0.25">
      <c r="B144" s="153">
        <v>5360</v>
      </c>
      <c r="C144" s="153" t="s">
        <v>1260</v>
      </c>
      <c r="D144" s="153" t="s">
        <v>1260</v>
      </c>
      <c r="E144" s="153" t="s">
        <v>341</v>
      </c>
      <c r="F144" s="153">
        <v>5</v>
      </c>
    </row>
    <row r="145" spans="2:6" x14ac:dyDescent="0.25">
      <c r="B145" s="153">
        <v>5361</v>
      </c>
      <c r="C145" s="153" t="s">
        <v>1261</v>
      </c>
      <c r="D145" s="153" t="s">
        <v>1985</v>
      </c>
      <c r="E145" s="153" t="s">
        <v>341</v>
      </c>
      <c r="F145" s="153">
        <v>5</v>
      </c>
    </row>
    <row r="146" spans="2:6" x14ac:dyDescent="0.25">
      <c r="B146" s="153">
        <v>5362</v>
      </c>
      <c r="C146" s="153" t="s">
        <v>1262</v>
      </c>
      <c r="D146" s="153" t="s">
        <v>650</v>
      </c>
      <c r="E146" s="153" t="s">
        <v>341</v>
      </c>
      <c r="F146" s="153">
        <v>5</v>
      </c>
    </row>
    <row r="147" spans="2:6" x14ac:dyDescent="0.25">
      <c r="B147" s="153">
        <v>5363</v>
      </c>
      <c r="C147" s="153" t="s">
        <v>1263</v>
      </c>
      <c r="D147" s="153" t="s">
        <v>1994</v>
      </c>
      <c r="E147" s="153" t="s">
        <v>341</v>
      </c>
      <c r="F147" s="153">
        <v>5</v>
      </c>
    </row>
    <row r="148" spans="2:6" x14ac:dyDescent="0.25">
      <c r="B148" s="153">
        <v>5364</v>
      </c>
      <c r="C148" s="153" t="s">
        <v>1264</v>
      </c>
      <c r="D148" s="153" t="s">
        <v>1756</v>
      </c>
      <c r="E148" s="153" t="s">
        <v>341</v>
      </c>
      <c r="F148" s="153">
        <v>5</v>
      </c>
    </row>
    <row r="149" spans="2:6" x14ac:dyDescent="0.25">
      <c r="B149" s="153">
        <v>5365</v>
      </c>
      <c r="C149" s="153" t="s">
        <v>1265</v>
      </c>
      <c r="D149" s="153" t="s">
        <v>1757</v>
      </c>
      <c r="E149" s="153" t="s">
        <v>341</v>
      </c>
      <c r="F149" s="153">
        <v>5</v>
      </c>
    </row>
    <row r="150" spans="2:6" x14ac:dyDescent="0.25">
      <c r="B150" s="153">
        <v>5366</v>
      </c>
      <c r="C150" s="153" t="s">
        <v>1266</v>
      </c>
      <c r="D150" s="153" t="s">
        <v>1995</v>
      </c>
      <c r="E150" s="153" t="s">
        <v>341</v>
      </c>
      <c r="F150" s="153">
        <v>5</v>
      </c>
    </row>
    <row r="151" spans="2:6" x14ac:dyDescent="0.25">
      <c r="B151" s="153">
        <v>5407</v>
      </c>
      <c r="C151" s="153" t="s">
        <v>1638</v>
      </c>
      <c r="D151" s="153" t="s">
        <v>228</v>
      </c>
      <c r="E151" s="153" t="s">
        <v>341</v>
      </c>
      <c r="F151" s="153">
        <v>5</v>
      </c>
    </row>
    <row r="152" spans="2:6" x14ac:dyDescent="0.25">
      <c r="B152" s="153">
        <v>5410</v>
      </c>
      <c r="C152" s="153" t="s">
        <v>1267</v>
      </c>
      <c r="D152" s="153" t="s">
        <v>666</v>
      </c>
      <c r="E152" s="153" t="s">
        <v>341</v>
      </c>
      <c r="F152" s="153">
        <v>5</v>
      </c>
    </row>
    <row r="153" spans="2:6" x14ac:dyDescent="0.25">
      <c r="B153" s="153">
        <v>5415</v>
      </c>
      <c r="C153" s="153" t="s">
        <v>667</v>
      </c>
      <c r="D153" s="153" t="s">
        <v>1997</v>
      </c>
      <c r="E153" s="153" t="s">
        <v>341</v>
      </c>
      <c r="F153" s="153">
        <v>5</v>
      </c>
    </row>
    <row r="154" spans="2:6" x14ac:dyDescent="0.25">
      <c r="B154" s="153">
        <v>5417</v>
      </c>
      <c r="C154" s="153" t="s">
        <v>1639</v>
      </c>
      <c r="D154" s="153" t="s">
        <v>228</v>
      </c>
      <c r="E154" s="153" t="s">
        <v>341</v>
      </c>
      <c r="F154" s="153">
        <v>5</v>
      </c>
    </row>
    <row r="155" spans="2:6" x14ac:dyDescent="0.25">
      <c r="B155" s="153">
        <v>5420</v>
      </c>
      <c r="C155" s="153" t="s">
        <v>676</v>
      </c>
      <c r="D155" s="153" t="s">
        <v>676</v>
      </c>
      <c r="E155" s="153" t="s">
        <v>341</v>
      </c>
      <c r="F155" s="153">
        <v>5</v>
      </c>
    </row>
    <row r="156" spans="2:6" x14ac:dyDescent="0.25">
      <c r="B156" s="153">
        <v>5430</v>
      </c>
      <c r="C156" s="153" t="s">
        <v>1268</v>
      </c>
      <c r="D156" s="153" t="s">
        <v>668</v>
      </c>
      <c r="E156" s="153" t="s">
        <v>341</v>
      </c>
      <c r="F156" s="153">
        <v>5</v>
      </c>
    </row>
    <row r="157" spans="2:6" x14ac:dyDescent="0.25">
      <c r="B157" s="153">
        <v>5440</v>
      </c>
      <c r="C157" s="153" t="s">
        <v>1640</v>
      </c>
      <c r="D157" s="153" t="s">
        <v>228</v>
      </c>
      <c r="E157" s="153" t="s">
        <v>341</v>
      </c>
      <c r="F157" s="153">
        <v>5</v>
      </c>
    </row>
    <row r="158" spans="2:6" x14ac:dyDescent="0.25">
      <c r="B158" s="153">
        <v>5450</v>
      </c>
      <c r="C158" s="153" t="s">
        <v>1269</v>
      </c>
      <c r="D158" s="153" t="s">
        <v>228</v>
      </c>
      <c r="E158" s="153" t="s">
        <v>341</v>
      </c>
      <c r="F158" s="153">
        <v>5</v>
      </c>
    </row>
    <row r="159" spans="2:6" x14ac:dyDescent="0.25">
      <c r="B159" s="153">
        <v>5460</v>
      </c>
      <c r="C159" s="153" t="s">
        <v>1270</v>
      </c>
      <c r="D159" s="153" t="s">
        <v>228</v>
      </c>
      <c r="E159" s="153" t="s">
        <v>341</v>
      </c>
      <c r="F159" s="153">
        <v>5</v>
      </c>
    </row>
    <row r="160" spans="2:6" x14ac:dyDescent="0.25">
      <c r="B160" s="153">
        <v>5901</v>
      </c>
      <c r="C160" s="153" t="s">
        <v>1641</v>
      </c>
      <c r="D160" s="153" t="s">
        <v>228</v>
      </c>
      <c r="E160" s="153" t="s">
        <v>341</v>
      </c>
      <c r="F160" s="153">
        <v>5</v>
      </c>
    </row>
    <row r="161" spans="2:6" x14ac:dyDescent="0.25">
      <c r="B161" s="153">
        <v>5907</v>
      </c>
      <c r="C161" s="153" t="s">
        <v>1642</v>
      </c>
      <c r="D161" s="153" t="s">
        <v>228</v>
      </c>
      <c r="E161" s="153" t="s">
        <v>341</v>
      </c>
      <c r="F161" s="153">
        <v>5</v>
      </c>
    </row>
    <row r="162" spans="2:6" x14ac:dyDescent="0.25">
      <c r="B162" s="151">
        <v>6107</v>
      </c>
      <c r="C162" s="151" t="s">
        <v>1271</v>
      </c>
      <c r="D162" s="151" t="s">
        <v>228</v>
      </c>
      <c r="E162" s="151" t="s">
        <v>342</v>
      </c>
      <c r="F162" s="151">
        <v>6</v>
      </c>
    </row>
    <row r="163" spans="2:6" x14ac:dyDescent="0.25">
      <c r="B163" s="151">
        <v>6110</v>
      </c>
      <c r="C163" s="151" t="s">
        <v>1272</v>
      </c>
      <c r="D163" s="151" t="s">
        <v>228</v>
      </c>
      <c r="E163" s="151" t="s">
        <v>342</v>
      </c>
      <c r="F163" s="151">
        <v>6</v>
      </c>
    </row>
    <row r="164" spans="2:6" x14ac:dyDescent="0.25">
      <c r="B164" s="151">
        <v>6207</v>
      </c>
      <c r="C164" s="151" t="s">
        <v>1273</v>
      </c>
      <c r="D164" s="151" t="s">
        <v>228</v>
      </c>
      <c r="E164" s="151" t="s">
        <v>342</v>
      </c>
      <c r="F164" s="151">
        <v>6</v>
      </c>
    </row>
    <row r="165" spans="2:6" x14ac:dyDescent="0.25">
      <c r="B165" s="151">
        <v>6210</v>
      </c>
      <c r="C165" s="151" t="s">
        <v>1274</v>
      </c>
      <c r="D165" s="151" t="s">
        <v>228</v>
      </c>
      <c r="E165" s="151" t="s">
        <v>342</v>
      </c>
      <c r="F165" s="151">
        <v>6</v>
      </c>
    </row>
    <row r="166" spans="2:6" x14ac:dyDescent="0.25">
      <c r="B166" s="151">
        <v>6410</v>
      </c>
      <c r="C166" s="151" t="s">
        <v>1275</v>
      </c>
      <c r="D166" s="151" t="s">
        <v>228</v>
      </c>
      <c r="E166" s="151" t="s">
        <v>342</v>
      </c>
      <c r="F166" s="151">
        <v>6</v>
      </c>
    </row>
    <row r="167" spans="2:6" x14ac:dyDescent="0.25">
      <c r="B167" s="151">
        <v>6417</v>
      </c>
      <c r="C167" s="151" t="s">
        <v>1276</v>
      </c>
      <c r="D167" s="151" t="s">
        <v>228</v>
      </c>
      <c r="E167" s="151" t="s">
        <v>342</v>
      </c>
      <c r="F167" s="151">
        <v>6</v>
      </c>
    </row>
    <row r="168" spans="2:6" x14ac:dyDescent="0.25">
      <c r="B168" s="151">
        <v>6901</v>
      </c>
      <c r="C168" s="151" t="s">
        <v>1643</v>
      </c>
      <c r="D168" s="151" t="s">
        <v>228</v>
      </c>
      <c r="E168" s="151" t="s">
        <v>342</v>
      </c>
      <c r="F168" s="151">
        <v>6</v>
      </c>
    </row>
    <row r="169" spans="2:6" x14ac:dyDescent="0.25">
      <c r="B169" s="149">
        <v>7201</v>
      </c>
      <c r="C169" s="149" t="s">
        <v>1277</v>
      </c>
      <c r="D169" s="149" t="s">
        <v>228</v>
      </c>
      <c r="E169" s="149" t="s">
        <v>343</v>
      </c>
      <c r="F169" s="149">
        <v>7</v>
      </c>
    </row>
    <row r="170" spans="2:6" x14ac:dyDescent="0.25">
      <c r="B170" s="149">
        <v>7210</v>
      </c>
      <c r="C170" s="149" t="s">
        <v>1278</v>
      </c>
      <c r="D170" s="149" t="s">
        <v>228</v>
      </c>
      <c r="E170" s="149" t="s">
        <v>343</v>
      </c>
      <c r="F170" s="149">
        <v>7</v>
      </c>
    </row>
    <row r="171" spans="2:6" x14ac:dyDescent="0.25">
      <c r="B171" s="149">
        <v>7220</v>
      </c>
      <c r="C171" s="149" t="s">
        <v>1279</v>
      </c>
      <c r="D171" s="149" t="s">
        <v>228</v>
      </c>
      <c r="E171" s="149" t="s">
        <v>343</v>
      </c>
      <c r="F171" s="149">
        <v>7</v>
      </c>
    </row>
    <row r="172" spans="2:6" x14ac:dyDescent="0.25">
      <c r="B172" s="149">
        <v>7230</v>
      </c>
      <c r="C172" s="149" t="s">
        <v>1280</v>
      </c>
      <c r="D172" s="149" t="s">
        <v>228</v>
      </c>
      <c r="E172" s="149" t="s">
        <v>343</v>
      </c>
      <c r="F172" s="149">
        <v>7</v>
      </c>
    </row>
    <row r="173" spans="2:6" x14ac:dyDescent="0.25">
      <c r="B173" s="149">
        <v>7240</v>
      </c>
      <c r="C173" s="149" t="s">
        <v>1281</v>
      </c>
      <c r="D173" s="149" t="s">
        <v>228</v>
      </c>
      <c r="E173" s="149" t="s">
        <v>343</v>
      </c>
      <c r="F173" s="149">
        <v>7</v>
      </c>
    </row>
    <row r="174" spans="2:6" x14ac:dyDescent="0.25">
      <c r="B174" s="149">
        <v>7260</v>
      </c>
      <c r="C174" s="149" t="s">
        <v>1282</v>
      </c>
      <c r="D174" s="149" t="s">
        <v>228</v>
      </c>
      <c r="E174" s="149" t="s">
        <v>343</v>
      </c>
      <c r="F174" s="149">
        <v>7</v>
      </c>
    </row>
    <row r="175" spans="2:6" x14ac:dyDescent="0.25">
      <c r="B175" s="149">
        <v>7270</v>
      </c>
      <c r="C175" s="149" t="s">
        <v>1283</v>
      </c>
      <c r="D175" s="149" t="s">
        <v>228</v>
      </c>
      <c r="E175" s="149" t="s">
        <v>343</v>
      </c>
      <c r="F175" s="149">
        <v>7</v>
      </c>
    </row>
    <row r="176" spans="2:6" x14ac:dyDescent="0.25">
      <c r="B176" s="149">
        <v>7280</v>
      </c>
      <c r="C176" s="149" t="s">
        <v>1284</v>
      </c>
      <c r="D176" s="149" t="s">
        <v>228</v>
      </c>
      <c r="E176" s="149" t="s">
        <v>343</v>
      </c>
      <c r="F176" s="149">
        <v>7</v>
      </c>
    </row>
    <row r="177" spans="2:6" x14ac:dyDescent="0.25">
      <c r="B177" s="149">
        <v>7301</v>
      </c>
      <c r="C177" s="149" t="s">
        <v>1285</v>
      </c>
      <c r="D177" s="149" t="s">
        <v>228</v>
      </c>
      <c r="E177" s="149" t="s">
        <v>343</v>
      </c>
      <c r="F177" s="149">
        <v>7</v>
      </c>
    </row>
    <row r="178" spans="2:6" x14ac:dyDescent="0.25">
      <c r="B178" s="149">
        <v>7310</v>
      </c>
      <c r="C178" s="149" t="s">
        <v>1286</v>
      </c>
      <c r="D178" s="149" t="s">
        <v>228</v>
      </c>
      <c r="E178" s="149" t="s">
        <v>343</v>
      </c>
      <c r="F178" s="149">
        <v>7</v>
      </c>
    </row>
    <row r="179" spans="2:6" x14ac:dyDescent="0.25">
      <c r="B179" s="149">
        <v>7330</v>
      </c>
      <c r="C179" s="149" t="s">
        <v>626</v>
      </c>
      <c r="D179" s="149" t="s">
        <v>228</v>
      </c>
      <c r="E179" s="149" t="s">
        <v>343</v>
      </c>
      <c r="F179" s="149">
        <v>7</v>
      </c>
    </row>
    <row r="180" spans="2:6" x14ac:dyDescent="0.25">
      <c r="B180" s="149">
        <v>7340</v>
      </c>
      <c r="C180" s="149" t="s">
        <v>1287</v>
      </c>
      <c r="D180" s="149" t="s">
        <v>228</v>
      </c>
      <c r="E180" s="149" t="s">
        <v>343</v>
      </c>
      <c r="F180" s="149">
        <v>7</v>
      </c>
    </row>
    <row r="181" spans="2:6" x14ac:dyDescent="0.25">
      <c r="B181" s="149">
        <v>7360</v>
      </c>
      <c r="C181" s="149" t="s">
        <v>1288</v>
      </c>
      <c r="D181" s="149" t="s">
        <v>228</v>
      </c>
      <c r="E181" s="149" t="s">
        <v>343</v>
      </c>
      <c r="F181" s="149">
        <v>7</v>
      </c>
    </row>
    <row r="182" spans="2:6" x14ac:dyDescent="0.25">
      <c r="B182" s="149">
        <v>7401</v>
      </c>
      <c r="C182" s="572" t="s">
        <v>1644</v>
      </c>
      <c r="D182" s="149" t="s">
        <v>228</v>
      </c>
      <c r="E182" s="149" t="s">
        <v>343</v>
      </c>
      <c r="F182" s="149">
        <v>7</v>
      </c>
    </row>
    <row r="183" spans="2:6" x14ac:dyDescent="0.25">
      <c r="B183" s="149">
        <v>7410</v>
      </c>
      <c r="C183" s="149" t="s">
        <v>1645</v>
      </c>
      <c r="D183" s="149" t="s">
        <v>228</v>
      </c>
      <c r="E183" s="149" t="s">
        <v>343</v>
      </c>
      <c r="F183" s="149">
        <v>7</v>
      </c>
    </row>
    <row r="184" spans="2:6" x14ac:dyDescent="0.25">
      <c r="B184" s="149">
        <v>7420</v>
      </c>
      <c r="C184" s="149" t="s">
        <v>1646</v>
      </c>
      <c r="D184" s="149" t="s">
        <v>228</v>
      </c>
      <c r="E184" s="149" t="s">
        <v>343</v>
      </c>
      <c r="F184" s="149">
        <v>7</v>
      </c>
    </row>
    <row r="185" spans="2:6" x14ac:dyDescent="0.25">
      <c r="B185" s="149">
        <v>7430</v>
      </c>
      <c r="C185" s="149" t="s">
        <v>1647</v>
      </c>
      <c r="D185" s="149" t="s">
        <v>228</v>
      </c>
      <c r="E185" s="149" t="s">
        <v>343</v>
      </c>
      <c r="F185" s="149">
        <v>7</v>
      </c>
    </row>
    <row r="186" spans="2:6" x14ac:dyDescent="0.25">
      <c r="B186" s="149">
        <v>7510</v>
      </c>
      <c r="C186" s="149" t="s">
        <v>1648</v>
      </c>
      <c r="D186" s="149" t="s">
        <v>228</v>
      </c>
      <c r="E186" s="149" t="s">
        <v>343</v>
      </c>
      <c r="F186" s="149">
        <v>7</v>
      </c>
    </row>
    <row r="187" spans="2:6" x14ac:dyDescent="0.25">
      <c r="B187" s="149">
        <v>7520</v>
      </c>
      <c r="C187" s="149" t="s">
        <v>1649</v>
      </c>
      <c r="D187" s="149" t="s">
        <v>228</v>
      </c>
      <c r="E187" s="149" t="s">
        <v>343</v>
      </c>
      <c r="F187" s="149">
        <v>7</v>
      </c>
    </row>
    <row r="188" spans="2:6" x14ac:dyDescent="0.25">
      <c r="B188" s="149">
        <v>7530</v>
      </c>
      <c r="C188" s="149" t="s">
        <v>1650</v>
      </c>
      <c r="D188" s="149" t="s">
        <v>228</v>
      </c>
      <c r="E188" s="149" t="s">
        <v>343</v>
      </c>
      <c r="F188" s="149">
        <v>7</v>
      </c>
    </row>
    <row r="189" spans="2:6" x14ac:dyDescent="0.25">
      <c r="B189" s="149">
        <v>7901</v>
      </c>
      <c r="C189" s="149" t="s">
        <v>1651</v>
      </c>
      <c r="D189" s="149" t="s">
        <v>228</v>
      </c>
      <c r="E189" s="149" t="s">
        <v>343</v>
      </c>
      <c r="F189" s="149">
        <v>7</v>
      </c>
    </row>
    <row r="190" spans="2:6" x14ac:dyDescent="0.25">
      <c r="B190" s="152">
        <v>9100</v>
      </c>
      <c r="C190" s="152" t="s">
        <v>1289</v>
      </c>
      <c r="D190" s="152" t="s">
        <v>228</v>
      </c>
      <c r="E190" s="152" t="s">
        <v>510</v>
      </c>
      <c r="F190" s="152">
        <v>9</v>
      </c>
    </row>
    <row r="191" spans="2:6" x14ac:dyDescent="0.25">
      <c r="B191" s="152">
        <v>9101</v>
      </c>
      <c r="C191" s="152" t="s">
        <v>1652</v>
      </c>
      <c r="D191" s="152" t="s">
        <v>228</v>
      </c>
      <c r="E191" s="152" t="s">
        <v>510</v>
      </c>
      <c r="F191" s="152">
        <v>9</v>
      </c>
    </row>
    <row r="192" spans="2:6" x14ac:dyDescent="0.25">
      <c r="B192" s="152">
        <v>9105</v>
      </c>
      <c r="C192" s="152" t="s">
        <v>1290</v>
      </c>
      <c r="D192" s="152" t="s">
        <v>228</v>
      </c>
      <c r="E192" s="152" t="s">
        <v>510</v>
      </c>
      <c r="F192" s="152">
        <v>9</v>
      </c>
    </row>
    <row r="193" spans="2:6" x14ac:dyDescent="0.25">
      <c r="B193" s="152">
        <v>9110</v>
      </c>
      <c r="C193" s="152" t="s">
        <v>1291</v>
      </c>
      <c r="D193" s="152" t="s">
        <v>228</v>
      </c>
      <c r="E193" s="152" t="s">
        <v>510</v>
      </c>
      <c r="F193" s="152">
        <v>9</v>
      </c>
    </row>
    <row r="194" spans="2:6" x14ac:dyDescent="0.25">
      <c r="B194" s="152">
        <v>9115</v>
      </c>
      <c r="C194" s="152" t="s">
        <v>1292</v>
      </c>
      <c r="D194" s="152" t="s">
        <v>228</v>
      </c>
      <c r="E194" s="152" t="s">
        <v>510</v>
      </c>
      <c r="F194" s="152">
        <v>9</v>
      </c>
    </row>
    <row r="195" spans="2:6" x14ac:dyDescent="0.25">
      <c r="B195" s="152">
        <v>9120</v>
      </c>
      <c r="C195" s="152" t="s">
        <v>1293</v>
      </c>
      <c r="D195" s="152" t="s">
        <v>228</v>
      </c>
      <c r="E195" s="152" t="s">
        <v>510</v>
      </c>
      <c r="F195" s="152">
        <v>9</v>
      </c>
    </row>
    <row r="196" spans="2:6" x14ac:dyDescent="0.25">
      <c r="B196" s="152">
        <v>9140</v>
      </c>
      <c r="C196" s="152" t="s">
        <v>1294</v>
      </c>
      <c r="D196" s="152" t="s">
        <v>228</v>
      </c>
      <c r="E196" s="152" t="s">
        <v>510</v>
      </c>
      <c r="F196" s="152">
        <v>9</v>
      </c>
    </row>
    <row r="197" spans="2:6" x14ac:dyDescent="0.25">
      <c r="B197" s="152">
        <v>9150</v>
      </c>
      <c r="C197" s="152" t="s">
        <v>1653</v>
      </c>
      <c r="D197" s="152" t="s">
        <v>228</v>
      </c>
      <c r="E197" s="152" t="s">
        <v>510</v>
      </c>
      <c r="F197" s="152">
        <v>9</v>
      </c>
    </row>
    <row r="198" spans="2:6" x14ac:dyDescent="0.25">
      <c r="B198" s="152">
        <v>9160</v>
      </c>
      <c r="C198" s="152" t="s">
        <v>1295</v>
      </c>
      <c r="D198" s="152" t="s">
        <v>228</v>
      </c>
      <c r="E198" s="152" t="s">
        <v>510</v>
      </c>
      <c r="F198" s="152">
        <v>9</v>
      </c>
    </row>
    <row r="199" spans="2:6" x14ac:dyDescent="0.25">
      <c r="B199" s="152">
        <v>9170</v>
      </c>
      <c r="C199" s="152" t="s">
        <v>1654</v>
      </c>
      <c r="D199" s="152" t="s">
        <v>228</v>
      </c>
      <c r="E199" s="152" t="s">
        <v>510</v>
      </c>
      <c r="F199" s="152">
        <v>9</v>
      </c>
    </row>
    <row r="200" spans="2:6" x14ac:dyDescent="0.25">
      <c r="B200" s="152">
        <v>9180</v>
      </c>
      <c r="C200" s="152" t="s">
        <v>1296</v>
      </c>
      <c r="D200" s="152" t="s">
        <v>228</v>
      </c>
      <c r="E200" s="152" t="s">
        <v>510</v>
      </c>
      <c r="F200" s="152">
        <v>9</v>
      </c>
    </row>
    <row r="201" spans="2:6" x14ac:dyDescent="0.25">
      <c r="B201" s="152">
        <v>9220</v>
      </c>
      <c r="C201" s="152" t="s">
        <v>1297</v>
      </c>
      <c r="D201" s="152" t="s">
        <v>228</v>
      </c>
      <c r="E201" s="152" t="s">
        <v>510</v>
      </c>
      <c r="F201" s="152">
        <v>9</v>
      </c>
    </row>
    <row r="202" spans="2:6" x14ac:dyDescent="0.25">
      <c r="B202" s="152">
        <v>9230</v>
      </c>
      <c r="C202" s="152" t="s">
        <v>1298</v>
      </c>
      <c r="D202" s="152" t="s">
        <v>228</v>
      </c>
      <c r="E202" s="152" t="s">
        <v>510</v>
      </c>
      <c r="F202" s="152">
        <v>9</v>
      </c>
    </row>
    <row r="203" spans="2:6" x14ac:dyDescent="0.25">
      <c r="B203" s="152">
        <v>9300</v>
      </c>
      <c r="C203" s="152" t="s">
        <v>1655</v>
      </c>
      <c r="D203" s="152" t="s">
        <v>228</v>
      </c>
      <c r="E203" s="152" t="s">
        <v>510</v>
      </c>
      <c r="F203" s="152">
        <v>9</v>
      </c>
    </row>
    <row r="204" spans="2:6" x14ac:dyDescent="0.25">
      <c r="B204" s="152">
        <v>9310</v>
      </c>
      <c r="C204" s="152" t="s">
        <v>1299</v>
      </c>
      <c r="D204" s="152" t="s">
        <v>228</v>
      </c>
      <c r="E204" s="152" t="s">
        <v>510</v>
      </c>
      <c r="F204" s="152">
        <v>9</v>
      </c>
    </row>
    <row r="205" spans="2:6" x14ac:dyDescent="0.25">
      <c r="B205" s="152">
        <v>9320</v>
      </c>
      <c r="C205" s="152" t="s">
        <v>1300</v>
      </c>
      <c r="D205" s="152" t="s">
        <v>228</v>
      </c>
      <c r="E205" s="152" t="s">
        <v>510</v>
      </c>
      <c r="F205" s="152">
        <v>9</v>
      </c>
    </row>
    <row r="206" spans="2:6" x14ac:dyDescent="0.25">
      <c r="B206" s="152">
        <v>9330</v>
      </c>
      <c r="C206" s="152" t="s">
        <v>1301</v>
      </c>
      <c r="D206" s="152" t="s">
        <v>228</v>
      </c>
      <c r="E206" s="152" t="s">
        <v>510</v>
      </c>
      <c r="F206" s="152">
        <v>9</v>
      </c>
    </row>
    <row r="207" spans="2:6" x14ac:dyDescent="0.25">
      <c r="B207" s="152">
        <v>9340</v>
      </c>
      <c r="C207" s="152" t="s">
        <v>1302</v>
      </c>
      <c r="D207" s="152" t="s">
        <v>228</v>
      </c>
      <c r="E207" s="152" t="s">
        <v>510</v>
      </c>
      <c r="F207" s="152">
        <v>9</v>
      </c>
    </row>
    <row r="208" spans="2:6" x14ac:dyDescent="0.25">
      <c r="B208" s="152">
        <v>9410</v>
      </c>
      <c r="C208" s="152" t="s">
        <v>1303</v>
      </c>
      <c r="D208" s="152" t="s">
        <v>228</v>
      </c>
      <c r="E208" s="152" t="s">
        <v>510</v>
      </c>
      <c r="F208" s="152">
        <v>9</v>
      </c>
    </row>
    <row r="209" spans="2:6" x14ac:dyDescent="0.25">
      <c r="B209" s="152">
        <v>9510</v>
      </c>
      <c r="C209" s="152" t="s">
        <v>1304</v>
      </c>
      <c r="D209" s="152" t="s">
        <v>228</v>
      </c>
      <c r="E209" s="152" t="s">
        <v>510</v>
      </c>
      <c r="F209" s="152">
        <v>9</v>
      </c>
    </row>
    <row r="210" spans="2:6" x14ac:dyDescent="0.25">
      <c r="B210" s="152">
        <v>9520</v>
      </c>
      <c r="C210" s="152" t="s">
        <v>1305</v>
      </c>
      <c r="D210" s="152" t="s">
        <v>228</v>
      </c>
      <c r="E210" s="152" t="s">
        <v>510</v>
      </c>
      <c r="F210" s="152">
        <v>9</v>
      </c>
    </row>
    <row r="211" spans="2:6" x14ac:dyDescent="0.25">
      <c r="B211" s="152">
        <v>9530</v>
      </c>
      <c r="C211" s="152" t="s">
        <v>1306</v>
      </c>
      <c r="D211" s="152" t="s">
        <v>228</v>
      </c>
      <c r="E211" s="152" t="s">
        <v>510</v>
      </c>
      <c r="F211" s="152">
        <v>9</v>
      </c>
    </row>
    <row r="212" spans="2:6" x14ac:dyDescent="0.25">
      <c r="B212" s="152">
        <v>9550</v>
      </c>
      <c r="C212" s="152" t="s">
        <v>1307</v>
      </c>
      <c r="D212" s="152" t="s">
        <v>228</v>
      </c>
      <c r="E212" s="152" t="s">
        <v>510</v>
      </c>
      <c r="F212" s="152">
        <v>9</v>
      </c>
    </row>
    <row r="213" spans="2:6" x14ac:dyDescent="0.25">
      <c r="B213" s="152">
        <v>9560</v>
      </c>
      <c r="C213" s="152" t="s">
        <v>1656</v>
      </c>
      <c r="D213" s="152" t="s">
        <v>228</v>
      </c>
      <c r="E213" s="152" t="s">
        <v>510</v>
      </c>
      <c r="F213" s="152">
        <v>9</v>
      </c>
    </row>
    <row r="214" spans="2:6" x14ac:dyDescent="0.25">
      <c r="B214" s="152">
        <v>9570</v>
      </c>
      <c r="C214" s="152" t="s">
        <v>1657</v>
      </c>
      <c r="D214" s="152" t="s">
        <v>228</v>
      </c>
      <c r="E214" s="152" t="s">
        <v>510</v>
      </c>
      <c r="F214" s="152">
        <v>9</v>
      </c>
    </row>
    <row r="215" spans="2:6" x14ac:dyDescent="0.25">
      <c r="B215" s="152">
        <v>9585</v>
      </c>
      <c r="C215" s="152" t="s">
        <v>1308</v>
      </c>
      <c r="D215" s="152" t="s">
        <v>228</v>
      </c>
      <c r="E215" s="152" t="s">
        <v>510</v>
      </c>
      <c r="F215" s="152">
        <v>9</v>
      </c>
    </row>
    <row r="216" spans="2:6" x14ac:dyDescent="0.25">
      <c r="B216" s="152">
        <v>9590</v>
      </c>
      <c r="C216" s="152" t="s">
        <v>1658</v>
      </c>
      <c r="D216" s="152" t="s">
        <v>228</v>
      </c>
      <c r="E216" s="152" t="s">
        <v>510</v>
      </c>
      <c r="F216" s="152">
        <v>9</v>
      </c>
    </row>
    <row r="217" spans="2:6" x14ac:dyDescent="0.25">
      <c r="B217" s="152">
        <v>9595</v>
      </c>
      <c r="C217" s="152" t="s">
        <v>1309</v>
      </c>
      <c r="D217" s="152" t="s">
        <v>228</v>
      </c>
      <c r="E217" s="152" t="s">
        <v>510</v>
      </c>
      <c r="F217" s="152">
        <v>9</v>
      </c>
    </row>
    <row r="218" spans="2:6" x14ac:dyDescent="0.25">
      <c r="B218" s="152">
        <v>9620</v>
      </c>
      <c r="C218" s="152" t="s">
        <v>1659</v>
      </c>
      <c r="D218" s="152" t="s">
        <v>228</v>
      </c>
      <c r="E218" s="152" t="s">
        <v>510</v>
      </c>
      <c r="F218" s="152">
        <v>9</v>
      </c>
    </row>
    <row r="219" spans="2:6" x14ac:dyDescent="0.25">
      <c r="B219" s="152">
        <v>9625</v>
      </c>
      <c r="C219" s="152" t="s">
        <v>1660</v>
      </c>
      <c r="D219" s="152" t="s">
        <v>228</v>
      </c>
      <c r="E219" s="152" t="s">
        <v>510</v>
      </c>
      <c r="F219" s="152">
        <v>9</v>
      </c>
    </row>
    <row r="220" spans="2:6" x14ac:dyDescent="0.25">
      <c r="B220" s="152">
        <v>9630</v>
      </c>
      <c r="C220" s="152" t="s">
        <v>1661</v>
      </c>
      <c r="D220" s="152" t="s">
        <v>228</v>
      </c>
      <c r="E220" s="152" t="s">
        <v>510</v>
      </c>
      <c r="F220" s="152">
        <v>9</v>
      </c>
    </row>
    <row r="221" spans="2:6" x14ac:dyDescent="0.25">
      <c r="B221" s="152">
        <v>9640</v>
      </c>
      <c r="C221" s="152" t="s">
        <v>1662</v>
      </c>
      <c r="D221" s="152" t="s">
        <v>228</v>
      </c>
      <c r="E221" s="152" t="s">
        <v>510</v>
      </c>
      <c r="F221" s="152">
        <v>9</v>
      </c>
    </row>
    <row r="222" spans="2:6" x14ac:dyDescent="0.25">
      <c r="B222" s="152">
        <v>9650</v>
      </c>
      <c r="C222" s="152" t="s">
        <v>1663</v>
      </c>
      <c r="D222" s="152" t="s">
        <v>228</v>
      </c>
      <c r="E222" s="152" t="s">
        <v>510</v>
      </c>
      <c r="F222" s="152">
        <v>9</v>
      </c>
    </row>
    <row r="223" spans="2:6" x14ac:dyDescent="0.25">
      <c r="B223" s="152">
        <v>9660</v>
      </c>
      <c r="C223" s="152" t="s">
        <v>1664</v>
      </c>
      <c r="D223" s="152" t="s">
        <v>228</v>
      </c>
      <c r="E223" s="152" t="s">
        <v>510</v>
      </c>
      <c r="F223" s="152">
        <v>9</v>
      </c>
    </row>
    <row r="224" spans="2:6" x14ac:dyDescent="0.25">
      <c r="B224" s="152">
        <v>9670</v>
      </c>
      <c r="C224" s="152" t="s">
        <v>1665</v>
      </c>
      <c r="D224" s="152" t="s">
        <v>228</v>
      </c>
      <c r="E224" s="152" t="s">
        <v>510</v>
      </c>
      <c r="F224" s="152">
        <v>9</v>
      </c>
    </row>
    <row r="225" spans="2:6" x14ac:dyDescent="0.25">
      <c r="B225" s="152">
        <v>9675</v>
      </c>
      <c r="C225" s="152" t="s">
        <v>1666</v>
      </c>
      <c r="D225" s="152" t="s">
        <v>228</v>
      </c>
      <c r="E225" s="152" t="s">
        <v>510</v>
      </c>
      <c r="F225" s="152">
        <v>9</v>
      </c>
    </row>
    <row r="226" spans="2:6" x14ac:dyDescent="0.25">
      <c r="B226" s="152">
        <v>9680</v>
      </c>
      <c r="C226" s="152" t="s">
        <v>1667</v>
      </c>
      <c r="D226" s="152" t="s">
        <v>228</v>
      </c>
      <c r="E226" s="152" t="s">
        <v>510</v>
      </c>
      <c r="F226" s="152">
        <v>9</v>
      </c>
    </row>
    <row r="227" spans="2:6" x14ac:dyDescent="0.25">
      <c r="B227" s="152">
        <v>9685</v>
      </c>
      <c r="C227" s="152" t="s">
        <v>1668</v>
      </c>
      <c r="D227" s="152" t="s">
        <v>228</v>
      </c>
      <c r="E227" s="152" t="s">
        <v>510</v>
      </c>
      <c r="F227" s="152">
        <v>9</v>
      </c>
    </row>
    <row r="228" spans="2:6" x14ac:dyDescent="0.25">
      <c r="B228" s="152">
        <v>9690</v>
      </c>
      <c r="C228" s="152" t="s">
        <v>1669</v>
      </c>
      <c r="D228" s="152" t="s">
        <v>228</v>
      </c>
      <c r="E228" s="152" t="s">
        <v>510</v>
      </c>
      <c r="F228" s="152">
        <v>9</v>
      </c>
    </row>
    <row r="229" spans="2:6" x14ac:dyDescent="0.25">
      <c r="B229" s="152">
        <v>9710</v>
      </c>
      <c r="C229" s="152" t="s">
        <v>1670</v>
      </c>
      <c r="D229" s="152" t="s">
        <v>228</v>
      </c>
      <c r="E229" s="152" t="s">
        <v>510</v>
      </c>
      <c r="F229" s="152">
        <v>9</v>
      </c>
    </row>
    <row r="230" spans="2:6" x14ac:dyDescent="0.25">
      <c r="B230" s="152">
        <v>9720</v>
      </c>
      <c r="C230" s="152" t="s">
        <v>1671</v>
      </c>
      <c r="D230" s="152" t="s">
        <v>228</v>
      </c>
      <c r="E230" s="152" t="s">
        <v>510</v>
      </c>
      <c r="F230" s="152">
        <v>9</v>
      </c>
    </row>
    <row r="231" spans="2:6" x14ac:dyDescent="0.25">
      <c r="B231" s="152">
        <v>9730</v>
      </c>
      <c r="C231" s="152" t="s">
        <v>2130</v>
      </c>
      <c r="D231" s="152" t="s">
        <v>228</v>
      </c>
      <c r="E231" s="152" t="s">
        <v>510</v>
      </c>
      <c r="F231" s="152">
        <v>9</v>
      </c>
    </row>
    <row r="232" spans="2:6" x14ac:dyDescent="0.25">
      <c r="B232" s="152">
        <v>9810</v>
      </c>
      <c r="C232" s="152" t="s">
        <v>1668</v>
      </c>
      <c r="D232" s="152" t="s">
        <v>228</v>
      </c>
      <c r="E232" s="152" t="s">
        <v>510</v>
      </c>
      <c r="F232" s="152">
        <v>9</v>
      </c>
    </row>
    <row r="233" spans="2:6" x14ac:dyDescent="0.25">
      <c r="B233" s="152">
        <v>9820</v>
      </c>
      <c r="C233" s="152" t="s">
        <v>1672</v>
      </c>
      <c r="D233" s="152" t="s">
        <v>228</v>
      </c>
      <c r="E233" s="152" t="s">
        <v>510</v>
      </c>
      <c r="F233" s="152">
        <v>9</v>
      </c>
    </row>
    <row r="234" spans="2:6" x14ac:dyDescent="0.25">
      <c r="B234" s="152">
        <v>9830</v>
      </c>
      <c r="C234" s="152" t="s">
        <v>1673</v>
      </c>
      <c r="D234" s="152" t="s">
        <v>228</v>
      </c>
      <c r="E234" s="152" t="s">
        <v>510</v>
      </c>
      <c r="F234" s="152">
        <v>9</v>
      </c>
    </row>
    <row r="235" spans="2:6" x14ac:dyDescent="0.25">
      <c r="B235" s="152">
        <v>9840</v>
      </c>
      <c r="C235" s="152" t="s">
        <v>1674</v>
      </c>
      <c r="D235" s="152" t="s">
        <v>228</v>
      </c>
      <c r="E235" s="152" t="s">
        <v>510</v>
      </c>
      <c r="F235" s="152">
        <v>9</v>
      </c>
    </row>
    <row r="236" spans="2:6" x14ac:dyDescent="0.25">
      <c r="B236" s="152">
        <v>9845</v>
      </c>
      <c r="C236" s="152" t="s">
        <v>1675</v>
      </c>
      <c r="D236" s="152" t="s">
        <v>228</v>
      </c>
      <c r="E236" s="152" t="s">
        <v>510</v>
      </c>
      <c r="F236" s="152">
        <v>9</v>
      </c>
    </row>
    <row r="237" spans="2:6" x14ac:dyDescent="0.25">
      <c r="B237" s="152">
        <v>9850</v>
      </c>
      <c r="C237" s="152" t="s">
        <v>1676</v>
      </c>
      <c r="D237" s="152" t="s">
        <v>228</v>
      </c>
      <c r="E237" s="152" t="s">
        <v>510</v>
      </c>
      <c r="F237" s="152">
        <v>9</v>
      </c>
    </row>
    <row r="238" spans="2:6" x14ac:dyDescent="0.25">
      <c r="B238" s="152">
        <v>9870</v>
      </c>
      <c r="C238" s="152" t="s">
        <v>1677</v>
      </c>
      <c r="D238" s="152" t="s">
        <v>228</v>
      </c>
      <c r="E238" s="152" t="s">
        <v>510</v>
      </c>
      <c r="F238" s="152">
        <v>9</v>
      </c>
    </row>
    <row r="239" spans="2:6" x14ac:dyDescent="0.25">
      <c r="B239" s="152">
        <v>9880</v>
      </c>
      <c r="C239" s="152" t="s">
        <v>1678</v>
      </c>
      <c r="D239" s="152" t="s">
        <v>228</v>
      </c>
      <c r="E239" s="152" t="s">
        <v>510</v>
      </c>
      <c r="F239" s="152">
        <v>9</v>
      </c>
    </row>
    <row r="240" spans="2:6" x14ac:dyDescent="0.25">
      <c r="B240" s="152">
        <v>9910</v>
      </c>
      <c r="C240" s="152" t="s">
        <v>1679</v>
      </c>
      <c r="D240" s="152" t="s">
        <v>228</v>
      </c>
      <c r="E240" s="152" t="s">
        <v>510</v>
      </c>
      <c r="F240" s="152">
        <v>9</v>
      </c>
    </row>
    <row r="241" spans="2:6" x14ac:dyDescent="0.25">
      <c r="B241" s="152">
        <v>9950</v>
      </c>
      <c r="C241" s="152" t="s">
        <v>1680</v>
      </c>
      <c r="D241" s="152" t="s">
        <v>228</v>
      </c>
      <c r="E241" s="152" t="s">
        <v>510</v>
      </c>
      <c r="F241" s="152">
        <v>9</v>
      </c>
    </row>
    <row r="242" spans="2:6" x14ac:dyDescent="0.25">
      <c r="B242" s="24"/>
      <c r="C242" s="24"/>
      <c r="D242" s="24"/>
      <c r="E242" s="24"/>
      <c r="F242" s="24"/>
    </row>
    <row r="243" spans="2:6" x14ac:dyDescent="0.25">
      <c r="B243" s="24"/>
      <c r="C243" s="24"/>
      <c r="D243" s="24"/>
      <c r="E243" s="24"/>
      <c r="F243" s="24"/>
    </row>
    <row r="244" spans="2:6" x14ac:dyDescent="0.25">
      <c r="B244" s="24"/>
      <c r="C244" s="24"/>
      <c r="D244" s="24"/>
      <c r="E244" s="24"/>
      <c r="F244" s="24"/>
    </row>
    <row r="245" spans="2:6" x14ac:dyDescent="0.25">
      <c r="B245" s="24"/>
      <c r="C245" s="24"/>
      <c r="D245" s="24"/>
      <c r="E245" s="24"/>
      <c r="F245" s="24"/>
    </row>
    <row r="246" spans="2:6" x14ac:dyDescent="0.25">
      <c r="B246" s="24"/>
      <c r="C246" s="24"/>
      <c r="D246" s="24"/>
      <c r="E246" s="24"/>
      <c r="F246" s="24"/>
    </row>
    <row r="247" spans="2:6" x14ac:dyDescent="0.25">
      <c r="B247" s="24"/>
      <c r="C247" s="24"/>
      <c r="D247" s="24"/>
      <c r="E247" s="24"/>
      <c r="F247" s="24"/>
    </row>
    <row r="248" spans="2:6" x14ac:dyDescent="0.25">
      <c r="B248" s="24"/>
      <c r="C248" s="24"/>
      <c r="D248" s="24"/>
      <c r="E248" s="24"/>
      <c r="F248" s="24"/>
    </row>
    <row r="249" spans="2:6" x14ac:dyDescent="0.25">
      <c r="B249" s="24"/>
      <c r="C249" s="24"/>
      <c r="D249" s="24"/>
      <c r="E249" s="24"/>
      <c r="F249" s="24"/>
    </row>
    <row r="250" spans="2:6" x14ac:dyDescent="0.25">
      <c r="B250" s="24"/>
      <c r="C250" s="24"/>
      <c r="D250" s="24"/>
      <c r="E250" s="24"/>
      <c r="F250" s="24"/>
    </row>
    <row r="251" spans="2:6" x14ac:dyDescent="0.25">
      <c r="B251" s="24"/>
      <c r="C251" s="24"/>
      <c r="D251" s="24"/>
      <c r="E251" s="24"/>
      <c r="F251" s="24"/>
    </row>
    <row r="252" spans="2:6" x14ac:dyDescent="0.25">
      <c r="B252" s="24"/>
      <c r="C252" s="24"/>
      <c r="D252" s="24"/>
      <c r="E252" s="24"/>
      <c r="F252" s="24"/>
    </row>
    <row r="253" spans="2:6" x14ac:dyDescent="0.25">
      <c r="B253" s="24"/>
      <c r="C253" s="24"/>
      <c r="D253" s="24"/>
      <c r="E253" s="24"/>
      <c r="F253" s="24"/>
    </row>
    <row r="254" spans="2:6" x14ac:dyDescent="0.25">
      <c r="B254" s="24"/>
      <c r="C254" s="24"/>
      <c r="D254" s="24"/>
      <c r="E254" s="24"/>
      <c r="F254" s="24"/>
    </row>
    <row r="255" spans="2:6" x14ac:dyDescent="0.25">
      <c r="B255" s="24"/>
      <c r="C255" s="24"/>
      <c r="D255" s="24"/>
      <c r="E255" s="24"/>
      <c r="F255" s="24"/>
    </row>
    <row r="256" spans="2:6" x14ac:dyDescent="0.25">
      <c r="B256" s="24"/>
      <c r="C256" s="24"/>
      <c r="D256" s="24"/>
      <c r="E256" s="24"/>
      <c r="F256" s="24"/>
    </row>
    <row r="257" spans="2:6" x14ac:dyDescent="0.25">
      <c r="B257" s="24"/>
      <c r="C257" s="24"/>
      <c r="D257" s="24"/>
      <c r="E257" s="24"/>
      <c r="F257" s="24"/>
    </row>
    <row r="258" spans="2:6" x14ac:dyDescent="0.25">
      <c r="B258" s="24"/>
      <c r="C258" s="24"/>
      <c r="D258" s="24"/>
      <c r="E258" s="24"/>
      <c r="F258" s="24"/>
    </row>
    <row r="259" spans="2:6" x14ac:dyDescent="0.25">
      <c r="B259" s="24"/>
      <c r="C259" s="24"/>
      <c r="D259" s="24"/>
      <c r="E259" s="24"/>
      <c r="F259" s="24"/>
    </row>
    <row r="260" spans="2:6" x14ac:dyDescent="0.25">
      <c r="B260" s="24"/>
      <c r="C260" s="24"/>
      <c r="D260" s="24"/>
      <c r="E260" s="24"/>
      <c r="F260" s="24"/>
    </row>
    <row r="261" spans="2:6" x14ac:dyDescent="0.25">
      <c r="B261" s="24"/>
      <c r="C261" s="24"/>
      <c r="D261" s="24"/>
      <c r="E261" s="24"/>
      <c r="F261" s="24"/>
    </row>
    <row r="262" spans="2:6" x14ac:dyDescent="0.25">
      <c r="B262" s="24"/>
      <c r="C262" s="24"/>
      <c r="D262" s="24"/>
      <c r="E262" s="24"/>
      <c r="F262" s="24"/>
    </row>
    <row r="263" spans="2:6" x14ac:dyDescent="0.25">
      <c r="B263" s="24"/>
      <c r="C263" s="24"/>
      <c r="D263" s="24"/>
      <c r="E263" s="24"/>
      <c r="F263" s="24"/>
    </row>
    <row r="264" spans="2:6" x14ac:dyDescent="0.25">
      <c r="B264" s="24"/>
      <c r="C264" s="24"/>
      <c r="D264" s="24"/>
      <c r="E264" s="24"/>
      <c r="F264" s="24"/>
    </row>
    <row r="265" spans="2:6" x14ac:dyDescent="0.25">
      <c r="B265" s="24"/>
      <c r="C265" s="24"/>
      <c r="D265" s="24"/>
      <c r="E265" s="24"/>
      <c r="F265" s="24"/>
    </row>
    <row r="266" spans="2:6" x14ac:dyDescent="0.25">
      <c r="B266" s="24"/>
      <c r="C266" s="24"/>
      <c r="D266" s="24"/>
      <c r="E266" s="24"/>
      <c r="F266" s="24"/>
    </row>
    <row r="267" spans="2:6" x14ac:dyDescent="0.25">
      <c r="B267" s="24"/>
      <c r="C267" s="24"/>
      <c r="D267" s="24"/>
      <c r="E267" s="24"/>
      <c r="F267" s="24"/>
    </row>
    <row r="268" spans="2:6" x14ac:dyDescent="0.25">
      <c r="B268" s="24"/>
      <c r="C268" s="24"/>
      <c r="D268" s="24"/>
      <c r="E268" s="24"/>
      <c r="F268" s="24"/>
    </row>
    <row r="269" spans="2:6" x14ac:dyDescent="0.25">
      <c r="B269" s="24"/>
      <c r="C269" s="24"/>
      <c r="D269" s="24"/>
      <c r="E269" s="24"/>
      <c r="F269" s="24"/>
    </row>
    <row r="270" spans="2:6" x14ac:dyDescent="0.25">
      <c r="B270" s="24"/>
      <c r="C270" s="24"/>
      <c r="D270" s="24"/>
      <c r="E270" s="24"/>
      <c r="F270" s="24"/>
    </row>
    <row r="271" spans="2:6" x14ac:dyDescent="0.25">
      <c r="B271" s="24"/>
      <c r="C271" s="24"/>
      <c r="D271" s="24"/>
      <c r="E271" s="24"/>
      <c r="F271" s="24"/>
    </row>
    <row r="272" spans="2:6" x14ac:dyDescent="0.25">
      <c r="B272" s="24"/>
      <c r="C272" s="24"/>
      <c r="D272" s="24"/>
      <c r="E272" s="24"/>
      <c r="F272" s="24"/>
    </row>
    <row r="273" spans="2:6" x14ac:dyDescent="0.25">
      <c r="B273" s="24"/>
      <c r="C273" s="24"/>
      <c r="D273" s="24"/>
      <c r="E273" s="24"/>
      <c r="F273" s="24"/>
    </row>
    <row r="274" spans="2:6" x14ac:dyDescent="0.25">
      <c r="B274" s="24"/>
      <c r="C274" s="24"/>
      <c r="D274" s="24"/>
      <c r="E274" s="24"/>
      <c r="F274" s="24"/>
    </row>
    <row r="275" spans="2:6" x14ac:dyDescent="0.25">
      <c r="B275" s="24"/>
      <c r="C275" s="24"/>
      <c r="D275" s="24"/>
      <c r="E275" s="24"/>
      <c r="F275" s="24"/>
    </row>
    <row r="276" spans="2:6" x14ac:dyDescent="0.25">
      <c r="B276" s="24"/>
      <c r="C276" s="24"/>
      <c r="D276" s="24"/>
      <c r="E276" s="24"/>
      <c r="F276" s="24"/>
    </row>
    <row r="277" spans="2:6" x14ac:dyDescent="0.25">
      <c r="B277" s="24"/>
      <c r="C277" s="24"/>
      <c r="D277" s="24"/>
      <c r="E277" s="24"/>
      <c r="F277" s="24"/>
    </row>
    <row r="278" spans="2:6" x14ac:dyDescent="0.25">
      <c r="B278" s="24"/>
      <c r="C278" s="24"/>
      <c r="D278" s="24"/>
      <c r="E278" s="24"/>
      <c r="F278" s="24"/>
    </row>
    <row r="279" spans="2:6" x14ac:dyDescent="0.25">
      <c r="B279" s="24"/>
      <c r="C279" s="24"/>
      <c r="D279" s="24"/>
      <c r="E279" s="24"/>
      <c r="F279" s="24"/>
    </row>
    <row r="280" spans="2:6" x14ac:dyDescent="0.25">
      <c r="B280" s="24"/>
      <c r="C280" s="24"/>
      <c r="D280" s="24"/>
      <c r="E280" s="24"/>
      <c r="F280" s="24"/>
    </row>
    <row r="281" spans="2:6" x14ac:dyDescent="0.25">
      <c r="B281" s="24"/>
      <c r="C281" s="24"/>
      <c r="D281" s="24"/>
      <c r="E281" s="24"/>
      <c r="F281" s="24"/>
    </row>
    <row r="282" spans="2:6" x14ac:dyDescent="0.25">
      <c r="B282" s="24"/>
      <c r="C282" s="24"/>
      <c r="D282" s="24"/>
      <c r="E282" s="24"/>
      <c r="F282" s="24"/>
    </row>
    <row r="283" spans="2:6" x14ac:dyDescent="0.25">
      <c r="B283" s="24"/>
      <c r="C283" s="24"/>
      <c r="D283" s="24"/>
      <c r="E283" s="24"/>
      <c r="F283" s="24"/>
    </row>
    <row r="284" spans="2:6" x14ac:dyDescent="0.25">
      <c r="B284" s="24"/>
      <c r="C284" s="24"/>
      <c r="D284" s="24"/>
      <c r="E284" s="24"/>
      <c r="F284" s="24"/>
    </row>
    <row r="285" spans="2:6" x14ac:dyDescent="0.25">
      <c r="B285" s="24"/>
      <c r="C285" s="24"/>
      <c r="D285" s="24"/>
      <c r="E285" s="24"/>
      <c r="F285" s="24"/>
    </row>
    <row r="286" spans="2:6" x14ac:dyDescent="0.25">
      <c r="B286" s="24"/>
      <c r="C286" s="24"/>
      <c r="D286" s="24"/>
      <c r="E286" s="24"/>
      <c r="F286" s="24"/>
    </row>
    <row r="287" spans="2:6" x14ac:dyDescent="0.25">
      <c r="B287" s="24"/>
      <c r="C287" s="24"/>
      <c r="D287" s="24"/>
      <c r="E287" s="24"/>
      <c r="F287" s="24"/>
    </row>
    <row r="288" spans="2:6" x14ac:dyDescent="0.25">
      <c r="B288" s="24"/>
      <c r="C288" s="24"/>
      <c r="D288" s="24"/>
      <c r="E288" s="24"/>
      <c r="F288" s="24"/>
    </row>
    <row r="289" spans="2:6" x14ac:dyDescent="0.25">
      <c r="B289" s="24"/>
      <c r="C289" s="24"/>
      <c r="D289" s="24"/>
      <c r="E289" s="24"/>
      <c r="F289" s="24"/>
    </row>
    <row r="290" spans="2:6" x14ac:dyDescent="0.25">
      <c r="B290" s="24"/>
      <c r="C290" s="24"/>
      <c r="D290" s="24"/>
      <c r="E290" s="24"/>
      <c r="F290" s="24"/>
    </row>
    <row r="291" spans="2:6" x14ac:dyDescent="0.25">
      <c r="B291" s="24"/>
      <c r="C291" s="24"/>
      <c r="D291" s="24"/>
      <c r="E291" s="24"/>
      <c r="F291" s="24"/>
    </row>
    <row r="292" spans="2:6" x14ac:dyDescent="0.25">
      <c r="B292" s="24"/>
      <c r="C292" s="24"/>
      <c r="D292" s="24"/>
      <c r="E292" s="24"/>
      <c r="F292" s="24"/>
    </row>
    <row r="293" spans="2:6" x14ac:dyDescent="0.25">
      <c r="B293" s="24"/>
      <c r="C293" s="24"/>
      <c r="D293" s="24"/>
      <c r="E293" s="24"/>
      <c r="F293" s="24"/>
    </row>
    <row r="294" spans="2:6" x14ac:dyDescent="0.25">
      <c r="B294" s="24"/>
      <c r="C294" s="24"/>
      <c r="D294" s="24"/>
      <c r="E294" s="24"/>
      <c r="F294" s="24"/>
    </row>
    <row r="295" spans="2:6" x14ac:dyDescent="0.25">
      <c r="B295" s="24"/>
      <c r="C295" s="24"/>
      <c r="D295" s="24"/>
      <c r="E295" s="24"/>
      <c r="F295" s="24"/>
    </row>
    <row r="296" spans="2:6" x14ac:dyDescent="0.25">
      <c r="B296" s="24"/>
      <c r="C296" s="24"/>
      <c r="D296" s="24"/>
      <c r="E296" s="24"/>
      <c r="F296" s="24"/>
    </row>
    <row r="297" spans="2:6" x14ac:dyDescent="0.25">
      <c r="B297" s="24"/>
      <c r="C297" s="24"/>
      <c r="D297" s="24"/>
      <c r="E297" s="24"/>
      <c r="F297" s="24"/>
    </row>
    <row r="298" spans="2:6" x14ac:dyDescent="0.25">
      <c r="B298" s="24"/>
      <c r="C298" s="24"/>
      <c r="D298" s="24"/>
      <c r="E298" s="24"/>
      <c r="F298" s="24"/>
    </row>
    <row r="299" spans="2:6" x14ac:dyDescent="0.25">
      <c r="B299" s="24"/>
      <c r="C299" s="24"/>
      <c r="D299" s="24"/>
      <c r="E299" s="24"/>
      <c r="F299" s="24"/>
    </row>
    <row r="300" spans="2:6" x14ac:dyDescent="0.25">
      <c r="B300" s="24"/>
      <c r="C300" s="24"/>
      <c r="D300" s="24"/>
      <c r="E300" s="24"/>
      <c r="F300" s="24"/>
    </row>
    <row r="301" spans="2:6" x14ac:dyDescent="0.25">
      <c r="B301" s="24"/>
      <c r="C301" s="24"/>
      <c r="D301" s="24"/>
      <c r="E301" s="24"/>
      <c r="F301" s="24"/>
    </row>
    <row r="302" spans="2:6" x14ac:dyDescent="0.25">
      <c r="B302" s="24"/>
      <c r="C302" s="24"/>
      <c r="D302" s="24"/>
      <c r="E302" s="24"/>
      <c r="F302" s="24"/>
    </row>
    <row r="303" spans="2:6" x14ac:dyDescent="0.25">
      <c r="B303" s="24"/>
      <c r="C303" s="24"/>
      <c r="D303" s="24"/>
      <c r="E303" s="24"/>
      <c r="F303" s="24"/>
    </row>
    <row r="304" spans="2:6" x14ac:dyDescent="0.25">
      <c r="B304" s="24"/>
      <c r="C304" s="24"/>
      <c r="D304" s="24"/>
      <c r="E304" s="24"/>
      <c r="F304" s="24"/>
    </row>
    <row r="305" spans="2:6" x14ac:dyDescent="0.25">
      <c r="B305" s="24"/>
      <c r="C305" s="24"/>
      <c r="D305" s="24"/>
      <c r="E305" s="24"/>
      <c r="F305" s="24"/>
    </row>
    <row r="306" spans="2:6" x14ac:dyDescent="0.25">
      <c r="B306" s="24"/>
      <c r="C306" s="24"/>
      <c r="D306" s="24"/>
      <c r="E306" s="24"/>
      <c r="F306" s="24"/>
    </row>
    <row r="307" spans="2:6" x14ac:dyDescent="0.25">
      <c r="B307" s="24"/>
      <c r="C307" s="24"/>
      <c r="D307" s="24"/>
      <c r="E307" s="24"/>
      <c r="F307" s="24"/>
    </row>
    <row r="308" spans="2:6" x14ac:dyDescent="0.25">
      <c r="B308" s="24"/>
      <c r="C308" s="24"/>
      <c r="D308" s="24"/>
      <c r="E308" s="24"/>
      <c r="F308" s="24"/>
    </row>
    <row r="309" spans="2:6" x14ac:dyDescent="0.25">
      <c r="B309" s="24"/>
      <c r="C309" s="24"/>
      <c r="D309" s="24"/>
      <c r="E309" s="24"/>
      <c r="F309" s="24"/>
    </row>
    <row r="310" spans="2:6" x14ac:dyDescent="0.25">
      <c r="B310" s="24"/>
      <c r="C310" s="24"/>
      <c r="D310" s="24"/>
      <c r="E310" s="24"/>
      <c r="F310" s="24"/>
    </row>
    <row r="311" spans="2:6" x14ac:dyDescent="0.25">
      <c r="B311" s="24"/>
      <c r="C311" s="24"/>
      <c r="D311" s="24"/>
      <c r="E311" s="24"/>
      <c r="F311" s="24"/>
    </row>
    <row r="312" spans="2:6" x14ac:dyDescent="0.25">
      <c r="B312" s="24"/>
      <c r="C312" s="24"/>
      <c r="D312" s="24"/>
      <c r="E312" s="24"/>
      <c r="F312" s="24"/>
    </row>
    <row r="313" spans="2:6" x14ac:dyDescent="0.25">
      <c r="B313" s="24"/>
      <c r="C313" s="24"/>
      <c r="D313" s="24"/>
      <c r="E313" s="24"/>
      <c r="F313" s="24"/>
    </row>
    <row r="314" spans="2:6" x14ac:dyDescent="0.25">
      <c r="B314" s="24"/>
      <c r="C314" s="24"/>
      <c r="D314" s="24"/>
      <c r="E314" s="24"/>
      <c r="F314" s="24"/>
    </row>
    <row r="315" spans="2:6" x14ac:dyDescent="0.25">
      <c r="B315" s="24"/>
      <c r="C315" s="24"/>
      <c r="D315" s="24"/>
      <c r="E315" s="24"/>
      <c r="F315" s="24"/>
    </row>
    <row r="316" spans="2:6" x14ac:dyDescent="0.25">
      <c r="B316" s="24"/>
      <c r="C316" s="24"/>
      <c r="D316" s="24"/>
      <c r="E316" s="24"/>
      <c r="F316" s="24"/>
    </row>
    <row r="317" spans="2:6" x14ac:dyDescent="0.25">
      <c r="B317" s="24"/>
      <c r="C317" s="24"/>
      <c r="D317" s="24"/>
      <c r="E317" s="24"/>
      <c r="F317" s="24"/>
    </row>
    <row r="318" spans="2:6" x14ac:dyDescent="0.25">
      <c r="B318" s="24"/>
      <c r="C318" s="24"/>
      <c r="D318" s="24"/>
      <c r="E318" s="24"/>
      <c r="F318" s="24"/>
    </row>
    <row r="319" spans="2:6" x14ac:dyDescent="0.25">
      <c r="B319" s="24"/>
      <c r="C319" s="24"/>
      <c r="D319" s="24"/>
      <c r="E319" s="24"/>
      <c r="F319" s="24"/>
    </row>
    <row r="320" spans="2:6" x14ac:dyDescent="0.25">
      <c r="B320" s="24"/>
      <c r="C320" s="24"/>
      <c r="D320" s="24"/>
      <c r="E320" s="24"/>
      <c r="F320" s="24"/>
    </row>
    <row r="321" spans="2:6" x14ac:dyDescent="0.25">
      <c r="B321" s="24"/>
      <c r="C321" s="24"/>
      <c r="D321" s="24"/>
      <c r="E321" s="24"/>
      <c r="F321" s="24"/>
    </row>
    <row r="322" spans="2:6" x14ac:dyDescent="0.25">
      <c r="B322" s="24"/>
      <c r="C322" s="24"/>
      <c r="D322" s="24"/>
      <c r="E322" s="24"/>
      <c r="F322" s="24"/>
    </row>
    <row r="323" spans="2:6" x14ac:dyDescent="0.25">
      <c r="B323" s="24"/>
      <c r="C323" s="24"/>
      <c r="D323" s="24"/>
      <c r="E323" s="24"/>
      <c r="F323" s="24"/>
    </row>
    <row r="324" spans="2:6" x14ac:dyDescent="0.25">
      <c r="B324" s="24"/>
      <c r="C324" s="24"/>
      <c r="D324" s="24"/>
      <c r="E324" s="24"/>
      <c r="F324" s="24"/>
    </row>
    <row r="325" spans="2:6" x14ac:dyDescent="0.25">
      <c r="B325" s="24"/>
      <c r="C325" s="24"/>
      <c r="D325" s="24"/>
      <c r="E325" s="24"/>
      <c r="F325" s="24"/>
    </row>
    <row r="326" spans="2:6" x14ac:dyDescent="0.25">
      <c r="B326" s="24"/>
      <c r="C326" s="24"/>
      <c r="D326" s="24"/>
      <c r="E326" s="24"/>
      <c r="F326" s="24"/>
    </row>
    <row r="327" spans="2:6" x14ac:dyDescent="0.25">
      <c r="B327" s="24"/>
      <c r="C327" s="24"/>
      <c r="D327" s="24"/>
      <c r="E327" s="24"/>
      <c r="F327" s="24"/>
    </row>
    <row r="328" spans="2:6" x14ac:dyDescent="0.25">
      <c r="B328" s="24"/>
      <c r="C328" s="24"/>
      <c r="D328" s="24"/>
      <c r="E328" s="24"/>
      <c r="F328" s="24"/>
    </row>
    <row r="329" spans="2:6" x14ac:dyDescent="0.25">
      <c r="B329" s="24"/>
      <c r="C329" s="24"/>
      <c r="D329" s="24"/>
      <c r="E329" s="24"/>
      <c r="F329" s="24"/>
    </row>
    <row r="330" spans="2:6" x14ac:dyDescent="0.25">
      <c r="B330" s="24"/>
      <c r="C330" s="24"/>
      <c r="D330" s="24"/>
      <c r="E330" s="24"/>
      <c r="F330" s="24"/>
    </row>
    <row r="331" spans="2:6" x14ac:dyDescent="0.25">
      <c r="B331" s="24"/>
      <c r="C331" s="24"/>
      <c r="D331" s="24"/>
      <c r="E331" s="24"/>
      <c r="F331" s="24"/>
    </row>
    <row r="332" spans="2:6" x14ac:dyDescent="0.25">
      <c r="B332" s="24"/>
      <c r="C332" s="24"/>
      <c r="D332" s="24"/>
      <c r="E332" s="24"/>
      <c r="F332" s="24"/>
    </row>
    <row r="333" spans="2:6" x14ac:dyDescent="0.25">
      <c r="B333" s="24"/>
      <c r="C333" s="24"/>
      <c r="D333" s="24"/>
      <c r="E333" s="24"/>
      <c r="F333" s="24"/>
    </row>
    <row r="334" spans="2:6" x14ac:dyDescent="0.25">
      <c r="B334" s="24"/>
      <c r="C334" s="24"/>
      <c r="D334" s="24"/>
      <c r="E334" s="24"/>
      <c r="F334" s="24"/>
    </row>
    <row r="335" spans="2:6" x14ac:dyDescent="0.25">
      <c r="B335" s="24"/>
      <c r="C335" s="24"/>
      <c r="D335" s="24"/>
      <c r="E335" s="24"/>
      <c r="F335" s="24"/>
    </row>
    <row r="336" spans="2:6" x14ac:dyDescent="0.25">
      <c r="B336" s="24"/>
      <c r="C336" s="24"/>
      <c r="D336" s="24"/>
      <c r="E336" s="24"/>
      <c r="F336" s="24"/>
    </row>
    <row r="337" spans="2:6" x14ac:dyDescent="0.25">
      <c r="B337" s="24"/>
      <c r="C337" s="24"/>
      <c r="D337" s="24"/>
      <c r="E337" s="24"/>
      <c r="F337" s="24"/>
    </row>
    <row r="338" spans="2:6" x14ac:dyDescent="0.25">
      <c r="B338" s="24"/>
      <c r="C338" s="24"/>
      <c r="D338" s="24"/>
      <c r="E338" s="24"/>
      <c r="F338" s="24"/>
    </row>
    <row r="339" spans="2:6" x14ac:dyDescent="0.25">
      <c r="B339" s="24"/>
      <c r="C339" s="24"/>
      <c r="D339" s="24"/>
      <c r="E339" s="24"/>
      <c r="F339" s="24"/>
    </row>
    <row r="340" spans="2:6" x14ac:dyDescent="0.25">
      <c r="B340" s="24"/>
      <c r="C340" s="24"/>
      <c r="D340" s="24"/>
      <c r="E340" s="24"/>
      <c r="F340" s="24"/>
    </row>
    <row r="341" spans="2:6" x14ac:dyDescent="0.25">
      <c r="B341" s="24"/>
      <c r="C341" s="24"/>
      <c r="D341" s="24"/>
      <c r="E341" s="24"/>
      <c r="F341" s="24"/>
    </row>
    <row r="342" spans="2:6" x14ac:dyDescent="0.25">
      <c r="B342" s="24"/>
      <c r="C342" s="24"/>
      <c r="D342" s="24"/>
      <c r="E342" s="24"/>
      <c r="F342" s="24"/>
    </row>
    <row r="343" spans="2:6" x14ac:dyDescent="0.25">
      <c r="B343" s="24"/>
      <c r="C343" s="24"/>
      <c r="D343" s="24"/>
      <c r="E343" s="24"/>
      <c r="F343" s="24"/>
    </row>
    <row r="344" spans="2:6" x14ac:dyDescent="0.25">
      <c r="B344" s="24"/>
      <c r="C344" s="24"/>
      <c r="D344" s="24"/>
      <c r="E344" s="24"/>
      <c r="F344" s="24"/>
    </row>
    <row r="345" spans="2:6" x14ac:dyDescent="0.25">
      <c r="B345" s="24"/>
      <c r="C345" s="24"/>
      <c r="D345" s="24"/>
      <c r="E345" s="24"/>
      <c r="F345" s="24"/>
    </row>
    <row r="346" spans="2:6" x14ac:dyDescent="0.25">
      <c r="B346" s="24"/>
      <c r="C346" s="24"/>
      <c r="D346" s="24"/>
      <c r="E346" s="24"/>
      <c r="F346" s="24"/>
    </row>
    <row r="347" spans="2:6" x14ac:dyDescent="0.25">
      <c r="B347" s="24"/>
      <c r="C347" s="24"/>
      <c r="D347" s="24"/>
      <c r="E347" s="24"/>
      <c r="F347" s="24"/>
    </row>
    <row r="348" spans="2:6" x14ac:dyDescent="0.25">
      <c r="B348" s="24"/>
      <c r="C348" s="24"/>
      <c r="D348" s="24"/>
      <c r="E348" s="24"/>
      <c r="F348" s="24"/>
    </row>
    <row r="349" spans="2:6" x14ac:dyDescent="0.25">
      <c r="B349" s="24"/>
      <c r="C349" s="24"/>
      <c r="D349" s="24"/>
      <c r="E349" s="24"/>
      <c r="F349" s="24"/>
    </row>
    <row r="350" spans="2:6" x14ac:dyDescent="0.25">
      <c r="B350" s="24"/>
      <c r="C350" s="24"/>
      <c r="D350" s="24"/>
      <c r="E350" s="24"/>
      <c r="F350" s="24"/>
    </row>
    <row r="351" spans="2:6" x14ac:dyDescent="0.25">
      <c r="B351" s="24"/>
      <c r="C351" s="24"/>
      <c r="D351" s="24"/>
      <c r="E351" s="24"/>
      <c r="F351" s="24"/>
    </row>
    <row r="352" spans="2:6" x14ac:dyDescent="0.25">
      <c r="B352" s="24"/>
      <c r="C352" s="24"/>
      <c r="D352" s="24"/>
      <c r="E352" s="24"/>
      <c r="F352" s="24"/>
    </row>
    <row r="353" spans="2:6" x14ac:dyDescent="0.25">
      <c r="B353" s="24"/>
      <c r="C353" s="24"/>
      <c r="D353" s="24"/>
      <c r="E353" s="24"/>
      <c r="F353" s="24"/>
    </row>
    <row r="354" spans="2:6" x14ac:dyDescent="0.25">
      <c r="B354" s="24"/>
      <c r="C354" s="24"/>
      <c r="D354" s="24"/>
      <c r="E354" s="24"/>
      <c r="F354" s="24"/>
    </row>
    <row r="355" spans="2:6" x14ac:dyDescent="0.25">
      <c r="B355" s="24"/>
      <c r="C355" s="24"/>
      <c r="D355" s="24"/>
      <c r="E355" s="24"/>
      <c r="F355" s="24"/>
    </row>
    <row r="356" spans="2:6" x14ac:dyDescent="0.25">
      <c r="B356" s="24"/>
      <c r="C356" s="24"/>
      <c r="D356" s="24"/>
      <c r="E356" s="24"/>
      <c r="F356" s="24"/>
    </row>
    <row r="357" spans="2:6" x14ac:dyDescent="0.25">
      <c r="B357" s="24"/>
      <c r="C357" s="24"/>
      <c r="D357" s="24"/>
      <c r="E357" s="24"/>
      <c r="F357" s="24"/>
    </row>
    <row r="358" spans="2:6" x14ac:dyDescent="0.25">
      <c r="B358" s="24"/>
      <c r="C358" s="24"/>
      <c r="D358" s="24"/>
      <c r="E358" s="24"/>
      <c r="F358" s="24"/>
    </row>
    <row r="359" spans="2:6" x14ac:dyDescent="0.25">
      <c r="B359" s="24"/>
      <c r="C359" s="24"/>
      <c r="D359" s="24"/>
      <c r="E359" s="24"/>
      <c r="F359" s="24"/>
    </row>
    <row r="360" spans="2:6" x14ac:dyDescent="0.25">
      <c r="B360" s="24"/>
      <c r="C360" s="24"/>
      <c r="D360" s="24"/>
      <c r="E360" s="24"/>
      <c r="F360" s="24"/>
    </row>
    <row r="361" spans="2:6" x14ac:dyDescent="0.25">
      <c r="B361" s="24"/>
      <c r="C361" s="24"/>
      <c r="D361" s="24"/>
      <c r="E361" s="24"/>
      <c r="F361" s="24"/>
    </row>
    <row r="362" spans="2:6" x14ac:dyDescent="0.25">
      <c r="B362" s="24"/>
      <c r="C362" s="24"/>
      <c r="D362" s="24"/>
      <c r="E362" s="24"/>
      <c r="F362" s="24"/>
    </row>
    <row r="363" spans="2:6" x14ac:dyDescent="0.25">
      <c r="B363" s="24"/>
      <c r="C363" s="24"/>
      <c r="D363" s="24"/>
      <c r="E363" s="24"/>
      <c r="F363" s="24"/>
    </row>
    <row r="364" spans="2:6" x14ac:dyDescent="0.25">
      <c r="B364" s="24"/>
      <c r="C364" s="24"/>
      <c r="D364" s="24"/>
      <c r="E364" s="24"/>
      <c r="F364" s="24"/>
    </row>
    <row r="365" spans="2:6" x14ac:dyDescent="0.25">
      <c r="B365" s="24"/>
      <c r="C365" s="24"/>
      <c r="D365" s="24"/>
      <c r="E365" s="24"/>
      <c r="F365" s="24"/>
    </row>
    <row r="366" spans="2:6" x14ac:dyDescent="0.25">
      <c r="B366" s="24"/>
      <c r="C366" s="24"/>
      <c r="D366" s="24"/>
      <c r="E366" s="24"/>
      <c r="F366" s="24"/>
    </row>
    <row r="367" spans="2:6" x14ac:dyDescent="0.25">
      <c r="B367" s="24"/>
      <c r="C367" s="24"/>
      <c r="D367" s="24"/>
      <c r="E367" s="24"/>
      <c r="F367" s="24"/>
    </row>
    <row r="368" spans="2:6" x14ac:dyDescent="0.25">
      <c r="B368" s="24"/>
      <c r="C368" s="24"/>
      <c r="D368" s="24"/>
      <c r="E368" s="24"/>
      <c r="F368" s="24"/>
    </row>
    <row r="369" spans="2:6" x14ac:dyDescent="0.25">
      <c r="B369" s="24"/>
      <c r="C369" s="24"/>
      <c r="D369" s="24"/>
      <c r="E369" s="24"/>
      <c r="F369" s="24"/>
    </row>
    <row r="370" spans="2:6" x14ac:dyDescent="0.25">
      <c r="B370" s="24"/>
      <c r="C370" s="24"/>
      <c r="D370" s="24"/>
      <c r="E370" s="24"/>
      <c r="F370" s="24"/>
    </row>
    <row r="371" spans="2:6" x14ac:dyDescent="0.25">
      <c r="B371" s="24"/>
      <c r="C371" s="24"/>
      <c r="D371" s="24"/>
      <c r="E371" s="24"/>
      <c r="F371" s="24"/>
    </row>
    <row r="372" spans="2:6" x14ac:dyDescent="0.25">
      <c r="B372" s="24"/>
      <c r="C372" s="24"/>
      <c r="D372" s="24"/>
      <c r="E372" s="24"/>
      <c r="F372" s="24"/>
    </row>
    <row r="373" spans="2:6" x14ac:dyDescent="0.25">
      <c r="B373" s="24"/>
      <c r="C373" s="24"/>
      <c r="D373" s="24"/>
      <c r="E373" s="24"/>
      <c r="F373" s="24"/>
    </row>
    <row r="374" spans="2:6" x14ac:dyDescent="0.25">
      <c r="B374" s="24"/>
      <c r="C374" s="24"/>
      <c r="D374" s="24"/>
      <c r="E374" s="24"/>
      <c r="F374" s="24"/>
    </row>
    <row r="375" spans="2:6" x14ac:dyDescent="0.25">
      <c r="B375" s="24"/>
      <c r="C375" s="24"/>
      <c r="D375" s="24"/>
      <c r="E375" s="24"/>
      <c r="F375" s="24"/>
    </row>
    <row r="376" spans="2:6" x14ac:dyDescent="0.25">
      <c r="B376" s="24"/>
      <c r="C376" s="24"/>
      <c r="D376" s="24"/>
      <c r="E376" s="24"/>
      <c r="F376" s="24"/>
    </row>
    <row r="377" spans="2:6" x14ac:dyDescent="0.25">
      <c r="B377" s="24"/>
      <c r="C377" s="24"/>
      <c r="D377" s="24"/>
      <c r="E377" s="24"/>
      <c r="F377" s="24"/>
    </row>
    <row r="378" spans="2:6" x14ac:dyDescent="0.25">
      <c r="B378" s="24"/>
      <c r="C378" s="24"/>
      <c r="D378" s="24"/>
      <c r="E378" s="24"/>
      <c r="F378" s="24"/>
    </row>
    <row r="379" spans="2:6" x14ac:dyDescent="0.25">
      <c r="B379" s="24"/>
      <c r="C379" s="24"/>
      <c r="D379" s="24"/>
      <c r="E379" s="24"/>
      <c r="F379" s="24"/>
    </row>
    <row r="380" spans="2:6" x14ac:dyDescent="0.25">
      <c r="B380" s="24"/>
      <c r="C380" s="24"/>
      <c r="D380" s="24"/>
      <c r="E380" s="24"/>
      <c r="F380" s="24"/>
    </row>
    <row r="381" spans="2:6" x14ac:dyDescent="0.25">
      <c r="B381" s="24"/>
      <c r="C381" s="24"/>
      <c r="D381" s="24"/>
      <c r="E381" s="24"/>
      <c r="F381" s="24"/>
    </row>
    <row r="382" spans="2:6" x14ac:dyDescent="0.25">
      <c r="B382" s="24"/>
      <c r="C382" s="24"/>
      <c r="D382" s="24"/>
      <c r="E382" s="24"/>
      <c r="F382" s="24"/>
    </row>
    <row r="383" spans="2:6" x14ac:dyDescent="0.25">
      <c r="B383" s="24"/>
      <c r="C383" s="24"/>
      <c r="D383" s="24"/>
      <c r="E383" s="24"/>
      <c r="F383" s="24"/>
    </row>
    <row r="384" spans="2:6" x14ac:dyDescent="0.25">
      <c r="B384" s="24"/>
      <c r="C384" s="24"/>
      <c r="D384" s="24"/>
      <c r="E384" s="24"/>
      <c r="F384" s="24"/>
    </row>
    <row r="385" spans="2:6" x14ac:dyDescent="0.25">
      <c r="B385" s="24"/>
      <c r="C385" s="24"/>
      <c r="D385" s="24"/>
      <c r="E385" s="24"/>
      <c r="F385" s="24"/>
    </row>
    <row r="386" spans="2:6" x14ac:dyDescent="0.25">
      <c r="B386" s="24"/>
      <c r="C386" s="24"/>
      <c r="D386" s="24"/>
      <c r="E386" s="24"/>
      <c r="F386" s="24"/>
    </row>
    <row r="387" spans="2:6" x14ac:dyDescent="0.25">
      <c r="B387" s="24"/>
      <c r="C387" s="24"/>
      <c r="D387" s="24"/>
      <c r="E387" s="24"/>
      <c r="F387" s="24"/>
    </row>
    <row r="388" spans="2:6" x14ac:dyDescent="0.25">
      <c r="B388" s="24"/>
      <c r="C388" s="24"/>
      <c r="D388" s="24"/>
      <c r="E388" s="24"/>
      <c r="F388" s="24"/>
    </row>
    <row r="389" spans="2:6" x14ac:dyDescent="0.25">
      <c r="B389" s="24"/>
      <c r="C389" s="24"/>
      <c r="D389" s="24"/>
      <c r="E389" s="24"/>
      <c r="F389" s="24"/>
    </row>
    <row r="390" spans="2:6" x14ac:dyDescent="0.25">
      <c r="B390" s="24"/>
      <c r="C390" s="24"/>
      <c r="D390" s="24"/>
      <c r="E390" s="24"/>
      <c r="F390" s="24"/>
    </row>
    <row r="391" spans="2:6" x14ac:dyDescent="0.25">
      <c r="B391" s="24"/>
      <c r="C391" s="24"/>
      <c r="D391" s="24"/>
      <c r="E391" s="24"/>
      <c r="F391" s="24"/>
    </row>
    <row r="392" spans="2:6" x14ac:dyDescent="0.25">
      <c r="B392" s="24"/>
      <c r="C392" s="24"/>
      <c r="D392" s="24"/>
      <c r="E392" s="24"/>
      <c r="F392" s="24"/>
    </row>
    <row r="393" spans="2:6" x14ac:dyDescent="0.25">
      <c r="B393" s="24"/>
      <c r="C393" s="24"/>
      <c r="D393" s="24"/>
      <c r="E393" s="24"/>
      <c r="F393" s="24"/>
    </row>
    <row r="394" spans="2:6" x14ac:dyDescent="0.25">
      <c r="B394" s="24"/>
      <c r="C394" s="24"/>
      <c r="D394" s="24"/>
      <c r="E394" s="24"/>
      <c r="F394" s="24"/>
    </row>
    <row r="395" spans="2:6" x14ac:dyDescent="0.25">
      <c r="B395" s="24"/>
      <c r="C395" s="24"/>
      <c r="D395" s="24"/>
      <c r="E395" s="24"/>
      <c r="F395" s="24"/>
    </row>
    <row r="396" spans="2:6" x14ac:dyDescent="0.25">
      <c r="B396" s="24"/>
      <c r="C396" s="24"/>
      <c r="D396" s="24"/>
      <c r="E396" s="24"/>
      <c r="F396" s="24"/>
    </row>
    <row r="397" spans="2:6" x14ac:dyDescent="0.25">
      <c r="B397" s="24"/>
      <c r="C397" s="24"/>
      <c r="D397" s="24"/>
      <c r="E397" s="24"/>
      <c r="F397" s="24"/>
    </row>
    <row r="398" spans="2:6" x14ac:dyDescent="0.25">
      <c r="B398" s="24"/>
      <c r="C398" s="24"/>
      <c r="D398" s="24"/>
      <c r="E398" s="24"/>
      <c r="F398" s="24"/>
    </row>
    <row r="399" spans="2:6" x14ac:dyDescent="0.25">
      <c r="B399" s="24"/>
      <c r="C399" s="24"/>
      <c r="D399" s="24"/>
      <c r="E399" s="24"/>
      <c r="F399" s="24"/>
    </row>
    <row r="400" spans="2:6" x14ac:dyDescent="0.25">
      <c r="B400" s="24"/>
      <c r="C400" s="24"/>
      <c r="D400" s="24"/>
      <c r="E400" s="24"/>
      <c r="F400" s="24"/>
    </row>
    <row r="401" spans="2:6" x14ac:dyDescent="0.25">
      <c r="B401" s="24"/>
      <c r="C401" s="24"/>
      <c r="D401" s="24"/>
      <c r="E401" s="24"/>
      <c r="F401" s="24"/>
    </row>
    <row r="402" spans="2:6" x14ac:dyDescent="0.25">
      <c r="B402" s="24"/>
      <c r="C402" s="24"/>
      <c r="D402" s="24"/>
      <c r="E402" s="24"/>
      <c r="F402" s="24"/>
    </row>
    <row r="403" spans="2:6" x14ac:dyDescent="0.25">
      <c r="B403" s="24"/>
      <c r="C403" s="24"/>
      <c r="D403" s="24"/>
      <c r="E403" s="24"/>
      <c r="F403" s="24"/>
    </row>
    <row r="404" spans="2:6" x14ac:dyDescent="0.25">
      <c r="B404" s="24"/>
      <c r="C404" s="24"/>
      <c r="D404" s="24"/>
      <c r="E404" s="24"/>
      <c r="F404" s="24"/>
    </row>
    <row r="405" spans="2:6" x14ac:dyDescent="0.25">
      <c r="B405" s="24"/>
      <c r="C405" s="24"/>
      <c r="D405" s="24"/>
      <c r="E405" s="24"/>
      <c r="F405" s="24"/>
    </row>
    <row r="406" spans="2:6" x14ac:dyDescent="0.25">
      <c r="B406" s="24"/>
      <c r="C406" s="24"/>
      <c r="D406" s="24"/>
      <c r="E406" s="24"/>
      <c r="F406" s="24"/>
    </row>
    <row r="407" spans="2:6" x14ac:dyDescent="0.25">
      <c r="B407" s="24"/>
      <c r="C407" s="24"/>
      <c r="D407" s="24"/>
      <c r="E407" s="24"/>
      <c r="F407" s="24"/>
    </row>
    <row r="408" spans="2:6" x14ac:dyDescent="0.25">
      <c r="B408" s="24"/>
      <c r="C408" s="24"/>
      <c r="D408" s="24"/>
      <c r="E408" s="24"/>
      <c r="F408" s="24"/>
    </row>
    <row r="409" spans="2:6" x14ac:dyDescent="0.25">
      <c r="B409" s="24"/>
      <c r="C409" s="24"/>
      <c r="D409" s="24"/>
      <c r="E409" s="24"/>
      <c r="F409" s="24"/>
    </row>
    <row r="410" spans="2:6" x14ac:dyDescent="0.25">
      <c r="B410" s="24"/>
      <c r="C410" s="24"/>
      <c r="D410" s="24"/>
      <c r="E410" s="24"/>
      <c r="F410" s="24"/>
    </row>
    <row r="411" spans="2:6" x14ac:dyDescent="0.25">
      <c r="B411" s="24"/>
      <c r="C411" s="24"/>
      <c r="D411" s="24"/>
      <c r="E411" s="24"/>
      <c r="F411" s="24"/>
    </row>
    <row r="412" spans="2:6" x14ac:dyDescent="0.25">
      <c r="B412" s="24"/>
      <c r="C412" s="24"/>
      <c r="D412" s="24"/>
      <c r="E412" s="24"/>
      <c r="F412" s="24"/>
    </row>
    <row r="413" spans="2:6" x14ac:dyDescent="0.25">
      <c r="B413" s="24"/>
      <c r="C413" s="24"/>
      <c r="D413" s="24"/>
      <c r="E413" s="24"/>
      <c r="F413" s="24"/>
    </row>
    <row r="414" spans="2:6" x14ac:dyDescent="0.25">
      <c r="B414" s="24"/>
      <c r="C414" s="24"/>
      <c r="D414" s="24"/>
      <c r="E414" s="24"/>
      <c r="F414" s="24"/>
    </row>
    <row r="415" spans="2:6" x14ac:dyDescent="0.25">
      <c r="B415" s="24"/>
      <c r="C415" s="24"/>
      <c r="D415" s="24"/>
      <c r="E415" s="24"/>
      <c r="F415" s="24"/>
    </row>
    <row r="416" spans="2:6" x14ac:dyDescent="0.25">
      <c r="B416" s="24"/>
      <c r="C416" s="24"/>
      <c r="D416" s="24"/>
      <c r="E416" s="24"/>
      <c r="F416" s="24"/>
    </row>
    <row r="417" spans="2:6" x14ac:dyDescent="0.25">
      <c r="B417" s="24"/>
      <c r="C417" s="24"/>
      <c r="D417" s="24"/>
      <c r="E417" s="24"/>
      <c r="F417" s="24"/>
    </row>
    <row r="418" spans="2:6" x14ac:dyDescent="0.25">
      <c r="B418" s="24"/>
      <c r="C418" s="24"/>
      <c r="D418" s="24"/>
      <c r="E418" s="24"/>
      <c r="F418" s="24"/>
    </row>
    <row r="419" spans="2:6" x14ac:dyDescent="0.25">
      <c r="B419" s="24"/>
      <c r="C419" s="24"/>
      <c r="D419" s="24"/>
      <c r="E419" s="24"/>
      <c r="F419" s="24"/>
    </row>
    <row r="420" spans="2:6" x14ac:dyDescent="0.25">
      <c r="B420" s="24"/>
      <c r="C420" s="24"/>
      <c r="D420" s="24"/>
      <c r="E420" s="24"/>
      <c r="F420" s="24"/>
    </row>
    <row r="421" spans="2:6" x14ac:dyDescent="0.25">
      <c r="B421" s="24"/>
      <c r="C421" s="24"/>
      <c r="D421" s="24"/>
      <c r="E421" s="24"/>
      <c r="F421" s="24"/>
    </row>
    <row r="422" spans="2:6" x14ac:dyDescent="0.25">
      <c r="B422" s="24"/>
      <c r="C422" s="24"/>
      <c r="D422" s="24"/>
      <c r="E422" s="24"/>
      <c r="F422" s="24"/>
    </row>
    <row r="423" spans="2:6" x14ac:dyDescent="0.25">
      <c r="B423" s="24"/>
      <c r="C423" s="24"/>
      <c r="D423" s="24"/>
      <c r="E423" s="24"/>
      <c r="F423" s="24"/>
    </row>
    <row r="424" spans="2:6" x14ac:dyDescent="0.25">
      <c r="B424" s="24"/>
      <c r="C424" s="24"/>
      <c r="D424" s="24"/>
      <c r="E424" s="24"/>
      <c r="F424" s="24"/>
    </row>
    <row r="425" spans="2:6" x14ac:dyDescent="0.25">
      <c r="B425" s="24"/>
      <c r="C425" s="24"/>
      <c r="D425" s="24"/>
      <c r="E425" s="24"/>
      <c r="F425" s="24"/>
    </row>
    <row r="426" spans="2:6" x14ac:dyDescent="0.25">
      <c r="B426" s="24"/>
      <c r="C426" s="24"/>
      <c r="D426" s="24"/>
      <c r="E426" s="24"/>
      <c r="F426" s="24"/>
    </row>
    <row r="427" spans="2:6" x14ac:dyDescent="0.25">
      <c r="B427" s="24"/>
      <c r="C427" s="24"/>
      <c r="D427" s="24"/>
      <c r="E427" s="24"/>
      <c r="F427" s="24"/>
    </row>
    <row r="428" spans="2:6" x14ac:dyDescent="0.25">
      <c r="B428" s="24"/>
      <c r="C428" s="24"/>
      <c r="D428" s="24"/>
      <c r="E428" s="24"/>
      <c r="F428" s="24"/>
    </row>
    <row r="429" spans="2:6" x14ac:dyDescent="0.25">
      <c r="B429" s="24"/>
      <c r="C429" s="24"/>
      <c r="D429" s="24"/>
      <c r="E429" s="24"/>
      <c r="F429" s="24"/>
    </row>
    <row r="430" spans="2:6" x14ac:dyDescent="0.25">
      <c r="B430" s="24"/>
      <c r="C430" s="24"/>
      <c r="D430" s="24"/>
      <c r="E430" s="24"/>
      <c r="F430" s="24"/>
    </row>
    <row r="431" spans="2:6" x14ac:dyDescent="0.25">
      <c r="B431" s="24"/>
      <c r="C431" s="24"/>
      <c r="D431" s="24"/>
      <c r="E431" s="24"/>
      <c r="F431" s="24"/>
    </row>
    <row r="432" spans="2:6" x14ac:dyDescent="0.25">
      <c r="B432" s="24"/>
      <c r="C432" s="24"/>
      <c r="D432" s="24"/>
      <c r="E432" s="24"/>
      <c r="F432" s="24"/>
    </row>
    <row r="433" spans="2:6" x14ac:dyDescent="0.25">
      <c r="B433" s="24"/>
      <c r="C433" s="24"/>
      <c r="D433" s="24"/>
      <c r="E433" s="24"/>
      <c r="F433" s="24"/>
    </row>
    <row r="434" spans="2:6" x14ac:dyDescent="0.25">
      <c r="B434" s="148"/>
      <c r="C434" s="148"/>
      <c r="D434" s="148"/>
      <c r="E434" s="148"/>
      <c r="F434" s="148"/>
    </row>
    <row r="435" spans="2:6" x14ac:dyDescent="0.25">
      <c r="B435" s="148"/>
      <c r="C435" s="148"/>
      <c r="D435" s="148"/>
      <c r="E435" s="148"/>
      <c r="F435" s="148"/>
    </row>
    <row r="436" spans="2:6" x14ac:dyDescent="0.25">
      <c r="B436" s="148"/>
      <c r="C436" s="148"/>
      <c r="D436" s="148"/>
      <c r="E436" s="148"/>
      <c r="F436" s="148"/>
    </row>
    <row r="437" spans="2:6" x14ac:dyDescent="0.25">
      <c r="B437" s="148"/>
      <c r="C437" s="148"/>
      <c r="D437" s="148"/>
      <c r="E437" s="148"/>
      <c r="F437" s="148"/>
    </row>
    <row r="438" spans="2:6" x14ac:dyDescent="0.25">
      <c r="B438" s="148"/>
      <c r="C438" s="148"/>
      <c r="D438" s="148"/>
      <c r="E438" s="148"/>
      <c r="F438" s="148"/>
    </row>
    <row r="439" spans="2:6" x14ac:dyDescent="0.25">
      <c r="B439" s="148"/>
      <c r="C439" s="148"/>
      <c r="D439" s="148"/>
      <c r="E439" s="148"/>
      <c r="F439" s="148"/>
    </row>
    <row r="440" spans="2:6" x14ac:dyDescent="0.25">
      <c r="B440" s="148"/>
      <c r="C440" s="148"/>
      <c r="D440" s="148"/>
      <c r="E440" s="148"/>
      <c r="F440" s="148"/>
    </row>
    <row r="441" spans="2:6" x14ac:dyDescent="0.25">
      <c r="B441" s="148"/>
      <c r="C441" s="148"/>
      <c r="D441" s="148"/>
      <c r="E441" s="148"/>
      <c r="F441" s="148"/>
    </row>
    <row r="442" spans="2:6" x14ac:dyDescent="0.25">
      <c r="B442" s="148"/>
      <c r="C442" s="148"/>
      <c r="D442" s="148"/>
      <c r="E442" s="148"/>
      <c r="F442" s="148"/>
    </row>
    <row r="443" spans="2:6" x14ac:dyDescent="0.25">
      <c r="B443" s="148"/>
      <c r="C443" s="148"/>
      <c r="D443" s="148"/>
      <c r="E443" s="148"/>
      <c r="F443" s="148"/>
    </row>
  </sheetData>
  <phoneticPr fontId="19"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755A3-FA83-4ECF-BE58-5E4037526DF6}">
  <sheetPr>
    <tabColor rgb="FFFFFF00"/>
  </sheetPr>
  <dimension ref="B1:S412"/>
  <sheetViews>
    <sheetView rightToLeft="1" topLeftCell="A264" zoomScale="85" zoomScaleNormal="85" workbookViewId="0">
      <selection activeCell="D233" sqref="D233"/>
    </sheetView>
  </sheetViews>
  <sheetFormatPr defaultColWidth="8.8984375" defaultRowHeight="16.2" x14ac:dyDescent="0.25"/>
  <cols>
    <col min="1" max="1" width="10.69921875" style="22" customWidth="1"/>
    <col min="2" max="2" width="19.19921875" style="22" customWidth="1"/>
    <col min="3" max="3" width="17.09765625" style="22" customWidth="1"/>
    <col min="4" max="4" width="17.59765625" style="22" bestFit="1" customWidth="1"/>
    <col min="5" max="5" width="18.19921875" style="22" customWidth="1"/>
    <col min="6" max="6" width="17.796875" style="22" bestFit="1" customWidth="1"/>
    <col min="7" max="10" width="17.09765625" style="22" customWidth="1"/>
    <col min="11" max="11" width="11.796875" style="22" customWidth="1"/>
    <col min="12" max="12" width="9.69921875" style="22" bestFit="1" customWidth="1"/>
    <col min="13" max="16384" width="8.8984375" style="22"/>
  </cols>
  <sheetData>
    <row r="1" spans="2:7" s="5" customFormat="1" ht="13.8" x14ac:dyDescent="0.25"/>
    <row r="7" spans="2:7" ht="17.399999999999999" x14ac:dyDescent="0.25">
      <c r="B7" s="156" t="s">
        <v>557</v>
      </c>
    </row>
    <row r="8" spans="2:7" ht="18" x14ac:dyDescent="0.25">
      <c r="B8" s="124">
        <v>1403</v>
      </c>
      <c r="C8" s="124">
        <v>2024</v>
      </c>
    </row>
    <row r="11" spans="2:7" ht="17.399999999999999" x14ac:dyDescent="0.25">
      <c r="B11" s="156" t="s">
        <v>351</v>
      </c>
    </row>
    <row r="12" spans="2:7" x14ac:dyDescent="0.25">
      <c r="B12" s="858" t="s">
        <v>351</v>
      </c>
      <c r="C12" s="859"/>
      <c r="D12" s="223" t="s">
        <v>1067</v>
      </c>
      <c r="E12" s="858" t="s">
        <v>1090</v>
      </c>
      <c r="F12" s="859"/>
      <c r="G12" s="223" t="s">
        <v>835</v>
      </c>
    </row>
    <row r="13" spans="2:7" x14ac:dyDescent="0.25">
      <c r="B13" s="854" t="s">
        <v>553</v>
      </c>
      <c r="C13" s="855"/>
      <c r="D13" s="69">
        <v>8760</v>
      </c>
      <c r="E13" s="856" t="s">
        <v>29</v>
      </c>
      <c r="F13" s="857"/>
      <c r="G13" s="222" t="s">
        <v>16</v>
      </c>
    </row>
    <row r="14" spans="2:7" x14ac:dyDescent="0.25">
      <c r="B14" s="854" t="s">
        <v>554</v>
      </c>
      <c r="C14" s="855"/>
      <c r="D14" s="69">
        <v>365</v>
      </c>
      <c r="E14" s="856" t="s">
        <v>213</v>
      </c>
      <c r="F14" s="857"/>
      <c r="G14" s="222" t="s">
        <v>16</v>
      </c>
    </row>
    <row r="15" spans="2:7" x14ac:dyDescent="0.25">
      <c r="B15" s="854" t="s">
        <v>555</v>
      </c>
      <c r="C15" s="855"/>
      <c r="D15" s="69">
        <v>250</v>
      </c>
      <c r="E15" s="856" t="s">
        <v>212</v>
      </c>
      <c r="F15" s="857"/>
      <c r="G15" s="222" t="s">
        <v>16</v>
      </c>
    </row>
    <row r="16" spans="2:7" x14ac:dyDescent="0.25">
      <c r="B16" s="854" t="s">
        <v>556</v>
      </c>
      <c r="C16" s="855"/>
      <c r="D16" s="70">
        <v>0.90280000000000005</v>
      </c>
      <c r="E16" s="856" t="s">
        <v>30</v>
      </c>
      <c r="F16" s="857"/>
      <c r="G16" s="222">
        <v>1</v>
      </c>
    </row>
    <row r="17" spans="2:7" x14ac:dyDescent="0.25">
      <c r="B17" s="854" t="s">
        <v>1071</v>
      </c>
      <c r="C17" s="855"/>
      <c r="D17" s="69">
        <v>373005</v>
      </c>
      <c r="E17" s="856" t="s">
        <v>1070</v>
      </c>
      <c r="F17" s="857"/>
      <c r="G17" s="222">
        <v>2</v>
      </c>
    </row>
    <row r="18" spans="2:7" x14ac:dyDescent="0.25">
      <c r="B18" s="168"/>
      <c r="C18" s="168"/>
      <c r="D18" s="168"/>
      <c r="E18" s="167"/>
      <c r="G18" s="170" t="s">
        <v>1068</v>
      </c>
    </row>
    <row r="19" spans="2:7" x14ac:dyDescent="0.25">
      <c r="B19" s="121"/>
      <c r="C19" s="121"/>
      <c r="D19" s="121"/>
      <c r="G19" s="170" t="s">
        <v>1069</v>
      </c>
    </row>
    <row r="20" spans="2:7" x14ac:dyDescent="0.25">
      <c r="B20" s="121"/>
      <c r="C20" s="121"/>
      <c r="D20" s="121"/>
      <c r="G20" s="170"/>
    </row>
    <row r="22" spans="2:7" ht="17.399999999999999" x14ac:dyDescent="0.25">
      <c r="B22" s="156" t="s">
        <v>558</v>
      </c>
    </row>
    <row r="23" spans="2:7" x14ac:dyDescent="0.25">
      <c r="B23" s="71" t="s">
        <v>9</v>
      </c>
      <c r="C23" s="71" t="s">
        <v>1162</v>
      </c>
      <c r="D23" s="71" t="s">
        <v>11</v>
      </c>
      <c r="E23" s="71" t="s">
        <v>711</v>
      </c>
      <c r="F23" s="71" t="s">
        <v>712</v>
      </c>
      <c r="G23" s="71" t="s">
        <v>768</v>
      </c>
    </row>
    <row r="24" spans="2:7" x14ac:dyDescent="0.25">
      <c r="B24" s="13">
        <v>1</v>
      </c>
      <c r="C24" s="13">
        <v>27</v>
      </c>
      <c r="D24" s="13">
        <v>273</v>
      </c>
      <c r="E24" s="13">
        <v>24300</v>
      </c>
      <c r="F24" s="13">
        <v>12500</v>
      </c>
      <c r="G24" s="13">
        <v>29.8</v>
      </c>
    </row>
    <row r="25" spans="2:7" x14ac:dyDescent="0.25">
      <c r="B25" s="178"/>
      <c r="C25" s="178"/>
      <c r="D25" s="178"/>
      <c r="E25" s="178"/>
      <c r="F25" s="178"/>
      <c r="G25" s="178" t="s">
        <v>701</v>
      </c>
    </row>
    <row r="28" spans="2:7" ht="17.399999999999999" x14ac:dyDescent="0.25">
      <c r="B28" s="156" t="s">
        <v>375</v>
      </c>
    </row>
    <row r="29" spans="2:7" ht="16.2" customHeight="1" x14ac:dyDescent="0.25">
      <c r="B29" s="227" t="s">
        <v>540</v>
      </c>
      <c r="C29" s="146" t="s">
        <v>404</v>
      </c>
      <c r="D29" s="146" t="s">
        <v>402</v>
      </c>
      <c r="E29" s="227" t="s">
        <v>835</v>
      </c>
      <c r="F29" s="761" t="s">
        <v>402</v>
      </c>
      <c r="G29" s="761" t="s">
        <v>353</v>
      </c>
    </row>
    <row r="30" spans="2:7" ht="16.2" customHeight="1" x14ac:dyDescent="0.25">
      <c r="B30" s="228" t="s">
        <v>465</v>
      </c>
      <c r="C30" s="13">
        <v>15</v>
      </c>
      <c r="D30" s="33" t="s">
        <v>322</v>
      </c>
      <c r="E30" s="228">
        <v>1</v>
      </c>
      <c r="F30" s="354" t="s">
        <v>512</v>
      </c>
      <c r="G30" s="762"/>
    </row>
    <row r="31" spans="2:7" ht="16.2" customHeight="1" x14ac:dyDescent="0.25">
      <c r="B31" s="228" t="s">
        <v>534</v>
      </c>
      <c r="C31" s="13">
        <v>0.01</v>
      </c>
      <c r="D31" s="33" t="s">
        <v>257</v>
      </c>
      <c r="E31" s="228">
        <v>2</v>
      </c>
      <c r="F31" s="354" t="s">
        <v>492</v>
      </c>
      <c r="G31" s="762"/>
    </row>
    <row r="32" spans="2:7" ht="16.2" customHeight="1" x14ac:dyDescent="0.25">
      <c r="B32" s="228" t="s">
        <v>770</v>
      </c>
      <c r="C32" s="181">
        <v>5</v>
      </c>
      <c r="D32" s="33" t="s">
        <v>781</v>
      </c>
      <c r="E32" s="228">
        <v>3</v>
      </c>
      <c r="F32" s="354" t="s">
        <v>299</v>
      </c>
      <c r="G32" s="762"/>
    </row>
    <row r="33" spans="2:7" ht="16.2" customHeight="1" x14ac:dyDescent="0.25">
      <c r="B33" s="228" t="s">
        <v>771</v>
      </c>
      <c r="C33" s="181">
        <v>4</v>
      </c>
      <c r="D33" s="33" t="s">
        <v>781</v>
      </c>
      <c r="E33" s="228">
        <v>3</v>
      </c>
      <c r="F33" s="354" t="s">
        <v>299</v>
      </c>
      <c r="G33" s="762"/>
    </row>
    <row r="34" spans="2:7" ht="16.2" customHeight="1" x14ac:dyDescent="0.25">
      <c r="B34" s="228" t="s">
        <v>772</v>
      </c>
      <c r="C34" s="181">
        <v>5</v>
      </c>
      <c r="D34" s="33" t="s">
        <v>781</v>
      </c>
      <c r="E34" s="228">
        <v>3</v>
      </c>
      <c r="F34" s="354" t="s">
        <v>299</v>
      </c>
      <c r="G34" s="762"/>
    </row>
    <row r="35" spans="2:7" x14ac:dyDescent="0.25">
      <c r="B35" s="228" t="s">
        <v>552</v>
      </c>
      <c r="C35" s="13">
        <v>3.5700000000000003E-2</v>
      </c>
      <c r="D35" s="33" t="s">
        <v>257</v>
      </c>
      <c r="E35" s="228">
        <v>2</v>
      </c>
      <c r="F35" s="354" t="s">
        <v>492</v>
      </c>
      <c r="G35" s="762"/>
    </row>
    <row r="36" spans="2:7" x14ac:dyDescent="0.25">
      <c r="B36" s="228" t="s">
        <v>535</v>
      </c>
      <c r="C36" s="13"/>
      <c r="D36" s="33" t="s">
        <v>256</v>
      </c>
      <c r="E36" s="228"/>
      <c r="F36" s="762"/>
      <c r="G36" s="762"/>
    </row>
    <row r="37" spans="2:7" ht="16.2" customHeight="1" x14ac:dyDescent="0.25">
      <c r="B37" s="169"/>
      <c r="C37" s="169"/>
      <c r="D37" s="169"/>
      <c r="F37" s="170" t="s">
        <v>836</v>
      </c>
    </row>
    <row r="38" spans="2:7" ht="16.2" customHeight="1" x14ac:dyDescent="0.25">
      <c r="B38" s="863" t="s">
        <v>714</v>
      </c>
      <c r="C38" s="863"/>
      <c r="D38" s="863"/>
      <c r="E38" s="863"/>
      <c r="F38" s="863"/>
    </row>
    <row r="39" spans="2:7" x14ac:dyDescent="0.25">
      <c r="B39" s="863"/>
      <c r="C39" s="863"/>
      <c r="D39" s="863"/>
      <c r="E39" s="863"/>
      <c r="F39" s="863"/>
    </row>
    <row r="40" spans="2:7" x14ac:dyDescent="0.25">
      <c r="B40" s="180"/>
      <c r="C40" s="180"/>
      <c r="D40" s="180"/>
      <c r="F40" s="170" t="s">
        <v>837</v>
      </c>
    </row>
    <row r="41" spans="2:7" x14ac:dyDescent="0.25">
      <c r="B41" s="37"/>
      <c r="C41" s="37"/>
      <c r="D41" s="37"/>
      <c r="E41" s="37"/>
    </row>
    <row r="43" spans="2:7" ht="17.399999999999999" x14ac:dyDescent="0.25">
      <c r="B43" s="156" t="s">
        <v>559</v>
      </c>
    </row>
    <row r="44" spans="2:7" ht="16.2" customHeight="1" x14ac:dyDescent="0.25">
      <c r="B44" s="860" t="s">
        <v>540</v>
      </c>
      <c r="C44" s="865" t="s">
        <v>579</v>
      </c>
      <c r="D44" s="865"/>
      <c r="E44" s="865"/>
      <c r="F44" s="860" t="s">
        <v>835</v>
      </c>
    </row>
    <row r="45" spans="2:7" ht="16.2" customHeight="1" x14ac:dyDescent="0.25">
      <c r="B45" s="860"/>
      <c r="C45" s="72" t="s">
        <v>9</v>
      </c>
      <c r="D45" s="72" t="s">
        <v>10</v>
      </c>
      <c r="E45" s="72" t="s">
        <v>11</v>
      </c>
      <c r="F45" s="860"/>
    </row>
    <row r="46" spans="2:7" x14ac:dyDescent="0.25">
      <c r="B46" s="228" t="s">
        <v>465</v>
      </c>
      <c r="C46" s="73">
        <v>5.6099999999999997E-2</v>
      </c>
      <c r="D46" s="73">
        <v>9.9999999999999995E-7</v>
      </c>
      <c r="E46" s="73">
        <v>9.9999999999999995E-8</v>
      </c>
      <c r="F46" s="215">
        <v>1</v>
      </c>
    </row>
    <row r="47" spans="2:7" x14ac:dyDescent="0.25">
      <c r="B47" s="228" t="s">
        <v>534</v>
      </c>
      <c r="C47" s="73">
        <v>7.4099999999999999E-2</v>
      </c>
      <c r="D47" s="73">
        <v>3.0000000000000001E-6</v>
      </c>
      <c r="E47" s="73">
        <v>5.9999999999999997E-7</v>
      </c>
      <c r="F47" s="215">
        <v>1</v>
      </c>
    </row>
    <row r="48" spans="2:7" x14ac:dyDescent="0.25">
      <c r="B48" s="228" t="s">
        <v>770</v>
      </c>
      <c r="C48" s="73">
        <v>7</v>
      </c>
      <c r="D48" s="73">
        <v>9.9999999999999995E-7</v>
      </c>
      <c r="E48" s="73">
        <v>9.9999999999999995E-8</v>
      </c>
      <c r="F48" s="215">
        <v>4</v>
      </c>
    </row>
    <row r="49" spans="2:7" x14ac:dyDescent="0.25">
      <c r="B49" s="228" t="s">
        <v>771</v>
      </c>
      <c r="C49" s="73">
        <v>6</v>
      </c>
      <c r="D49" s="73">
        <v>2.7999999999999999E-6</v>
      </c>
      <c r="E49" s="73">
        <v>5.6000000000000004E-7</v>
      </c>
      <c r="F49" s="215">
        <v>3</v>
      </c>
    </row>
    <row r="50" spans="2:7" x14ac:dyDescent="0.25">
      <c r="B50" s="228" t="s">
        <v>772</v>
      </c>
      <c r="C50" s="73">
        <v>6</v>
      </c>
      <c r="D50" s="73">
        <v>0</v>
      </c>
      <c r="E50" s="73">
        <v>0</v>
      </c>
      <c r="F50" s="215">
        <v>2</v>
      </c>
    </row>
    <row r="51" spans="2:7" x14ac:dyDescent="0.25">
      <c r="B51" s="228" t="s">
        <v>552</v>
      </c>
      <c r="C51" s="73">
        <v>7</v>
      </c>
      <c r="D51" s="73">
        <v>3.0000000000000001E-6</v>
      </c>
      <c r="E51" s="73">
        <v>5.9999999999999997E-7</v>
      </c>
      <c r="F51" s="215">
        <v>1</v>
      </c>
    </row>
    <row r="52" spans="2:7" x14ac:dyDescent="0.25">
      <c r="B52" s="228" t="s">
        <v>535</v>
      </c>
      <c r="C52" s="73"/>
      <c r="D52" s="73"/>
      <c r="E52" s="73"/>
      <c r="F52" s="215"/>
    </row>
    <row r="53" spans="2:7" ht="16.2" customHeight="1" x14ac:dyDescent="0.25">
      <c r="C53" s="220"/>
      <c r="D53" s="220"/>
      <c r="E53" s="220"/>
      <c r="F53" s="220" t="s">
        <v>949</v>
      </c>
    </row>
    <row r="54" spans="2:7" x14ac:dyDescent="0.25">
      <c r="B54" s="39"/>
      <c r="C54" s="39"/>
      <c r="D54" s="39"/>
      <c r="E54" s="39"/>
      <c r="F54" s="221" t="s">
        <v>950</v>
      </c>
    </row>
    <row r="55" spans="2:7" x14ac:dyDescent="0.25">
      <c r="B55" s="39"/>
      <c r="C55" s="39"/>
      <c r="D55" s="39"/>
      <c r="E55" s="39"/>
      <c r="F55" s="221" t="s">
        <v>951</v>
      </c>
    </row>
    <row r="56" spans="2:7" x14ac:dyDescent="0.25">
      <c r="B56" s="39"/>
      <c r="C56" s="39"/>
      <c r="D56" s="39"/>
      <c r="E56" s="39"/>
      <c r="F56" s="221" t="s">
        <v>952</v>
      </c>
    </row>
    <row r="57" spans="2:7" x14ac:dyDescent="0.25">
      <c r="B57" s="39"/>
      <c r="C57" s="39"/>
      <c r="D57" s="39"/>
      <c r="E57" s="39"/>
      <c r="G57" s="221"/>
    </row>
    <row r="59" spans="2:7" ht="17.399999999999999" x14ac:dyDescent="0.25">
      <c r="B59" s="156" t="s">
        <v>561</v>
      </c>
    </row>
    <row r="60" spans="2:7" x14ac:dyDescent="0.25">
      <c r="B60" s="217" t="s">
        <v>914</v>
      </c>
      <c r="C60" s="146" t="s">
        <v>545</v>
      </c>
      <c r="D60" s="211" t="s">
        <v>918</v>
      </c>
      <c r="E60" s="211" t="s">
        <v>919</v>
      </c>
      <c r="F60" s="211" t="s">
        <v>920</v>
      </c>
    </row>
    <row r="61" spans="2:7" x14ac:dyDescent="0.25">
      <c r="B61" s="847" t="s">
        <v>358</v>
      </c>
      <c r="C61" s="212" t="s">
        <v>546</v>
      </c>
      <c r="D61" s="74">
        <v>1.0873995860000001E-4</v>
      </c>
      <c r="E61" s="47">
        <v>3.1068559599999997E-12</v>
      </c>
      <c r="F61" s="47">
        <v>1.8641135760000002E-12</v>
      </c>
    </row>
    <row r="62" spans="2:7" x14ac:dyDescent="0.25">
      <c r="B62" s="847"/>
      <c r="C62" s="212" t="s">
        <v>551</v>
      </c>
      <c r="D62" s="74">
        <v>5.9340948836000005E-4</v>
      </c>
      <c r="E62" s="47">
        <v>1.6155650991999999E-11</v>
      </c>
      <c r="F62" s="47">
        <v>1.4291537416E-11</v>
      </c>
    </row>
    <row r="63" spans="2:7" x14ac:dyDescent="0.25">
      <c r="B63" s="847"/>
      <c r="C63" s="212" t="s">
        <v>547</v>
      </c>
      <c r="D63" s="74">
        <v>7.7484987642400009E-4</v>
      </c>
      <c r="E63" s="47">
        <v>6.8350831119999998E-12</v>
      </c>
      <c r="F63" s="47">
        <v>2.1747991719999999E-11</v>
      </c>
    </row>
    <row r="64" spans="2:7" ht="16.2" customHeight="1" x14ac:dyDescent="0.25">
      <c r="B64" s="867" t="s">
        <v>945</v>
      </c>
      <c r="C64" s="867"/>
      <c r="D64" s="867"/>
      <c r="E64" s="867"/>
      <c r="F64" s="867"/>
    </row>
    <row r="65" spans="2:12" x14ac:dyDescent="0.25">
      <c r="B65" s="194"/>
      <c r="C65" s="194"/>
      <c r="D65" s="194"/>
      <c r="E65" s="194"/>
      <c r="F65" s="194"/>
    </row>
    <row r="67" spans="2:12" ht="17.399999999999999" x14ac:dyDescent="0.25">
      <c r="B67" s="156" t="s">
        <v>560</v>
      </c>
    </row>
    <row r="68" spans="2:12" x14ac:dyDescent="0.25">
      <c r="B68" s="217" t="s">
        <v>914</v>
      </c>
      <c r="C68" s="146" t="s">
        <v>545</v>
      </c>
      <c r="D68" s="72" t="s">
        <v>916</v>
      </c>
      <c r="E68" s="211" t="s">
        <v>915</v>
      </c>
      <c r="F68" s="211" t="s">
        <v>917</v>
      </c>
      <c r="G68" s="872" t="s">
        <v>353</v>
      </c>
      <c r="H68" s="872"/>
      <c r="I68" s="872" t="s">
        <v>353</v>
      </c>
      <c r="J68" s="872"/>
    </row>
    <row r="69" spans="2:12" x14ac:dyDescent="0.25">
      <c r="B69" s="864" t="s">
        <v>697</v>
      </c>
      <c r="C69" s="212" t="s">
        <v>546</v>
      </c>
      <c r="D69" s="13">
        <v>1.0873995860000001E-4</v>
      </c>
      <c r="E69" s="47">
        <v>3.1068559599999997E-12</v>
      </c>
      <c r="F69" s="47">
        <v>1.8641135760000002E-12</v>
      </c>
      <c r="G69" s="848"/>
      <c r="H69" s="848"/>
      <c r="I69" s="861"/>
      <c r="J69" s="861"/>
      <c r="L69" s="218"/>
    </row>
    <row r="70" spans="2:12" x14ac:dyDescent="0.25">
      <c r="B70" s="864"/>
      <c r="C70" s="212" t="s">
        <v>547</v>
      </c>
      <c r="D70" s="13">
        <v>4</v>
      </c>
      <c r="E70" s="47">
        <v>0</v>
      </c>
      <c r="F70" s="47">
        <v>1.3048795032000001E-9</v>
      </c>
      <c r="G70" s="849"/>
      <c r="H70" s="849"/>
      <c r="I70" s="862"/>
      <c r="J70" s="862"/>
    </row>
    <row r="71" spans="2:12" x14ac:dyDescent="0.25">
      <c r="B71" s="864"/>
      <c r="C71" s="212" t="s">
        <v>548</v>
      </c>
      <c r="D71" s="74">
        <v>1.2862383674400001E-4</v>
      </c>
      <c r="E71" s="47">
        <v>3.9767756287999997E-9</v>
      </c>
      <c r="F71" s="47">
        <v>4.1010498671999999E-9</v>
      </c>
      <c r="G71" s="848" t="s">
        <v>904</v>
      </c>
      <c r="H71" s="848"/>
      <c r="I71" s="848" t="s">
        <v>941</v>
      </c>
      <c r="J71" s="848"/>
    </row>
    <row r="72" spans="2:12" x14ac:dyDescent="0.25">
      <c r="B72" s="864"/>
      <c r="C72" s="212" t="s">
        <v>903</v>
      </c>
      <c r="D72" s="74">
        <v>8.0156883768000008E-5</v>
      </c>
      <c r="E72" s="47">
        <v>3.7282271519999998E-10</v>
      </c>
      <c r="F72" s="47">
        <v>2.5476218872000005E-9</v>
      </c>
      <c r="G72" s="848" t="s">
        <v>905</v>
      </c>
      <c r="H72" s="848"/>
      <c r="I72" s="848" t="s">
        <v>942</v>
      </c>
      <c r="J72" s="848"/>
    </row>
    <row r="73" spans="2:12" x14ac:dyDescent="0.25">
      <c r="B73" s="864"/>
      <c r="C73" s="212" t="s">
        <v>549</v>
      </c>
      <c r="D73" s="74">
        <v>1.0128350429600002E-4</v>
      </c>
      <c r="E73" s="47">
        <v>3.7282271519999998E-10</v>
      </c>
      <c r="F73" s="47">
        <v>3.2311301984000001E-9</v>
      </c>
      <c r="G73" s="848" t="s">
        <v>944</v>
      </c>
      <c r="H73" s="848"/>
      <c r="I73" s="848" t="s">
        <v>943</v>
      </c>
      <c r="J73" s="848"/>
    </row>
    <row r="74" spans="2:12" x14ac:dyDescent="0.25">
      <c r="B74" s="864"/>
      <c r="C74" s="212" t="s">
        <v>550</v>
      </c>
      <c r="D74" s="13">
        <v>7.0214944696000005E-5</v>
      </c>
      <c r="E74" s="47">
        <v>5.7166149663999993E-9</v>
      </c>
      <c r="F74" s="47">
        <v>1.6155650992000001E-9</v>
      </c>
      <c r="G74" s="848"/>
      <c r="H74" s="848"/>
      <c r="I74" s="861"/>
      <c r="J74" s="861"/>
    </row>
    <row r="75" spans="2:12" ht="16.2" customHeight="1" x14ac:dyDescent="0.25">
      <c r="B75" s="867" t="s">
        <v>945</v>
      </c>
      <c r="C75" s="867"/>
      <c r="D75" s="867"/>
      <c r="E75" s="867"/>
      <c r="F75" s="867"/>
    </row>
    <row r="76" spans="2:12" x14ac:dyDescent="0.25">
      <c r="B76" s="194"/>
      <c r="C76" s="194"/>
      <c r="D76" s="194"/>
      <c r="E76" s="194"/>
    </row>
    <row r="78" spans="2:12" ht="17.399999999999999" x14ac:dyDescent="0.25">
      <c r="B78" s="156" t="s">
        <v>902</v>
      </c>
    </row>
    <row r="79" spans="2:12" x14ac:dyDescent="0.25">
      <c r="B79" s="217" t="s">
        <v>914</v>
      </c>
      <c r="C79" s="146" t="s">
        <v>542</v>
      </c>
      <c r="D79" s="72" t="s">
        <v>908</v>
      </c>
      <c r="E79" s="211" t="s">
        <v>907</v>
      </c>
      <c r="F79" s="211" t="s">
        <v>909</v>
      </c>
    </row>
    <row r="80" spans="2:12" ht="16.2" customHeight="1" x14ac:dyDescent="0.25">
      <c r="B80" s="847" t="s">
        <v>913</v>
      </c>
      <c r="C80" s="212" t="s">
        <v>543</v>
      </c>
      <c r="D80" s="13">
        <v>1.1507067476516331E-4</v>
      </c>
      <c r="E80" s="47">
        <v>1.0274167389746723E-9</v>
      </c>
      <c r="F80" s="47">
        <v>3.2192391154539729E-9</v>
      </c>
    </row>
    <row r="81" spans="2:6" x14ac:dyDescent="0.25">
      <c r="B81" s="847"/>
      <c r="C81" s="212" t="s">
        <v>1691</v>
      </c>
      <c r="D81" s="74">
        <v>1.5068778838295193E-5</v>
      </c>
      <c r="E81" s="47">
        <v>1.1644056375046285E-9</v>
      </c>
      <c r="F81" s="47">
        <v>3.4247224632489072E-10</v>
      </c>
    </row>
    <row r="82" spans="2:6" x14ac:dyDescent="0.25">
      <c r="B82" s="847"/>
      <c r="C82" s="212" t="s">
        <v>544</v>
      </c>
      <c r="D82" s="74">
        <v>5.6165448397282088E-5</v>
      </c>
      <c r="E82" s="47">
        <v>2.2329190460382873E-8</v>
      </c>
      <c r="F82" s="47">
        <v>1.438383434564541E-9</v>
      </c>
    </row>
    <row r="83" spans="2:6" x14ac:dyDescent="0.25">
      <c r="B83" s="847"/>
      <c r="C83" s="212" t="s">
        <v>363</v>
      </c>
      <c r="D83" s="74">
        <v>6.1987476584805237E-4</v>
      </c>
      <c r="E83" s="47">
        <v>0</v>
      </c>
      <c r="F83" s="47">
        <v>1.9109951344928904E-8</v>
      </c>
    </row>
    <row r="84" spans="2:6" ht="16.2" customHeight="1" x14ac:dyDescent="0.25">
      <c r="B84" s="867" t="s">
        <v>945</v>
      </c>
      <c r="C84" s="867"/>
      <c r="D84" s="867"/>
      <c r="E84" s="867"/>
      <c r="F84" s="867"/>
    </row>
    <row r="85" spans="2:6" x14ac:dyDescent="0.25">
      <c r="B85" s="194"/>
      <c r="C85" s="194"/>
      <c r="D85" s="194"/>
      <c r="E85" s="194"/>
    </row>
    <row r="87" spans="2:6" ht="17.399999999999999" x14ac:dyDescent="0.25">
      <c r="B87" s="156" t="s">
        <v>562</v>
      </c>
    </row>
    <row r="88" spans="2:6" x14ac:dyDescent="0.25">
      <c r="B88" s="217" t="s">
        <v>914</v>
      </c>
      <c r="C88" s="210" t="s">
        <v>540</v>
      </c>
      <c r="D88" s="211" t="s">
        <v>910</v>
      </c>
      <c r="E88" s="211" t="s">
        <v>911</v>
      </c>
      <c r="F88" s="211" t="s">
        <v>912</v>
      </c>
    </row>
    <row r="89" spans="2:6" x14ac:dyDescent="0.25">
      <c r="B89" s="850" t="s">
        <v>354</v>
      </c>
      <c r="C89" s="213" t="s">
        <v>494</v>
      </c>
      <c r="D89" s="216">
        <v>2.3395500000000001E-3</v>
      </c>
      <c r="E89" s="47">
        <v>2.7333333333333335E-7</v>
      </c>
      <c r="F89" s="47">
        <v>2.252830188679245E-8</v>
      </c>
    </row>
    <row r="90" spans="2:6" x14ac:dyDescent="0.25">
      <c r="B90" s="851"/>
      <c r="C90" s="213" t="s">
        <v>534</v>
      </c>
      <c r="D90" s="216">
        <v>2.7241700000000002E-3</v>
      </c>
      <c r="E90" s="756">
        <v>1.05E-7</v>
      </c>
      <c r="F90" s="756">
        <v>1.06E-7</v>
      </c>
    </row>
    <row r="91" spans="2:6" x14ac:dyDescent="0.25">
      <c r="B91" s="852"/>
      <c r="C91" s="213" t="s">
        <v>541</v>
      </c>
      <c r="D91" s="216">
        <v>4.4854999999999998E-4</v>
      </c>
      <c r="E91" s="47">
        <v>2.2333333333333335E-8</v>
      </c>
      <c r="F91" s="47">
        <v>7.547169811320755E-10</v>
      </c>
    </row>
    <row r="92" spans="2:6" ht="16.2" customHeight="1" x14ac:dyDescent="0.25">
      <c r="B92" s="755"/>
      <c r="C92" s="853" t="s">
        <v>285</v>
      </c>
      <c r="D92" s="853"/>
      <c r="E92" s="853"/>
      <c r="F92" s="853"/>
    </row>
    <row r="93" spans="2:6" x14ac:dyDescent="0.25">
      <c r="B93" s="194"/>
      <c r="C93" s="194"/>
      <c r="D93" s="194"/>
      <c r="E93" s="194"/>
    </row>
    <row r="95" spans="2:6" ht="17.399999999999999" x14ac:dyDescent="0.25">
      <c r="B95" s="156" t="s">
        <v>563</v>
      </c>
    </row>
    <row r="96" spans="2:6" ht="16.8" customHeight="1" x14ac:dyDescent="0.25">
      <c r="B96" s="868" t="s">
        <v>536</v>
      </c>
      <c r="C96" s="155" t="s">
        <v>439</v>
      </c>
      <c r="D96" s="155" t="s">
        <v>438</v>
      </c>
      <c r="E96" s="868" t="s">
        <v>442</v>
      </c>
    </row>
    <row r="97" spans="2:7" ht="16.8" customHeight="1" x14ac:dyDescent="0.25">
      <c r="B97" s="869"/>
      <c r="C97" s="72" t="s">
        <v>270</v>
      </c>
      <c r="D97" s="72" t="s">
        <v>270</v>
      </c>
      <c r="E97" s="869"/>
    </row>
    <row r="98" spans="2:7" x14ac:dyDescent="0.25">
      <c r="B98" s="17" t="s">
        <v>537</v>
      </c>
      <c r="C98" s="73">
        <v>6.4106099999999997E-3</v>
      </c>
      <c r="D98" s="73">
        <v>8.8838600000000004E-3</v>
      </c>
      <c r="E98" s="33">
        <v>1</v>
      </c>
    </row>
    <row r="99" spans="2:7" x14ac:dyDescent="0.25">
      <c r="B99" s="17" t="s">
        <v>538</v>
      </c>
      <c r="C99" s="73">
        <v>9.8485E-4</v>
      </c>
      <c r="D99" s="73">
        <v>1.9517260000000002E-2</v>
      </c>
      <c r="E99" s="33">
        <v>1</v>
      </c>
    </row>
    <row r="100" spans="2:7" x14ac:dyDescent="0.25">
      <c r="B100" s="17" t="s">
        <v>539</v>
      </c>
      <c r="C100" s="73">
        <v>6.4106099999999997E-3</v>
      </c>
      <c r="D100" s="73">
        <v>8.8838600000000004E-3</v>
      </c>
      <c r="E100" s="33">
        <v>1</v>
      </c>
    </row>
    <row r="101" spans="2:7" x14ac:dyDescent="0.25">
      <c r="B101" s="1"/>
      <c r="C101" s="73"/>
      <c r="D101" s="73"/>
      <c r="E101" s="33"/>
    </row>
    <row r="102" spans="2:7" x14ac:dyDescent="0.25">
      <c r="B102" s="1"/>
      <c r="C102" s="73"/>
      <c r="D102" s="73"/>
      <c r="E102" s="33"/>
    </row>
    <row r="103" spans="2:7" x14ac:dyDescent="0.25">
      <c r="B103" s="1"/>
      <c r="C103" s="73"/>
      <c r="D103" s="73"/>
      <c r="E103" s="33"/>
    </row>
    <row r="104" spans="2:7" x14ac:dyDescent="0.25">
      <c r="B104" s="1"/>
      <c r="C104" s="73"/>
      <c r="D104" s="73"/>
      <c r="E104" s="33"/>
    </row>
    <row r="105" spans="2:7" ht="16.2" customHeight="1" x14ac:dyDescent="0.25">
      <c r="B105" s="853" t="s">
        <v>285</v>
      </c>
      <c r="C105" s="853"/>
      <c r="D105" s="853"/>
      <c r="E105" s="853"/>
    </row>
    <row r="106" spans="2:7" x14ac:dyDescent="0.25">
      <c r="B106" s="68"/>
      <c r="C106" s="68"/>
    </row>
    <row r="108" spans="2:7" ht="17.399999999999999" x14ac:dyDescent="0.25">
      <c r="B108" s="156" t="s">
        <v>2081</v>
      </c>
    </row>
    <row r="109" spans="2:7" x14ac:dyDescent="0.25">
      <c r="B109" s="71" t="s">
        <v>580</v>
      </c>
      <c r="C109" s="71" t="s">
        <v>9</v>
      </c>
      <c r="D109" s="71" t="s">
        <v>10</v>
      </c>
      <c r="E109" s="71" t="s">
        <v>11</v>
      </c>
      <c r="F109" s="71" t="s">
        <v>303</v>
      </c>
      <c r="G109" s="325" t="s">
        <v>580</v>
      </c>
    </row>
    <row r="110" spans="2:7" x14ac:dyDescent="0.25">
      <c r="B110" s="323" t="s">
        <v>1336</v>
      </c>
      <c r="C110" s="13">
        <v>722.755</v>
      </c>
      <c r="D110" s="13">
        <v>1.7000000000000001E-2</v>
      </c>
      <c r="E110" s="13">
        <v>3.0000000000000001E-3</v>
      </c>
      <c r="F110" s="214">
        <f>(C110*$B$24+D110*$C$24+E110*$D$24)/1000000</f>
        <v>7.240329999999999E-4</v>
      </c>
      <c r="G110" s="209" t="s">
        <v>215</v>
      </c>
    </row>
    <row r="111" spans="2:7" x14ac:dyDescent="0.25">
      <c r="B111" s="323" t="s">
        <v>1335</v>
      </c>
      <c r="C111" s="13">
        <v>656.59299999999996</v>
      </c>
      <c r="D111" s="13">
        <v>1.2999999999999999E-2</v>
      </c>
      <c r="E111" s="13">
        <v>2E-3</v>
      </c>
      <c r="F111" s="214">
        <f t="shared" ref="F111:F116" si="0">(C111*$B$24+D111*$C$24+E111*$D$24)/1000000</f>
        <v>6.5749000000000005E-4</v>
      </c>
      <c r="G111" s="209" t="s">
        <v>216</v>
      </c>
    </row>
    <row r="112" spans="2:7" x14ac:dyDescent="0.25">
      <c r="B112" s="323" t="s">
        <v>1334</v>
      </c>
      <c r="C112" s="13">
        <v>687.34199999999998</v>
      </c>
      <c r="D112" s="13">
        <v>14</v>
      </c>
      <c r="E112" s="13">
        <v>2E-3</v>
      </c>
      <c r="F112" s="214">
        <f t="shared" si="0"/>
        <v>1.0658880000000001E-3</v>
      </c>
      <c r="G112" s="209" t="s">
        <v>217</v>
      </c>
    </row>
    <row r="113" spans="2:8" ht="18" x14ac:dyDescent="0.25">
      <c r="B113" s="323" t="s">
        <v>1337</v>
      </c>
      <c r="C113" s="13">
        <v>619.74099999999999</v>
      </c>
      <c r="D113" s="13">
        <v>12</v>
      </c>
      <c r="E113" s="13">
        <v>2E-3</v>
      </c>
      <c r="F113" s="214">
        <f t="shared" si="0"/>
        <v>9.4428700000000003E-4</v>
      </c>
      <c r="G113" s="209" t="s">
        <v>2076</v>
      </c>
    </row>
    <row r="114" spans="2:8" ht="18" x14ac:dyDescent="0.25">
      <c r="B114" s="323" t="s">
        <v>1338</v>
      </c>
      <c r="C114" s="13">
        <v>8.0315399999999995E-2</v>
      </c>
      <c r="D114" s="13">
        <v>0</v>
      </c>
      <c r="E114" s="13">
        <v>0</v>
      </c>
      <c r="F114" s="214">
        <f t="shared" si="0"/>
        <v>8.0315399999999997E-8</v>
      </c>
      <c r="G114" s="209" t="s">
        <v>2077</v>
      </c>
    </row>
    <row r="115" spans="2:8" x14ac:dyDescent="0.25">
      <c r="B115" s="323" t="s">
        <v>1339</v>
      </c>
      <c r="C115" s="13">
        <v>0</v>
      </c>
      <c r="D115" s="13">
        <v>0</v>
      </c>
      <c r="E115" s="13">
        <v>0</v>
      </c>
      <c r="F115" s="214">
        <f t="shared" si="0"/>
        <v>0</v>
      </c>
      <c r="G115" s="209" t="s">
        <v>263</v>
      </c>
    </row>
    <row r="116" spans="2:8" x14ac:dyDescent="0.25">
      <c r="B116" s="323" t="s">
        <v>1683</v>
      </c>
      <c r="C116" s="13">
        <v>0</v>
      </c>
      <c r="D116" s="13">
        <v>0</v>
      </c>
      <c r="E116" s="13">
        <v>0</v>
      </c>
      <c r="F116" s="214">
        <f t="shared" si="0"/>
        <v>0</v>
      </c>
      <c r="G116" s="209" t="s">
        <v>2127</v>
      </c>
    </row>
    <row r="117" spans="2:8" x14ac:dyDescent="0.25">
      <c r="B117" s="108" t="s">
        <v>1692</v>
      </c>
    </row>
    <row r="118" spans="2:8" x14ac:dyDescent="0.25">
      <c r="B118" s="703" t="s">
        <v>2083</v>
      </c>
    </row>
    <row r="119" spans="2:8" x14ac:dyDescent="0.25">
      <c r="B119" s="703" t="s">
        <v>2082</v>
      </c>
    </row>
    <row r="120" spans="2:8" x14ac:dyDescent="0.25">
      <c r="B120" s="703"/>
    </row>
    <row r="121" spans="2:8" x14ac:dyDescent="0.25">
      <c r="B121" s="23"/>
    </row>
    <row r="122" spans="2:8" ht="17.399999999999999" x14ac:dyDescent="0.25">
      <c r="B122" s="156" t="s">
        <v>564</v>
      </c>
    </row>
    <row r="123" spans="2:8" x14ac:dyDescent="0.25">
      <c r="B123" s="226" t="s">
        <v>532</v>
      </c>
      <c r="C123" s="155" t="s">
        <v>402</v>
      </c>
      <c r="D123" s="188" t="s">
        <v>405</v>
      </c>
      <c r="E123" s="704" t="s">
        <v>442</v>
      </c>
      <c r="F123" s="705"/>
      <c r="G123" s="708" t="s">
        <v>353</v>
      </c>
      <c r="H123" s="706"/>
    </row>
    <row r="124" spans="2:8" x14ac:dyDescent="0.25">
      <c r="B124" s="112" t="s">
        <v>533</v>
      </c>
      <c r="C124" s="17" t="s">
        <v>304</v>
      </c>
      <c r="D124" s="229">
        <v>1.395E-4</v>
      </c>
      <c r="E124" s="676">
        <v>2</v>
      </c>
      <c r="F124" s="695"/>
      <c r="G124" s="696"/>
      <c r="H124" s="707" t="s">
        <v>899</v>
      </c>
    </row>
    <row r="125" spans="2:8" x14ac:dyDescent="0.25">
      <c r="B125" s="112" t="s">
        <v>465</v>
      </c>
      <c r="C125" s="17" t="s">
        <v>581</v>
      </c>
      <c r="D125" s="229">
        <v>0.33660000000000001</v>
      </c>
      <c r="E125" s="676">
        <v>1</v>
      </c>
      <c r="F125" s="695"/>
      <c r="G125" s="696"/>
      <c r="H125" s="707"/>
    </row>
    <row r="126" spans="2:8" x14ac:dyDescent="0.25">
      <c r="B126" s="112" t="s">
        <v>534</v>
      </c>
      <c r="C126" s="17" t="s">
        <v>582</v>
      </c>
      <c r="D126" s="229">
        <v>6.2664999999999997E-4</v>
      </c>
      <c r="E126" s="676">
        <v>1</v>
      </c>
      <c r="F126" s="695"/>
      <c r="G126" s="696"/>
      <c r="H126" s="707"/>
    </row>
    <row r="127" spans="2:8" x14ac:dyDescent="0.25">
      <c r="B127" s="112" t="s">
        <v>494</v>
      </c>
      <c r="C127" s="17" t="s">
        <v>582</v>
      </c>
      <c r="D127" s="229">
        <v>6.0663999999999998E-4</v>
      </c>
      <c r="E127" s="676">
        <v>1</v>
      </c>
      <c r="F127" s="695"/>
      <c r="G127" s="696"/>
      <c r="H127" s="707"/>
    </row>
    <row r="128" spans="2:8" x14ac:dyDescent="0.25">
      <c r="B128" s="112" t="s">
        <v>770</v>
      </c>
      <c r="C128" s="17" t="s">
        <v>305</v>
      </c>
      <c r="D128" s="229">
        <v>0.42316367999999999</v>
      </c>
      <c r="E128" s="676">
        <v>1</v>
      </c>
      <c r="F128" s="695"/>
      <c r="G128" s="696"/>
      <c r="H128" s="707" t="s">
        <v>2085</v>
      </c>
    </row>
    <row r="129" spans="2:8" x14ac:dyDescent="0.25">
      <c r="B129" s="112" t="s">
        <v>771</v>
      </c>
      <c r="C129" s="17" t="s">
        <v>305</v>
      </c>
      <c r="D129" s="229">
        <v>0.34430947000000001</v>
      </c>
      <c r="E129" s="676">
        <v>1</v>
      </c>
      <c r="F129" s="695"/>
      <c r="G129" s="696"/>
      <c r="H129" s="707"/>
    </row>
    <row r="130" spans="2:8" x14ac:dyDescent="0.25">
      <c r="B130" s="112" t="s">
        <v>772</v>
      </c>
      <c r="C130" s="17" t="s">
        <v>305</v>
      </c>
      <c r="D130" s="229">
        <v>0.30295197000000001</v>
      </c>
      <c r="E130" s="676">
        <v>1</v>
      </c>
      <c r="F130" s="695"/>
      <c r="G130" s="696"/>
      <c r="H130" s="707" t="s">
        <v>834</v>
      </c>
    </row>
    <row r="131" spans="2:8" x14ac:dyDescent="0.25">
      <c r="B131" s="112" t="s">
        <v>535</v>
      </c>
      <c r="C131" s="26"/>
      <c r="D131" s="229"/>
      <c r="E131" s="676"/>
      <c r="F131" s="695"/>
      <c r="G131" s="696"/>
      <c r="H131" s="707"/>
    </row>
    <row r="132" spans="2:8" x14ac:dyDescent="0.25">
      <c r="B132" s="853" t="s">
        <v>285</v>
      </c>
      <c r="C132" s="853"/>
      <c r="D132" s="853"/>
      <c r="E132" s="853"/>
      <c r="F132" s="341"/>
    </row>
    <row r="133" spans="2:8" x14ac:dyDescent="0.25">
      <c r="B133" s="871" t="s">
        <v>898</v>
      </c>
      <c r="C133" s="871"/>
      <c r="D133" s="871"/>
      <c r="E133" s="871"/>
      <c r="F133" s="341"/>
    </row>
    <row r="134" spans="2:8" x14ac:dyDescent="0.25">
      <c r="B134" s="23"/>
    </row>
    <row r="136" spans="2:8" ht="17.399999999999999" x14ac:dyDescent="0.25">
      <c r="B136" s="156" t="s">
        <v>565</v>
      </c>
    </row>
    <row r="137" spans="2:8" x14ac:dyDescent="0.25">
      <c r="B137" s="154" t="s">
        <v>530</v>
      </c>
      <c r="C137" s="154" t="s">
        <v>1176</v>
      </c>
      <c r="D137" s="154" t="s">
        <v>353</v>
      </c>
    </row>
    <row r="138" spans="2:8" x14ac:dyDescent="0.25">
      <c r="B138" s="230" t="s">
        <v>413</v>
      </c>
      <c r="C138" s="50">
        <v>4.0369688000000004</v>
      </c>
      <c r="D138" s="77"/>
    </row>
    <row r="139" spans="2:8" x14ac:dyDescent="0.25">
      <c r="B139" s="230" t="s">
        <v>519</v>
      </c>
      <c r="C139" s="50">
        <v>1.3154167999999999</v>
      </c>
      <c r="D139" s="77"/>
    </row>
    <row r="140" spans="2:8" x14ac:dyDescent="0.25">
      <c r="B140" s="230" t="s">
        <v>520</v>
      </c>
      <c r="C140" s="50">
        <v>104.00864559999999</v>
      </c>
      <c r="D140" s="77"/>
    </row>
    <row r="141" spans="2:8" x14ac:dyDescent="0.25">
      <c r="B141" s="230" t="s">
        <v>531</v>
      </c>
      <c r="C141" s="50">
        <v>228.02069840000001</v>
      </c>
      <c r="D141" s="77"/>
    </row>
    <row r="142" spans="2:8" ht="16.2" customHeight="1" x14ac:dyDescent="0.25">
      <c r="B142" s="867" t="s">
        <v>286</v>
      </c>
      <c r="C142" s="867"/>
      <c r="D142" s="867"/>
      <c r="E142" s="341"/>
    </row>
    <row r="143" spans="2:8" x14ac:dyDescent="0.25">
      <c r="B143" s="870"/>
      <c r="C143" s="870"/>
      <c r="D143" s="870"/>
      <c r="E143" s="341"/>
    </row>
    <row r="144" spans="2:8" x14ac:dyDescent="0.25">
      <c r="B144" s="194"/>
      <c r="C144" s="194"/>
      <c r="D144" s="194"/>
    </row>
    <row r="145" spans="2:5" x14ac:dyDescent="0.25">
      <c r="B145" s="49"/>
      <c r="C145" s="49"/>
      <c r="D145" s="51"/>
    </row>
    <row r="146" spans="2:5" ht="17.399999999999999" x14ac:dyDescent="0.25">
      <c r="B146" s="156" t="s">
        <v>566</v>
      </c>
      <c r="C146" s="49"/>
      <c r="D146" s="51"/>
    </row>
    <row r="147" spans="2:5" x14ac:dyDescent="0.25">
      <c r="B147" s="322" t="s">
        <v>341</v>
      </c>
      <c r="C147" s="155" t="s">
        <v>402</v>
      </c>
      <c r="D147" s="155" t="s">
        <v>405</v>
      </c>
    </row>
    <row r="148" spans="2:5" ht="16.8" x14ac:dyDescent="0.25">
      <c r="B148" s="272" t="s">
        <v>460</v>
      </c>
      <c r="C148" s="17" t="s">
        <v>842</v>
      </c>
      <c r="D148" s="746">
        <v>9.311605554735877E-4</v>
      </c>
      <c r="E148" s="297"/>
    </row>
    <row r="149" spans="2:5" ht="16.8" x14ac:dyDescent="0.25">
      <c r="B149" s="272" t="s">
        <v>461</v>
      </c>
      <c r="C149" s="17" t="s">
        <v>842</v>
      </c>
      <c r="D149" s="746">
        <v>2.8315867747164543E-3</v>
      </c>
      <c r="E149" s="297"/>
    </row>
    <row r="150" spans="2:5" x14ac:dyDescent="0.25">
      <c r="B150" s="272" t="s">
        <v>459</v>
      </c>
      <c r="C150" s="17" t="s">
        <v>841</v>
      </c>
      <c r="D150" s="746">
        <v>0.2</v>
      </c>
      <c r="E150" s="297"/>
    </row>
    <row r="151" spans="2:5" ht="16.8" x14ac:dyDescent="0.25">
      <c r="B151" s="272" t="s">
        <v>462</v>
      </c>
      <c r="C151" s="17" t="s">
        <v>842</v>
      </c>
      <c r="D151" s="746">
        <v>1.0561392382622716E-2</v>
      </c>
      <c r="E151" s="297"/>
    </row>
    <row r="152" spans="2:5" x14ac:dyDescent="0.25">
      <c r="B152" s="272" t="s">
        <v>458</v>
      </c>
      <c r="C152" s="17" t="s">
        <v>841</v>
      </c>
      <c r="D152" s="746">
        <v>0.15762189674642696</v>
      </c>
      <c r="E152" s="297"/>
    </row>
    <row r="153" spans="2:5" ht="16.8" x14ac:dyDescent="0.25">
      <c r="B153" s="272" t="s">
        <v>395</v>
      </c>
      <c r="C153" s="17" t="s">
        <v>840</v>
      </c>
      <c r="D153" s="746">
        <v>1.0580813208312243E-4</v>
      </c>
      <c r="E153" s="297"/>
    </row>
    <row r="154" spans="2:5" ht="16.8" x14ac:dyDescent="0.25">
      <c r="B154" s="272" t="s">
        <v>364</v>
      </c>
      <c r="C154" s="17" t="s">
        <v>840</v>
      </c>
      <c r="D154" s="746">
        <v>4.0242608599150845E-4</v>
      </c>
      <c r="E154" s="297"/>
    </row>
    <row r="155" spans="2:5" ht="16.8" x14ac:dyDescent="0.25">
      <c r="B155" s="272" t="s">
        <v>365</v>
      </c>
      <c r="C155" s="17" t="s">
        <v>840</v>
      </c>
      <c r="D155" s="746">
        <v>4.022620665563955E-4</v>
      </c>
      <c r="E155" s="297"/>
    </row>
    <row r="156" spans="2:5" ht="16.8" x14ac:dyDescent="0.25">
      <c r="B156" s="272" t="s">
        <v>366</v>
      </c>
      <c r="C156" s="17" t="s">
        <v>840</v>
      </c>
      <c r="D156" s="746">
        <v>4.3863217817136931E-4</v>
      </c>
      <c r="E156" s="297"/>
    </row>
    <row r="157" spans="2:5" x14ac:dyDescent="0.25">
      <c r="B157" s="272" t="s">
        <v>368</v>
      </c>
      <c r="C157" s="17" t="s">
        <v>839</v>
      </c>
      <c r="D157" s="746">
        <v>7.5226026361338268E-4</v>
      </c>
      <c r="E157" s="297"/>
    </row>
    <row r="158" spans="2:5" x14ac:dyDescent="0.25">
      <c r="D158" s="170" t="s">
        <v>1405</v>
      </c>
    </row>
    <row r="159" spans="2:5" x14ac:dyDescent="0.25">
      <c r="E159" s="170"/>
    </row>
    <row r="161" spans="2:6" ht="17.399999999999999" x14ac:dyDescent="0.25">
      <c r="B161" s="156" t="s">
        <v>567</v>
      </c>
    </row>
    <row r="162" spans="2:6" x14ac:dyDescent="0.25">
      <c r="B162" s="155" t="s">
        <v>568</v>
      </c>
      <c r="C162" s="155" t="s">
        <v>331</v>
      </c>
      <c r="D162" s="155" t="s">
        <v>332</v>
      </c>
      <c r="E162" s="155" t="s">
        <v>568</v>
      </c>
      <c r="F162" s="155" t="s">
        <v>330</v>
      </c>
    </row>
    <row r="163" spans="2:6" x14ac:dyDescent="0.25">
      <c r="B163" s="75" t="s">
        <v>47</v>
      </c>
      <c r="C163" s="57">
        <v>1</v>
      </c>
      <c r="D163" s="57" t="s">
        <v>34</v>
      </c>
      <c r="E163" s="1" t="s">
        <v>0</v>
      </c>
      <c r="F163" s="75">
        <v>1</v>
      </c>
    </row>
    <row r="164" spans="2:6" x14ac:dyDescent="0.25">
      <c r="B164" s="75" t="s">
        <v>48</v>
      </c>
      <c r="C164" s="57">
        <v>1</v>
      </c>
      <c r="D164" s="57" t="s">
        <v>35</v>
      </c>
      <c r="E164" s="1" t="s">
        <v>6</v>
      </c>
      <c r="F164" s="75">
        <v>1</v>
      </c>
    </row>
    <row r="165" spans="2:6" x14ac:dyDescent="0.25">
      <c r="B165" s="75" t="s">
        <v>49</v>
      </c>
      <c r="C165" s="57">
        <v>1</v>
      </c>
      <c r="D165" s="57" t="s">
        <v>36</v>
      </c>
      <c r="E165" s="1" t="s">
        <v>33</v>
      </c>
      <c r="F165" s="75">
        <v>1</v>
      </c>
    </row>
    <row r="166" spans="2:6" x14ac:dyDescent="0.25">
      <c r="B166" s="75" t="s">
        <v>1429</v>
      </c>
      <c r="C166" s="57">
        <v>1</v>
      </c>
      <c r="D166" s="57" t="s">
        <v>46</v>
      </c>
      <c r="E166" s="1" t="s">
        <v>41</v>
      </c>
      <c r="F166" s="75">
        <v>1</v>
      </c>
    </row>
    <row r="167" spans="2:6" x14ac:dyDescent="0.25">
      <c r="B167" s="75" t="s">
        <v>50</v>
      </c>
      <c r="C167" s="57">
        <v>2</v>
      </c>
      <c r="D167" s="57" t="s">
        <v>37</v>
      </c>
      <c r="E167" s="1" t="s">
        <v>31</v>
      </c>
      <c r="F167" s="75">
        <v>2</v>
      </c>
    </row>
    <row r="168" spans="2:6" x14ac:dyDescent="0.25">
      <c r="B168" s="75" t="s">
        <v>51</v>
      </c>
      <c r="C168" s="57">
        <v>2</v>
      </c>
      <c r="D168" s="57" t="s">
        <v>44</v>
      </c>
      <c r="E168" s="1" t="s">
        <v>32</v>
      </c>
      <c r="F168" s="75">
        <v>2</v>
      </c>
    </row>
    <row r="169" spans="2:6" x14ac:dyDescent="0.25">
      <c r="B169" s="75" t="s">
        <v>60</v>
      </c>
      <c r="C169" s="57">
        <v>2</v>
      </c>
      <c r="D169" s="57" t="s">
        <v>45</v>
      </c>
      <c r="E169" s="1" t="s">
        <v>43</v>
      </c>
      <c r="F169" s="75">
        <v>2</v>
      </c>
    </row>
    <row r="170" spans="2:6" x14ac:dyDescent="0.25">
      <c r="B170" s="75" t="s">
        <v>167</v>
      </c>
      <c r="C170" s="57">
        <v>3</v>
      </c>
      <c r="D170" s="57" t="s">
        <v>38</v>
      </c>
      <c r="E170" s="1" t="s">
        <v>40</v>
      </c>
      <c r="F170" s="75">
        <v>3</v>
      </c>
    </row>
    <row r="171" spans="2:6" x14ac:dyDescent="0.25">
      <c r="B171" s="75" t="s">
        <v>168</v>
      </c>
      <c r="C171" s="57">
        <v>3</v>
      </c>
      <c r="D171" s="57" t="s">
        <v>262</v>
      </c>
      <c r="E171" s="1" t="s">
        <v>169</v>
      </c>
      <c r="F171" s="75">
        <v>3</v>
      </c>
    </row>
    <row r="172" spans="2:6" x14ac:dyDescent="0.25">
      <c r="B172" s="75" t="s">
        <v>275</v>
      </c>
      <c r="C172" s="57">
        <v>3</v>
      </c>
      <c r="D172" s="57" t="s">
        <v>54</v>
      </c>
      <c r="E172" s="1" t="s">
        <v>274</v>
      </c>
      <c r="F172" s="75">
        <v>3</v>
      </c>
    </row>
    <row r="173" spans="2:6" x14ac:dyDescent="0.25">
      <c r="B173" s="75" t="s">
        <v>58</v>
      </c>
      <c r="C173" s="57">
        <v>3</v>
      </c>
      <c r="D173" s="57" t="s">
        <v>57</v>
      </c>
      <c r="E173" s="1" t="s">
        <v>214</v>
      </c>
      <c r="F173" s="75">
        <v>3</v>
      </c>
    </row>
    <row r="174" spans="2:6" x14ac:dyDescent="0.25">
      <c r="B174" s="75" t="s">
        <v>619</v>
      </c>
      <c r="C174" s="57">
        <v>4</v>
      </c>
      <c r="D174" s="57" t="s">
        <v>52</v>
      </c>
      <c r="E174" s="1" t="s">
        <v>92</v>
      </c>
      <c r="F174" s="75">
        <v>3</v>
      </c>
    </row>
    <row r="175" spans="2:6" x14ac:dyDescent="0.25">
      <c r="B175" s="75" t="s">
        <v>966</v>
      </c>
      <c r="C175" s="57">
        <v>4</v>
      </c>
      <c r="D175" s="57" t="s">
        <v>965</v>
      </c>
      <c r="E175" s="1" t="s">
        <v>961</v>
      </c>
      <c r="F175" s="75">
        <v>3</v>
      </c>
    </row>
    <row r="176" spans="2:6" x14ac:dyDescent="0.25">
      <c r="B176" s="75" t="s">
        <v>962</v>
      </c>
      <c r="C176" s="57">
        <v>4</v>
      </c>
      <c r="D176" s="57" t="s">
        <v>964</v>
      </c>
      <c r="E176" s="1" t="s">
        <v>963</v>
      </c>
      <c r="F176" s="75">
        <v>3</v>
      </c>
    </row>
    <row r="177" spans="2:6" x14ac:dyDescent="0.25">
      <c r="B177" s="75" t="s">
        <v>1433</v>
      </c>
      <c r="C177" s="57">
        <v>1</v>
      </c>
      <c r="D177" s="57" t="s">
        <v>39</v>
      </c>
      <c r="E177" s="1" t="s">
        <v>1435</v>
      </c>
      <c r="F177" s="75">
        <v>1</v>
      </c>
    </row>
    <row r="178" spans="2:6" x14ac:dyDescent="0.25">
      <c r="B178" s="75" t="s">
        <v>1434</v>
      </c>
      <c r="C178" s="57">
        <v>4</v>
      </c>
      <c r="D178" s="57" t="s">
        <v>1430</v>
      </c>
      <c r="E178" s="1" t="s">
        <v>1436</v>
      </c>
      <c r="F178" s="75">
        <v>3</v>
      </c>
    </row>
    <row r="179" spans="2:6" x14ac:dyDescent="0.25">
      <c r="B179" s="75" t="s">
        <v>1123</v>
      </c>
      <c r="C179" s="57">
        <v>1</v>
      </c>
      <c r="D179" s="57" t="s">
        <v>1155</v>
      </c>
      <c r="E179" s="1" t="s">
        <v>1154</v>
      </c>
      <c r="F179" s="75">
        <v>1</v>
      </c>
    </row>
    <row r="180" spans="2:6" x14ac:dyDescent="0.25">
      <c r="B180" s="75" t="s">
        <v>59</v>
      </c>
      <c r="C180" s="57">
        <v>4</v>
      </c>
      <c r="D180" s="57" t="s">
        <v>56</v>
      </c>
      <c r="E180" s="1" t="s">
        <v>1163</v>
      </c>
      <c r="F180" s="75">
        <v>3</v>
      </c>
    </row>
    <row r="183" spans="2:6" ht="17.399999999999999" x14ac:dyDescent="0.25">
      <c r="B183" s="156" t="s">
        <v>569</v>
      </c>
    </row>
    <row r="184" spans="2:6" x14ac:dyDescent="0.25">
      <c r="B184" s="663" t="s">
        <v>425</v>
      </c>
      <c r="C184" s="664"/>
      <c r="D184" s="157" t="s">
        <v>335</v>
      </c>
      <c r="E184" s="665" t="s">
        <v>2028</v>
      </c>
      <c r="F184" s="666"/>
    </row>
    <row r="185" spans="2:6" x14ac:dyDescent="0.25">
      <c r="B185" s="667" t="s">
        <v>2029</v>
      </c>
      <c r="C185" s="30"/>
      <c r="D185" s="356" t="s">
        <v>338</v>
      </c>
      <c r="E185" s="29" t="s">
        <v>172</v>
      </c>
      <c r="F185" s="28"/>
    </row>
    <row r="186" spans="2:6" x14ac:dyDescent="0.25">
      <c r="B186" s="667" t="s">
        <v>2030</v>
      </c>
      <c r="C186" s="30"/>
      <c r="D186" s="356" t="s">
        <v>339</v>
      </c>
      <c r="E186" s="29" t="s">
        <v>2033</v>
      </c>
      <c r="F186" s="28"/>
    </row>
    <row r="187" spans="2:6" x14ac:dyDescent="0.25">
      <c r="B187" s="668" t="s">
        <v>1390</v>
      </c>
      <c r="C187" s="30"/>
      <c r="D187" s="356" t="s">
        <v>339</v>
      </c>
      <c r="E187" s="29" t="s">
        <v>180</v>
      </c>
      <c r="F187" s="28"/>
    </row>
    <row r="188" spans="2:6" x14ac:dyDescent="0.25">
      <c r="B188" s="668" t="s">
        <v>1391</v>
      </c>
      <c r="C188" s="30"/>
      <c r="D188" s="356" t="s">
        <v>339</v>
      </c>
      <c r="E188" s="29" t="s">
        <v>2032</v>
      </c>
      <c r="F188" s="28"/>
    </row>
    <row r="189" spans="2:6" x14ac:dyDescent="0.25">
      <c r="B189" s="669" t="s">
        <v>1409</v>
      </c>
      <c r="C189" s="30"/>
      <c r="D189" s="356" t="s">
        <v>340</v>
      </c>
      <c r="E189" s="29" t="s">
        <v>173</v>
      </c>
      <c r="F189" s="28"/>
    </row>
    <row r="190" spans="2:6" x14ac:dyDescent="0.25">
      <c r="B190" s="669" t="s">
        <v>1400</v>
      </c>
      <c r="C190" s="30"/>
      <c r="D190" s="356" t="s">
        <v>340</v>
      </c>
      <c r="E190" s="29" t="s">
        <v>175</v>
      </c>
      <c r="F190" s="28"/>
    </row>
    <row r="191" spans="2:6" x14ac:dyDescent="0.25">
      <c r="B191" s="669" t="s">
        <v>1392</v>
      </c>
      <c r="C191" s="30"/>
      <c r="D191" s="356" t="s">
        <v>340</v>
      </c>
      <c r="E191" s="29" t="s">
        <v>176</v>
      </c>
      <c r="F191" s="28"/>
    </row>
    <row r="192" spans="2:6" x14ac:dyDescent="0.25">
      <c r="B192" s="669" t="s">
        <v>1395</v>
      </c>
      <c r="C192" s="30"/>
      <c r="D192" s="356" t="s">
        <v>340</v>
      </c>
      <c r="E192" s="29" t="s">
        <v>177</v>
      </c>
      <c r="F192" s="28"/>
    </row>
    <row r="193" spans="2:6" x14ac:dyDescent="0.25">
      <c r="B193" s="669" t="s">
        <v>1397</v>
      </c>
      <c r="C193" s="30"/>
      <c r="D193" s="356" t="s">
        <v>340</v>
      </c>
      <c r="E193" s="29" t="s">
        <v>178</v>
      </c>
      <c r="F193" s="28"/>
    </row>
    <row r="194" spans="2:6" x14ac:dyDescent="0.25">
      <c r="B194" s="669" t="s">
        <v>1399</v>
      </c>
      <c r="C194" s="30"/>
      <c r="D194" s="356" t="s">
        <v>340</v>
      </c>
      <c r="E194" s="29" t="s">
        <v>174</v>
      </c>
      <c r="F194" s="28"/>
    </row>
    <row r="195" spans="2:6" x14ac:dyDescent="0.25">
      <c r="B195" s="669" t="s">
        <v>1394</v>
      </c>
      <c r="C195" s="30"/>
      <c r="D195" s="356" t="s">
        <v>340</v>
      </c>
      <c r="E195" s="29" t="s">
        <v>1350</v>
      </c>
      <c r="F195" s="28"/>
    </row>
    <row r="196" spans="2:6" x14ac:dyDescent="0.25">
      <c r="B196" s="669" t="s">
        <v>1398</v>
      </c>
      <c r="C196" s="30"/>
      <c r="D196" s="356" t="s">
        <v>340</v>
      </c>
      <c r="E196" s="29" t="s">
        <v>179</v>
      </c>
      <c r="F196" s="28"/>
    </row>
    <row r="197" spans="2:6" x14ac:dyDescent="0.25">
      <c r="B197" s="669" t="s">
        <v>1396</v>
      </c>
      <c r="C197" s="30"/>
      <c r="D197" s="356" t="s">
        <v>340</v>
      </c>
      <c r="E197" s="29" t="s">
        <v>2031</v>
      </c>
      <c r="F197" s="28"/>
    </row>
    <row r="200" spans="2:6" ht="17.399999999999999" x14ac:dyDescent="0.25">
      <c r="B200" s="156" t="s">
        <v>1687</v>
      </c>
    </row>
    <row r="201" spans="2:6" x14ac:dyDescent="0.25">
      <c r="B201" s="146" t="s">
        <v>571</v>
      </c>
      <c r="C201" s="146" t="s">
        <v>570</v>
      </c>
      <c r="D201" s="146" t="s">
        <v>572</v>
      </c>
      <c r="E201" s="580" t="s">
        <v>1688</v>
      </c>
      <c r="F201" s="146" t="s">
        <v>852</v>
      </c>
    </row>
    <row r="202" spans="2:6" x14ac:dyDescent="0.25">
      <c r="B202" s="26" t="s">
        <v>181</v>
      </c>
      <c r="C202" s="52">
        <v>1361</v>
      </c>
      <c r="D202" s="47">
        <v>885</v>
      </c>
      <c r="E202" s="47">
        <v>785.6</v>
      </c>
      <c r="F202" s="199">
        <v>46023</v>
      </c>
    </row>
    <row r="203" spans="2:6" x14ac:dyDescent="0.25">
      <c r="B203" s="26" t="s">
        <v>182</v>
      </c>
      <c r="C203" s="52">
        <v>1415</v>
      </c>
      <c r="D203" s="47">
        <v>500</v>
      </c>
      <c r="E203" s="47">
        <v>824.3</v>
      </c>
      <c r="F203" s="199">
        <v>46023</v>
      </c>
    </row>
    <row r="204" spans="2:6" x14ac:dyDescent="0.25">
      <c r="B204" s="26" t="s">
        <v>183</v>
      </c>
      <c r="C204" s="52" t="s">
        <v>228</v>
      </c>
      <c r="D204" s="47">
        <v>80</v>
      </c>
      <c r="E204" s="47">
        <v>692.5</v>
      </c>
      <c r="F204" s="199">
        <v>46023</v>
      </c>
    </row>
    <row r="205" spans="2:6" x14ac:dyDescent="0.25">
      <c r="B205" s="26" t="s">
        <v>184</v>
      </c>
      <c r="C205" s="52">
        <v>68</v>
      </c>
      <c r="D205" s="47">
        <v>75</v>
      </c>
      <c r="E205" s="584">
        <v>75</v>
      </c>
      <c r="F205" s="199">
        <v>46023</v>
      </c>
    </row>
    <row r="206" spans="2:6" x14ac:dyDescent="0.25">
      <c r="B206" s="26" t="s">
        <v>200</v>
      </c>
      <c r="C206" s="52">
        <v>666</v>
      </c>
      <c r="D206" s="47">
        <v>456</v>
      </c>
      <c r="E206" s="47">
        <v>348.8</v>
      </c>
      <c r="F206" s="199">
        <v>46023</v>
      </c>
    </row>
    <row r="207" spans="2:6" x14ac:dyDescent="0.25">
      <c r="B207" s="26" t="s">
        <v>185</v>
      </c>
      <c r="C207" s="52" t="s">
        <v>228</v>
      </c>
      <c r="D207" s="47">
        <v>630</v>
      </c>
      <c r="E207" s="584">
        <v>640</v>
      </c>
      <c r="F207" s="199">
        <v>46023</v>
      </c>
    </row>
    <row r="208" spans="2:6" x14ac:dyDescent="0.25">
      <c r="B208" s="26" t="s">
        <v>186</v>
      </c>
      <c r="C208" s="52" t="s">
        <v>228</v>
      </c>
      <c r="D208" s="47">
        <v>608</v>
      </c>
      <c r="E208" s="47">
        <v>433.2</v>
      </c>
      <c r="F208" s="199">
        <v>46023</v>
      </c>
    </row>
    <row r="209" spans="2:6" x14ac:dyDescent="0.25">
      <c r="B209" s="26" t="s">
        <v>187</v>
      </c>
      <c r="C209" s="52">
        <v>626</v>
      </c>
      <c r="D209" s="47">
        <v>436</v>
      </c>
      <c r="E209" s="47">
        <v>329.8</v>
      </c>
      <c r="F209" s="199">
        <v>46023</v>
      </c>
    </row>
    <row r="210" spans="2:6" x14ac:dyDescent="0.25">
      <c r="B210" s="26" t="s">
        <v>201</v>
      </c>
      <c r="C210" s="52" t="s">
        <v>228</v>
      </c>
      <c r="D210" s="47">
        <v>103</v>
      </c>
      <c r="E210" s="584">
        <v>101</v>
      </c>
      <c r="F210" s="199">
        <v>46023</v>
      </c>
    </row>
    <row r="211" spans="2:6" x14ac:dyDescent="0.25">
      <c r="B211" s="26" t="s">
        <v>202</v>
      </c>
      <c r="C211" s="52" t="s">
        <v>228</v>
      </c>
      <c r="D211" s="47">
        <v>848</v>
      </c>
      <c r="E211" s="47">
        <v>693.4</v>
      </c>
      <c r="F211" s="199">
        <v>46023</v>
      </c>
    </row>
    <row r="212" spans="2:6" x14ac:dyDescent="0.25">
      <c r="B212" s="26" t="s">
        <v>203</v>
      </c>
      <c r="C212" s="52">
        <v>1065</v>
      </c>
      <c r="D212" s="47">
        <v>1139</v>
      </c>
      <c r="E212" s="584">
        <v>812</v>
      </c>
      <c r="F212" s="199">
        <v>46023</v>
      </c>
    </row>
    <row r="213" spans="2:6" x14ac:dyDescent="0.25">
      <c r="B213" s="26" t="s">
        <v>204</v>
      </c>
      <c r="C213" s="52" t="s">
        <v>228</v>
      </c>
      <c r="D213" s="47">
        <v>1075</v>
      </c>
      <c r="E213" s="47">
        <v>723.1</v>
      </c>
      <c r="F213" s="199">
        <v>46023</v>
      </c>
    </row>
    <row r="214" spans="2:6" x14ac:dyDescent="0.25">
      <c r="B214" s="26" t="s">
        <v>188</v>
      </c>
      <c r="C214" s="52">
        <v>1050</v>
      </c>
      <c r="D214" s="47">
        <v>506</v>
      </c>
      <c r="E214" s="584">
        <v>332</v>
      </c>
      <c r="F214" s="199">
        <v>46023</v>
      </c>
    </row>
    <row r="215" spans="2:6" x14ac:dyDescent="0.25">
      <c r="B215" s="26" t="s">
        <v>191</v>
      </c>
      <c r="C215" s="52">
        <v>940</v>
      </c>
      <c r="D215" s="47">
        <v>599</v>
      </c>
      <c r="E215" s="584">
        <v>471</v>
      </c>
      <c r="F215" s="199">
        <v>46023</v>
      </c>
    </row>
    <row r="216" spans="2:6" x14ac:dyDescent="0.25">
      <c r="B216" s="26" t="s">
        <v>192</v>
      </c>
      <c r="C216" s="52">
        <v>837</v>
      </c>
      <c r="D216" s="47">
        <v>563</v>
      </c>
      <c r="E216" s="47">
        <v>349.2</v>
      </c>
      <c r="F216" s="199">
        <v>46023</v>
      </c>
    </row>
    <row r="217" spans="2:6" x14ac:dyDescent="0.25">
      <c r="B217" s="26" t="s">
        <v>205</v>
      </c>
      <c r="C217" s="47">
        <v>1488</v>
      </c>
      <c r="D217" s="47">
        <v>1164</v>
      </c>
      <c r="E217" s="47">
        <v>935.7</v>
      </c>
      <c r="F217" s="199">
        <v>46023</v>
      </c>
    </row>
    <row r="218" spans="2:6" x14ac:dyDescent="0.25">
      <c r="B218" s="26" t="s">
        <v>193</v>
      </c>
      <c r="C218" s="47">
        <v>478</v>
      </c>
      <c r="D218" s="47">
        <v>404</v>
      </c>
      <c r="E218" s="47">
        <v>362.8</v>
      </c>
      <c r="F218" s="199">
        <v>46023</v>
      </c>
    </row>
    <row r="219" spans="2:6" x14ac:dyDescent="0.25">
      <c r="B219" s="26" t="s">
        <v>206</v>
      </c>
      <c r="C219" s="47">
        <v>770</v>
      </c>
      <c r="D219" s="47">
        <v>464</v>
      </c>
      <c r="E219" s="584">
        <v>360</v>
      </c>
      <c r="F219" s="199">
        <v>46023</v>
      </c>
    </row>
    <row r="220" spans="2:6" x14ac:dyDescent="0.25">
      <c r="B220" s="26" t="s">
        <v>194</v>
      </c>
      <c r="C220" s="47">
        <v>392</v>
      </c>
      <c r="D220" s="47">
        <v>304</v>
      </c>
      <c r="E220" s="47" t="s">
        <v>228</v>
      </c>
      <c r="F220" s="199">
        <v>46023</v>
      </c>
    </row>
    <row r="221" spans="2:6" x14ac:dyDescent="0.25">
      <c r="B221" s="26" t="s">
        <v>207</v>
      </c>
      <c r="C221" s="47" t="s">
        <v>228</v>
      </c>
      <c r="D221" s="47">
        <v>683</v>
      </c>
      <c r="E221" s="47">
        <v>526.70000000000005</v>
      </c>
      <c r="F221" s="199">
        <v>46023</v>
      </c>
    </row>
    <row r="222" spans="2:6" x14ac:dyDescent="0.25">
      <c r="B222" s="26" t="s">
        <v>208</v>
      </c>
      <c r="C222" s="47">
        <v>981</v>
      </c>
      <c r="D222" s="47">
        <v>671</v>
      </c>
      <c r="E222" s="47">
        <v>555.9</v>
      </c>
      <c r="F222" s="199">
        <v>46023</v>
      </c>
    </row>
    <row r="223" spans="2:6" x14ac:dyDescent="0.25">
      <c r="B223" s="26" t="s">
        <v>189</v>
      </c>
      <c r="C223" s="47">
        <v>977</v>
      </c>
      <c r="D223" s="47">
        <v>596</v>
      </c>
      <c r="E223" s="47">
        <v>471.2</v>
      </c>
      <c r="F223" s="199">
        <v>46023</v>
      </c>
    </row>
    <row r="224" spans="2:6" x14ac:dyDescent="0.25">
      <c r="B224" s="26" t="s">
        <v>209</v>
      </c>
      <c r="C224" s="47" t="s">
        <v>228</v>
      </c>
      <c r="D224" s="47">
        <v>318</v>
      </c>
      <c r="E224" s="584">
        <v>315</v>
      </c>
      <c r="F224" s="199">
        <v>46023</v>
      </c>
    </row>
    <row r="225" spans="2:8" x14ac:dyDescent="0.25">
      <c r="B225" s="26" t="s">
        <v>196</v>
      </c>
      <c r="C225" s="47">
        <v>1113</v>
      </c>
      <c r="D225" s="47">
        <v>815</v>
      </c>
      <c r="E225" s="584">
        <v>750</v>
      </c>
      <c r="F225" s="199">
        <v>46023</v>
      </c>
    </row>
    <row r="226" spans="2:8" x14ac:dyDescent="0.25">
      <c r="B226" s="26" t="s">
        <v>210</v>
      </c>
      <c r="C226" s="47">
        <v>952</v>
      </c>
      <c r="D226" s="47">
        <v>634</v>
      </c>
      <c r="E226" s="47">
        <v>547.6</v>
      </c>
      <c r="F226" s="199">
        <v>46023</v>
      </c>
    </row>
    <row r="227" spans="2:8" x14ac:dyDescent="0.25">
      <c r="B227" s="26" t="s">
        <v>195</v>
      </c>
      <c r="C227" s="47" t="s">
        <v>228</v>
      </c>
      <c r="D227" s="47">
        <v>379</v>
      </c>
      <c r="E227" s="47">
        <v>342.6</v>
      </c>
      <c r="F227" s="199">
        <v>46023</v>
      </c>
    </row>
    <row r="228" spans="2:8" x14ac:dyDescent="0.25">
      <c r="B228" s="26" t="s">
        <v>197</v>
      </c>
      <c r="C228" s="47">
        <v>966</v>
      </c>
      <c r="D228" s="47">
        <v>682</v>
      </c>
      <c r="E228" s="47">
        <v>447.9</v>
      </c>
      <c r="F228" s="199">
        <v>46023</v>
      </c>
    </row>
    <row r="229" spans="2:8" x14ac:dyDescent="0.25">
      <c r="B229" s="26" t="s">
        <v>211</v>
      </c>
      <c r="C229" s="47">
        <v>734</v>
      </c>
      <c r="D229" s="47">
        <v>304</v>
      </c>
      <c r="E229" s="584">
        <v>283</v>
      </c>
      <c r="F229" s="199">
        <v>46023</v>
      </c>
    </row>
    <row r="230" spans="2:8" x14ac:dyDescent="0.25">
      <c r="B230" s="26" t="s">
        <v>198</v>
      </c>
      <c r="C230" s="47">
        <v>1073</v>
      </c>
      <c r="D230" s="47">
        <v>939</v>
      </c>
      <c r="E230" s="47">
        <v>752.2</v>
      </c>
      <c r="F230" s="199">
        <v>46023</v>
      </c>
    </row>
    <row r="231" spans="2:8" x14ac:dyDescent="0.25">
      <c r="B231" s="26" t="s">
        <v>199</v>
      </c>
      <c r="C231" s="47">
        <v>734</v>
      </c>
      <c r="D231" s="47">
        <v>515</v>
      </c>
      <c r="E231" s="584">
        <v>338</v>
      </c>
      <c r="F231" s="199">
        <v>46023</v>
      </c>
    </row>
    <row r="232" spans="2:8" x14ac:dyDescent="0.25">
      <c r="B232" s="26" t="s">
        <v>190</v>
      </c>
      <c r="C232" s="47">
        <v>362</v>
      </c>
      <c r="D232" s="47">
        <v>31</v>
      </c>
      <c r="E232" s="584">
        <v>246</v>
      </c>
      <c r="F232" s="199">
        <v>46023</v>
      </c>
    </row>
    <row r="233" spans="2:8" x14ac:dyDescent="0.25">
      <c r="B233" s="32"/>
      <c r="F233" s="273" t="s">
        <v>1200</v>
      </c>
    </row>
    <row r="234" spans="2:8" x14ac:dyDescent="0.25">
      <c r="B234" s="32"/>
      <c r="C234" s="289"/>
      <c r="E234" s="342" t="s">
        <v>287</v>
      </c>
      <c r="F234" s="338" t="s">
        <v>1201</v>
      </c>
    </row>
    <row r="235" spans="2:8" ht="16.8" x14ac:dyDescent="0.25">
      <c r="B235" s="31"/>
      <c r="E235" s="290" t="s">
        <v>288</v>
      </c>
      <c r="F235" s="273" t="s">
        <v>1202</v>
      </c>
    </row>
    <row r="236" spans="2:8" x14ac:dyDescent="0.25">
      <c r="D236" s="340"/>
      <c r="E236" s="342" t="s">
        <v>1690</v>
      </c>
      <c r="F236" s="582" t="s">
        <v>1689</v>
      </c>
    </row>
    <row r="237" spans="2:8" x14ac:dyDescent="0.25">
      <c r="F237" s="582"/>
    </row>
    <row r="239" spans="2:8" ht="17.399999999999999" x14ac:dyDescent="0.25">
      <c r="B239" s="156" t="s">
        <v>1686</v>
      </c>
    </row>
    <row r="240" spans="2:8" x14ac:dyDescent="0.25">
      <c r="B240" s="146" t="s">
        <v>733</v>
      </c>
      <c r="C240" s="146" t="s">
        <v>573</v>
      </c>
      <c r="D240" s="146" t="s">
        <v>940</v>
      </c>
      <c r="E240" s="146" t="s">
        <v>852</v>
      </c>
      <c r="H240" s="593" t="s">
        <v>1743</v>
      </c>
    </row>
    <row r="241" spans="2:9" x14ac:dyDescent="0.25">
      <c r="B241" s="33" t="s">
        <v>742</v>
      </c>
      <c r="C241" s="47">
        <v>5660</v>
      </c>
      <c r="D241" s="212" t="s">
        <v>549</v>
      </c>
      <c r="E241" s="199">
        <v>46023</v>
      </c>
      <c r="H241" s="587" t="s">
        <v>1741</v>
      </c>
    </row>
    <row r="242" spans="2:9" x14ac:dyDescent="0.25">
      <c r="B242" s="33" t="s">
        <v>734</v>
      </c>
      <c r="C242" s="47">
        <v>2056</v>
      </c>
      <c r="D242" s="212" t="s">
        <v>903</v>
      </c>
      <c r="E242" s="199">
        <v>46023</v>
      </c>
      <c r="H242" s="587" t="s">
        <v>1742</v>
      </c>
    </row>
    <row r="243" spans="2:9" x14ac:dyDescent="0.25">
      <c r="B243" s="33" t="s">
        <v>739</v>
      </c>
      <c r="C243" s="47">
        <v>793</v>
      </c>
      <c r="D243" s="212" t="s">
        <v>903</v>
      </c>
      <c r="E243" s="199">
        <v>46023</v>
      </c>
      <c r="H243" s="587" t="s">
        <v>1744</v>
      </c>
    </row>
    <row r="244" spans="2:9" ht="16.2" customHeight="1" x14ac:dyDescent="0.25">
      <c r="B244" s="33" t="s">
        <v>740</v>
      </c>
      <c r="C244" s="47">
        <v>1708</v>
      </c>
      <c r="D244" s="212" t="s">
        <v>903</v>
      </c>
      <c r="E244" s="199">
        <v>46023</v>
      </c>
      <c r="G244" s="587"/>
      <c r="H244" s="587" t="s">
        <v>1746</v>
      </c>
      <c r="I244" s="594"/>
    </row>
    <row r="245" spans="2:9" x14ac:dyDescent="0.25">
      <c r="B245" s="33" t="s">
        <v>738</v>
      </c>
      <c r="C245" s="47">
        <v>2512</v>
      </c>
      <c r="D245" s="212" t="s">
        <v>903</v>
      </c>
      <c r="E245" s="199">
        <v>46023</v>
      </c>
      <c r="H245" s="587" t="s">
        <v>1747</v>
      </c>
    </row>
    <row r="246" spans="2:9" x14ac:dyDescent="0.25">
      <c r="B246" s="33" t="s">
        <v>735</v>
      </c>
      <c r="C246" s="47">
        <v>1197</v>
      </c>
      <c r="D246" s="212" t="s">
        <v>903</v>
      </c>
      <c r="E246" s="199">
        <v>46023</v>
      </c>
      <c r="H246" s="587" t="s">
        <v>1748</v>
      </c>
    </row>
    <row r="247" spans="2:9" x14ac:dyDescent="0.25">
      <c r="B247" s="33" t="s">
        <v>736</v>
      </c>
      <c r="C247" s="47">
        <v>680</v>
      </c>
      <c r="D247" s="212" t="s">
        <v>903</v>
      </c>
      <c r="E247" s="199">
        <v>46023</v>
      </c>
      <c r="H247" s="587" t="s">
        <v>1749</v>
      </c>
    </row>
    <row r="248" spans="2:9" x14ac:dyDescent="0.25">
      <c r="B248" s="33" t="s">
        <v>741</v>
      </c>
      <c r="C248" s="47">
        <v>1125</v>
      </c>
      <c r="D248" s="212" t="s">
        <v>903</v>
      </c>
      <c r="E248" s="199">
        <v>46023</v>
      </c>
    </row>
    <row r="249" spans="2:9" x14ac:dyDescent="0.25">
      <c r="B249" s="33" t="s">
        <v>743</v>
      </c>
      <c r="C249" s="47">
        <v>1481</v>
      </c>
      <c r="D249" s="212" t="s">
        <v>903</v>
      </c>
      <c r="E249" s="199">
        <v>46023</v>
      </c>
    </row>
    <row r="250" spans="2:9" x14ac:dyDescent="0.25">
      <c r="B250" s="33" t="s">
        <v>737</v>
      </c>
      <c r="C250" s="47">
        <v>2559</v>
      </c>
      <c r="D250" s="212" t="s">
        <v>903</v>
      </c>
      <c r="E250" s="199">
        <v>46023</v>
      </c>
    </row>
    <row r="251" spans="2:9" x14ac:dyDescent="0.25">
      <c r="B251" s="33" t="s">
        <v>746</v>
      </c>
      <c r="C251" s="47">
        <v>1376</v>
      </c>
      <c r="D251" s="212" t="s">
        <v>903</v>
      </c>
      <c r="E251" s="199">
        <v>46023</v>
      </c>
    </row>
    <row r="252" spans="2:9" x14ac:dyDescent="0.25">
      <c r="B252" s="33" t="s">
        <v>748</v>
      </c>
      <c r="C252" s="47">
        <v>1686</v>
      </c>
      <c r="D252" s="212" t="s">
        <v>903</v>
      </c>
      <c r="E252" s="199">
        <v>46023</v>
      </c>
    </row>
    <row r="253" spans="2:9" x14ac:dyDescent="0.25">
      <c r="B253" s="33" t="s">
        <v>750</v>
      </c>
      <c r="C253" s="47">
        <v>645</v>
      </c>
      <c r="D253" s="212" t="s">
        <v>903</v>
      </c>
      <c r="E253" s="199">
        <v>46023</v>
      </c>
    </row>
    <row r="254" spans="2:9" x14ac:dyDescent="0.25">
      <c r="B254" s="33" t="s">
        <v>751</v>
      </c>
      <c r="C254" s="47">
        <v>1406</v>
      </c>
      <c r="D254" s="212" t="s">
        <v>903</v>
      </c>
      <c r="E254" s="199">
        <v>46023</v>
      </c>
    </row>
    <row r="255" spans="2:9" x14ac:dyDescent="0.25">
      <c r="B255" s="33" t="s">
        <v>752</v>
      </c>
      <c r="C255" s="47">
        <v>433</v>
      </c>
      <c r="D255" s="212" t="s">
        <v>548</v>
      </c>
      <c r="E255" s="199">
        <v>46023</v>
      </c>
    </row>
    <row r="256" spans="2:9" x14ac:dyDescent="0.25">
      <c r="B256" s="33" t="s">
        <v>755</v>
      </c>
      <c r="C256" s="47">
        <v>4909</v>
      </c>
      <c r="D256" s="212" t="s">
        <v>549</v>
      </c>
      <c r="E256" s="199">
        <v>46023</v>
      </c>
    </row>
    <row r="257" spans="2:5" x14ac:dyDescent="0.25">
      <c r="B257" s="33" t="s">
        <v>756</v>
      </c>
      <c r="C257" s="47">
        <v>826</v>
      </c>
      <c r="D257" s="212" t="s">
        <v>903</v>
      </c>
      <c r="E257" s="199">
        <v>46023</v>
      </c>
    </row>
    <row r="258" spans="2:5" x14ac:dyDescent="0.25">
      <c r="B258" s="33" t="s">
        <v>757</v>
      </c>
      <c r="C258" s="47">
        <v>1173</v>
      </c>
      <c r="D258" s="212" t="s">
        <v>903</v>
      </c>
      <c r="E258" s="199">
        <v>46023</v>
      </c>
    </row>
    <row r="259" spans="2:5" x14ac:dyDescent="0.25">
      <c r="B259" s="33" t="s">
        <v>758</v>
      </c>
      <c r="C259" s="47">
        <v>382</v>
      </c>
      <c r="D259" s="212" t="s">
        <v>548</v>
      </c>
      <c r="E259" s="199">
        <v>46023</v>
      </c>
    </row>
    <row r="260" spans="2:5" x14ac:dyDescent="0.25">
      <c r="B260" s="33" t="s">
        <v>759</v>
      </c>
      <c r="C260" s="47">
        <v>7949</v>
      </c>
      <c r="D260" s="212" t="s">
        <v>549</v>
      </c>
      <c r="E260" s="199">
        <v>46023</v>
      </c>
    </row>
    <row r="261" spans="2:5" x14ac:dyDescent="0.25">
      <c r="B261" s="212" t="s">
        <v>946</v>
      </c>
      <c r="C261" s="47">
        <v>658</v>
      </c>
      <c r="D261" s="212" t="s">
        <v>903</v>
      </c>
      <c r="E261" s="199">
        <v>46023</v>
      </c>
    </row>
    <row r="262" spans="2:5" x14ac:dyDescent="0.25">
      <c r="B262" s="33" t="s">
        <v>1702</v>
      </c>
      <c r="C262" s="47">
        <v>2254</v>
      </c>
      <c r="D262" s="586" t="s">
        <v>903</v>
      </c>
      <c r="E262" s="199">
        <v>46023</v>
      </c>
    </row>
    <row r="263" spans="2:5" x14ac:dyDescent="0.25">
      <c r="B263" s="33" t="s">
        <v>1736</v>
      </c>
      <c r="C263" s="47">
        <v>898</v>
      </c>
      <c r="D263" s="586" t="s">
        <v>903</v>
      </c>
      <c r="E263" s="199">
        <v>46023</v>
      </c>
    </row>
    <row r="264" spans="2:5" x14ac:dyDescent="0.25">
      <c r="B264" s="33" t="s">
        <v>1737</v>
      </c>
      <c r="C264" s="47">
        <v>6544</v>
      </c>
      <c r="D264" s="586" t="s">
        <v>549</v>
      </c>
      <c r="E264" s="199">
        <v>46023</v>
      </c>
    </row>
    <row r="265" spans="2:5" x14ac:dyDescent="0.25">
      <c r="B265" s="586" t="s">
        <v>1738</v>
      </c>
      <c r="C265" s="47">
        <v>2188</v>
      </c>
      <c r="D265" s="586" t="s">
        <v>903</v>
      </c>
      <c r="E265" s="199">
        <v>46023</v>
      </c>
    </row>
    <row r="266" spans="2:5" x14ac:dyDescent="0.25">
      <c r="B266" s="586" t="s">
        <v>1739</v>
      </c>
      <c r="C266" s="47">
        <v>1334</v>
      </c>
      <c r="D266" s="586" t="s">
        <v>903</v>
      </c>
      <c r="E266" s="199">
        <v>46023</v>
      </c>
    </row>
    <row r="267" spans="2:5" x14ac:dyDescent="0.25">
      <c r="B267" s="586" t="s">
        <v>1740</v>
      </c>
      <c r="C267" s="47">
        <v>1151</v>
      </c>
      <c r="D267" s="586" t="s">
        <v>903</v>
      </c>
      <c r="E267" s="199">
        <v>46023</v>
      </c>
    </row>
    <row r="268" spans="2:5" x14ac:dyDescent="0.25">
      <c r="B268" s="586" t="s">
        <v>1750</v>
      </c>
      <c r="C268" s="47">
        <v>779</v>
      </c>
      <c r="D268" s="586" t="s">
        <v>903</v>
      </c>
      <c r="E268" s="199">
        <v>46023</v>
      </c>
    </row>
    <row r="269" spans="2:5" x14ac:dyDescent="0.25">
      <c r="B269" s="33" t="s">
        <v>1751</v>
      </c>
      <c r="C269" s="47">
        <v>396</v>
      </c>
      <c r="D269" s="586" t="s">
        <v>548</v>
      </c>
      <c r="E269" s="199">
        <v>46023</v>
      </c>
    </row>
    <row r="270" spans="2:5" x14ac:dyDescent="0.25">
      <c r="B270" s="33" t="s">
        <v>1752</v>
      </c>
      <c r="C270" s="47">
        <v>6741</v>
      </c>
      <c r="D270" s="586" t="s">
        <v>549</v>
      </c>
      <c r="E270" s="199">
        <v>46023</v>
      </c>
    </row>
    <row r="271" spans="2:5" x14ac:dyDescent="0.25">
      <c r="B271" s="33" t="s">
        <v>1753</v>
      </c>
      <c r="C271" s="47">
        <v>2188</v>
      </c>
      <c r="D271" s="586" t="s">
        <v>903</v>
      </c>
      <c r="E271" s="199">
        <v>46023</v>
      </c>
    </row>
    <row r="272" spans="2:5" x14ac:dyDescent="0.25">
      <c r="B272" s="586" t="s">
        <v>1754</v>
      </c>
      <c r="C272" s="47">
        <v>1998</v>
      </c>
      <c r="D272" s="586" t="s">
        <v>903</v>
      </c>
      <c r="E272" s="199">
        <v>46023</v>
      </c>
    </row>
    <row r="273" spans="2:15" x14ac:dyDescent="0.25">
      <c r="B273" s="586" t="s">
        <v>1755</v>
      </c>
      <c r="C273" s="47">
        <v>1649</v>
      </c>
      <c r="D273" s="586" t="s">
        <v>903</v>
      </c>
      <c r="E273" s="199">
        <v>46023</v>
      </c>
    </row>
    <row r="274" spans="2:15" x14ac:dyDescent="0.25">
      <c r="B274" s="586"/>
      <c r="C274" s="47"/>
      <c r="D274" s="586"/>
      <c r="E274" s="586"/>
    </row>
    <row r="275" spans="2:15" x14ac:dyDescent="0.25">
      <c r="B275" s="586"/>
      <c r="C275" s="47"/>
      <c r="D275" s="586"/>
      <c r="E275" s="586"/>
    </row>
    <row r="276" spans="2:15" x14ac:dyDescent="0.25">
      <c r="B276" s="586"/>
      <c r="C276" s="47"/>
      <c r="D276" s="586"/>
      <c r="E276" s="586"/>
    </row>
    <row r="277" spans="2:15" x14ac:dyDescent="0.25">
      <c r="B277" s="586"/>
      <c r="C277" s="47"/>
      <c r="D277" s="586"/>
      <c r="E277" s="586"/>
    </row>
    <row r="278" spans="2:15" x14ac:dyDescent="0.25">
      <c r="B278" s="33"/>
      <c r="C278" s="47"/>
      <c r="D278" s="205"/>
      <c r="E278" s="212"/>
    </row>
    <row r="279" spans="2:15" x14ac:dyDescent="0.25">
      <c r="B279" s="33"/>
      <c r="C279" s="47"/>
      <c r="D279" s="205"/>
      <c r="E279" s="586"/>
      <c r="F279" s="34"/>
    </row>
    <row r="280" spans="2:15" x14ac:dyDescent="0.25">
      <c r="B280" s="33"/>
      <c r="C280" s="47"/>
      <c r="D280" s="205"/>
      <c r="E280" s="212"/>
    </row>
    <row r="281" spans="2:15" x14ac:dyDescent="0.25">
      <c r="B281" s="866" t="s">
        <v>726</v>
      </c>
      <c r="C281" s="866"/>
      <c r="D281" s="866"/>
      <c r="E281" s="866"/>
    </row>
    <row r="282" spans="2:15" ht="16.2" customHeight="1" x14ac:dyDescent="0.25">
      <c r="B282" s="846" t="s">
        <v>1745</v>
      </c>
      <c r="C282" s="846"/>
      <c r="D282" s="846"/>
      <c r="E282" s="846"/>
      <c r="F282" s="595"/>
    </row>
    <row r="283" spans="2:15" x14ac:dyDescent="0.25">
      <c r="C283" s="175"/>
    </row>
    <row r="284" spans="2:15" x14ac:dyDescent="0.25">
      <c r="C284" s="175"/>
    </row>
    <row r="285" spans="2:15" ht="17.399999999999999" x14ac:dyDescent="0.25">
      <c r="B285" s="156" t="s">
        <v>1177</v>
      </c>
      <c r="C285" s="175"/>
      <c r="F285" s="259"/>
    </row>
    <row r="286" spans="2:15" s="286" customFormat="1" ht="16.8" x14ac:dyDescent="0.25">
      <c r="B286" s="287" t="s">
        <v>1178</v>
      </c>
      <c r="C286" s="681" t="s">
        <v>442</v>
      </c>
      <c r="D286" s="287" t="s">
        <v>2080</v>
      </c>
      <c r="E286" s="697"/>
      <c r="F286" s="709" t="s">
        <v>353</v>
      </c>
      <c r="G286" s="698"/>
      <c r="H286" s="22"/>
      <c r="I286" s="22"/>
      <c r="J286" s="260"/>
      <c r="K286" s="260"/>
      <c r="L286" s="260"/>
      <c r="M286" s="260"/>
      <c r="N286" s="260"/>
      <c r="O286" s="260"/>
    </row>
    <row r="287" spans="2:15" s="286" customFormat="1" ht="16.8" x14ac:dyDescent="0.25">
      <c r="B287" s="17" t="s">
        <v>1174</v>
      </c>
      <c r="C287" s="675" t="s">
        <v>228</v>
      </c>
      <c r="D287" s="93">
        <v>0</v>
      </c>
      <c r="E287" s="699"/>
      <c r="F287" s="700"/>
      <c r="G287" s="701" t="s">
        <v>1330</v>
      </c>
      <c r="H287" s="22"/>
      <c r="I287" s="22"/>
      <c r="J287" s="260"/>
      <c r="K287" s="260"/>
      <c r="L287" s="260"/>
      <c r="M287" s="260"/>
      <c r="N287" s="260"/>
      <c r="O287" s="260"/>
    </row>
    <row r="288" spans="2:15" s="286" customFormat="1" ht="16.8" x14ac:dyDescent="0.25">
      <c r="B288" s="17" t="s">
        <v>465</v>
      </c>
      <c r="C288" s="675">
        <v>3</v>
      </c>
      <c r="D288" s="93">
        <v>0.33660000000000001</v>
      </c>
      <c r="E288" s="691"/>
      <c r="F288" s="692"/>
      <c r="G288" s="693" t="s">
        <v>1207</v>
      </c>
      <c r="H288" s="22"/>
      <c r="I288" s="22"/>
      <c r="J288" s="260"/>
      <c r="K288" s="260"/>
      <c r="L288" s="260"/>
      <c r="M288" s="260"/>
      <c r="N288" s="260"/>
      <c r="O288" s="260"/>
    </row>
    <row r="289" spans="2:15" x14ac:dyDescent="0.25">
      <c r="B289" s="17" t="s">
        <v>1179</v>
      </c>
      <c r="C289" s="680">
        <v>1</v>
      </c>
      <c r="D289" s="93">
        <v>17.443232999999999</v>
      </c>
      <c r="E289" s="691"/>
      <c r="F289" s="692"/>
      <c r="G289" s="693"/>
      <c r="J289" s="259"/>
      <c r="K289" s="259"/>
      <c r="L289" s="259"/>
      <c r="M289" s="259"/>
      <c r="N289" s="259"/>
      <c r="O289" s="259"/>
    </row>
    <row r="290" spans="2:15" x14ac:dyDescent="0.25">
      <c r="B290" s="610" t="s">
        <v>1983</v>
      </c>
      <c r="C290" s="680">
        <v>1</v>
      </c>
      <c r="D290" s="93">
        <v>2.8962999999999999E-2</v>
      </c>
      <c r="E290" s="691"/>
      <c r="F290" s="692"/>
      <c r="G290" s="693"/>
      <c r="J290" s="259"/>
      <c r="K290" s="259"/>
      <c r="L290" s="259"/>
      <c r="M290" s="259"/>
      <c r="N290" s="259"/>
      <c r="O290" s="259"/>
    </row>
    <row r="291" spans="2:15" x14ac:dyDescent="0.25">
      <c r="B291" s="17" t="s">
        <v>472</v>
      </c>
      <c r="C291" s="680">
        <v>1</v>
      </c>
      <c r="D291" s="93">
        <v>0.53435931000000003</v>
      </c>
      <c r="E291" s="699"/>
      <c r="F291" s="700"/>
      <c r="G291" s="701"/>
      <c r="J291" s="259"/>
      <c r="K291" s="259"/>
      <c r="L291" s="259"/>
      <c r="M291" s="259"/>
      <c r="N291" s="259"/>
      <c r="O291" s="259"/>
    </row>
    <row r="292" spans="2:15" x14ac:dyDescent="0.25">
      <c r="B292" s="579" t="s">
        <v>680</v>
      </c>
      <c r="C292" s="680" t="s">
        <v>2073</v>
      </c>
      <c r="D292" s="93">
        <v>2.9320000000000003E-4</v>
      </c>
      <c r="E292" s="699"/>
      <c r="F292" s="700"/>
      <c r="G292" s="701" t="s">
        <v>1684</v>
      </c>
      <c r="J292" s="259"/>
      <c r="K292" s="259"/>
      <c r="L292" s="259"/>
      <c r="M292" s="259"/>
      <c r="N292" s="259"/>
      <c r="O292" s="259"/>
    </row>
    <row r="293" spans="2:15" x14ac:dyDescent="0.25">
      <c r="B293" s="17" t="s">
        <v>1180</v>
      </c>
      <c r="C293" s="680">
        <v>1</v>
      </c>
      <c r="D293" s="93">
        <v>3.2347212000000001</v>
      </c>
      <c r="E293" s="699"/>
      <c r="F293" s="700"/>
      <c r="G293" s="701" t="s">
        <v>1197</v>
      </c>
      <c r="J293" s="259"/>
      <c r="K293" s="259"/>
      <c r="L293" s="259"/>
      <c r="M293" s="259"/>
      <c r="N293" s="259"/>
      <c r="O293" s="259"/>
    </row>
    <row r="294" spans="2:15" x14ac:dyDescent="0.25">
      <c r="B294" s="17" t="s">
        <v>1181</v>
      </c>
      <c r="C294" s="680">
        <v>1</v>
      </c>
      <c r="D294" s="93">
        <v>4.1287542999999998</v>
      </c>
      <c r="E294" s="699"/>
      <c r="F294" s="700"/>
      <c r="G294" s="701"/>
      <c r="J294" s="259"/>
      <c r="K294" s="259"/>
      <c r="L294" s="259"/>
      <c r="M294" s="259"/>
      <c r="N294" s="259"/>
      <c r="O294" s="259"/>
    </row>
    <row r="295" spans="2:15" x14ac:dyDescent="0.25">
      <c r="B295" s="17" t="s">
        <v>1182</v>
      </c>
      <c r="C295" s="680">
        <v>1</v>
      </c>
      <c r="D295" s="93">
        <v>10.659981999999999</v>
      </c>
      <c r="E295" s="699"/>
      <c r="F295" s="700"/>
      <c r="G295" s="701"/>
      <c r="J295" s="259"/>
      <c r="K295" s="259"/>
      <c r="L295" s="259"/>
      <c r="M295" s="259"/>
      <c r="N295" s="259"/>
      <c r="O295" s="259"/>
    </row>
    <row r="296" spans="2:15" x14ac:dyDescent="0.25">
      <c r="B296" s="147" t="s">
        <v>468</v>
      </c>
      <c r="C296" s="680">
        <v>1</v>
      </c>
      <c r="D296" s="93">
        <v>4.5920768000000001E-2</v>
      </c>
      <c r="E296" s="699"/>
      <c r="F296" s="700"/>
      <c r="G296" s="701" t="s">
        <v>1684</v>
      </c>
      <c r="J296" s="259"/>
      <c r="K296" s="259"/>
      <c r="L296" s="259"/>
      <c r="M296" s="259"/>
      <c r="N296" s="259"/>
      <c r="O296" s="259"/>
    </row>
    <row r="297" spans="2:15" x14ac:dyDescent="0.25">
      <c r="B297" s="17" t="s">
        <v>475</v>
      </c>
      <c r="C297" s="680">
        <v>2</v>
      </c>
      <c r="D297" s="93">
        <v>0.224</v>
      </c>
      <c r="E297" s="699"/>
      <c r="F297" s="700"/>
      <c r="G297" s="701" t="s">
        <v>1198</v>
      </c>
      <c r="J297" s="259"/>
      <c r="K297" s="259"/>
      <c r="L297" s="259"/>
      <c r="M297" s="259"/>
      <c r="N297" s="259"/>
      <c r="O297" s="259"/>
    </row>
    <row r="298" spans="2:15" x14ac:dyDescent="0.25">
      <c r="B298" s="17" t="s">
        <v>1183</v>
      </c>
      <c r="C298" s="680">
        <v>1</v>
      </c>
      <c r="D298" s="93">
        <v>5.4339325000000001</v>
      </c>
      <c r="E298" s="699"/>
      <c r="F298" s="700"/>
      <c r="G298" s="701"/>
      <c r="J298" s="259"/>
      <c r="K298" s="259"/>
      <c r="L298" s="259"/>
      <c r="M298" s="259"/>
      <c r="N298" s="259"/>
      <c r="O298" s="259"/>
    </row>
    <row r="299" spans="2:15" x14ac:dyDescent="0.25">
      <c r="B299" s="17" t="s">
        <v>471</v>
      </c>
      <c r="C299" s="680">
        <v>1</v>
      </c>
      <c r="D299" s="93">
        <v>0.12350643</v>
      </c>
      <c r="E299" s="699"/>
      <c r="F299" s="700"/>
      <c r="G299" s="701"/>
      <c r="J299" s="259"/>
      <c r="K299" s="259"/>
      <c r="L299" s="259"/>
      <c r="M299" s="259"/>
      <c r="N299" s="259"/>
      <c r="O299" s="259"/>
    </row>
    <row r="300" spans="2:15" x14ac:dyDescent="0.25">
      <c r="B300" s="17" t="s">
        <v>493</v>
      </c>
      <c r="C300" s="680">
        <v>1</v>
      </c>
      <c r="D300" s="93">
        <v>7.7324333999999995E-2</v>
      </c>
      <c r="E300" s="699"/>
      <c r="F300" s="700"/>
      <c r="G300" s="701"/>
      <c r="J300" s="259"/>
      <c r="K300" s="259"/>
      <c r="L300" s="259"/>
      <c r="M300" s="259"/>
      <c r="N300" s="259"/>
      <c r="O300" s="259"/>
    </row>
    <row r="301" spans="2:15" x14ac:dyDescent="0.25">
      <c r="B301" s="147" t="s">
        <v>467</v>
      </c>
      <c r="C301" s="680">
        <v>1</v>
      </c>
      <c r="D301" s="93">
        <v>2.0206583</v>
      </c>
      <c r="E301" s="699"/>
      <c r="F301" s="700"/>
      <c r="G301" s="701" t="s">
        <v>1684</v>
      </c>
      <c r="J301" s="259"/>
      <c r="K301" s="259"/>
      <c r="L301" s="259"/>
      <c r="M301" s="259"/>
      <c r="N301" s="259"/>
      <c r="O301" s="259"/>
    </row>
    <row r="302" spans="2:15" x14ac:dyDescent="0.25">
      <c r="B302" s="17" t="s">
        <v>476</v>
      </c>
      <c r="C302" s="680">
        <v>2</v>
      </c>
      <c r="D302" s="93">
        <v>0.65</v>
      </c>
      <c r="E302" s="699"/>
      <c r="F302" s="700"/>
      <c r="G302" s="701" t="s">
        <v>1198</v>
      </c>
      <c r="J302" s="259"/>
      <c r="K302" s="259"/>
      <c r="L302" s="259"/>
      <c r="M302" s="259"/>
      <c r="N302" s="259"/>
      <c r="O302" s="259"/>
    </row>
    <row r="303" spans="2:15" x14ac:dyDescent="0.25">
      <c r="B303" s="17" t="s">
        <v>1184</v>
      </c>
      <c r="C303" s="680">
        <v>1</v>
      </c>
      <c r="D303" s="93">
        <v>5.0669465999999996</v>
      </c>
      <c r="E303" s="699"/>
      <c r="F303" s="700"/>
      <c r="G303" s="701"/>
      <c r="J303" s="259"/>
      <c r="K303" s="259"/>
      <c r="L303" s="259"/>
      <c r="M303" s="259"/>
      <c r="N303" s="259"/>
      <c r="O303" s="259"/>
    </row>
    <row r="304" spans="2:15" x14ac:dyDescent="0.25">
      <c r="B304" s="17" t="s">
        <v>1185</v>
      </c>
      <c r="C304" s="680">
        <v>1</v>
      </c>
      <c r="D304" s="93">
        <v>2.8822192000000002</v>
      </c>
      <c r="E304" s="699"/>
      <c r="F304" s="700"/>
      <c r="G304" s="701"/>
      <c r="J304" s="259"/>
      <c r="K304" s="259"/>
      <c r="L304" s="259"/>
      <c r="M304" s="259"/>
      <c r="N304" s="259"/>
      <c r="O304" s="259"/>
    </row>
    <row r="305" spans="2:15" x14ac:dyDescent="0.25">
      <c r="B305" s="17" t="s">
        <v>1186</v>
      </c>
      <c r="C305" s="680">
        <v>1</v>
      </c>
      <c r="D305" s="93">
        <v>7.8191103000000002</v>
      </c>
      <c r="E305" s="699"/>
      <c r="F305" s="700"/>
      <c r="G305" s="701"/>
      <c r="J305" s="259"/>
      <c r="K305" s="259"/>
      <c r="L305" s="259"/>
      <c r="M305" s="259"/>
      <c r="N305" s="259"/>
      <c r="O305" s="259"/>
    </row>
    <row r="306" spans="2:15" x14ac:dyDescent="0.25">
      <c r="B306" s="17" t="s">
        <v>1187</v>
      </c>
      <c r="C306" s="680">
        <v>1</v>
      </c>
      <c r="D306" s="93">
        <v>10.612954999999999</v>
      </c>
      <c r="E306" s="699"/>
      <c r="F306" s="700"/>
      <c r="G306" s="701"/>
      <c r="J306" s="259"/>
      <c r="K306" s="259"/>
      <c r="L306" s="259"/>
      <c r="M306" s="259"/>
      <c r="N306" s="259"/>
      <c r="O306" s="259"/>
    </row>
    <row r="307" spans="2:15" x14ac:dyDescent="0.25">
      <c r="B307" s="17" t="s">
        <v>1188</v>
      </c>
      <c r="C307" s="680">
        <v>1</v>
      </c>
      <c r="D307" s="93">
        <v>7.9518281999999996</v>
      </c>
      <c r="E307" s="699"/>
      <c r="F307" s="700"/>
      <c r="G307" s="701"/>
      <c r="J307" s="259"/>
      <c r="K307" s="259"/>
      <c r="L307" s="259"/>
      <c r="M307" s="259"/>
      <c r="N307" s="259"/>
      <c r="O307" s="259"/>
    </row>
    <row r="308" spans="2:15" x14ac:dyDescent="0.25">
      <c r="B308" s="271" t="s">
        <v>1193</v>
      </c>
      <c r="C308" s="680">
        <v>1</v>
      </c>
      <c r="D308" s="93">
        <v>2.8822192000000002</v>
      </c>
      <c r="E308" s="699"/>
      <c r="F308" s="700"/>
      <c r="G308" s="701" t="s">
        <v>1208</v>
      </c>
      <c r="J308" s="259"/>
      <c r="K308" s="259"/>
      <c r="L308" s="259"/>
      <c r="M308" s="259"/>
      <c r="N308" s="259"/>
      <c r="O308" s="259"/>
    </row>
    <row r="309" spans="2:15" x14ac:dyDescent="0.25">
      <c r="B309" s="271" t="s">
        <v>1194</v>
      </c>
      <c r="C309" s="680">
        <v>1</v>
      </c>
      <c r="D309" s="93">
        <v>2.8822192000000002</v>
      </c>
      <c r="E309" s="699"/>
      <c r="F309" s="700"/>
      <c r="G309" s="701" t="s">
        <v>1208</v>
      </c>
      <c r="J309" s="259"/>
      <c r="K309" s="259"/>
      <c r="L309" s="259"/>
      <c r="M309" s="259"/>
      <c r="N309" s="259"/>
      <c r="O309" s="259"/>
    </row>
    <row r="310" spans="2:15" x14ac:dyDescent="0.25">
      <c r="B310" s="271" t="s">
        <v>1195</v>
      </c>
      <c r="C310" s="680">
        <v>1</v>
      </c>
      <c r="D310" s="93">
        <v>2.8822192000000002</v>
      </c>
      <c r="E310" s="699"/>
      <c r="F310" s="700"/>
      <c r="G310" s="701" t="s">
        <v>1208</v>
      </c>
      <c r="J310" s="259"/>
      <c r="K310" s="259"/>
      <c r="L310" s="259"/>
      <c r="M310" s="259"/>
      <c r="N310" s="259"/>
      <c r="O310" s="259"/>
    </row>
    <row r="311" spans="2:15" x14ac:dyDescent="0.25">
      <c r="B311" s="274" t="s">
        <v>1196</v>
      </c>
      <c r="C311" s="680">
        <v>1</v>
      </c>
      <c r="D311" s="93">
        <v>2.8822192000000002</v>
      </c>
      <c r="E311" s="699"/>
      <c r="F311" s="700"/>
      <c r="G311" s="701" t="s">
        <v>1208</v>
      </c>
      <c r="J311" s="259"/>
      <c r="K311" s="259"/>
      <c r="L311" s="259"/>
      <c r="M311" s="259"/>
      <c r="N311" s="259"/>
      <c r="O311" s="259"/>
    </row>
    <row r="312" spans="2:15" x14ac:dyDescent="0.25">
      <c r="B312" s="271" t="s">
        <v>1209</v>
      </c>
      <c r="C312" s="680">
        <v>1</v>
      </c>
      <c r="D312" s="93">
        <v>2.8822192000000002</v>
      </c>
      <c r="E312" s="699"/>
      <c r="F312" s="700"/>
      <c r="G312" s="701" t="s">
        <v>1208</v>
      </c>
      <c r="J312" s="259"/>
      <c r="K312" s="259"/>
      <c r="L312" s="259"/>
      <c r="M312" s="259"/>
      <c r="N312" s="259"/>
      <c r="O312" s="259"/>
    </row>
    <row r="313" spans="2:15" x14ac:dyDescent="0.25">
      <c r="B313" s="17" t="s">
        <v>474</v>
      </c>
      <c r="C313" s="680">
        <v>1</v>
      </c>
      <c r="D313" s="93">
        <v>3.6394853999999997E-2</v>
      </c>
      <c r="E313" s="699"/>
      <c r="F313" s="700"/>
      <c r="G313" s="701"/>
      <c r="J313" s="259"/>
      <c r="K313" s="259"/>
      <c r="L313" s="259"/>
      <c r="M313" s="259"/>
      <c r="N313" s="259"/>
      <c r="O313" s="259"/>
    </row>
    <row r="314" spans="2:15" x14ac:dyDescent="0.25">
      <c r="B314" s="147" t="s">
        <v>1981</v>
      </c>
      <c r="C314" s="680">
        <v>1</v>
      </c>
      <c r="D314" s="93">
        <v>8.9580000000000007E-3</v>
      </c>
      <c r="E314" s="699"/>
      <c r="F314" s="700"/>
      <c r="G314" s="701"/>
      <c r="J314" s="259"/>
      <c r="K314" s="259"/>
      <c r="L314" s="259"/>
      <c r="M314" s="259"/>
      <c r="N314" s="259"/>
      <c r="O314" s="259"/>
    </row>
    <row r="315" spans="2:15" x14ac:dyDescent="0.25">
      <c r="B315" s="17" t="s">
        <v>473</v>
      </c>
      <c r="C315" s="680">
        <v>1</v>
      </c>
      <c r="D315" s="93">
        <v>1.0460670000000001</v>
      </c>
      <c r="E315" s="699"/>
      <c r="F315" s="700"/>
      <c r="G315" s="701"/>
      <c r="J315" s="259"/>
      <c r="K315" s="259"/>
      <c r="L315" s="259"/>
      <c r="M315" s="259"/>
      <c r="N315" s="259"/>
      <c r="O315" s="259"/>
    </row>
    <row r="316" spans="2:15" x14ac:dyDescent="0.25">
      <c r="B316" s="17" t="s">
        <v>470</v>
      </c>
      <c r="C316" s="680">
        <v>1</v>
      </c>
      <c r="D316" s="93">
        <v>3.1732790000000002E-3</v>
      </c>
      <c r="E316" s="699"/>
      <c r="F316" s="700"/>
      <c r="G316" s="701"/>
      <c r="J316" s="259"/>
      <c r="K316" s="259"/>
      <c r="L316" s="259"/>
      <c r="M316" s="259"/>
      <c r="N316" s="259"/>
      <c r="O316" s="259"/>
    </row>
    <row r="317" spans="2:15" x14ac:dyDescent="0.25">
      <c r="B317" s="17" t="s">
        <v>1189</v>
      </c>
      <c r="C317" s="680">
        <v>1</v>
      </c>
      <c r="D317" s="93">
        <v>16.349319999999999</v>
      </c>
      <c r="E317" s="699"/>
      <c r="F317" s="700"/>
      <c r="G317" s="701"/>
      <c r="J317" s="259"/>
      <c r="K317" s="259"/>
      <c r="L317" s="259"/>
      <c r="M317" s="259"/>
      <c r="N317" s="259"/>
      <c r="O317" s="259"/>
    </row>
    <row r="318" spans="2:15" x14ac:dyDescent="0.25">
      <c r="B318" s="271" t="s">
        <v>1192</v>
      </c>
      <c r="C318" s="680">
        <v>1</v>
      </c>
      <c r="D318" s="93">
        <v>2.8822192000000002</v>
      </c>
      <c r="E318" s="699"/>
      <c r="F318" s="700"/>
      <c r="G318" s="701" t="s">
        <v>1208</v>
      </c>
      <c r="J318" s="259"/>
      <c r="K318" s="259"/>
      <c r="L318" s="259"/>
      <c r="M318" s="259"/>
      <c r="N318" s="259"/>
      <c r="O318" s="259"/>
    </row>
    <row r="319" spans="2:15" x14ac:dyDescent="0.25">
      <c r="B319" s="17" t="s">
        <v>1175</v>
      </c>
      <c r="C319" s="680">
        <v>1</v>
      </c>
      <c r="D319" s="93">
        <v>4.0838399000000001</v>
      </c>
      <c r="E319" s="699"/>
      <c r="F319" s="700"/>
      <c r="G319" s="701"/>
      <c r="J319" s="259"/>
      <c r="K319" s="259"/>
      <c r="L319" s="259"/>
      <c r="M319" s="259"/>
      <c r="N319" s="259"/>
      <c r="O319" s="259"/>
    </row>
    <row r="320" spans="2:15" x14ac:dyDescent="0.25">
      <c r="B320" s="147" t="s">
        <v>469</v>
      </c>
      <c r="C320" s="680">
        <v>1</v>
      </c>
      <c r="D320" s="93">
        <v>9.6629015999999998E-2</v>
      </c>
      <c r="E320" s="699"/>
      <c r="F320" s="700"/>
      <c r="G320" s="701" t="s">
        <v>1684</v>
      </c>
      <c r="J320" s="259"/>
      <c r="K320" s="259"/>
      <c r="L320" s="259"/>
      <c r="M320" s="259"/>
      <c r="N320" s="259"/>
      <c r="O320" s="259"/>
    </row>
    <row r="321" spans="2:19" x14ac:dyDescent="0.25">
      <c r="B321" s="271" t="s">
        <v>1088</v>
      </c>
      <c r="C321" s="680">
        <v>1</v>
      </c>
      <c r="D321" s="93">
        <v>3.5756632999999999E-3</v>
      </c>
      <c r="E321" s="699"/>
      <c r="F321" s="700"/>
      <c r="G321" s="701"/>
      <c r="J321" s="259"/>
      <c r="K321" s="259"/>
      <c r="L321" s="259"/>
      <c r="M321" s="259"/>
      <c r="N321" s="259"/>
      <c r="O321" s="259"/>
    </row>
    <row r="322" spans="2:19" x14ac:dyDescent="0.25">
      <c r="B322" s="609" t="s">
        <v>1982</v>
      </c>
      <c r="C322" s="680">
        <v>1</v>
      </c>
      <c r="D322" s="93">
        <v>1.4001159999999999</v>
      </c>
      <c r="E322" s="699"/>
      <c r="F322" s="700"/>
      <c r="G322" s="701"/>
      <c r="J322" s="259"/>
      <c r="K322" s="259"/>
      <c r="L322" s="259"/>
      <c r="M322" s="259"/>
      <c r="N322" s="259"/>
      <c r="O322" s="259"/>
    </row>
    <row r="323" spans="2:19" x14ac:dyDescent="0.25">
      <c r="B323" s="17" t="s">
        <v>1173</v>
      </c>
      <c r="C323" s="680">
        <v>1</v>
      </c>
      <c r="D323" s="93">
        <v>1.0939892</v>
      </c>
      <c r="E323" s="699"/>
      <c r="F323" s="700"/>
      <c r="G323" s="701"/>
      <c r="J323" s="259"/>
      <c r="K323" s="259"/>
      <c r="L323" s="259"/>
      <c r="M323" s="259"/>
      <c r="N323" s="259"/>
      <c r="O323" s="259"/>
    </row>
    <row r="324" spans="2:19" x14ac:dyDescent="0.25">
      <c r="B324" s="141" t="s">
        <v>1190</v>
      </c>
      <c r="C324" s="680">
        <v>1</v>
      </c>
      <c r="D324" s="93">
        <v>3.9732563999999999</v>
      </c>
      <c r="E324" s="699"/>
      <c r="F324" s="700"/>
      <c r="G324" s="701"/>
      <c r="J324" s="259"/>
      <c r="K324" s="259"/>
      <c r="L324" s="259"/>
      <c r="M324" s="259"/>
      <c r="N324" s="259"/>
      <c r="O324" s="259"/>
    </row>
    <row r="325" spans="2:19" x14ac:dyDescent="0.25">
      <c r="B325" s="17" t="s">
        <v>1191</v>
      </c>
      <c r="C325" s="680">
        <v>1</v>
      </c>
      <c r="D325" s="93">
        <v>2.9592949000000002</v>
      </c>
      <c r="E325" s="699"/>
      <c r="F325" s="700"/>
      <c r="G325" s="701"/>
      <c r="J325" s="259"/>
      <c r="K325" s="259"/>
      <c r="L325" s="259"/>
      <c r="M325" s="259"/>
      <c r="N325" s="259"/>
      <c r="O325" s="259"/>
    </row>
    <row r="326" spans="2:19" x14ac:dyDescent="0.25">
      <c r="B326" s="288"/>
      <c r="C326" s="288"/>
      <c r="D326" s="291"/>
      <c r="E326" s="699"/>
      <c r="F326" s="700"/>
      <c r="G326" s="701"/>
      <c r="J326" s="259"/>
      <c r="K326" s="259"/>
      <c r="L326" s="259"/>
      <c r="M326" s="259"/>
      <c r="N326" s="259"/>
      <c r="O326" s="259"/>
    </row>
    <row r="327" spans="2:19" x14ac:dyDescent="0.25">
      <c r="B327" s="288"/>
      <c r="C327" s="288"/>
      <c r="D327" s="291"/>
      <c r="E327" s="699"/>
      <c r="F327" s="700"/>
      <c r="G327" s="701"/>
      <c r="J327" s="259"/>
      <c r="K327" s="259"/>
      <c r="L327" s="259"/>
      <c r="M327" s="259"/>
      <c r="N327" s="259"/>
      <c r="O327" s="259"/>
    </row>
    <row r="328" spans="2:19" x14ac:dyDescent="0.25">
      <c r="B328" s="288"/>
      <c r="C328" s="288"/>
      <c r="D328" s="291"/>
      <c r="E328" s="699"/>
      <c r="F328" s="700"/>
      <c r="G328" s="701"/>
      <c r="J328" s="259"/>
      <c r="K328" s="259"/>
      <c r="L328" s="259"/>
      <c r="M328" s="259"/>
      <c r="N328" s="259"/>
      <c r="O328" s="259"/>
    </row>
    <row r="329" spans="2:19" x14ac:dyDescent="0.25">
      <c r="B329" s="288"/>
      <c r="C329" s="288"/>
      <c r="D329" s="291"/>
      <c r="E329" s="699"/>
      <c r="F329" s="700"/>
      <c r="G329" s="701"/>
      <c r="J329" s="259"/>
      <c r="K329" s="259"/>
      <c r="L329" s="259"/>
      <c r="M329" s="259"/>
      <c r="N329" s="259"/>
      <c r="O329" s="259"/>
    </row>
    <row r="330" spans="2:19" x14ac:dyDescent="0.25">
      <c r="B330" s="259"/>
      <c r="C330" s="259"/>
      <c r="D330" s="259"/>
      <c r="E330" s="259"/>
      <c r="F330" s="259"/>
      <c r="G330" s="677" t="s">
        <v>1203</v>
      </c>
      <c r="H330" s="259" t="s">
        <v>1199</v>
      </c>
      <c r="I330" s="273"/>
      <c r="J330" s="259"/>
      <c r="K330" s="259"/>
      <c r="L330" s="259"/>
      <c r="M330" s="259"/>
      <c r="N330" s="259"/>
      <c r="O330" s="259"/>
      <c r="P330" s="259"/>
      <c r="Q330" s="259"/>
      <c r="R330" s="259"/>
      <c r="S330" s="259"/>
    </row>
    <row r="331" spans="2:19" x14ac:dyDescent="0.25">
      <c r="B331" s="259"/>
      <c r="C331" s="259"/>
      <c r="D331" s="259"/>
      <c r="E331" s="259"/>
      <c r="F331" s="259"/>
      <c r="G331" s="677" t="s">
        <v>1204</v>
      </c>
      <c r="H331" s="259" t="s">
        <v>1205</v>
      </c>
      <c r="I331" s="273"/>
      <c r="J331" s="259"/>
      <c r="K331" s="259"/>
      <c r="L331" s="259"/>
      <c r="M331" s="259"/>
      <c r="N331" s="259"/>
      <c r="O331" s="259"/>
      <c r="P331" s="259"/>
      <c r="Q331" s="259"/>
      <c r="R331" s="259"/>
      <c r="S331" s="259"/>
    </row>
    <row r="332" spans="2:19" x14ac:dyDescent="0.25">
      <c r="B332" s="259"/>
      <c r="C332" s="259"/>
      <c r="D332" s="259"/>
      <c r="E332" s="259"/>
      <c r="F332" s="259"/>
      <c r="G332" s="677" t="s">
        <v>321</v>
      </c>
      <c r="H332" s="259" t="s">
        <v>1206</v>
      </c>
      <c r="I332" s="273"/>
      <c r="J332" s="259"/>
      <c r="K332" s="259"/>
      <c r="L332" s="259"/>
      <c r="M332" s="259"/>
      <c r="N332" s="259"/>
      <c r="O332" s="259"/>
      <c r="P332" s="259"/>
      <c r="Q332" s="259"/>
      <c r="R332" s="259"/>
      <c r="S332" s="259"/>
    </row>
    <row r="333" spans="2:19" x14ac:dyDescent="0.25">
      <c r="B333" s="259"/>
      <c r="C333" s="259"/>
      <c r="D333" s="259"/>
      <c r="E333" s="259"/>
      <c r="F333" s="259"/>
      <c r="G333" s="677" t="s">
        <v>2075</v>
      </c>
      <c r="H333" s="259" t="s">
        <v>2074</v>
      </c>
      <c r="I333" s="273"/>
      <c r="J333" s="259"/>
      <c r="K333" s="259"/>
      <c r="L333" s="259"/>
      <c r="M333" s="259"/>
      <c r="N333" s="259"/>
      <c r="O333" s="259"/>
      <c r="P333" s="259"/>
      <c r="Q333" s="259"/>
      <c r="R333" s="259"/>
      <c r="S333" s="259"/>
    </row>
    <row r="334" spans="2:19" x14ac:dyDescent="0.25">
      <c r="B334" s="259"/>
      <c r="C334" s="259"/>
      <c r="D334" s="259"/>
      <c r="E334" s="259"/>
      <c r="F334" s="259"/>
      <c r="G334" s="677" t="s">
        <v>2086</v>
      </c>
      <c r="H334" s="259" t="s">
        <v>1085</v>
      </c>
      <c r="I334" s="677"/>
      <c r="J334" s="259"/>
      <c r="K334" s="259"/>
      <c r="L334" s="259"/>
      <c r="M334" s="259"/>
      <c r="N334" s="259"/>
      <c r="O334" s="259"/>
      <c r="P334" s="259"/>
      <c r="Q334" s="259"/>
      <c r="R334" s="259"/>
      <c r="S334" s="259"/>
    </row>
    <row r="335" spans="2:19" ht="16.2" customHeight="1" x14ac:dyDescent="0.25">
      <c r="B335" s="863" t="s">
        <v>2087</v>
      </c>
      <c r="C335" s="863"/>
      <c r="D335" s="863"/>
      <c r="E335" s="863"/>
      <c r="F335" s="863"/>
      <c r="G335" s="863"/>
      <c r="H335" s="259" t="s">
        <v>1210</v>
      </c>
      <c r="I335" s="694"/>
      <c r="J335" s="259"/>
      <c r="K335" s="259"/>
      <c r="L335" s="259"/>
      <c r="M335" s="259"/>
      <c r="N335" s="259"/>
      <c r="O335" s="259"/>
      <c r="P335" s="259"/>
      <c r="Q335" s="259"/>
      <c r="R335" s="259"/>
      <c r="S335" s="259"/>
    </row>
    <row r="336" spans="2:19" x14ac:dyDescent="0.25">
      <c r="B336" s="863"/>
      <c r="C336" s="863"/>
      <c r="D336" s="863"/>
      <c r="E336" s="863"/>
      <c r="F336" s="863"/>
      <c r="G336" s="863"/>
      <c r="H336" s="259"/>
      <c r="I336" s="259"/>
      <c r="J336" s="259"/>
      <c r="K336" s="259"/>
      <c r="L336" s="259"/>
      <c r="M336" s="259"/>
      <c r="N336" s="259"/>
      <c r="O336" s="259"/>
      <c r="P336" s="259"/>
      <c r="Q336" s="259"/>
      <c r="R336" s="259"/>
      <c r="S336" s="259"/>
    </row>
    <row r="337" spans="2:19" x14ac:dyDescent="0.25">
      <c r="B337" s="678"/>
      <c r="C337" s="678"/>
      <c r="D337" s="678"/>
      <c r="E337" s="678"/>
      <c r="F337" s="678"/>
      <c r="G337" s="678"/>
      <c r="H337" s="259"/>
      <c r="I337" s="259"/>
      <c r="J337" s="259"/>
      <c r="K337" s="259"/>
      <c r="L337" s="259"/>
      <c r="M337" s="259"/>
      <c r="N337" s="259"/>
      <c r="O337" s="259"/>
      <c r="P337" s="259"/>
      <c r="Q337" s="259"/>
      <c r="R337" s="259"/>
      <c r="S337" s="259"/>
    </row>
    <row r="338" spans="2:19" x14ac:dyDescent="0.25">
      <c r="H338" s="259"/>
      <c r="I338" s="259"/>
      <c r="J338" s="259"/>
      <c r="K338" s="259"/>
    </row>
    <row r="339" spans="2:19" ht="17.399999999999999" x14ac:dyDescent="0.25">
      <c r="B339" s="156" t="s">
        <v>574</v>
      </c>
      <c r="H339" s="259"/>
      <c r="I339" s="259"/>
      <c r="J339" s="259"/>
      <c r="K339" s="259"/>
    </row>
    <row r="340" spans="2:19" x14ac:dyDescent="0.25">
      <c r="B340" s="608" t="s">
        <v>335</v>
      </c>
      <c r="C340" s="146" t="s">
        <v>334</v>
      </c>
      <c r="D340" s="146" t="s">
        <v>576</v>
      </c>
    </row>
    <row r="341" spans="2:19" x14ac:dyDescent="0.25">
      <c r="B341" s="324" t="s">
        <v>337</v>
      </c>
      <c r="C341" s="33">
        <v>1</v>
      </c>
      <c r="D341" s="326" t="s">
        <v>17</v>
      </c>
    </row>
    <row r="342" spans="2:19" x14ac:dyDescent="0.25">
      <c r="B342" s="324" t="s">
        <v>338</v>
      </c>
      <c r="C342" s="33">
        <v>2</v>
      </c>
      <c r="D342" s="326" t="s">
        <v>18</v>
      </c>
    </row>
    <row r="343" spans="2:19" x14ac:dyDescent="0.25">
      <c r="B343" s="324" t="s">
        <v>339</v>
      </c>
      <c r="C343" s="33">
        <v>3</v>
      </c>
      <c r="D343" s="326" t="s">
        <v>20</v>
      </c>
    </row>
    <row r="344" spans="2:19" x14ac:dyDescent="0.25">
      <c r="B344" s="324" t="s">
        <v>340</v>
      </c>
      <c r="C344" s="33">
        <v>4</v>
      </c>
      <c r="D344" s="326" t="s">
        <v>24</v>
      </c>
    </row>
    <row r="345" spans="2:19" x14ac:dyDescent="0.25">
      <c r="B345" s="324" t="s">
        <v>341</v>
      </c>
      <c r="C345" s="33">
        <v>5</v>
      </c>
      <c r="D345" s="326" t="s">
        <v>27</v>
      </c>
    </row>
    <row r="346" spans="2:19" x14ac:dyDescent="0.25">
      <c r="B346" s="324" t="s">
        <v>342</v>
      </c>
      <c r="C346" s="33">
        <v>6</v>
      </c>
      <c r="D346" s="326" t="s">
        <v>28</v>
      </c>
    </row>
    <row r="347" spans="2:19" x14ac:dyDescent="0.25">
      <c r="B347" s="324" t="s">
        <v>343</v>
      </c>
      <c r="C347" s="33">
        <v>7</v>
      </c>
      <c r="D347" s="326" t="s">
        <v>230</v>
      </c>
    </row>
    <row r="348" spans="2:19" x14ac:dyDescent="0.25">
      <c r="B348" s="324" t="s">
        <v>510</v>
      </c>
      <c r="C348" s="33">
        <v>9</v>
      </c>
      <c r="D348" s="326" t="s">
        <v>231</v>
      </c>
    </row>
    <row r="351" spans="2:19" ht="17.399999999999999" x14ac:dyDescent="0.25">
      <c r="B351" s="156" t="s">
        <v>577</v>
      </c>
    </row>
    <row r="352" spans="2:19" x14ac:dyDescent="0.25">
      <c r="B352" s="146" t="s">
        <v>430</v>
      </c>
      <c r="C352" s="146" t="s">
        <v>335</v>
      </c>
    </row>
    <row r="353" spans="2:3" x14ac:dyDescent="0.25">
      <c r="B353" s="581" t="s">
        <v>337</v>
      </c>
      <c r="C353" s="324" t="s">
        <v>337</v>
      </c>
    </row>
    <row r="354" spans="2:3" x14ac:dyDescent="0.25">
      <c r="B354" s="581" t="s">
        <v>338</v>
      </c>
      <c r="C354" s="581" t="s">
        <v>338</v>
      </c>
    </row>
    <row r="355" spans="2:3" x14ac:dyDescent="0.25">
      <c r="B355" s="581" t="s">
        <v>339</v>
      </c>
      <c r="C355" s="581" t="s">
        <v>339</v>
      </c>
    </row>
    <row r="356" spans="2:3" x14ac:dyDescent="0.25">
      <c r="B356" s="581" t="s">
        <v>340</v>
      </c>
      <c r="C356" s="581" t="s">
        <v>340</v>
      </c>
    </row>
    <row r="357" spans="2:3" x14ac:dyDescent="0.25">
      <c r="B357" s="581" t="s">
        <v>341</v>
      </c>
      <c r="C357" s="581" t="s">
        <v>341</v>
      </c>
    </row>
    <row r="358" spans="2:3" x14ac:dyDescent="0.25">
      <c r="B358" s="581" t="s">
        <v>342</v>
      </c>
      <c r="C358" s="581" t="s">
        <v>342</v>
      </c>
    </row>
    <row r="359" spans="2:3" x14ac:dyDescent="0.25">
      <c r="B359" s="581" t="s">
        <v>343</v>
      </c>
      <c r="C359" s="581" t="s">
        <v>343</v>
      </c>
    </row>
    <row r="360" spans="2:3" x14ac:dyDescent="0.25">
      <c r="B360" s="581" t="s">
        <v>510</v>
      </c>
      <c r="C360" s="581" t="s">
        <v>510</v>
      </c>
    </row>
    <row r="361" spans="2:3" x14ac:dyDescent="0.25">
      <c r="B361" s="581" t="s">
        <v>232</v>
      </c>
      <c r="C361" s="581" t="s">
        <v>337</v>
      </c>
    </row>
    <row r="362" spans="2:3" x14ac:dyDescent="0.25">
      <c r="B362" s="33" t="s">
        <v>233</v>
      </c>
      <c r="C362" s="324" t="s">
        <v>338</v>
      </c>
    </row>
    <row r="363" spans="2:3" x14ac:dyDescent="0.25">
      <c r="B363" s="33" t="s">
        <v>234</v>
      </c>
      <c r="C363" s="324" t="s">
        <v>339</v>
      </c>
    </row>
    <row r="364" spans="2:3" x14ac:dyDescent="0.25">
      <c r="B364" s="33" t="s">
        <v>235</v>
      </c>
      <c r="C364" s="324" t="s">
        <v>340</v>
      </c>
    </row>
    <row r="365" spans="2:3" x14ac:dyDescent="0.25">
      <c r="B365" s="33" t="s">
        <v>236</v>
      </c>
      <c r="C365" s="324" t="s">
        <v>341</v>
      </c>
    </row>
    <row r="366" spans="2:3" x14ac:dyDescent="0.25">
      <c r="B366" s="33" t="s">
        <v>239</v>
      </c>
      <c r="C366" s="324" t="s">
        <v>342</v>
      </c>
    </row>
    <row r="367" spans="2:3" x14ac:dyDescent="0.25">
      <c r="B367" s="33" t="s">
        <v>240</v>
      </c>
      <c r="C367" s="324" t="s">
        <v>343</v>
      </c>
    </row>
    <row r="368" spans="2:3" x14ac:dyDescent="0.25">
      <c r="B368" s="33" t="s">
        <v>241</v>
      </c>
      <c r="C368" s="324" t="s">
        <v>343</v>
      </c>
    </row>
    <row r="369" spans="2:3" x14ac:dyDescent="0.25">
      <c r="B369" s="33" t="s">
        <v>237</v>
      </c>
      <c r="C369" s="324" t="s">
        <v>510</v>
      </c>
    </row>
    <row r="370" spans="2:3" x14ac:dyDescent="0.25">
      <c r="B370" s="33" t="s">
        <v>238</v>
      </c>
      <c r="C370" s="324" t="s">
        <v>510</v>
      </c>
    </row>
    <row r="371" spans="2:3" x14ac:dyDescent="0.25">
      <c r="B371" s="33" t="s">
        <v>242</v>
      </c>
      <c r="C371" s="324" t="s">
        <v>510</v>
      </c>
    </row>
    <row r="372" spans="2:3" x14ac:dyDescent="0.25">
      <c r="B372" s="33" t="s">
        <v>243</v>
      </c>
      <c r="C372" s="324" t="s">
        <v>510</v>
      </c>
    </row>
    <row r="373" spans="2:3" x14ac:dyDescent="0.25">
      <c r="B373" s="33" t="s">
        <v>244</v>
      </c>
      <c r="C373" s="324" t="s">
        <v>510</v>
      </c>
    </row>
    <row r="374" spans="2:3" x14ac:dyDescent="0.25">
      <c r="B374" s="33" t="s">
        <v>245</v>
      </c>
      <c r="C374" s="324" t="s">
        <v>510</v>
      </c>
    </row>
    <row r="375" spans="2:3" x14ac:dyDescent="0.25">
      <c r="B375" s="33" t="s">
        <v>246</v>
      </c>
      <c r="C375" s="324" t="s">
        <v>510</v>
      </c>
    </row>
    <row r="376" spans="2:3" x14ac:dyDescent="0.25">
      <c r="B376" s="33" t="s">
        <v>247</v>
      </c>
      <c r="C376" s="324" t="s">
        <v>510</v>
      </c>
    </row>
    <row r="377" spans="2:3" x14ac:dyDescent="0.25">
      <c r="B377" s="33" t="s">
        <v>248</v>
      </c>
      <c r="C377" s="324" t="s">
        <v>510</v>
      </c>
    </row>
    <row r="378" spans="2:3" x14ac:dyDescent="0.25">
      <c r="B378" s="33" t="s">
        <v>249</v>
      </c>
      <c r="C378" s="324" t="s">
        <v>510</v>
      </c>
    </row>
    <row r="379" spans="2:3" x14ac:dyDescent="0.25">
      <c r="B379" s="33" t="s">
        <v>250</v>
      </c>
      <c r="C379" s="324" t="s">
        <v>510</v>
      </c>
    </row>
    <row r="380" spans="2:3" x14ac:dyDescent="0.25">
      <c r="B380" s="33" t="s">
        <v>251</v>
      </c>
      <c r="C380" s="324" t="s">
        <v>510</v>
      </c>
    </row>
    <row r="381" spans="2:3" x14ac:dyDescent="0.25">
      <c r="B381" s="33" t="s">
        <v>252</v>
      </c>
      <c r="C381" s="324" t="s">
        <v>510</v>
      </c>
    </row>
    <row r="384" spans="2:3" ht="17.399999999999999" x14ac:dyDescent="0.25">
      <c r="B384" s="156" t="s">
        <v>578</v>
      </c>
    </row>
    <row r="385" spans="2:6" ht="16.8" x14ac:dyDescent="0.25">
      <c r="B385" s="146" t="s">
        <v>335</v>
      </c>
      <c r="C385" s="25" t="s">
        <v>253</v>
      </c>
      <c r="D385" s="25" t="s">
        <v>254</v>
      </c>
      <c r="E385" s="146" t="s">
        <v>410</v>
      </c>
      <c r="F385" s="146" t="s">
        <v>487</v>
      </c>
    </row>
    <row r="386" spans="2:6" x14ac:dyDescent="0.25">
      <c r="B386" s="324" t="s">
        <v>337</v>
      </c>
      <c r="C386" s="53">
        <v>910</v>
      </c>
      <c r="D386" s="53">
        <v>662</v>
      </c>
      <c r="E386" s="54">
        <f>C386+D386</f>
        <v>1572</v>
      </c>
      <c r="F386" s="55">
        <f t="shared" ref="F386:F392" si="1">E386/$E$393</f>
        <v>6.1095996890788963E-2</v>
      </c>
    </row>
    <row r="387" spans="2:6" x14ac:dyDescent="0.25">
      <c r="B387" s="324" t="s">
        <v>338</v>
      </c>
      <c r="C387" s="53">
        <v>1640</v>
      </c>
      <c r="D387" s="53">
        <v>1232</v>
      </c>
      <c r="E387" s="54">
        <f t="shared" ref="E387:E392" si="2">C387+D387</f>
        <v>2872</v>
      </c>
      <c r="F387" s="55">
        <f t="shared" si="1"/>
        <v>0.11162067625340071</v>
      </c>
    </row>
    <row r="388" spans="2:6" x14ac:dyDescent="0.25">
      <c r="B388" s="324" t="s">
        <v>339</v>
      </c>
      <c r="C388" s="53">
        <v>873</v>
      </c>
      <c r="D388" s="53">
        <v>412</v>
      </c>
      <c r="E388" s="54">
        <f t="shared" si="2"/>
        <v>1285</v>
      </c>
      <c r="F388" s="55">
        <f t="shared" si="1"/>
        <v>4.9941702293043143E-2</v>
      </c>
    </row>
    <row r="389" spans="2:6" x14ac:dyDescent="0.25">
      <c r="B389" s="324" t="s">
        <v>340</v>
      </c>
      <c r="C389" s="53">
        <v>1785</v>
      </c>
      <c r="D389" s="53">
        <v>225</v>
      </c>
      <c r="E389" s="54">
        <f t="shared" si="2"/>
        <v>2010</v>
      </c>
      <c r="F389" s="55">
        <f t="shared" si="1"/>
        <v>7.8118927322192E-2</v>
      </c>
    </row>
    <row r="390" spans="2:6" x14ac:dyDescent="0.25">
      <c r="B390" s="324" t="s">
        <v>341</v>
      </c>
      <c r="C390" s="53">
        <v>655</v>
      </c>
      <c r="D390" s="53">
        <v>228</v>
      </c>
      <c r="E390" s="54">
        <f t="shared" si="2"/>
        <v>883</v>
      </c>
      <c r="F390" s="55">
        <f t="shared" si="1"/>
        <v>3.4317916828604744E-2</v>
      </c>
    </row>
    <row r="391" spans="2:6" x14ac:dyDescent="0.25">
      <c r="B391" s="324" t="s">
        <v>1340</v>
      </c>
      <c r="C391" s="53">
        <v>1233</v>
      </c>
      <c r="D391" s="53">
        <v>3897</v>
      </c>
      <c r="E391" s="54">
        <f t="shared" si="2"/>
        <v>5130</v>
      </c>
      <c r="F391" s="55">
        <f t="shared" si="1"/>
        <v>0.19937815779246015</v>
      </c>
    </row>
    <row r="392" spans="2:6" x14ac:dyDescent="0.25">
      <c r="B392" s="324" t="s">
        <v>510</v>
      </c>
      <c r="C392" s="53">
        <v>3305</v>
      </c>
      <c r="D392" s="53">
        <v>8673</v>
      </c>
      <c r="E392" s="54">
        <f t="shared" si="2"/>
        <v>11978</v>
      </c>
      <c r="F392" s="55">
        <f t="shared" si="1"/>
        <v>0.46552662261951028</v>
      </c>
    </row>
    <row r="393" spans="2:6" ht="16.8" x14ac:dyDescent="0.25">
      <c r="B393" s="25" t="s">
        <v>2</v>
      </c>
      <c r="C393" s="56">
        <f>SUM(C386:C392)</f>
        <v>10401</v>
      </c>
      <c r="D393" s="56">
        <f>SUM(D386:D392)</f>
        <v>15329</v>
      </c>
      <c r="E393" s="56">
        <f>SUM(E386:E392)</f>
        <v>25730</v>
      </c>
      <c r="F393" s="56">
        <f>SUM(F386:F392)</f>
        <v>1</v>
      </c>
    </row>
    <row r="396" spans="2:6" ht="17.399999999999999" x14ac:dyDescent="0.25">
      <c r="B396" s="156" t="s">
        <v>798</v>
      </c>
    </row>
    <row r="397" spans="2:6" x14ac:dyDescent="0.25">
      <c r="B397" s="184" t="s">
        <v>799</v>
      </c>
    </row>
    <row r="398" spans="2:6" x14ac:dyDescent="0.25">
      <c r="B398" s="187" t="s">
        <v>800</v>
      </c>
    </row>
    <row r="399" spans="2:6" x14ac:dyDescent="0.25">
      <c r="B399" s="186" t="s">
        <v>801</v>
      </c>
    </row>
    <row r="400" spans="2:6" x14ac:dyDescent="0.25">
      <c r="B400" s="185" t="s">
        <v>802</v>
      </c>
    </row>
    <row r="403" spans="2:2" ht="17.399999999999999" x14ac:dyDescent="0.25">
      <c r="B403" s="156" t="s">
        <v>843</v>
      </c>
    </row>
    <row r="404" spans="2:2" x14ac:dyDescent="0.25">
      <c r="B404" s="196" t="s">
        <v>845</v>
      </c>
    </row>
    <row r="405" spans="2:2" x14ac:dyDescent="0.25">
      <c r="B405" s="197" t="s">
        <v>846</v>
      </c>
    </row>
    <row r="406" spans="2:2" x14ac:dyDescent="0.25">
      <c r="B406" s="198" t="s">
        <v>847</v>
      </c>
    </row>
    <row r="409" spans="2:2" ht="17.399999999999999" x14ac:dyDescent="0.25">
      <c r="B409" s="156" t="s">
        <v>848</v>
      </c>
    </row>
    <row r="410" spans="2:2" x14ac:dyDescent="0.25">
      <c r="B410" s="195" t="s">
        <v>849</v>
      </c>
    </row>
    <row r="411" spans="2:2" x14ac:dyDescent="0.25">
      <c r="B411" s="195" t="s">
        <v>850</v>
      </c>
    </row>
    <row r="412" spans="2:2" x14ac:dyDescent="0.25">
      <c r="B412" s="195" t="s">
        <v>851</v>
      </c>
    </row>
  </sheetData>
  <protectedRanges>
    <protectedRange sqref="C386:D392" name="Range18"/>
    <protectedRange sqref="B287:G329" name="Range17"/>
    <protectedRange sqref="B241:E280" name="Range16"/>
    <protectedRange sqref="C202:F232" name="Range15"/>
    <protectedRange sqref="D148:D157" name="Range14"/>
    <protectedRange sqref="C138:D141" name="Range13"/>
    <protectedRange sqref="D124:H131" name="Range12"/>
    <protectedRange sqref="C110:E116" name="Range11"/>
    <protectedRange sqref="B98:E104" name="Range10"/>
    <protectedRange sqref="D89:F91" name="Range9"/>
    <protectedRange sqref="D80:F83" name="Range8"/>
    <protectedRange sqref="D69:J74" name="Range7"/>
    <protectedRange sqref="D61:F63" name="Range6"/>
    <protectedRange sqref="C46:F52" name="Range5"/>
    <protectedRange sqref="C30:C36 E30:E36" name="Range4"/>
    <protectedRange sqref="B24:G24" name="Range3"/>
    <protectedRange sqref="D13:D17" name="Range2"/>
    <protectedRange sqref="B8:C8" name="Range1"/>
    <protectedRange sqref="F36:G36 G30:G35" name="Range4_1"/>
  </protectedRanges>
  <mergeCells count="47">
    <mergeCell ref="B335:G336"/>
    <mergeCell ref="I73:J73"/>
    <mergeCell ref="B281:E281"/>
    <mergeCell ref="B64:F64"/>
    <mergeCell ref="B75:F75"/>
    <mergeCell ref="B84:F84"/>
    <mergeCell ref="B96:B97"/>
    <mergeCell ref="E96:E97"/>
    <mergeCell ref="B142:D143"/>
    <mergeCell ref="B80:B83"/>
    <mergeCell ref="B105:E105"/>
    <mergeCell ref="B133:E133"/>
    <mergeCell ref="B132:E132"/>
    <mergeCell ref="I68:J68"/>
    <mergeCell ref="I74:J74"/>
    <mergeCell ref="G68:H68"/>
    <mergeCell ref="I69:J69"/>
    <mergeCell ref="I70:J70"/>
    <mergeCell ref="I71:J71"/>
    <mergeCell ref="I72:J72"/>
    <mergeCell ref="B38:F39"/>
    <mergeCell ref="B69:B74"/>
    <mergeCell ref="B44:B45"/>
    <mergeCell ref="C44:E44"/>
    <mergeCell ref="B17:C17"/>
    <mergeCell ref="E17:F17"/>
    <mergeCell ref="B12:C12"/>
    <mergeCell ref="E12:F12"/>
    <mergeCell ref="F44:F45"/>
    <mergeCell ref="E13:F13"/>
    <mergeCell ref="E14:F14"/>
    <mergeCell ref="E15:F15"/>
    <mergeCell ref="E16:F16"/>
    <mergeCell ref="B13:C13"/>
    <mergeCell ref="B16:C16"/>
    <mergeCell ref="B14:C14"/>
    <mergeCell ref="B15:C15"/>
    <mergeCell ref="B282:E282"/>
    <mergeCell ref="B61:B63"/>
    <mergeCell ref="G73:H73"/>
    <mergeCell ref="G74:H74"/>
    <mergeCell ref="G69:H69"/>
    <mergeCell ref="G70:H70"/>
    <mergeCell ref="G71:H71"/>
    <mergeCell ref="G72:H72"/>
    <mergeCell ref="B89:B91"/>
    <mergeCell ref="C92:F92"/>
  </mergeCells>
  <phoneticPr fontId="19" type="noConversion"/>
  <dataValidations count="2">
    <dataValidation type="decimal" allowBlank="1" showInputMessage="1" showErrorMessage="1" sqref="D16" xr:uid="{8E545274-C179-42E1-BCEC-6861F75740A5}">
      <formula1>0</formula1>
      <formula2>100</formula2>
    </dataValidation>
    <dataValidation type="list" allowBlank="1" showInputMessage="1" showErrorMessage="1" sqref="D185:D197" xr:uid="{E610AD90-A0B0-4EFA-B8EB-7B76E1E0158A}">
      <formula1>$B$341:$B$348</formula1>
    </dataValidation>
  </dataValidations>
  <pageMargins left="0.7" right="0.7" top="0.75" bottom="0.75" header="0.3" footer="0.3"/>
  <pageSetup orientation="portrait" horizontalDpi="1200" verticalDpi="12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63C8B-5B04-4212-A62E-AA1A014E2FFD}">
  <sheetPr>
    <tabColor rgb="FF00FFFF"/>
  </sheetPr>
  <dimension ref="B6:O78"/>
  <sheetViews>
    <sheetView rightToLeft="1" topLeftCell="D37" zoomScale="70" zoomScaleNormal="70" workbookViewId="0">
      <selection activeCell="O10" sqref="O10:O24"/>
    </sheetView>
  </sheetViews>
  <sheetFormatPr defaultColWidth="8.8984375" defaultRowHeight="13.8" x14ac:dyDescent="0.25"/>
  <cols>
    <col min="1" max="1" width="11.09765625" style="5" customWidth="1"/>
    <col min="2" max="2" width="13.8984375" style="5" customWidth="1"/>
    <col min="3" max="3" width="20.59765625" style="5" bestFit="1" customWidth="1"/>
    <col min="4" max="4" width="25" style="5" customWidth="1"/>
    <col min="5" max="6" width="19.09765625" style="5" customWidth="1"/>
    <col min="7" max="7" width="38.296875" style="5" customWidth="1"/>
    <col min="8" max="8" width="26.296875" style="5" bestFit="1" customWidth="1"/>
    <col min="9" max="13" width="14.69921875" style="5" customWidth="1"/>
    <col min="14" max="14" width="17.8984375" style="5" customWidth="1"/>
    <col min="15" max="15" width="19.3984375" style="5" customWidth="1"/>
    <col min="16" max="16384" width="8.8984375" style="5"/>
  </cols>
  <sheetData>
    <row r="6" spans="2:15" x14ac:dyDescent="0.25">
      <c r="K6" s="24"/>
    </row>
    <row r="7" spans="2:15" ht="30" customHeight="1" x14ac:dyDescent="0.25">
      <c r="B7" s="281" t="s">
        <v>348</v>
      </c>
      <c r="C7" s="281"/>
      <c r="D7" s="281"/>
      <c r="E7" s="281"/>
      <c r="F7" s="281"/>
      <c r="G7" s="281"/>
      <c r="H7" s="281"/>
      <c r="I7" s="281" t="s">
        <v>792</v>
      </c>
      <c r="J7" s="281"/>
      <c r="K7" s="281"/>
      <c r="L7" s="281"/>
      <c r="M7" s="281"/>
      <c r="N7" s="277" t="s">
        <v>844</v>
      </c>
      <c r="O7" s="278"/>
    </row>
    <row r="8" spans="2:15" x14ac:dyDescent="0.25">
      <c r="B8" s="873" t="s">
        <v>349</v>
      </c>
      <c r="C8" s="873" t="s">
        <v>350</v>
      </c>
      <c r="D8" s="873" t="s">
        <v>351</v>
      </c>
      <c r="E8" s="293" t="s">
        <v>352</v>
      </c>
      <c r="F8" s="294"/>
      <c r="G8" s="873" t="s">
        <v>686</v>
      </c>
      <c r="H8" s="873" t="s">
        <v>691</v>
      </c>
      <c r="I8" s="873" t="s">
        <v>794</v>
      </c>
      <c r="J8" s="873" t="s">
        <v>793</v>
      </c>
      <c r="K8" s="873" t="s">
        <v>795</v>
      </c>
      <c r="L8" s="873" t="s">
        <v>796</v>
      </c>
      <c r="M8" s="873" t="s">
        <v>797</v>
      </c>
      <c r="N8" s="873" t="s">
        <v>848</v>
      </c>
      <c r="O8" s="873" t="s">
        <v>843</v>
      </c>
    </row>
    <row r="9" spans="2:15" ht="16.8" customHeight="1" x14ac:dyDescent="0.25">
      <c r="B9" s="874"/>
      <c r="C9" s="874"/>
      <c r="D9" s="874"/>
      <c r="E9" s="128" t="s">
        <v>314</v>
      </c>
      <c r="F9" s="128" t="s">
        <v>315</v>
      </c>
      <c r="G9" s="874"/>
      <c r="H9" s="874"/>
      <c r="I9" s="874"/>
      <c r="J9" s="874"/>
      <c r="K9" s="874"/>
      <c r="L9" s="874"/>
      <c r="M9" s="874"/>
      <c r="N9" s="874"/>
      <c r="O9" s="874"/>
    </row>
    <row r="10" spans="2:15" s="40" customFormat="1" ht="16.8" customHeight="1" x14ac:dyDescent="0.25">
      <c r="B10" s="881" t="s">
        <v>373</v>
      </c>
      <c r="C10" s="875" t="s">
        <v>47</v>
      </c>
      <c r="D10" s="77" t="s">
        <v>374</v>
      </c>
      <c r="E10" s="130"/>
      <c r="F10" s="123"/>
      <c r="G10" s="131" t="s">
        <v>316</v>
      </c>
      <c r="H10" s="131" t="s">
        <v>687</v>
      </c>
      <c r="I10" s="87"/>
      <c r="J10" s="87"/>
      <c r="K10" s="87"/>
      <c r="L10" s="87"/>
      <c r="M10" s="87"/>
      <c r="N10" s="87" t="s">
        <v>849</v>
      </c>
      <c r="O10" s="87"/>
    </row>
    <row r="11" spans="2:15" s="40" customFormat="1" ht="16.8" customHeight="1" x14ac:dyDescent="0.25">
      <c r="B11" s="881"/>
      <c r="C11" s="876"/>
      <c r="D11" s="77" t="s">
        <v>375</v>
      </c>
      <c r="E11" s="130"/>
      <c r="F11" s="123"/>
      <c r="G11" s="131" t="s">
        <v>316</v>
      </c>
      <c r="H11" s="131" t="s">
        <v>688</v>
      </c>
      <c r="I11" s="87"/>
      <c r="J11" s="87"/>
      <c r="K11" s="87"/>
      <c r="L11" s="87"/>
      <c r="M11" s="87"/>
      <c r="N11" s="87" t="s">
        <v>851</v>
      </c>
      <c r="O11" s="87"/>
    </row>
    <row r="12" spans="2:15" s="40" customFormat="1" ht="16.8" customHeight="1" x14ac:dyDescent="0.25">
      <c r="B12" s="881"/>
      <c r="C12" s="877"/>
      <c r="D12" s="77" t="s">
        <v>376</v>
      </c>
      <c r="E12" s="123"/>
      <c r="F12" s="130"/>
      <c r="G12" s="131" t="s">
        <v>317</v>
      </c>
      <c r="H12" s="131"/>
      <c r="I12" s="87"/>
      <c r="J12" s="87"/>
      <c r="K12" s="87"/>
      <c r="L12" s="87"/>
      <c r="M12" s="87"/>
      <c r="N12" s="87" t="s">
        <v>849</v>
      </c>
      <c r="O12" s="87"/>
    </row>
    <row r="13" spans="2:15" s="40" customFormat="1" ht="16.8" customHeight="1" x14ac:dyDescent="0.25">
      <c r="B13" s="882"/>
      <c r="C13" s="875" t="s">
        <v>48</v>
      </c>
      <c r="D13" s="77" t="s">
        <v>378</v>
      </c>
      <c r="E13" s="130"/>
      <c r="F13" s="123"/>
      <c r="G13" s="131" t="s">
        <v>316</v>
      </c>
      <c r="H13" s="131" t="s">
        <v>687</v>
      </c>
      <c r="I13" s="87"/>
      <c r="J13" s="87"/>
      <c r="K13" s="87"/>
      <c r="L13" s="87"/>
      <c r="M13" s="87"/>
      <c r="N13" s="87" t="s">
        <v>849</v>
      </c>
      <c r="O13" s="87"/>
    </row>
    <row r="14" spans="2:15" s="40" customFormat="1" ht="16.8" customHeight="1" x14ac:dyDescent="0.25">
      <c r="B14" s="882"/>
      <c r="C14" s="877"/>
      <c r="D14" s="77" t="s">
        <v>376</v>
      </c>
      <c r="E14" s="123"/>
      <c r="F14" s="130"/>
      <c r="G14" s="131" t="s">
        <v>317</v>
      </c>
      <c r="H14" s="131"/>
      <c r="I14" s="87"/>
      <c r="J14" s="87"/>
      <c r="K14" s="87"/>
      <c r="L14" s="87"/>
      <c r="M14" s="87"/>
      <c r="N14" s="87" t="s">
        <v>849</v>
      </c>
      <c r="O14" s="87"/>
    </row>
    <row r="15" spans="2:15" s="40" customFormat="1" ht="16.8" customHeight="1" x14ac:dyDescent="0.25">
      <c r="B15" s="882"/>
      <c r="C15" s="875" t="s">
        <v>49</v>
      </c>
      <c r="D15" s="183" t="s">
        <v>379</v>
      </c>
      <c r="E15" s="130"/>
      <c r="F15" s="130"/>
      <c r="G15" s="131" t="s">
        <v>316</v>
      </c>
      <c r="H15" s="131" t="s">
        <v>687</v>
      </c>
      <c r="I15" s="87"/>
      <c r="J15" s="87"/>
      <c r="K15" s="87"/>
      <c r="L15" s="87"/>
      <c r="M15" s="87"/>
      <c r="N15" s="87" t="s">
        <v>849</v>
      </c>
      <c r="O15" s="87"/>
    </row>
    <row r="16" spans="2:15" s="40" customFormat="1" ht="16.8" customHeight="1" x14ac:dyDescent="0.25">
      <c r="B16" s="882"/>
      <c r="C16" s="876"/>
      <c r="D16" s="77" t="s">
        <v>380</v>
      </c>
      <c r="E16" s="130"/>
      <c r="F16" s="123"/>
      <c r="G16" s="131" t="s">
        <v>316</v>
      </c>
      <c r="H16" s="131" t="s">
        <v>689</v>
      </c>
      <c r="I16" s="87"/>
      <c r="J16" s="87"/>
      <c r="K16" s="87"/>
      <c r="L16" s="87"/>
      <c r="M16" s="87"/>
      <c r="N16" s="87" t="s">
        <v>849</v>
      </c>
      <c r="O16" s="87"/>
    </row>
    <row r="17" spans="2:15" s="40" customFormat="1" ht="16.8" customHeight="1" x14ac:dyDescent="0.25">
      <c r="B17" s="882"/>
      <c r="C17" s="876"/>
      <c r="D17" s="77" t="s">
        <v>376</v>
      </c>
      <c r="E17" s="123"/>
      <c r="F17" s="130"/>
      <c r="G17" s="131" t="s">
        <v>317</v>
      </c>
      <c r="H17" s="131"/>
      <c r="I17" s="87"/>
      <c r="J17" s="87"/>
      <c r="K17" s="87"/>
      <c r="L17" s="87"/>
      <c r="M17" s="87"/>
      <c r="N17" s="87" t="s">
        <v>849</v>
      </c>
      <c r="O17" s="87"/>
    </row>
    <row r="18" spans="2:15" s="40" customFormat="1" ht="16.8" customHeight="1" x14ac:dyDescent="0.25">
      <c r="B18" s="882"/>
      <c r="C18" s="877"/>
      <c r="D18" s="77" t="s">
        <v>381</v>
      </c>
      <c r="E18" s="130"/>
      <c r="F18" s="123"/>
      <c r="G18" s="131" t="s">
        <v>316</v>
      </c>
      <c r="H18" s="131" t="s">
        <v>690</v>
      </c>
      <c r="I18" s="87"/>
      <c r="J18" s="87"/>
      <c r="K18" s="87"/>
      <c r="L18" s="87"/>
      <c r="M18" s="87"/>
      <c r="N18" s="87" t="s">
        <v>850</v>
      </c>
      <c r="O18" s="87"/>
    </row>
    <row r="19" spans="2:15" s="40" customFormat="1" ht="16.8" customHeight="1" x14ac:dyDescent="0.25">
      <c r="B19" s="882"/>
      <c r="C19" s="875" t="s">
        <v>50</v>
      </c>
      <c r="D19" s="77" t="s">
        <v>382</v>
      </c>
      <c r="E19" s="130"/>
      <c r="F19" s="123"/>
      <c r="G19" s="131" t="s">
        <v>316</v>
      </c>
      <c r="H19" s="131" t="s">
        <v>687</v>
      </c>
      <c r="I19" s="87"/>
      <c r="J19" s="87"/>
      <c r="K19" s="87"/>
      <c r="L19" s="87"/>
      <c r="M19" s="87"/>
      <c r="N19" s="87" t="s">
        <v>849</v>
      </c>
      <c r="O19" s="87"/>
    </row>
    <row r="20" spans="2:15" s="40" customFormat="1" ht="16.8" customHeight="1" x14ac:dyDescent="0.25">
      <c r="B20" s="882"/>
      <c r="C20" s="876"/>
      <c r="D20" s="77" t="s">
        <v>376</v>
      </c>
      <c r="E20" s="123"/>
      <c r="F20" s="130"/>
      <c r="G20" s="131" t="s">
        <v>317</v>
      </c>
      <c r="H20" s="131"/>
      <c r="I20" s="87"/>
      <c r="J20" s="87"/>
      <c r="K20" s="87"/>
      <c r="L20" s="87"/>
      <c r="M20" s="87"/>
      <c r="N20" s="87" t="s">
        <v>849</v>
      </c>
      <c r="O20" s="87"/>
    </row>
    <row r="21" spans="2:15" s="40" customFormat="1" ht="16.8" customHeight="1" x14ac:dyDescent="0.25">
      <c r="B21" s="882"/>
      <c r="C21" s="877"/>
      <c r="D21" s="77" t="s">
        <v>383</v>
      </c>
      <c r="E21" s="123"/>
      <c r="F21" s="130"/>
      <c r="G21" s="131" t="s">
        <v>317</v>
      </c>
      <c r="H21" s="131"/>
      <c r="I21" s="87"/>
      <c r="J21" s="87"/>
      <c r="K21" s="87"/>
      <c r="L21" s="87"/>
      <c r="M21" s="87"/>
      <c r="N21" s="87" t="s">
        <v>849</v>
      </c>
      <c r="O21" s="87"/>
    </row>
    <row r="22" spans="2:15" s="40" customFormat="1" ht="16.8" customHeight="1" x14ac:dyDescent="0.25">
      <c r="B22" s="882"/>
      <c r="C22" s="875" t="s">
        <v>369</v>
      </c>
      <c r="D22" s="77" t="s">
        <v>374</v>
      </c>
      <c r="E22" s="130"/>
      <c r="F22" s="123"/>
      <c r="G22" s="131" t="s">
        <v>316</v>
      </c>
      <c r="H22" s="131" t="s">
        <v>687</v>
      </c>
      <c r="I22" s="87"/>
      <c r="J22" s="87"/>
      <c r="K22" s="87"/>
      <c r="L22" s="87"/>
      <c r="M22" s="87"/>
      <c r="N22" s="87" t="s">
        <v>849</v>
      </c>
      <c r="O22" s="87"/>
    </row>
    <row r="23" spans="2:15" s="40" customFormat="1" ht="16.8" customHeight="1" x14ac:dyDescent="0.25">
      <c r="B23" s="882"/>
      <c r="C23" s="877"/>
      <c r="D23" s="77" t="s">
        <v>376</v>
      </c>
      <c r="E23" s="123"/>
      <c r="F23" s="130"/>
      <c r="G23" s="131" t="s">
        <v>317</v>
      </c>
      <c r="H23" s="131"/>
      <c r="I23" s="87"/>
      <c r="J23" s="87"/>
      <c r="K23" s="87"/>
      <c r="L23" s="87"/>
      <c r="M23" s="87"/>
      <c r="N23" s="87" t="s">
        <v>849</v>
      </c>
      <c r="O23" s="87"/>
    </row>
    <row r="24" spans="2:15" s="40" customFormat="1" ht="16.8" customHeight="1" x14ac:dyDescent="0.25">
      <c r="B24" s="882"/>
      <c r="C24" s="875" t="s">
        <v>370</v>
      </c>
      <c r="D24" s="77" t="s">
        <v>384</v>
      </c>
      <c r="E24" s="130"/>
      <c r="F24" s="123"/>
      <c r="G24" s="131" t="s">
        <v>316</v>
      </c>
      <c r="H24" s="131" t="s">
        <v>803</v>
      </c>
      <c r="I24" s="87"/>
      <c r="J24" s="87"/>
      <c r="K24" s="87"/>
      <c r="L24" s="87"/>
      <c r="M24" s="87"/>
      <c r="N24" s="87" t="s">
        <v>849</v>
      </c>
      <c r="O24" s="87"/>
    </row>
    <row r="25" spans="2:15" s="40" customFormat="1" ht="16.8" customHeight="1" x14ac:dyDescent="0.25">
      <c r="B25" s="882"/>
      <c r="C25" s="876"/>
      <c r="D25" s="77" t="s">
        <v>385</v>
      </c>
      <c r="E25" s="123"/>
      <c r="F25" s="130"/>
      <c r="G25" s="131" t="s">
        <v>317</v>
      </c>
      <c r="H25" s="131"/>
      <c r="I25" s="87"/>
      <c r="J25" s="87"/>
      <c r="K25" s="87"/>
      <c r="L25" s="87"/>
      <c r="M25" s="87"/>
      <c r="N25" s="87" t="s">
        <v>849</v>
      </c>
      <c r="O25" s="87"/>
    </row>
    <row r="26" spans="2:15" s="40" customFormat="1" ht="16.8" customHeight="1" x14ac:dyDescent="0.25">
      <c r="B26" s="882"/>
      <c r="C26" s="876"/>
      <c r="D26" s="77" t="s">
        <v>387</v>
      </c>
      <c r="E26" s="130"/>
      <c r="F26" s="123"/>
      <c r="G26" s="131" t="s">
        <v>316</v>
      </c>
      <c r="H26" s="131" t="s">
        <v>803</v>
      </c>
      <c r="I26" s="87"/>
      <c r="J26" s="87"/>
      <c r="K26" s="87"/>
      <c r="L26" s="87"/>
      <c r="M26" s="87"/>
      <c r="N26" s="87" t="s">
        <v>849</v>
      </c>
      <c r="O26" s="87"/>
    </row>
    <row r="27" spans="2:15" s="40" customFormat="1" ht="16.8" customHeight="1" x14ac:dyDescent="0.25">
      <c r="B27" s="882"/>
      <c r="C27" s="877"/>
      <c r="D27" s="77" t="s">
        <v>376</v>
      </c>
      <c r="E27" s="123"/>
      <c r="F27" s="130"/>
      <c r="G27" s="131" t="s">
        <v>317</v>
      </c>
      <c r="H27" s="131"/>
      <c r="I27" s="87"/>
      <c r="J27" s="87"/>
      <c r="K27" s="87"/>
      <c r="L27" s="87"/>
      <c r="M27" s="87"/>
      <c r="N27" s="87" t="s">
        <v>849</v>
      </c>
      <c r="O27" s="87"/>
    </row>
    <row r="28" spans="2:15" s="40" customFormat="1" ht="16.8" customHeight="1" x14ac:dyDescent="0.25">
      <c r="B28" s="882"/>
      <c r="C28" s="879" t="s">
        <v>371</v>
      </c>
      <c r="D28" s="77" t="s">
        <v>386</v>
      </c>
      <c r="E28" s="130"/>
      <c r="F28" s="123"/>
      <c r="G28" s="131" t="s">
        <v>316</v>
      </c>
      <c r="H28" s="131" t="s">
        <v>803</v>
      </c>
      <c r="I28" s="87"/>
      <c r="J28" s="87"/>
      <c r="K28" s="87"/>
      <c r="L28" s="87"/>
      <c r="M28" s="87"/>
      <c r="N28" s="87" t="s">
        <v>849</v>
      </c>
      <c r="O28" s="87"/>
    </row>
    <row r="29" spans="2:15" s="40" customFormat="1" ht="16.8" customHeight="1" x14ac:dyDescent="0.25">
      <c r="B29" s="882"/>
      <c r="C29" s="883"/>
      <c r="D29" s="77" t="s">
        <v>385</v>
      </c>
      <c r="E29" s="123"/>
      <c r="F29" s="130"/>
      <c r="G29" s="131" t="s">
        <v>317</v>
      </c>
      <c r="H29" s="131"/>
      <c r="I29" s="87"/>
      <c r="J29" s="87"/>
      <c r="K29" s="87"/>
      <c r="L29" s="87"/>
      <c r="M29" s="87"/>
      <c r="N29" s="87" t="s">
        <v>849</v>
      </c>
      <c r="O29" s="87"/>
    </row>
    <row r="30" spans="2:15" s="40" customFormat="1" ht="16.8" customHeight="1" x14ac:dyDescent="0.25">
      <c r="B30" s="882"/>
      <c r="C30" s="883"/>
      <c r="D30" s="77" t="s">
        <v>387</v>
      </c>
      <c r="E30" s="130"/>
      <c r="F30" s="123"/>
      <c r="G30" s="131" t="s">
        <v>316</v>
      </c>
      <c r="H30" s="131" t="s">
        <v>803</v>
      </c>
      <c r="I30" s="87"/>
      <c r="J30" s="87"/>
      <c r="K30" s="87"/>
      <c r="L30" s="87"/>
      <c r="M30" s="87"/>
      <c r="N30" s="87" t="s">
        <v>849</v>
      </c>
      <c r="O30" s="87"/>
    </row>
    <row r="31" spans="2:15" s="40" customFormat="1" ht="16.8" customHeight="1" x14ac:dyDescent="0.25">
      <c r="B31" s="882"/>
      <c r="C31" s="880"/>
      <c r="D31" s="77" t="s">
        <v>376</v>
      </c>
      <c r="E31" s="123"/>
      <c r="F31" s="130"/>
      <c r="G31" s="131" t="s">
        <v>317</v>
      </c>
      <c r="H31" s="131"/>
      <c r="I31" s="87"/>
      <c r="J31" s="87"/>
      <c r="K31" s="87"/>
      <c r="L31" s="87"/>
      <c r="M31" s="87"/>
      <c r="N31" s="87" t="s">
        <v>849</v>
      </c>
      <c r="O31" s="87"/>
    </row>
    <row r="32" spans="2:15" s="40" customFormat="1" ht="16.8" customHeight="1" x14ac:dyDescent="0.25">
      <c r="B32" s="882"/>
      <c r="C32" s="879" t="s">
        <v>358</v>
      </c>
      <c r="D32" s="77" t="s">
        <v>388</v>
      </c>
      <c r="E32" s="130"/>
      <c r="F32" s="123"/>
      <c r="G32" s="131" t="s">
        <v>316</v>
      </c>
      <c r="H32" s="131" t="s">
        <v>803</v>
      </c>
      <c r="I32" s="87"/>
      <c r="J32" s="87"/>
      <c r="K32" s="87"/>
      <c r="L32" s="87"/>
      <c r="M32" s="87"/>
      <c r="N32" s="87" t="s">
        <v>849</v>
      </c>
      <c r="O32" s="87"/>
    </row>
    <row r="33" spans="2:15" s="40" customFormat="1" ht="16.8" customHeight="1" x14ac:dyDescent="0.25">
      <c r="B33" s="882"/>
      <c r="C33" s="883"/>
      <c r="D33" s="77" t="s">
        <v>376</v>
      </c>
      <c r="E33" s="123"/>
      <c r="F33" s="130"/>
      <c r="G33" s="131" t="s">
        <v>317</v>
      </c>
      <c r="H33" s="131"/>
      <c r="I33" s="87"/>
      <c r="J33" s="87"/>
      <c r="K33" s="87"/>
      <c r="L33" s="87"/>
      <c r="M33" s="87"/>
      <c r="N33" s="87" t="s">
        <v>849</v>
      </c>
      <c r="O33" s="87"/>
    </row>
    <row r="34" spans="2:15" s="40" customFormat="1" ht="16.8" customHeight="1" x14ac:dyDescent="0.25">
      <c r="B34" s="882"/>
      <c r="C34" s="880"/>
      <c r="D34" s="77" t="s">
        <v>389</v>
      </c>
      <c r="E34" s="130"/>
      <c r="F34" s="123"/>
      <c r="G34" s="131" t="s">
        <v>316</v>
      </c>
      <c r="H34" s="131" t="s">
        <v>803</v>
      </c>
      <c r="I34" s="87"/>
      <c r="J34" s="87"/>
      <c r="K34" s="87"/>
      <c r="L34" s="87"/>
      <c r="M34" s="87"/>
      <c r="N34" s="87" t="s">
        <v>849</v>
      </c>
      <c r="O34" s="87"/>
    </row>
    <row r="35" spans="2:15" s="40" customFormat="1" ht="16.8" customHeight="1" x14ac:dyDescent="0.25">
      <c r="B35" s="882"/>
      <c r="C35" s="879" t="s">
        <v>359</v>
      </c>
      <c r="D35" s="77" t="s">
        <v>388</v>
      </c>
      <c r="E35" s="130"/>
      <c r="F35" s="123"/>
      <c r="G35" s="131" t="s">
        <v>316</v>
      </c>
      <c r="H35" s="131" t="s">
        <v>803</v>
      </c>
      <c r="I35" s="87"/>
      <c r="J35" s="87"/>
      <c r="K35" s="87"/>
      <c r="L35" s="87"/>
      <c r="M35" s="87"/>
      <c r="N35" s="87" t="s">
        <v>849</v>
      </c>
      <c r="O35" s="87"/>
    </row>
    <row r="36" spans="2:15" s="40" customFormat="1" ht="16.8" customHeight="1" x14ac:dyDescent="0.25">
      <c r="B36" s="882"/>
      <c r="C36" s="883"/>
      <c r="D36" s="77" t="s">
        <v>376</v>
      </c>
      <c r="E36" s="123"/>
      <c r="F36" s="130"/>
      <c r="G36" s="131" t="s">
        <v>317</v>
      </c>
      <c r="H36" s="131"/>
      <c r="I36" s="87"/>
      <c r="J36" s="87"/>
      <c r="K36" s="87"/>
      <c r="L36" s="87"/>
      <c r="M36" s="87"/>
      <c r="N36" s="87" t="s">
        <v>849</v>
      </c>
      <c r="O36" s="87"/>
    </row>
    <row r="37" spans="2:15" s="40" customFormat="1" ht="16.8" customHeight="1" x14ac:dyDescent="0.25">
      <c r="B37" s="882"/>
      <c r="C37" s="880"/>
      <c r="D37" s="77" t="s">
        <v>390</v>
      </c>
      <c r="E37" s="130"/>
      <c r="F37" s="123"/>
      <c r="G37" s="131" t="s">
        <v>316</v>
      </c>
      <c r="H37" s="131" t="s">
        <v>803</v>
      </c>
      <c r="I37" s="87"/>
      <c r="J37" s="87"/>
      <c r="K37" s="87"/>
      <c r="L37" s="87"/>
      <c r="M37" s="87"/>
      <c r="N37" s="87" t="s">
        <v>849</v>
      </c>
      <c r="O37" s="87"/>
    </row>
    <row r="38" spans="2:15" s="40" customFormat="1" ht="16.8" customHeight="1" x14ac:dyDescent="0.25">
      <c r="B38" s="882"/>
      <c r="C38" s="879" t="s">
        <v>619</v>
      </c>
      <c r="D38" s="77" t="s">
        <v>379</v>
      </c>
      <c r="E38" s="130"/>
      <c r="F38" s="123"/>
      <c r="G38" s="131" t="s">
        <v>316</v>
      </c>
      <c r="H38" s="131" t="s">
        <v>687</v>
      </c>
      <c r="I38" s="87"/>
      <c r="J38" s="87"/>
      <c r="K38" s="87"/>
      <c r="L38" s="87"/>
      <c r="M38" s="87"/>
      <c r="N38" s="87" t="s">
        <v>849</v>
      </c>
      <c r="O38" s="87"/>
    </row>
    <row r="39" spans="2:15" s="40" customFormat="1" ht="16.8" customHeight="1" x14ac:dyDescent="0.25">
      <c r="B39" s="882"/>
      <c r="C39" s="880"/>
      <c r="D39" s="77" t="s">
        <v>376</v>
      </c>
      <c r="E39" s="123"/>
      <c r="F39" s="130"/>
      <c r="G39" s="131" t="s">
        <v>317</v>
      </c>
      <c r="H39" s="131"/>
      <c r="I39" s="87"/>
      <c r="J39" s="87"/>
      <c r="K39" s="87"/>
      <c r="L39" s="87"/>
      <c r="M39" s="87"/>
      <c r="N39" s="87" t="s">
        <v>849</v>
      </c>
      <c r="O39" s="87"/>
    </row>
    <row r="40" spans="2:15" s="40" customFormat="1" ht="16.8" customHeight="1" x14ac:dyDescent="0.25">
      <c r="B40" s="882"/>
      <c r="C40" s="878" t="s">
        <v>966</v>
      </c>
      <c r="D40" s="224" t="s">
        <v>379</v>
      </c>
      <c r="E40" s="130"/>
      <c r="F40" s="130"/>
      <c r="G40" s="131" t="s">
        <v>316</v>
      </c>
      <c r="H40" s="131" t="s">
        <v>687</v>
      </c>
      <c r="I40" s="87"/>
      <c r="J40" s="87"/>
      <c r="K40" s="87"/>
      <c r="L40" s="87"/>
      <c r="M40" s="87"/>
      <c r="N40" s="87" t="s">
        <v>849</v>
      </c>
      <c r="O40" s="87"/>
    </row>
    <row r="41" spans="2:15" s="40" customFormat="1" ht="16.8" customHeight="1" x14ac:dyDescent="0.25">
      <c r="B41" s="882"/>
      <c r="C41" s="878"/>
      <c r="D41" s="224" t="s">
        <v>376</v>
      </c>
      <c r="E41" s="209"/>
      <c r="F41" s="130"/>
      <c r="G41" s="131" t="s">
        <v>317</v>
      </c>
      <c r="H41" s="131"/>
      <c r="I41" s="87"/>
      <c r="J41" s="87"/>
      <c r="K41" s="87"/>
      <c r="L41" s="87"/>
      <c r="M41" s="87"/>
      <c r="N41" s="87" t="s">
        <v>849</v>
      </c>
      <c r="O41" s="87"/>
    </row>
    <row r="42" spans="2:15" s="40" customFormat="1" ht="16.8" customHeight="1" x14ac:dyDescent="0.25">
      <c r="B42" s="882"/>
      <c r="C42" s="879" t="s">
        <v>962</v>
      </c>
      <c r="D42" s="224" t="s">
        <v>379</v>
      </c>
      <c r="E42" s="130"/>
      <c r="F42" s="130"/>
      <c r="G42" s="131" t="s">
        <v>316</v>
      </c>
      <c r="H42" s="131" t="s">
        <v>687</v>
      </c>
      <c r="I42" s="87"/>
      <c r="J42" s="87"/>
      <c r="K42" s="87"/>
      <c r="L42" s="87"/>
      <c r="M42" s="87"/>
      <c r="N42" s="87" t="s">
        <v>849</v>
      </c>
      <c r="O42" s="87"/>
    </row>
    <row r="43" spans="2:15" s="40" customFormat="1" ht="16.8" customHeight="1" x14ac:dyDescent="0.25">
      <c r="B43" s="882"/>
      <c r="C43" s="880"/>
      <c r="D43" s="224" t="s">
        <v>376</v>
      </c>
      <c r="E43" s="209"/>
      <c r="F43" s="130"/>
      <c r="G43" s="131" t="s">
        <v>317</v>
      </c>
      <c r="H43" s="131"/>
      <c r="I43" s="87"/>
      <c r="J43" s="87"/>
      <c r="K43" s="87"/>
      <c r="L43" s="87"/>
      <c r="M43" s="87"/>
      <c r="N43" s="87" t="s">
        <v>849</v>
      </c>
      <c r="O43" s="87"/>
    </row>
    <row r="44" spans="2:15" s="40" customFormat="1" ht="16.8" customHeight="1" x14ac:dyDescent="0.25">
      <c r="B44" s="882"/>
      <c r="C44" s="875" t="s">
        <v>53</v>
      </c>
      <c r="D44" s="77" t="s">
        <v>378</v>
      </c>
      <c r="E44" s="130"/>
      <c r="F44" s="123"/>
      <c r="G44" s="131" t="s">
        <v>316</v>
      </c>
      <c r="H44" s="131" t="s">
        <v>692</v>
      </c>
      <c r="I44" s="87"/>
      <c r="J44" s="87"/>
      <c r="K44" s="87"/>
      <c r="L44" s="87"/>
      <c r="M44" s="87"/>
      <c r="N44" s="87" t="s">
        <v>849</v>
      </c>
      <c r="O44" s="87"/>
    </row>
    <row r="45" spans="2:15" s="40" customFormat="1" ht="16.8" customHeight="1" x14ac:dyDescent="0.25">
      <c r="B45" s="882"/>
      <c r="C45" s="876"/>
      <c r="D45" s="77" t="s">
        <v>391</v>
      </c>
      <c r="E45" s="130"/>
      <c r="F45" s="123"/>
      <c r="G45" s="131" t="s">
        <v>316</v>
      </c>
      <c r="H45" s="131" t="s">
        <v>690</v>
      </c>
      <c r="I45" s="87"/>
      <c r="J45" s="87"/>
      <c r="K45" s="87"/>
      <c r="L45" s="87"/>
      <c r="M45" s="87"/>
      <c r="N45" s="87" t="s">
        <v>850</v>
      </c>
      <c r="O45" s="87"/>
    </row>
    <row r="46" spans="2:15" s="40" customFormat="1" ht="16.8" customHeight="1" x14ac:dyDescent="0.25">
      <c r="B46" s="882"/>
      <c r="C46" s="877"/>
      <c r="D46" s="77" t="s">
        <v>376</v>
      </c>
      <c r="E46" s="123"/>
      <c r="F46" s="130"/>
      <c r="G46" s="131" t="s">
        <v>317</v>
      </c>
      <c r="H46" s="131"/>
      <c r="I46" s="87"/>
      <c r="J46" s="87"/>
      <c r="K46" s="87"/>
      <c r="L46" s="87"/>
      <c r="M46" s="87"/>
      <c r="N46" s="87" t="s">
        <v>849</v>
      </c>
      <c r="O46" s="87"/>
    </row>
    <row r="47" spans="2:15" s="40" customFormat="1" ht="16.8" customHeight="1" x14ac:dyDescent="0.25">
      <c r="B47" s="882"/>
      <c r="C47" s="875" t="s">
        <v>1123</v>
      </c>
      <c r="D47" s="270" t="s">
        <v>1164</v>
      </c>
      <c r="E47" s="130"/>
      <c r="F47" s="130"/>
      <c r="G47" s="131" t="s">
        <v>316</v>
      </c>
      <c r="H47" s="131" t="s">
        <v>687</v>
      </c>
      <c r="I47" s="87"/>
      <c r="J47" s="87"/>
      <c r="K47" s="87"/>
      <c r="L47" s="87"/>
      <c r="M47" s="87"/>
      <c r="N47" s="87" t="s">
        <v>849</v>
      </c>
      <c r="O47" s="87"/>
    </row>
    <row r="48" spans="2:15" s="40" customFormat="1" ht="16.8" customHeight="1" x14ac:dyDescent="0.25">
      <c r="B48" s="882"/>
      <c r="C48" s="876"/>
      <c r="D48" s="270" t="s">
        <v>1165</v>
      </c>
      <c r="E48" s="130"/>
      <c r="F48" s="130"/>
      <c r="G48" s="131" t="s">
        <v>316</v>
      </c>
      <c r="H48" s="131" t="s">
        <v>1167</v>
      </c>
      <c r="I48" s="87"/>
      <c r="J48" s="87"/>
      <c r="K48" s="87"/>
      <c r="L48" s="87"/>
      <c r="M48" s="87"/>
      <c r="N48" s="87" t="s">
        <v>849</v>
      </c>
      <c r="O48" s="87"/>
    </row>
    <row r="49" spans="2:15" s="40" customFormat="1" ht="16.8" customHeight="1" x14ac:dyDescent="0.25">
      <c r="B49" s="882"/>
      <c r="C49" s="877"/>
      <c r="D49" s="270" t="s">
        <v>1166</v>
      </c>
      <c r="E49" s="209"/>
      <c r="F49" s="130"/>
      <c r="G49" s="131" t="s">
        <v>317</v>
      </c>
      <c r="H49" s="131"/>
      <c r="I49" s="87"/>
      <c r="J49" s="87"/>
      <c r="K49" s="87"/>
      <c r="L49" s="87"/>
      <c r="M49" s="87"/>
      <c r="N49" s="87" t="s">
        <v>850</v>
      </c>
      <c r="O49" s="87"/>
    </row>
    <row r="50" spans="2:15" s="40" customFormat="1" ht="16.8" customHeight="1" x14ac:dyDescent="0.25">
      <c r="B50" s="882"/>
      <c r="C50" s="875" t="s">
        <v>357</v>
      </c>
      <c r="D50" s="77" t="s">
        <v>379</v>
      </c>
      <c r="E50" s="130"/>
      <c r="F50" s="130"/>
      <c r="G50" s="131" t="s">
        <v>316</v>
      </c>
      <c r="H50" s="131" t="s">
        <v>687</v>
      </c>
      <c r="I50" s="87"/>
      <c r="J50" s="87"/>
      <c r="K50" s="87"/>
      <c r="L50" s="87"/>
      <c r="M50" s="87"/>
      <c r="N50" s="87" t="s">
        <v>849</v>
      </c>
      <c r="O50" s="87"/>
    </row>
    <row r="51" spans="2:15" s="40" customFormat="1" ht="16.2" x14ac:dyDescent="0.25">
      <c r="B51" s="882"/>
      <c r="C51" s="877"/>
      <c r="D51" s="77" t="s">
        <v>376</v>
      </c>
      <c r="E51" s="123"/>
      <c r="F51" s="130"/>
      <c r="G51" s="131" t="s">
        <v>317</v>
      </c>
      <c r="H51" s="131"/>
      <c r="I51" s="87"/>
      <c r="J51" s="87"/>
      <c r="K51" s="87"/>
      <c r="L51" s="87"/>
      <c r="M51" s="87"/>
      <c r="N51" s="87" t="s">
        <v>849</v>
      </c>
      <c r="O51" s="87"/>
    </row>
    <row r="52" spans="2:15" s="40" customFormat="1" ht="16.8" customHeight="1" x14ac:dyDescent="0.25">
      <c r="B52" s="881" t="s">
        <v>372</v>
      </c>
      <c r="C52" s="875" t="s">
        <v>51</v>
      </c>
      <c r="D52" s="77" t="s">
        <v>379</v>
      </c>
      <c r="E52" s="130"/>
      <c r="F52" s="123"/>
      <c r="G52" s="131" t="s">
        <v>316</v>
      </c>
      <c r="H52" s="131" t="s">
        <v>687</v>
      </c>
      <c r="I52" s="87"/>
      <c r="J52" s="87"/>
      <c r="K52" s="87"/>
      <c r="L52" s="87"/>
      <c r="M52" s="87"/>
      <c r="N52" s="87" t="s">
        <v>849</v>
      </c>
      <c r="O52" s="87"/>
    </row>
    <row r="53" spans="2:15" s="40" customFormat="1" ht="16.8" customHeight="1" x14ac:dyDescent="0.25">
      <c r="B53" s="881"/>
      <c r="C53" s="877"/>
      <c r="D53" s="77" t="s">
        <v>376</v>
      </c>
      <c r="E53" s="130"/>
      <c r="F53" s="130"/>
      <c r="G53" s="131" t="s">
        <v>316</v>
      </c>
      <c r="H53" s="131" t="s">
        <v>693</v>
      </c>
      <c r="I53" s="87"/>
      <c r="J53" s="87"/>
      <c r="K53" s="87"/>
      <c r="L53" s="87"/>
      <c r="M53" s="87"/>
      <c r="N53" s="87" t="s">
        <v>849</v>
      </c>
      <c r="O53" s="87"/>
    </row>
    <row r="54" spans="2:15" s="40" customFormat="1" ht="16.8" customHeight="1" x14ac:dyDescent="0.25">
      <c r="B54" s="882"/>
      <c r="C54" s="875" t="s">
        <v>363</v>
      </c>
      <c r="D54" s="77" t="s">
        <v>379</v>
      </c>
      <c r="E54" s="130"/>
      <c r="F54" s="123"/>
      <c r="G54" s="131" t="s">
        <v>316</v>
      </c>
      <c r="H54" s="131" t="s">
        <v>687</v>
      </c>
      <c r="I54" s="87"/>
      <c r="J54" s="87"/>
      <c r="K54" s="87"/>
      <c r="L54" s="87"/>
      <c r="M54" s="87"/>
      <c r="N54" s="87" t="s">
        <v>849</v>
      </c>
      <c r="O54" s="87"/>
    </row>
    <row r="55" spans="2:15" s="40" customFormat="1" ht="16.8" customHeight="1" x14ac:dyDescent="0.25">
      <c r="B55" s="882"/>
      <c r="C55" s="877"/>
      <c r="D55" s="77" t="s">
        <v>376</v>
      </c>
      <c r="E55" s="130"/>
      <c r="F55" s="130"/>
      <c r="G55" s="131" t="s">
        <v>316</v>
      </c>
      <c r="H55" s="131" t="s">
        <v>693</v>
      </c>
      <c r="I55" s="87"/>
      <c r="J55" s="87"/>
      <c r="K55" s="87"/>
      <c r="L55" s="87"/>
      <c r="M55" s="87"/>
      <c r="N55" s="87" t="s">
        <v>849</v>
      </c>
      <c r="O55" s="87"/>
    </row>
    <row r="56" spans="2:15" s="40" customFormat="1" ht="16.8" customHeight="1" x14ac:dyDescent="0.25">
      <c r="B56" s="882"/>
      <c r="C56" s="875" t="s">
        <v>364</v>
      </c>
      <c r="D56" s="77" t="s">
        <v>379</v>
      </c>
      <c r="E56" s="130"/>
      <c r="F56" s="123"/>
      <c r="G56" s="131" t="s">
        <v>316</v>
      </c>
      <c r="H56" s="131" t="s">
        <v>687</v>
      </c>
      <c r="I56" s="87"/>
      <c r="J56" s="87"/>
      <c r="K56" s="87"/>
      <c r="L56" s="87"/>
      <c r="M56" s="87"/>
      <c r="N56" s="87" t="s">
        <v>849</v>
      </c>
      <c r="O56" s="87"/>
    </row>
    <row r="57" spans="2:15" s="40" customFormat="1" ht="16.8" customHeight="1" x14ac:dyDescent="0.25">
      <c r="B57" s="882"/>
      <c r="C57" s="877"/>
      <c r="D57" s="77" t="s">
        <v>376</v>
      </c>
      <c r="E57" s="130"/>
      <c r="F57" s="123"/>
      <c r="G57" s="131" t="s">
        <v>316</v>
      </c>
      <c r="H57" s="131" t="s">
        <v>693</v>
      </c>
      <c r="I57" s="87"/>
      <c r="J57" s="87"/>
      <c r="K57" s="87"/>
      <c r="L57" s="87"/>
      <c r="M57" s="87"/>
      <c r="N57" s="87" t="s">
        <v>849</v>
      </c>
      <c r="O57" s="87"/>
    </row>
    <row r="58" spans="2:15" s="40" customFormat="1" ht="16.8" customHeight="1" x14ac:dyDescent="0.25">
      <c r="B58" s="882"/>
      <c r="C58" s="875" t="s">
        <v>365</v>
      </c>
      <c r="D58" s="77" t="s">
        <v>379</v>
      </c>
      <c r="E58" s="130"/>
      <c r="F58" s="123"/>
      <c r="G58" s="131" t="s">
        <v>316</v>
      </c>
      <c r="H58" s="131" t="s">
        <v>687</v>
      </c>
      <c r="I58" s="87"/>
      <c r="J58" s="87"/>
      <c r="K58" s="87"/>
      <c r="L58" s="87"/>
      <c r="M58" s="87"/>
      <c r="N58" s="87" t="s">
        <v>849</v>
      </c>
      <c r="O58" s="87"/>
    </row>
    <row r="59" spans="2:15" s="40" customFormat="1" ht="16.8" customHeight="1" x14ac:dyDescent="0.25">
      <c r="B59" s="882"/>
      <c r="C59" s="877"/>
      <c r="D59" s="77" t="s">
        <v>376</v>
      </c>
      <c r="E59" s="130"/>
      <c r="F59" s="123"/>
      <c r="G59" s="131" t="s">
        <v>316</v>
      </c>
      <c r="H59" s="131" t="s">
        <v>693</v>
      </c>
      <c r="I59" s="87"/>
      <c r="J59" s="87"/>
      <c r="K59" s="87"/>
      <c r="L59" s="87"/>
      <c r="M59" s="87"/>
      <c r="N59" s="87" t="s">
        <v>849</v>
      </c>
      <c r="O59" s="87"/>
    </row>
    <row r="60" spans="2:15" s="40" customFormat="1" ht="16.8" customHeight="1" x14ac:dyDescent="0.25">
      <c r="B60" s="882"/>
      <c r="C60" s="875" t="s">
        <v>366</v>
      </c>
      <c r="D60" s="77" t="s">
        <v>379</v>
      </c>
      <c r="E60" s="130"/>
      <c r="F60" s="123"/>
      <c r="G60" s="131" t="s">
        <v>316</v>
      </c>
      <c r="H60" s="131" t="s">
        <v>687</v>
      </c>
      <c r="I60" s="87"/>
      <c r="J60" s="87"/>
      <c r="K60" s="87"/>
      <c r="L60" s="87"/>
      <c r="M60" s="87"/>
      <c r="N60" s="87" t="s">
        <v>849</v>
      </c>
      <c r="O60" s="87"/>
    </row>
    <row r="61" spans="2:15" s="40" customFormat="1" ht="16.8" customHeight="1" x14ac:dyDescent="0.25">
      <c r="B61" s="882"/>
      <c r="C61" s="877"/>
      <c r="D61" s="77" t="s">
        <v>376</v>
      </c>
      <c r="E61" s="130"/>
      <c r="F61" s="123"/>
      <c r="G61" s="131" t="s">
        <v>316</v>
      </c>
      <c r="H61" s="131" t="s">
        <v>693</v>
      </c>
      <c r="I61" s="87"/>
      <c r="J61" s="87"/>
      <c r="K61" s="87"/>
      <c r="L61" s="87"/>
      <c r="M61" s="87"/>
      <c r="N61" s="87" t="s">
        <v>849</v>
      </c>
      <c r="O61" s="87"/>
    </row>
    <row r="62" spans="2:15" s="40" customFormat="1" ht="16.8" customHeight="1" x14ac:dyDescent="0.25">
      <c r="B62" s="882"/>
      <c r="C62" s="875" t="s">
        <v>367</v>
      </c>
      <c r="D62" s="77" t="s">
        <v>379</v>
      </c>
      <c r="E62" s="130"/>
      <c r="F62" s="123"/>
      <c r="G62" s="131" t="s">
        <v>316</v>
      </c>
      <c r="H62" s="131" t="s">
        <v>687</v>
      </c>
      <c r="I62" s="87"/>
      <c r="J62" s="87"/>
      <c r="K62" s="87"/>
      <c r="L62" s="87"/>
      <c r="M62" s="87"/>
      <c r="N62" s="87" t="s">
        <v>849</v>
      </c>
      <c r="O62" s="87"/>
    </row>
    <row r="63" spans="2:15" s="40" customFormat="1" ht="16.8" customHeight="1" x14ac:dyDescent="0.25">
      <c r="B63" s="882"/>
      <c r="C63" s="877"/>
      <c r="D63" s="77" t="s">
        <v>376</v>
      </c>
      <c r="E63" s="130"/>
      <c r="F63" s="123"/>
      <c r="G63" s="131" t="s">
        <v>316</v>
      </c>
      <c r="H63" s="131" t="s">
        <v>693</v>
      </c>
      <c r="I63" s="87"/>
      <c r="J63" s="87"/>
      <c r="K63" s="87"/>
      <c r="L63" s="87"/>
      <c r="M63" s="87"/>
      <c r="N63" s="87" t="s">
        <v>849</v>
      </c>
      <c r="O63" s="87"/>
    </row>
    <row r="64" spans="2:15" ht="16.8" customHeight="1" x14ac:dyDescent="0.25">
      <c r="B64" s="882"/>
      <c r="C64" s="875" t="s">
        <v>368</v>
      </c>
      <c r="D64" s="77" t="s">
        <v>379</v>
      </c>
      <c r="E64" s="130"/>
      <c r="F64" s="129"/>
      <c r="G64" s="131" t="s">
        <v>316</v>
      </c>
      <c r="H64" s="131" t="s">
        <v>687</v>
      </c>
      <c r="I64" s="87"/>
      <c r="J64" s="87"/>
      <c r="K64" s="87"/>
      <c r="L64" s="87"/>
      <c r="M64" s="349"/>
      <c r="N64" s="87" t="s">
        <v>849</v>
      </c>
      <c r="O64" s="349"/>
    </row>
    <row r="65" spans="2:15" ht="16.8" customHeight="1" x14ac:dyDescent="0.25">
      <c r="B65" s="882"/>
      <c r="C65" s="877"/>
      <c r="D65" s="77" t="s">
        <v>376</v>
      </c>
      <c r="E65" s="130"/>
      <c r="F65" s="129"/>
      <c r="G65" s="131" t="s">
        <v>316</v>
      </c>
      <c r="H65" s="131" t="s">
        <v>693</v>
      </c>
      <c r="I65" s="87"/>
      <c r="J65" s="87"/>
      <c r="K65" s="87"/>
      <c r="L65" s="87"/>
      <c r="M65" s="87"/>
      <c r="N65" s="87" t="s">
        <v>849</v>
      </c>
      <c r="O65" s="349"/>
    </row>
    <row r="66" spans="2:15" ht="16.8" customHeight="1" x14ac:dyDescent="0.25">
      <c r="B66" s="882"/>
      <c r="C66" s="182" t="s">
        <v>360</v>
      </c>
      <c r="D66" s="77" t="s">
        <v>376</v>
      </c>
      <c r="E66" s="129"/>
      <c r="F66" s="130"/>
      <c r="G66" s="131" t="s">
        <v>618</v>
      </c>
      <c r="H66" s="131"/>
      <c r="I66" s="349"/>
      <c r="J66" s="349"/>
      <c r="K66" s="87"/>
      <c r="L66" s="349"/>
      <c r="M66" s="349"/>
      <c r="N66" s="87" t="s">
        <v>849</v>
      </c>
      <c r="O66" s="349"/>
    </row>
    <row r="67" spans="2:15" ht="16.8" customHeight="1" x14ac:dyDescent="0.25">
      <c r="B67" s="882"/>
      <c r="C67" s="875" t="s">
        <v>361</v>
      </c>
      <c r="D67" s="77" t="s">
        <v>378</v>
      </c>
      <c r="E67" s="130"/>
      <c r="F67" s="129"/>
      <c r="G67" s="131" t="s">
        <v>316</v>
      </c>
      <c r="H67" s="131" t="s">
        <v>687</v>
      </c>
      <c r="I67" s="349"/>
      <c r="J67" s="349"/>
      <c r="K67" s="87"/>
      <c r="L67" s="349"/>
      <c r="M67" s="349"/>
      <c r="N67" s="87" t="s">
        <v>849</v>
      </c>
      <c r="O67" s="349"/>
    </row>
    <row r="68" spans="2:15" ht="16.8" customHeight="1" x14ac:dyDescent="0.25">
      <c r="B68" s="882"/>
      <c r="C68" s="877"/>
      <c r="D68" s="77" t="s">
        <v>377</v>
      </c>
      <c r="E68" s="130"/>
      <c r="F68" s="129"/>
      <c r="G68" s="132" t="s">
        <v>320</v>
      </c>
      <c r="H68" s="131"/>
      <c r="I68" s="349"/>
      <c r="J68" s="349"/>
      <c r="K68" s="349"/>
      <c r="L68" s="349"/>
      <c r="M68" s="349"/>
      <c r="N68" s="349" t="s">
        <v>850</v>
      </c>
      <c r="O68" s="349"/>
    </row>
    <row r="69" spans="2:15" ht="16.8" customHeight="1" x14ac:dyDescent="0.25">
      <c r="B69" s="882"/>
      <c r="C69" s="875" t="s">
        <v>362</v>
      </c>
      <c r="D69" s="77" t="s">
        <v>378</v>
      </c>
      <c r="E69" s="130"/>
      <c r="F69" s="129"/>
      <c r="G69" s="131" t="s">
        <v>316</v>
      </c>
      <c r="H69" s="131" t="s">
        <v>687</v>
      </c>
      <c r="I69" s="349"/>
      <c r="J69" s="349"/>
      <c r="K69" s="87"/>
      <c r="L69" s="349"/>
      <c r="M69" s="349"/>
      <c r="N69" s="87" t="s">
        <v>849</v>
      </c>
      <c r="O69" s="349"/>
    </row>
    <row r="70" spans="2:15" ht="16.8" customHeight="1" x14ac:dyDescent="0.25">
      <c r="B70" s="882"/>
      <c r="C70" s="877"/>
      <c r="D70" s="77" t="s">
        <v>377</v>
      </c>
      <c r="E70" s="130"/>
      <c r="F70" s="129"/>
      <c r="G70" s="132" t="s">
        <v>320</v>
      </c>
      <c r="H70" s="131"/>
      <c r="I70" s="349"/>
      <c r="J70" s="349"/>
      <c r="K70" s="349"/>
      <c r="L70" s="349"/>
      <c r="M70" s="349"/>
      <c r="N70" s="349" t="s">
        <v>850</v>
      </c>
      <c r="O70" s="349"/>
    </row>
    <row r="73" spans="2:15" ht="29.4" customHeight="1" x14ac:dyDescent="0.25">
      <c r="I73" s="295" t="s">
        <v>806</v>
      </c>
      <c r="J73" s="295"/>
      <c r="K73" s="295"/>
      <c r="L73" s="295"/>
      <c r="M73" s="295"/>
    </row>
    <row r="74" spans="2:15" ht="25.8" customHeight="1" x14ac:dyDescent="0.25">
      <c r="I74" s="193" t="s">
        <v>794</v>
      </c>
      <c r="J74" s="193" t="s">
        <v>793</v>
      </c>
      <c r="K74" s="193" t="s">
        <v>795</v>
      </c>
      <c r="L74" s="193" t="s">
        <v>796</v>
      </c>
      <c r="M74" s="193" t="s">
        <v>797</v>
      </c>
    </row>
    <row r="75" spans="2:15" ht="66" x14ac:dyDescent="0.25">
      <c r="I75" s="189" t="s">
        <v>807</v>
      </c>
      <c r="J75" s="189" t="s">
        <v>811</v>
      </c>
      <c r="K75" s="189" t="s">
        <v>812</v>
      </c>
      <c r="L75" s="189" t="s">
        <v>813</v>
      </c>
      <c r="M75" s="189" t="s">
        <v>814</v>
      </c>
    </row>
    <row r="76" spans="2:15" ht="79.2" x14ac:dyDescent="0.25">
      <c r="I76" s="190" t="s">
        <v>808</v>
      </c>
      <c r="J76" s="190" t="s">
        <v>815</v>
      </c>
      <c r="K76" s="190" t="s">
        <v>816</v>
      </c>
      <c r="L76" s="190" t="s">
        <v>817</v>
      </c>
      <c r="M76" s="190" t="s">
        <v>818</v>
      </c>
    </row>
    <row r="77" spans="2:15" ht="66" x14ac:dyDescent="0.25">
      <c r="I77" s="191" t="s">
        <v>809</v>
      </c>
      <c r="J77" s="191" t="s">
        <v>819</v>
      </c>
      <c r="K77" s="191" t="s">
        <v>820</v>
      </c>
      <c r="L77" s="191" t="s">
        <v>821</v>
      </c>
      <c r="M77" s="191" t="s">
        <v>822</v>
      </c>
    </row>
    <row r="78" spans="2:15" ht="66" x14ac:dyDescent="0.25">
      <c r="I78" s="192" t="s">
        <v>810</v>
      </c>
      <c r="J78" s="192" t="s">
        <v>823</v>
      </c>
      <c r="K78" s="192" t="s">
        <v>824</v>
      </c>
      <c r="L78" s="192" t="s">
        <v>825</v>
      </c>
      <c r="M78" s="192" t="s">
        <v>826</v>
      </c>
    </row>
  </sheetData>
  <protectedRanges>
    <protectedRange sqref="E10:O70" name="Range1"/>
  </protectedRanges>
  <mergeCells count="38">
    <mergeCell ref="C32:C34"/>
    <mergeCell ref="C35:C37"/>
    <mergeCell ref="C38:C39"/>
    <mergeCell ref="C44:C46"/>
    <mergeCell ref="C50:C51"/>
    <mergeCell ref="C69:C70"/>
    <mergeCell ref="C52:C53"/>
    <mergeCell ref="C54:C55"/>
    <mergeCell ref="C56:C57"/>
    <mergeCell ref="C58:C59"/>
    <mergeCell ref="C62:C63"/>
    <mergeCell ref="C60:C61"/>
    <mergeCell ref="C64:C65"/>
    <mergeCell ref="B8:B9"/>
    <mergeCell ref="C8:C9"/>
    <mergeCell ref="D8:D9"/>
    <mergeCell ref="G8:G9"/>
    <mergeCell ref="C67:C68"/>
    <mergeCell ref="C40:C41"/>
    <mergeCell ref="C42:C43"/>
    <mergeCell ref="C47:C49"/>
    <mergeCell ref="C24:C27"/>
    <mergeCell ref="B10:B51"/>
    <mergeCell ref="B52:B70"/>
    <mergeCell ref="C10:C12"/>
    <mergeCell ref="C13:C14"/>
    <mergeCell ref="C19:C21"/>
    <mergeCell ref="C22:C23"/>
    <mergeCell ref="C28:C31"/>
    <mergeCell ref="O8:O9"/>
    <mergeCell ref="N8:N9"/>
    <mergeCell ref="C15:C18"/>
    <mergeCell ref="I8:I9"/>
    <mergeCell ref="J8:J9"/>
    <mergeCell ref="K8:K9"/>
    <mergeCell ref="L8:L9"/>
    <mergeCell ref="M8:M9"/>
    <mergeCell ref="H8:H9"/>
  </mergeCells>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4" operator="containsText" id="{4719E4E6-01B1-4071-8D99-F480F5322C17}">
            <xm:f>NOT(ISERROR(SEARCH(Settings!$B$400,I10)))</xm:f>
            <xm:f>Settings!$B$400</xm:f>
            <x14:dxf>
              <fill>
                <patternFill>
                  <bgColor theme="5" tint="0.39994506668294322"/>
                </patternFill>
              </fill>
            </x14:dxf>
          </x14:cfRule>
          <x14:cfRule type="containsText" priority="5" operator="containsText" id="{6EB9D348-01F2-4A83-9B46-D6F8AF8CDE41}">
            <xm:f>NOT(ISERROR(SEARCH(Settings!$B$399,I10)))</xm:f>
            <xm:f>Settings!$B$399</xm:f>
            <x14:dxf>
              <fill>
                <patternFill>
                  <bgColor theme="7" tint="0.39994506668294322"/>
                </patternFill>
              </fill>
            </x14:dxf>
          </x14:cfRule>
          <x14:cfRule type="beginsWith" priority="6" operator="beginsWith" id="{09183DC9-DC59-48B7-A0CB-FBC12D6FF3DF}">
            <xm:f>LEFT(I10,LEN(Settings!$B$398))=Settings!$B$398</xm:f>
            <xm:f>Settings!$B$398</xm:f>
            <x14:dxf>
              <fill>
                <patternFill>
                  <bgColor theme="8" tint="0.39994506668294322"/>
                </patternFill>
              </fill>
            </x14:dxf>
          </x14:cfRule>
          <x14:cfRule type="containsText" priority="7" operator="containsText" id="{F1BA69DD-B383-4F5E-8837-483DB05164F2}">
            <xm:f>NOT(ISERROR(SEARCH(Settings!$B$397,I10)))</xm:f>
            <xm:f>Settings!$B$397</xm:f>
            <x14:dxf>
              <fill>
                <patternFill>
                  <bgColor theme="9" tint="0.39994506668294322"/>
                </patternFill>
              </fill>
            </x14:dxf>
          </x14:cfRule>
          <xm:sqref>I10:M70</xm:sqref>
        </x14:conditionalFormatting>
        <x14:conditionalFormatting xmlns:xm="http://schemas.microsoft.com/office/excel/2006/main">
          <x14:cfRule type="containsText" priority="1" operator="containsText" id="{F65BD398-6D5B-4AE4-81B5-9D80E497B903}">
            <xm:f>NOT(ISERROR(SEARCH(Settings!$B$406,O10)))</xm:f>
            <xm:f>Settings!$B$406</xm:f>
            <x14:dxf>
              <fill>
                <patternFill>
                  <bgColor rgb="FFFF5050"/>
                </patternFill>
              </fill>
            </x14:dxf>
          </x14:cfRule>
          <x14:cfRule type="containsText" priority="2" operator="containsText" id="{D3D7E1B1-2077-4788-92B0-DA5305E0231E}">
            <xm:f>NOT(ISERROR(SEARCH(Settings!$B$405,O10)))</xm:f>
            <xm:f>Settings!$B$405</xm:f>
            <x14:dxf>
              <fill>
                <patternFill>
                  <bgColor rgb="FFCC99FF"/>
                </patternFill>
              </fill>
            </x14:dxf>
          </x14:cfRule>
          <x14:cfRule type="containsText" priority="3" operator="containsText" id="{BDA5F15B-A51D-4E5D-93BC-41FD82CC2891}">
            <xm:f>NOT(ISERROR(SEARCH(Settings!$B$404,O10)))</xm:f>
            <xm:f>Settings!$B$404</xm:f>
            <x14:dxf>
              <fill>
                <patternFill patternType="solid">
                  <fgColor auto="1"/>
                  <bgColor rgb="FF66FF66"/>
                </patternFill>
              </fill>
            </x14:dxf>
          </x14:cfRule>
          <xm:sqref>O10:O70</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2F777728-835E-4EB0-9A9E-4757C2E3EAC1}">
          <x14:formula1>
            <xm:f>Settings!$B$397:$B$400</xm:f>
          </x14:formula1>
          <xm:sqref>I10:M70</xm:sqref>
        </x14:dataValidation>
        <x14:dataValidation type="list" allowBlank="1" showInputMessage="1" showErrorMessage="1" xr:uid="{0BE2663C-2B35-44E6-9353-E59924AA97E2}">
          <x14:formula1>
            <xm:f>Settings!$B$404:$B$406</xm:f>
          </x14:formula1>
          <xm:sqref>O10:O70</xm:sqref>
        </x14:dataValidation>
        <x14:dataValidation type="list" allowBlank="1" showInputMessage="1" showErrorMessage="1" xr:uid="{7A16A066-6B15-411F-A8CA-557D0F1B5697}">
          <x14:formula1>
            <xm:f>Settings!$B$410:$B$412</xm:f>
          </x14:formula1>
          <xm:sqref>N10:N70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CC84-2681-40A2-9828-573879C60121}">
  <sheetPr>
    <tabColor rgb="FF00FFFF"/>
  </sheetPr>
  <dimension ref="B7:J24"/>
  <sheetViews>
    <sheetView rightToLeft="1" topLeftCell="A19" zoomScale="70" zoomScaleNormal="70" workbookViewId="0">
      <selection activeCell="B10" sqref="B10:J24"/>
    </sheetView>
  </sheetViews>
  <sheetFormatPr defaultColWidth="8.8984375" defaultRowHeight="13.8" x14ac:dyDescent="0.25"/>
  <cols>
    <col min="1" max="1" width="11.09765625" style="24" customWidth="1"/>
    <col min="2" max="2" width="44.296875" style="24" customWidth="1"/>
    <col min="3" max="3" width="36.3984375" style="24" customWidth="1"/>
    <col min="4" max="4" width="10.796875" style="24" customWidth="1"/>
    <col min="5" max="5" width="35.59765625" style="24" customWidth="1"/>
    <col min="6" max="6" width="26.09765625" style="24" customWidth="1"/>
    <col min="7" max="7" width="15.796875" style="24" customWidth="1"/>
    <col min="8" max="8" width="26.09765625" style="24" customWidth="1"/>
    <col min="9" max="9" width="14.796875" style="24" customWidth="1"/>
    <col min="10" max="10" width="53" style="24" customWidth="1"/>
    <col min="11" max="16384" width="8.8984375" style="24"/>
  </cols>
  <sheetData>
    <row r="7" spans="2:10" ht="30" customHeight="1" x14ac:dyDescent="0.25">
      <c r="B7" s="281" t="s">
        <v>1313</v>
      </c>
      <c r="C7" s="281"/>
      <c r="D7" s="306"/>
      <c r="E7" s="306"/>
      <c r="F7" s="306"/>
      <c r="G7" s="306"/>
      <c r="H7" s="306"/>
      <c r="I7" s="306"/>
      <c r="J7" s="306"/>
    </row>
    <row r="8" spans="2:10" ht="30" customHeight="1" x14ac:dyDescent="0.25">
      <c r="B8" s="890" t="s">
        <v>1331</v>
      </c>
      <c r="C8" s="890" t="s">
        <v>1329</v>
      </c>
      <c r="D8" s="301" t="s">
        <v>850</v>
      </c>
      <c r="E8" s="301" t="s">
        <v>1324</v>
      </c>
      <c r="F8" s="299" t="s">
        <v>1325</v>
      </c>
      <c r="G8" s="299" t="s">
        <v>1333</v>
      </c>
      <c r="H8" s="299" t="s">
        <v>1326</v>
      </c>
      <c r="I8" s="299" t="s">
        <v>1332</v>
      </c>
      <c r="J8" s="299" t="s">
        <v>1328</v>
      </c>
    </row>
    <row r="9" spans="2:10" ht="19.95" customHeight="1" x14ac:dyDescent="0.25">
      <c r="B9" s="891"/>
      <c r="C9" s="891"/>
      <c r="D9" s="314" t="s">
        <v>1323</v>
      </c>
      <c r="E9" s="314" t="s">
        <v>1327</v>
      </c>
      <c r="F9" s="350">
        <f>'Tables &amp; Graphs'!E30</f>
        <v>20162466.910151437</v>
      </c>
      <c r="G9" s="351"/>
      <c r="H9" s="352">
        <f ca="1">'Units CF'!E105</f>
        <v>2.330168172395239</v>
      </c>
      <c r="I9" s="351"/>
      <c r="J9" s="314"/>
    </row>
    <row r="10" spans="2:10" ht="19.95" customHeight="1" x14ac:dyDescent="0.25">
      <c r="B10" s="892"/>
      <c r="C10" s="896"/>
      <c r="D10" s="309"/>
      <c r="E10" s="309"/>
      <c r="F10" s="310"/>
      <c r="G10" s="319"/>
      <c r="H10" s="315"/>
      <c r="I10" s="319"/>
      <c r="J10" s="884"/>
    </row>
    <row r="11" spans="2:10" ht="19.95" customHeight="1" x14ac:dyDescent="0.25">
      <c r="B11" s="893"/>
      <c r="C11" s="897"/>
      <c r="D11" s="309"/>
      <c r="E11" s="309"/>
      <c r="F11" s="310"/>
      <c r="G11" s="319"/>
      <c r="H11" s="315"/>
      <c r="I11" s="319"/>
      <c r="J11" s="885"/>
    </row>
    <row r="12" spans="2:10" ht="19.95" customHeight="1" x14ac:dyDescent="0.25">
      <c r="B12" s="894"/>
      <c r="C12" s="898"/>
      <c r="D12" s="307"/>
      <c r="E12" s="307"/>
      <c r="F12" s="316"/>
      <c r="G12" s="320"/>
      <c r="H12" s="317"/>
      <c r="I12" s="320"/>
      <c r="J12" s="886"/>
    </row>
    <row r="13" spans="2:10" ht="19.95" customHeight="1" x14ac:dyDescent="0.25">
      <c r="B13" s="895"/>
      <c r="C13" s="899"/>
      <c r="D13" s="307"/>
      <c r="E13" s="307"/>
      <c r="F13" s="316"/>
      <c r="G13" s="320"/>
      <c r="H13" s="317"/>
      <c r="I13" s="320"/>
      <c r="J13" s="887"/>
    </row>
    <row r="14" spans="2:10" ht="19.95" customHeight="1" x14ac:dyDescent="0.25">
      <c r="B14" s="892"/>
      <c r="C14" s="896"/>
      <c r="D14" s="309"/>
      <c r="E14" s="309"/>
      <c r="F14" s="310"/>
      <c r="G14" s="319"/>
      <c r="H14" s="315"/>
      <c r="I14" s="319"/>
      <c r="J14" s="884"/>
    </row>
    <row r="15" spans="2:10" ht="19.95" customHeight="1" x14ac:dyDescent="0.25">
      <c r="B15" s="893"/>
      <c r="C15" s="897"/>
      <c r="D15" s="309"/>
      <c r="E15" s="309"/>
      <c r="F15" s="310"/>
      <c r="G15" s="319"/>
      <c r="H15" s="315"/>
      <c r="I15" s="319"/>
      <c r="J15" s="885"/>
    </row>
    <row r="16" spans="2:10" ht="19.95" customHeight="1" x14ac:dyDescent="0.25">
      <c r="B16" s="894"/>
      <c r="C16" s="898"/>
      <c r="D16" s="307"/>
      <c r="E16" s="307"/>
      <c r="F16" s="316"/>
      <c r="G16" s="320"/>
      <c r="H16" s="317"/>
      <c r="I16" s="320"/>
      <c r="J16" s="888"/>
    </row>
    <row r="17" spans="2:10" ht="19.95" customHeight="1" x14ac:dyDescent="0.25">
      <c r="B17" s="895"/>
      <c r="C17" s="899"/>
      <c r="D17" s="307"/>
      <c r="E17" s="307"/>
      <c r="F17" s="316"/>
      <c r="G17" s="320"/>
      <c r="H17" s="317"/>
      <c r="I17" s="320"/>
      <c r="J17" s="889"/>
    </row>
    <row r="18" spans="2:10" ht="19.95" customHeight="1" x14ac:dyDescent="0.25">
      <c r="B18" s="892"/>
      <c r="C18" s="896"/>
      <c r="D18" s="309"/>
      <c r="E18" s="309"/>
      <c r="F18" s="310"/>
      <c r="G18" s="319"/>
      <c r="H18" s="315"/>
      <c r="I18" s="319"/>
      <c r="J18" s="884"/>
    </row>
    <row r="19" spans="2:10" ht="19.95" customHeight="1" x14ac:dyDescent="0.25">
      <c r="B19" s="893"/>
      <c r="C19" s="897"/>
      <c r="D19" s="309"/>
      <c r="E19" s="309"/>
      <c r="F19" s="310"/>
      <c r="G19" s="319"/>
      <c r="H19" s="315"/>
      <c r="I19" s="319"/>
      <c r="J19" s="885"/>
    </row>
    <row r="20" spans="2:10" ht="19.95" customHeight="1" x14ac:dyDescent="0.25">
      <c r="B20" s="313"/>
      <c r="C20" s="312"/>
      <c r="D20" s="307"/>
      <c r="E20" s="307"/>
      <c r="F20" s="316"/>
      <c r="G20" s="320"/>
      <c r="H20" s="317"/>
      <c r="I20" s="320"/>
      <c r="J20" s="318"/>
    </row>
    <row r="21" spans="2:10" ht="19.95" customHeight="1" x14ac:dyDescent="0.25">
      <c r="B21" s="892"/>
      <c r="C21" s="896"/>
      <c r="D21" s="309"/>
      <c r="E21" s="309"/>
      <c r="F21" s="310"/>
      <c r="G21" s="319"/>
      <c r="H21" s="315"/>
      <c r="I21" s="319"/>
      <c r="J21" s="884"/>
    </row>
    <row r="22" spans="2:10" ht="19.95" customHeight="1" x14ac:dyDescent="0.25">
      <c r="B22" s="893"/>
      <c r="C22" s="897"/>
      <c r="D22" s="309"/>
      <c r="E22" s="309"/>
      <c r="F22" s="310"/>
      <c r="G22" s="319"/>
      <c r="H22" s="315"/>
      <c r="I22" s="319"/>
      <c r="J22" s="885"/>
    </row>
    <row r="23" spans="2:10" ht="19.95" customHeight="1" x14ac:dyDescent="0.25">
      <c r="B23" s="313"/>
      <c r="C23" s="312"/>
      <c r="D23" s="307"/>
      <c r="E23" s="307"/>
      <c r="F23" s="316"/>
      <c r="G23" s="320"/>
      <c r="H23" s="317"/>
      <c r="I23" s="320"/>
      <c r="J23" s="307"/>
    </row>
    <row r="24" spans="2:10" ht="19.95" customHeight="1" x14ac:dyDescent="0.25">
      <c r="B24" s="143"/>
      <c r="C24" s="311"/>
      <c r="D24" s="309"/>
      <c r="E24" s="309"/>
      <c r="F24" s="310"/>
      <c r="G24" s="319"/>
      <c r="H24" s="315"/>
      <c r="I24" s="319"/>
      <c r="J24" s="309"/>
    </row>
  </sheetData>
  <protectedRanges>
    <protectedRange sqref="F10:F24 H10:H24 J10:J24" name="Range1"/>
  </protectedRanges>
  <mergeCells count="20">
    <mergeCell ref="C8:C9"/>
    <mergeCell ref="B18:B19"/>
    <mergeCell ref="B21:B22"/>
    <mergeCell ref="B10:B11"/>
    <mergeCell ref="B12:B13"/>
    <mergeCell ref="B14:B15"/>
    <mergeCell ref="B16:B17"/>
    <mergeCell ref="B8:B9"/>
    <mergeCell ref="C21:C22"/>
    <mergeCell ref="C10:C11"/>
    <mergeCell ref="C12:C13"/>
    <mergeCell ref="C14:C15"/>
    <mergeCell ref="C16:C17"/>
    <mergeCell ref="C18:C19"/>
    <mergeCell ref="J21:J22"/>
    <mergeCell ref="J10:J11"/>
    <mergeCell ref="J12:J13"/>
    <mergeCell ref="J14:J15"/>
    <mergeCell ref="J16:J17"/>
    <mergeCell ref="J18:J19"/>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8A35F-65BA-4B36-9CEF-384A398ACE0A}">
  <sheetPr>
    <tabColor rgb="FF00CC66"/>
  </sheetPr>
  <dimension ref="B1:P195"/>
  <sheetViews>
    <sheetView rightToLeft="1" zoomScale="85" zoomScaleNormal="85" workbookViewId="0">
      <pane ySplit="8" topLeftCell="A51" activePane="bottomLeft" state="frozen"/>
      <selection pane="bottomLeft" activeCell="K10" sqref="K10"/>
    </sheetView>
  </sheetViews>
  <sheetFormatPr defaultColWidth="8.8984375" defaultRowHeight="13.8" x14ac:dyDescent="0.25"/>
  <cols>
    <col min="1" max="1" width="11.296875" style="24" customWidth="1"/>
    <col min="2" max="2" width="7.19921875" style="24" customWidth="1"/>
    <col min="3" max="3" width="14.3984375" style="24" customWidth="1"/>
    <col min="4" max="4" width="10.796875" style="24" customWidth="1"/>
    <col min="5" max="5" width="37.69921875" style="24" bestFit="1" customWidth="1"/>
    <col min="6" max="6" width="24.296875" style="24" customWidth="1"/>
    <col min="7" max="7" width="8.8984375" style="24" customWidth="1"/>
    <col min="8" max="8" width="8.796875" style="24" bestFit="1" customWidth="1"/>
    <col min="9" max="9" width="8.796875" style="24" customWidth="1"/>
    <col min="10" max="10" width="12.8984375" style="24" bestFit="1" customWidth="1"/>
    <col min="11" max="14" width="14.69921875" style="24" customWidth="1"/>
    <col min="15" max="15" width="16.69921875" style="24" customWidth="1"/>
    <col min="16" max="16" width="15.09765625" style="24" customWidth="1"/>
    <col min="17" max="16384" width="8.8984375" style="24"/>
  </cols>
  <sheetData>
    <row r="1" spans="2:16" s="148" customFormat="1" x14ac:dyDescent="0.25"/>
    <row r="7" spans="2:16" ht="30" customHeight="1" x14ac:dyDescent="0.25">
      <c r="B7" s="277" t="s">
        <v>327</v>
      </c>
      <c r="C7" s="276"/>
      <c r="D7" s="276"/>
      <c r="E7" s="276"/>
      <c r="F7" s="276"/>
      <c r="G7" s="276"/>
      <c r="H7" s="276"/>
      <c r="I7" s="276"/>
      <c r="J7" s="276"/>
      <c r="K7" s="276"/>
      <c r="L7" s="276"/>
      <c r="M7" s="276"/>
      <c r="N7" s="276"/>
      <c r="O7" s="276"/>
      <c r="P7" s="278"/>
    </row>
    <row r="8" spans="2:16" s="144" customFormat="1" ht="54" customHeight="1" x14ac:dyDescent="0.25">
      <c r="B8" s="299" t="s">
        <v>336</v>
      </c>
      <c r="C8" s="299" t="s">
        <v>335</v>
      </c>
      <c r="D8" s="299" t="s">
        <v>334</v>
      </c>
      <c r="E8" s="299" t="s">
        <v>396</v>
      </c>
      <c r="F8" s="299" t="s">
        <v>331</v>
      </c>
      <c r="G8" s="299" t="s">
        <v>332</v>
      </c>
      <c r="H8" s="299" t="s">
        <v>333</v>
      </c>
      <c r="I8" s="299" t="s">
        <v>330</v>
      </c>
      <c r="J8" s="299" t="s">
        <v>329</v>
      </c>
      <c r="K8" s="299" t="s">
        <v>223</v>
      </c>
      <c r="L8" s="299" t="s">
        <v>224</v>
      </c>
      <c r="M8" s="299" t="s">
        <v>225</v>
      </c>
      <c r="N8" s="299" t="s">
        <v>764</v>
      </c>
      <c r="O8" s="299" t="s">
        <v>226</v>
      </c>
      <c r="P8" s="299" t="s">
        <v>328</v>
      </c>
    </row>
    <row r="9" spans="2:16" x14ac:dyDescent="0.25">
      <c r="B9" s="141">
        <v>1</v>
      </c>
      <c r="C9" s="141" t="s">
        <v>337</v>
      </c>
      <c r="D9" s="356">
        <f>VLOOKUP(C9,Settings!$B$341:C364,2,FALSE)</f>
        <v>1</v>
      </c>
      <c r="E9" s="141" t="s">
        <v>511</v>
      </c>
      <c r="F9" s="353" t="s">
        <v>47</v>
      </c>
      <c r="G9" s="354" t="str">
        <f>VLOOKUP(F9,Settings!$B$163:D186,3,FALSE)</f>
        <v>C</v>
      </c>
      <c r="H9" s="354">
        <f>VLOOKUP(F9,Settings!$B$163:D186,2,FALSE)</f>
        <v>1</v>
      </c>
      <c r="I9" s="354">
        <f>VLOOKUP(F9,Settings!$B$163:F180,5,FALSE)</f>
        <v>1</v>
      </c>
      <c r="J9" s="353" t="str">
        <f t="shared" ref="J9:J40" si="0">_xlfn.TEXTJOIN("-",,D9,G9,B9)</f>
        <v>1-C-1</v>
      </c>
      <c r="K9" s="61">
        <f>VLOOKUP(J9,Combustion!$J$103:$P$110,4,FALSE)</f>
        <v>126420.89567249999</v>
      </c>
      <c r="L9" s="61">
        <f>VLOOKUP(J9,Combustion!$J$103:$P$110,5,FALSE)</f>
        <v>2.2524974593999998</v>
      </c>
      <c r="M9" s="61">
        <f>VLOOKUP(J9,Combustion!$J$103:$P$110,6,FALSE)</f>
        <v>0.22525241938000001</v>
      </c>
      <c r="N9" s="61">
        <v>0</v>
      </c>
      <c r="O9" s="61">
        <f>VLOOKUP(J9,Combustion!$J$103:$P$110,7,FALSE)</f>
        <v>126543.20701439452</v>
      </c>
      <c r="P9" s="62">
        <f t="shared" ref="P9:P40" si="1">O9/$O$195</f>
        <v>6.2761767981219735E-3</v>
      </c>
    </row>
    <row r="10" spans="2:16" x14ac:dyDescent="0.25">
      <c r="B10" s="141">
        <v>2</v>
      </c>
      <c r="C10" s="141" t="s">
        <v>338</v>
      </c>
      <c r="D10" s="356">
        <f>VLOOKUP(C10,Settings!$B$341:C371,2,FALSE)</f>
        <v>2</v>
      </c>
      <c r="E10" s="141" t="s">
        <v>511</v>
      </c>
      <c r="F10" s="353" t="s">
        <v>47</v>
      </c>
      <c r="G10" s="354" t="str">
        <f>VLOOKUP(F10,Settings!$B$163:D195,3,FALSE)</f>
        <v>C</v>
      </c>
      <c r="H10" s="354">
        <f>VLOOKUP(F10,Settings!$B$163:D195,2,FALSE)</f>
        <v>1</v>
      </c>
      <c r="I10" s="354">
        <f>VLOOKUP(F10,Settings!$B$163:F180,5,FALSE)</f>
        <v>1</v>
      </c>
      <c r="J10" s="353" t="str">
        <f t="shared" si="0"/>
        <v>2-C-2</v>
      </c>
      <c r="K10" s="61">
        <f>VLOOKUP(J10,Combustion!$J$103:$P$110,4,FALSE)</f>
        <v>34851.214749000006</v>
      </c>
      <c r="L10" s="61">
        <f>VLOOKUP(J10,Combustion!$J$103:$P$110,5,FALSE)</f>
        <v>0.61872454760000006</v>
      </c>
      <c r="M10" s="61">
        <f>VLOOKUP(J10,Combustion!$J$103:$P$110,6,FALSE)</f>
        <v>6.1879200520000011E-2</v>
      </c>
      <c r="N10" s="61">
        <v>0</v>
      </c>
      <c r="O10" s="61">
        <f>VLOOKUP(J10,Combustion!$J$103:$P$110,7,FALSE)</f>
        <v>34884.813333527163</v>
      </c>
      <c r="P10" s="62">
        <f t="shared" si="1"/>
        <v>1.7301857698753759E-3</v>
      </c>
    </row>
    <row r="11" spans="2:16" x14ac:dyDescent="0.25">
      <c r="B11" s="141">
        <v>3</v>
      </c>
      <c r="C11" s="141" t="s">
        <v>339</v>
      </c>
      <c r="D11" s="356">
        <f>VLOOKUP(C11,Settings!$B$341:C384,2,FALSE)</f>
        <v>3</v>
      </c>
      <c r="E11" s="141" t="s">
        <v>511</v>
      </c>
      <c r="F11" s="353" t="s">
        <v>47</v>
      </c>
      <c r="G11" s="354" t="str">
        <f>VLOOKUP(F11,Settings!$B$163:D202,3,FALSE)</f>
        <v>C</v>
      </c>
      <c r="H11" s="354">
        <f>VLOOKUP(F11,Settings!$B$163:D201,2,FALSE)</f>
        <v>1</v>
      </c>
      <c r="I11" s="354">
        <f>VLOOKUP(F11,Settings!$B$163:F181,5,FALSE)</f>
        <v>1</v>
      </c>
      <c r="J11" s="353" t="str">
        <f t="shared" si="0"/>
        <v>3-C-3</v>
      </c>
      <c r="K11" s="61">
        <f>VLOOKUP(J11,Combustion!$J$103:$P$110,4,FALSE)</f>
        <v>175384.08551399998</v>
      </c>
      <c r="L11" s="61">
        <f>VLOOKUP(J11,Combustion!$J$103:$P$110,5,FALSE)</f>
        <v>3.1251120327999997</v>
      </c>
      <c r="M11" s="61">
        <f>VLOOKUP(J11,Combustion!$J$103:$P$110,6,FALSE)</f>
        <v>0.31251433255999989</v>
      </c>
      <c r="N11" s="61">
        <v>0</v>
      </c>
      <c r="O11" s="61">
        <f>VLOOKUP(J11,Combustion!$J$103:$P$110,7,FALSE)</f>
        <v>175553.77995167449</v>
      </c>
      <c r="P11" s="62">
        <f t="shared" si="1"/>
        <v>8.7069593583950933E-3</v>
      </c>
    </row>
    <row r="12" spans="2:16" x14ac:dyDescent="0.25">
      <c r="B12" s="141">
        <v>4</v>
      </c>
      <c r="C12" s="141" t="s">
        <v>340</v>
      </c>
      <c r="D12" s="356">
        <f>VLOOKUP(C12,Settings!$B$341:C428,2,FALSE)</f>
        <v>4</v>
      </c>
      <c r="E12" s="141" t="s">
        <v>511</v>
      </c>
      <c r="F12" s="353" t="s">
        <v>47</v>
      </c>
      <c r="G12" s="354" t="str">
        <f>VLOOKUP(F12,Settings!$B$163:D377,3,FALSE)</f>
        <v>C</v>
      </c>
      <c r="H12" s="354">
        <f>VLOOKUP(F12,Settings!$B$163:D376,2,FALSE)</f>
        <v>1</v>
      </c>
      <c r="I12" s="354">
        <f>VLOOKUP(F12,Settings!$B$163:F213,5,FALSE)</f>
        <v>1</v>
      </c>
      <c r="J12" s="353" t="str">
        <f t="shared" si="0"/>
        <v>4-C-4</v>
      </c>
      <c r="K12" s="61">
        <f>VLOOKUP(J12,Combustion!$J$103:$P$110,4,FALSE)</f>
        <v>27783.998631000002</v>
      </c>
      <c r="L12" s="61">
        <f>VLOOKUP(J12,Combustion!$J$103:$P$110,5,FALSE)</f>
        <v>0.4891918044000001</v>
      </c>
      <c r="M12" s="61">
        <f>VLOOKUP(J12,Combustion!$J$103:$P$110,6,FALSE)</f>
        <v>4.8935489880000002E-2</v>
      </c>
      <c r="N12" s="61">
        <v>0</v>
      </c>
      <c r="O12" s="61">
        <f>VLOOKUP(J12,Combustion!$J$103:$P$110,7,FALSE)</f>
        <v>27810.566198456043</v>
      </c>
      <c r="P12" s="62">
        <f t="shared" si="1"/>
        <v>1.3793235878519371E-3</v>
      </c>
    </row>
    <row r="13" spans="2:16" x14ac:dyDescent="0.25">
      <c r="B13" s="141">
        <v>5</v>
      </c>
      <c r="C13" s="141" t="s">
        <v>341</v>
      </c>
      <c r="D13" s="356">
        <f>VLOOKUP(C13,Settings!$B$341:C461,2,FALSE)</f>
        <v>5</v>
      </c>
      <c r="E13" s="141" t="s">
        <v>511</v>
      </c>
      <c r="F13" s="353" t="s">
        <v>47</v>
      </c>
      <c r="G13" s="354" t="str">
        <f>VLOOKUP(F13,Settings!$B$163:D395,3,FALSE)</f>
        <v>C</v>
      </c>
      <c r="H13" s="354">
        <f>VLOOKUP(F13,Settings!$B$163:D395,2,FALSE)</f>
        <v>1</v>
      </c>
      <c r="I13" s="354">
        <f>VLOOKUP(F13,Settings!$B$163:F214,5,FALSE)</f>
        <v>1</v>
      </c>
      <c r="J13" s="353" t="str">
        <f t="shared" si="0"/>
        <v>5-C-5</v>
      </c>
      <c r="K13" s="61">
        <f>VLOOKUP(J13,Combustion!$J$103:$P$110,4,FALSE)</f>
        <v>827049.63175199996</v>
      </c>
      <c r="L13" s="61">
        <f>VLOOKUP(J13,Combustion!$J$103:$P$110,5,FALSE)</f>
        <v>14.948704972799998</v>
      </c>
      <c r="M13" s="61">
        <f>VLOOKUP(J13,Combustion!$J$103:$P$110,6,FALSE)</f>
        <v>1.5317711625599999</v>
      </c>
      <c r="N13" s="61">
        <v>0</v>
      </c>
      <c r="O13" s="61">
        <f>VLOOKUP(J13,Combustion!$J$103:$P$110,7,FALSE)</f>
        <v>827871.42031364446</v>
      </c>
      <c r="P13" s="62">
        <f t="shared" si="1"/>
        <v>4.106002623601708E-2</v>
      </c>
    </row>
    <row r="14" spans="2:16" x14ac:dyDescent="0.25">
      <c r="B14" s="141">
        <v>6</v>
      </c>
      <c r="C14" s="141" t="s">
        <v>342</v>
      </c>
      <c r="D14" s="356">
        <f>VLOOKUP(C14,Settings!$B$341:C503,2,FALSE)</f>
        <v>6</v>
      </c>
      <c r="E14" s="141" t="s">
        <v>511</v>
      </c>
      <c r="F14" s="353" t="s">
        <v>47</v>
      </c>
      <c r="G14" s="354" t="str">
        <f>VLOOKUP(F14,Settings!$B$163:D425,3,FALSE)</f>
        <v>C</v>
      </c>
      <c r="H14" s="354">
        <f>VLOOKUP(F14,Settings!$B$163:D424,2,FALSE)</f>
        <v>1</v>
      </c>
      <c r="I14" s="354">
        <f>VLOOKUP(F14,Settings!$B$163:F215,5,FALSE)</f>
        <v>1</v>
      </c>
      <c r="J14" s="353" t="str">
        <f t="shared" si="0"/>
        <v>6-C-6</v>
      </c>
      <c r="K14" s="61">
        <f>VLOOKUP(J14,Combustion!$J$103:$P$110,4,FALSE)</f>
        <v>2.3760000000000003</v>
      </c>
      <c r="L14" s="61">
        <f>VLOOKUP(J14,Combustion!$J$103:$P$110,5,FALSE)</f>
        <v>1.1088000000000001E-6</v>
      </c>
      <c r="M14" s="61">
        <f>VLOOKUP(J14,Combustion!$J$103:$P$110,6,FALSE)</f>
        <v>2.2176000000000002E-7</v>
      </c>
      <c r="N14" s="61">
        <v>0</v>
      </c>
      <c r="O14" s="61">
        <f>VLOOKUP(J14,Combustion!$J$103:$P$110,7,FALSE)</f>
        <v>2.3760904780800001</v>
      </c>
      <c r="P14" s="62">
        <f t="shared" si="1"/>
        <v>1.178472102976487E-7</v>
      </c>
    </row>
    <row r="15" spans="2:16" x14ac:dyDescent="0.25">
      <c r="B15" s="141">
        <v>7</v>
      </c>
      <c r="C15" s="141" t="s">
        <v>343</v>
      </c>
      <c r="D15" s="356">
        <f>VLOOKUP(C15,Settings!$B$341:C521,2,FALSE)</f>
        <v>7</v>
      </c>
      <c r="E15" s="141" t="s">
        <v>511</v>
      </c>
      <c r="F15" s="353" t="s">
        <v>47</v>
      </c>
      <c r="G15" s="354" t="str">
        <f>VLOOKUP(F15,Settings!$B$163:D443,3,FALSE)</f>
        <v>C</v>
      </c>
      <c r="H15" s="354">
        <f>VLOOKUP(F15,Settings!$B$163:D442,2,FALSE)</f>
        <v>1</v>
      </c>
      <c r="I15" s="354">
        <f>VLOOKUP(F15,Settings!$B$163:F216,5,FALSE)</f>
        <v>1</v>
      </c>
      <c r="J15" s="353" t="str">
        <f t="shared" si="0"/>
        <v>7-C-7</v>
      </c>
      <c r="K15" s="61">
        <f>VLOOKUP(J15,Combustion!$J$103:$P$110,4,FALSE)</f>
        <v>13894.643803499999</v>
      </c>
      <c r="L15" s="61">
        <f>VLOOKUP(J15,Combustion!$J$103:$P$110,5,FALSE)</f>
        <v>0.24738218540000001</v>
      </c>
      <c r="M15" s="61">
        <f>VLOOKUP(J15,Combustion!$J$103:$P$110,6,FALSE)</f>
        <v>2.473899358E-2</v>
      </c>
      <c r="N15" s="61">
        <v>0</v>
      </c>
      <c r="O15" s="61">
        <f>VLOOKUP(J15,Combustion!$J$103:$P$110,7,FALSE)</f>
        <v>13908.076867753138</v>
      </c>
      <c r="P15" s="62">
        <f t="shared" si="1"/>
        <v>6.8980035675846149E-4</v>
      </c>
    </row>
    <row r="16" spans="2:16" x14ac:dyDescent="0.25">
      <c r="B16" s="141">
        <v>8</v>
      </c>
      <c r="C16" s="141" t="s">
        <v>510</v>
      </c>
      <c r="D16" s="356">
        <f>VLOOKUP(C16,Settings!$B$341:C530,2,FALSE)</f>
        <v>9</v>
      </c>
      <c r="E16" s="141" t="s">
        <v>511</v>
      </c>
      <c r="F16" s="353" t="s">
        <v>47</v>
      </c>
      <c r="G16" s="354" t="str">
        <f>VLOOKUP(F16,Settings!$B$163:D452,3,FALSE)</f>
        <v>C</v>
      </c>
      <c r="H16" s="354">
        <f>VLOOKUP(F16,Settings!$B$163:D451,2,FALSE)</f>
        <v>1</v>
      </c>
      <c r="I16" s="354">
        <f>VLOOKUP(F16,Settings!$B$163:F217,5,FALSE)</f>
        <v>1</v>
      </c>
      <c r="J16" s="353" t="str">
        <f t="shared" si="0"/>
        <v>9-C-8</v>
      </c>
      <c r="K16" s="61">
        <f>VLOOKUP(J16,Combustion!$J$103:$P$110,4,FALSE)</f>
        <v>90085.661977999989</v>
      </c>
      <c r="L16" s="61">
        <f>VLOOKUP(J16,Combustion!$J$103:$P$110,5,FALSE)</f>
        <v>1.6038621207999999</v>
      </c>
      <c r="M16" s="61">
        <f>VLOOKUP(J16,Combustion!$J$103:$P$110,6,FALSE)</f>
        <v>0.16039131015999999</v>
      </c>
      <c r="N16" s="61">
        <v>0</v>
      </c>
      <c r="O16" s="61">
        <f>VLOOKUP(J16,Combustion!$J$103:$P$110,7,FALSE)</f>
        <v>90172.753085119271</v>
      </c>
      <c r="P16" s="62">
        <f t="shared" si="1"/>
        <v>4.4723075547724225E-3</v>
      </c>
    </row>
    <row r="17" spans="2:16" x14ac:dyDescent="0.25">
      <c r="B17" s="141">
        <v>9</v>
      </c>
      <c r="C17" s="141" t="s">
        <v>337</v>
      </c>
      <c r="D17" s="356">
        <f>VLOOKUP(C17,Settings!$B$341:C850,2,FALSE)</f>
        <v>1</v>
      </c>
      <c r="E17" s="597" t="s">
        <v>1766</v>
      </c>
      <c r="F17" s="354" t="s">
        <v>48</v>
      </c>
      <c r="G17" s="354" t="str">
        <f>VLOOKUP(F17,Settings!$B$163:D772,3,FALSE)</f>
        <v>V</v>
      </c>
      <c r="H17" s="354">
        <f>VLOOKUP(F17,Settings!$B$163:D771,2,FALSE)</f>
        <v>1</v>
      </c>
      <c r="I17" s="354">
        <f>VLOOKUP(F17,Settings!$B$163:F199,5,FALSE)</f>
        <v>1</v>
      </c>
      <c r="J17" s="353" t="str">
        <f t="shared" si="0"/>
        <v>1-V-9</v>
      </c>
      <c r="K17" s="20">
        <f>VLOOKUP(J17,Vent!$K$24:$M$31,3,FALSE)</f>
        <v>3866055.3740399992</v>
      </c>
      <c r="L17" s="20">
        <v>0</v>
      </c>
      <c r="M17" s="20">
        <v>0</v>
      </c>
      <c r="N17" s="61">
        <v>0</v>
      </c>
      <c r="O17" s="21">
        <f t="shared" ref="O17:O24" si="2">K17</f>
        <v>3866055.3740399992</v>
      </c>
      <c r="P17" s="62">
        <f t="shared" si="1"/>
        <v>0.19174515654597354</v>
      </c>
    </row>
    <row r="18" spans="2:16" x14ac:dyDescent="0.25">
      <c r="B18" s="141">
        <v>10</v>
      </c>
      <c r="C18" s="141" t="s">
        <v>338</v>
      </c>
      <c r="D18" s="356">
        <f>VLOOKUP(C18,Settings!$B$341:C851,2,FALSE)</f>
        <v>2</v>
      </c>
      <c r="E18" s="597" t="s">
        <v>1766</v>
      </c>
      <c r="F18" s="354" t="s">
        <v>48</v>
      </c>
      <c r="G18" s="354" t="str">
        <f>VLOOKUP(F18,Settings!$B$163:D773,3,FALSE)</f>
        <v>V</v>
      </c>
      <c r="H18" s="354">
        <f>VLOOKUP(F18,Settings!$B$163:D772,2,FALSE)</f>
        <v>1</v>
      </c>
      <c r="I18" s="354">
        <f>VLOOKUP(F18,Settings!$B$163:F200,5,FALSE)</f>
        <v>1</v>
      </c>
      <c r="J18" s="353" t="str">
        <f t="shared" si="0"/>
        <v>2-V-10</v>
      </c>
      <c r="K18" s="20">
        <f>VLOOKUP(J18,Vent!$K$24:$M$31,3,FALSE)</f>
        <v>427613.89575666661</v>
      </c>
      <c r="L18" s="20">
        <v>0</v>
      </c>
      <c r="M18" s="20">
        <v>0</v>
      </c>
      <c r="N18" s="61">
        <v>0</v>
      </c>
      <c r="O18" s="21">
        <f t="shared" si="2"/>
        <v>427613.89575666661</v>
      </c>
      <c r="P18" s="62">
        <f t="shared" si="1"/>
        <v>2.1208411533281707E-2</v>
      </c>
    </row>
    <row r="19" spans="2:16" x14ac:dyDescent="0.25">
      <c r="B19" s="141">
        <v>11</v>
      </c>
      <c r="C19" s="141" t="s">
        <v>339</v>
      </c>
      <c r="D19" s="356">
        <f>VLOOKUP(C19,Settings!$B$341:C849,2,FALSE)</f>
        <v>3</v>
      </c>
      <c r="E19" s="597" t="s">
        <v>1766</v>
      </c>
      <c r="F19" s="354" t="s">
        <v>48</v>
      </c>
      <c r="G19" s="354" t="str">
        <f>VLOOKUP(F19,Settings!$B$163:D771,3,FALSE)</f>
        <v>V</v>
      </c>
      <c r="H19" s="354">
        <f>VLOOKUP(F19,Settings!$B$163:D770,2,FALSE)</f>
        <v>1</v>
      </c>
      <c r="I19" s="354">
        <f>VLOOKUP(F19,Settings!$B$163:F201,5,FALSE)</f>
        <v>1</v>
      </c>
      <c r="J19" s="353" t="str">
        <f t="shared" si="0"/>
        <v>3-V-11</v>
      </c>
      <c r="K19" s="20">
        <f>VLOOKUP(J19,Vent!$K$24:$M$31,3,FALSE)</f>
        <v>0</v>
      </c>
      <c r="L19" s="20">
        <v>0</v>
      </c>
      <c r="M19" s="20">
        <v>0</v>
      </c>
      <c r="N19" s="61">
        <v>0</v>
      </c>
      <c r="O19" s="21">
        <f t="shared" si="2"/>
        <v>0</v>
      </c>
      <c r="P19" s="62">
        <f t="shared" si="1"/>
        <v>0</v>
      </c>
    </row>
    <row r="20" spans="2:16" x14ac:dyDescent="0.25">
      <c r="B20" s="141">
        <v>12</v>
      </c>
      <c r="C20" s="141" t="s">
        <v>340</v>
      </c>
      <c r="D20" s="356">
        <f>VLOOKUP(C20,Settings!$B$341:C852,2,FALSE)</f>
        <v>4</v>
      </c>
      <c r="E20" s="597" t="s">
        <v>1766</v>
      </c>
      <c r="F20" s="354" t="s">
        <v>48</v>
      </c>
      <c r="G20" s="354" t="str">
        <f>VLOOKUP(F20,Settings!$B$163:D774,3,FALSE)</f>
        <v>V</v>
      </c>
      <c r="H20" s="354">
        <f>VLOOKUP(F20,Settings!$B$163:D773,2,FALSE)</f>
        <v>1</v>
      </c>
      <c r="I20" s="354">
        <f>VLOOKUP(F20,Settings!$B$163:F239,5,FALSE)</f>
        <v>1</v>
      </c>
      <c r="J20" s="353" t="str">
        <f t="shared" si="0"/>
        <v>4-V-12</v>
      </c>
      <c r="K20" s="20">
        <f>VLOOKUP(J20,Vent!$K$24:$M$31,3,FALSE)</f>
        <v>0</v>
      </c>
      <c r="L20" s="20">
        <v>0</v>
      </c>
      <c r="M20" s="20">
        <v>0</v>
      </c>
      <c r="N20" s="61">
        <v>0</v>
      </c>
      <c r="O20" s="21">
        <f t="shared" si="2"/>
        <v>0</v>
      </c>
      <c r="P20" s="62">
        <f t="shared" si="1"/>
        <v>0</v>
      </c>
    </row>
    <row r="21" spans="2:16" x14ac:dyDescent="0.25">
      <c r="B21" s="141">
        <v>13</v>
      </c>
      <c r="C21" s="141" t="s">
        <v>341</v>
      </c>
      <c r="D21" s="356">
        <f>VLOOKUP(C21,Settings!$B$341:C951,2,FALSE)</f>
        <v>5</v>
      </c>
      <c r="E21" s="302" t="s">
        <v>1766</v>
      </c>
      <c r="F21" s="354" t="s">
        <v>48</v>
      </c>
      <c r="G21" s="354" t="str">
        <f>VLOOKUP(F21,Settings!$B$163:D853,3,FALSE)</f>
        <v>V</v>
      </c>
      <c r="H21" s="354">
        <f>VLOOKUP(F21,Settings!$B$163:D852,2,FALSE)</f>
        <v>1</v>
      </c>
      <c r="I21" s="354">
        <f>VLOOKUP(F21,Settings!$B$163:F560,5,FALSE)</f>
        <v>1</v>
      </c>
      <c r="J21" s="353" t="str">
        <f t="shared" si="0"/>
        <v>5-V-13</v>
      </c>
      <c r="K21" s="20">
        <f>VLOOKUP(J21,Vent!$K$24:$M$31,3,FALSE)</f>
        <v>0</v>
      </c>
      <c r="L21" s="20">
        <v>0</v>
      </c>
      <c r="M21" s="20">
        <v>0</v>
      </c>
      <c r="N21" s="61">
        <v>0</v>
      </c>
      <c r="O21" s="21">
        <f t="shared" si="2"/>
        <v>0</v>
      </c>
      <c r="P21" s="62">
        <f t="shared" si="1"/>
        <v>0</v>
      </c>
    </row>
    <row r="22" spans="2:16" x14ac:dyDescent="0.25">
      <c r="B22" s="141">
        <v>14</v>
      </c>
      <c r="C22" s="141" t="s">
        <v>342</v>
      </c>
      <c r="D22" s="356">
        <f>VLOOKUP(C22,Settings!$B$341:C995,2,FALSE)</f>
        <v>6</v>
      </c>
      <c r="E22" s="302" t="s">
        <v>1766</v>
      </c>
      <c r="F22" s="354" t="s">
        <v>48</v>
      </c>
      <c r="G22" s="354" t="str">
        <f>VLOOKUP(F22,Settings!$B$163:D897,3,FALSE)</f>
        <v>V</v>
      </c>
      <c r="H22" s="354">
        <f>VLOOKUP(F22,Settings!$B$163:D896,2,FALSE)</f>
        <v>1</v>
      </c>
      <c r="I22" s="354">
        <f>VLOOKUP(F22,Settings!$B$163:F604,5,FALSE)</f>
        <v>1</v>
      </c>
      <c r="J22" s="353" t="str">
        <f t="shared" si="0"/>
        <v>6-V-14</v>
      </c>
      <c r="K22" s="20">
        <f>VLOOKUP(J22,Vent!$K$24:$M$31,3,FALSE)</f>
        <v>0</v>
      </c>
      <c r="L22" s="20">
        <v>0</v>
      </c>
      <c r="M22" s="20">
        <v>0</v>
      </c>
      <c r="N22" s="61">
        <v>0</v>
      </c>
      <c r="O22" s="21">
        <f t="shared" si="2"/>
        <v>0</v>
      </c>
      <c r="P22" s="62">
        <f t="shared" si="1"/>
        <v>0</v>
      </c>
    </row>
    <row r="23" spans="2:16" x14ac:dyDescent="0.25">
      <c r="B23" s="141">
        <v>15</v>
      </c>
      <c r="C23" s="141" t="s">
        <v>343</v>
      </c>
      <c r="D23" s="356">
        <f>VLOOKUP(C23,Settings!$B$341:C996,2,FALSE)</f>
        <v>7</v>
      </c>
      <c r="E23" s="597" t="s">
        <v>1766</v>
      </c>
      <c r="F23" s="354" t="s">
        <v>48</v>
      </c>
      <c r="G23" s="354" t="str">
        <f>VLOOKUP(F23,Settings!$B$163:D898,3,FALSE)</f>
        <v>V</v>
      </c>
      <c r="H23" s="354">
        <f>VLOOKUP(F23,Settings!$B$163:D897,2,FALSE)</f>
        <v>1</v>
      </c>
      <c r="I23" s="354">
        <f>VLOOKUP(F23,Settings!$B$163:F605,5,FALSE)</f>
        <v>1</v>
      </c>
      <c r="J23" s="353" t="str">
        <f t="shared" si="0"/>
        <v>7-V-15</v>
      </c>
      <c r="K23" s="20">
        <f>VLOOKUP(J23,Vent!$K$24:$M$31,3,FALSE)</f>
        <v>0</v>
      </c>
      <c r="L23" s="20">
        <v>0</v>
      </c>
      <c r="M23" s="20">
        <v>0</v>
      </c>
      <c r="N23" s="61">
        <v>0</v>
      </c>
      <c r="O23" s="21">
        <f t="shared" si="2"/>
        <v>0</v>
      </c>
      <c r="P23" s="62">
        <f t="shared" si="1"/>
        <v>0</v>
      </c>
    </row>
    <row r="24" spans="2:16" x14ac:dyDescent="0.25">
      <c r="B24" s="141">
        <v>16</v>
      </c>
      <c r="C24" s="141" t="s">
        <v>510</v>
      </c>
      <c r="D24" s="356">
        <f>VLOOKUP(C24,Settings!$B$341:C997,2,FALSE)</f>
        <v>9</v>
      </c>
      <c r="E24" s="302" t="s">
        <v>1766</v>
      </c>
      <c r="F24" s="354" t="s">
        <v>48</v>
      </c>
      <c r="G24" s="354" t="str">
        <f>VLOOKUP(F24,Settings!$B$163:D899,3,FALSE)</f>
        <v>V</v>
      </c>
      <c r="H24" s="354">
        <f>VLOOKUP(F24,Settings!$B$163:D898,2,FALSE)</f>
        <v>1</v>
      </c>
      <c r="I24" s="354">
        <f>VLOOKUP(F24,Settings!$B$163:F606,5,FALSE)</f>
        <v>1</v>
      </c>
      <c r="J24" s="353" t="str">
        <f t="shared" si="0"/>
        <v>9-V-16</v>
      </c>
      <c r="K24" s="20">
        <f>VLOOKUP(J24,Vent!$K$24:$M$31,3,FALSE)</f>
        <v>0</v>
      </c>
      <c r="L24" s="20">
        <v>0</v>
      </c>
      <c r="M24" s="20">
        <v>0</v>
      </c>
      <c r="N24" s="61">
        <v>0</v>
      </c>
      <c r="O24" s="21">
        <f t="shared" si="2"/>
        <v>0</v>
      </c>
      <c r="P24" s="62">
        <f t="shared" si="1"/>
        <v>0</v>
      </c>
    </row>
    <row r="25" spans="2:16" x14ac:dyDescent="0.25">
      <c r="B25" s="141">
        <v>17</v>
      </c>
      <c r="C25" s="141" t="s">
        <v>337</v>
      </c>
      <c r="D25" s="356">
        <f>VLOOKUP(C25,Settings!$B$341:C858,2,FALSE)</f>
        <v>1</v>
      </c>
      <c r="E25" s="302" t="s">
        <v>1779</v>
      </c>
      <c r="F25" s="354" t="s">
        <v>49</v>
      </c>
      <c r="G25" s="354" t="str">
        <f>VLOOKUP(F25,Settings!$B$163:D780,3,FALSE)</f>
        <v>F</v>
      </c>
      <c r="H25" s="354">
        <f>VLOOKUP(F25,Settings!$B$163:D779,2,FALSE)</f>
        <v>1</v>
      </c>
      <c r="I25" s="354">
        <f>VLOOKUP(F25,Settings!$B$163:F196,5,FALSE)</f>
        <v>1</v>
      </c>
      <c r="J25" s="353" t="str">
        <f t="shared" si="0"/>
        <v>1-F-17</v>
      </c>
      <c r="K25" s="20">
        <v>0</v>
      </c>
      <c r="L25" s="20">
        <f>VLOOKUP(J25,Fugitive!$I$115:$L$122,3,FALSE)</f>
        <v>11.115437457939995</v>
      </c>
      <c r="M25" s="20">
        <v>0</v>
      </c>
      <c r="N25" s="61">
        <v>0</v>
      </c>
      <c r="O25" s="21">
        <f>VLOOKUP(J25,Fugitive!$I$115:$L$122,4,FALSE)</f>
        <v>331.24003624661191</v>
      </c>
      <c r="P25" s="62">
        <f t="shared" si="1"/>
        <v>1.6428547048468485E-5</v>
      </c>
    </row>
    <row r="26" spans="2:16" x14ac:dyDescent="0.25">
      <c r="B26" s="141">
        <v>18</v>
      </c>
      <c r="C26" s="141" t="s">
        <v>338</v>
      </c>
      <c r="D26" s="356">
        <f>VLOOKUP(C26,Settings!$B$341:C872,2,FALSE)</f>
        <v>2</v>
      </c>
      <c r="E26" s="597" t="s">
        <v>1779</v>
      </c>
      <c r="F26" s="354" t="s">
        <v>49</v>
      </c>
      <c r="G26" s="354" t="str">
        <f>VLOOKUP(F26,Settings!$B$163:D794,3,FALSE)</f>
        <v>F</v>
      </c>
      <c r="H26" s="354">
        <f>VLOOKUP(F26,Settings!$B$163:D793,2,FALSE)</f>
        <v>1</v>
      </c>
      <c r="I26" s="354">
        <f>VLOOKUP(F26,Settings!$B$163:F196,5,FALSE)</f>
        <v>1</v>
      </c>
      <c r="J26" s="353" t="str">
        <f t="shared" si="0"/>
        <v>2-F-18</v>
      </c>
      <c r="K26" s="20">
        <v>0</v>
      </c>
      <c r="L26" s="20">
        <f>VLOOKUP(J26,Fugitive!$I$115:$L$122,3,FALSE)</f>
        <v>7.8187592730026507</v>
      </c>
      <c r="M26" s="20">
        <v>0</v>
      </c>
      <c r="N26" s="61">
        <v>0</v>
      </c>
      <c r="O26" s="21">
        <f>VLOOKUP(J26,Fugitive!$I$115:$L$122,4,FALSE)</f>
        <v>232.99902633547902</v>
      </c>
      <c r="P26" s="62">
        <f t="shared" si="1"/>
        <v>1.1556077308088138E-5</v>
      </c>
    </row>
    <row r="27" spans="2:16" x14ac:dyDescent="0.25">
      <c r="B27" s="141">
        <v>19</v>
      </c>
      <c r="C27" s="141" t="s">
        <v>339</v>
      </c>
      <c r="D27" s="356">
        <f>VLOOKUP(C27,Settings!$B$341:C875,2,FALSE)</f>
        <v>3</v>
      </c>
      <c r="E27" s="597" t="s">
        <v>1779</v>
      </c>
      <c r="F27" s="354" t="s">
        <v>49</v>
      </c>
      <c r="G27" s="354" t="str">
        <f>VLOOKUP(F27,Settings!$B$163:D797,3,FALSE)</f>
        <v>F</v>
      </c>
      <c r="H27" s="354">
        <f>VLOOKUP(F27,Settings!$B$163:D796,2,FALSE)</f>
        <v>1</v>
      </c>
      <c r="I27" s="354">
        <f>VLOOKUP(F27,Settings!$B$163:F196,5,FALSE)</f>
        <v>1</v>
      </c>
      <c r="J27" s="353" t="str">
        <f t="shared" si="0"/>
        <v>3-F-19</v>
      </c>
      <c r="K27" s="20">
        <v>0</v>
      </c>
      <c r="L27" s="20">
        <f>VLOOKUP(J27,Fugitive!$I$115:$L$122,3,FALSE)</f>
        <v>5.9232589977894916</v>
      </c>
      <c r="M27" s="20">
        <v>0</v>
      </c>
      <c r="N27" s="61">
        <v>0</v>
      </c>
      <c r="O27" s="21">
        <f>VLOOKUP(J27,Fugitive!$I$115:$L$122,4,FALSE)</f>
        <v>176.51311813412684</v>
      </c>
      <c r="P27" s="62">
        <f t="shared" si="1"/>
        <v>8.7545397555125389E-6</v>
      </c>
    </row>
    <row r="28" spans="2:16" x14ac:dyDescent="0.25">
      <c r="B28" s="141">
        <v>20</v>
      </c>
      <c r="C28" s="141" t="s">
        <v>340</v>
      </c>
      <c r="D28" s="356">
        <f>VLOOKUP(C28,Settings!$B$341:C859,2,FALSE)</f>
        <v>4</v>
      </c>
      <c r="E28" s="597" t="s">
        <v>1779</v>
      </c>
      <c r="F28" s="354" t="s">
        <v>49</v>
      </c>
      <c r="G28" s="354" t="str">
        <f>VLOOKUP(F28,Settings!$B$163:D781,3,FALSE)</f>
        <v>F</v>
      </c>
      <c r="H28" s="354">
        <f>VLOOKUP(F28,Settings!$B$163:D780,2,FALSE)</f>
        <v>1</v>
      </c>
      <c r="I28" s="354">
        <f>VLOOKUP(F28,Settings!$B$163:F197,5,FALSE)</f>
        <v>1</v>
      </c>
      <c r="J28" s="353" t="str">
        <f t="shared" si="0"/>
        <v>4-F-20</v>
      </c>
      <c r="K28" s="20">
        <v>0</v>
      </c>
      <c r="L28" s="20">
        <f>VLOOKUP(J28,Fugitive!$I$115:$L$122,3,FALSE)</f>
        <v>8.1441223974572949</v>
      </c>
      <c r="M28" s="20">
        <v>0</v>
      </c>
      <c r="N28" s="61">
        <v>0</v>
      </c>
      <c r="O28" s="21">
        <f>VLOOKUP(J28,Fugitive!$I$115:$L$122,4,FALSE)</f>
        <v>242.69484744422738</v>
      </c>
      <c r="P28" s="62">
        <f t="shared" si="1"/>
        <v>1.2036961971257341E-5</v>
      </c>
    </row>
    <row r="29" spans="2:16" x14ac:dyDescent="0.25">
      <c r="B29" s="141">
        <v>21</v>
      </c>
      <c r="C29" s="141" t="s">
        <v>341</v>
      </c>
      <c r="D29" s="356">
        <f>VLOOKUP(C29,Settings!$B$341:C860,2,FALSE)</f>
        <v>5</v>
      </c>
      <c r="E29" s="597" t="s">
        <v>1779</v>
      </c>
      <c r="F29" s="354" t="s">
        <v>49</v>
      </c>
      <c r="G29" s="354" t="str">
        <f>VLOOKUP(F29,Settings!$B$163:D782,3,FALSE)</f>
        <v>F</v>
      </c>
      <c r="H29" s="354">
        <f>VLOOKUP(F29,Settings!$B$163:D781,2,FALSE)</f>
        <v>1</v>
      </c>
      <c r="I29" s="354">
        <f>VLOOKUP(F29,Settings!$B$163:F198,5,FALSE)</f>
        <v>1</v>
      </c>
      <c r="J29" s="353" t="str">
        <f t="shared" si="0"/>
        <v>5-F-21</v>
      </c>
      <c r="K29" s="20">
        <v>0</v>
      </c>
      <c r="L29" s="20">
        <f>VLOOKUP(J29,Fugitive!$I$115:$L$122,3,FALSE)</f>
        <v>24.914492924750096</v>
      </c>
      <c r="M29" s="20">
        <v>0</v>
      </c>
      <c r="N29" s="61">
        <v>0</v>
      </c>
      <c r="O29" s="21">
        <f>VLOOKUP(J29,Fugitive!$I$115:$L$122,4,FALSE)</f>
        <v>742.45188915755284</v>
      </c>
      <c r="P29" s="62">
        <f t="shared" si="1"/>
        <v>3.6823464731081176E-5</v>
      </c>
    </row>
    <row r="30" spans="2:16" x14ac:dyDescent="0.25">
      <c r="B30" s="141">
        <v>22</v>
      </c>
      <c r="C30" s="141" t="s">
        <v>342</v>
      </c>
      <c r="D30" s="356">
        <f>VLOOKUP(C30,Settings!$B$341:C878,2,FALSE)</f>
        <v>6</v>
      </c>
      <c r="E30" s="597" t="s">
        <v>1779</v>
      </c>
      <c r="F30" s="354" t="s">
        <v>49</v>
      </c>
      <c r="G30" s="354" t="str">
        <f>VLOOKUP(F30,Settings!$B$163:D800,3,FALSE)</f>
        <v>F</v>
      </c>
      <c r="H30" s="354">
        <f>VLOOKUP(F30,Settings!$B$163:D799,2,FALSE)</f>
        <v>1</v>
      </c>
      <c r="I30" s="354">
        <f>VLOOKUP(F30,Settings!$B$163:F198,5,FALSE)</f>
        <v>1</v>
      </c>
      <c r="J30" s="353" t="str">
        <f t="shared" si="0"/>
        <v>6-F-22</v>
      </c>
      <c r="K30" s="20">
        <v>0</v>
      </c>
      <c r="L30" s="20">
        <f>VLOOKUP(J30,Fugitive!$I$115:$L$122,3,FALSE)</f>
        <v>0</v>
      </c>
      <c r="M30" s="20">
        <v>0</v>
      </c>
      <c r="N30" s="61">
        <v>0</v>
      </c>
      <c r="O30" s="21">
        <f>VLOOKUP(J30,Fugitive!$I$115:$L$122,4,FALSE)</f>
        <v>0</v>
      </c>
      <c r="P30" s="62">
        <f t="shared" si="1"/>
        <v>0</v>
      </c>
    </row>
    <row r="31" spans="2:16" x14ac:dyDescent="0.25">
      <c r="B31" s="141">
        <v>23</v>
      </c>
      <c r="C31" s="141" t="s">
        <v>343</v>
      </c>
      <c r="D31" s="356">
        <f>VLOOKUP(C31,Settings!$B$341:C861,2,FALSE)</f>
        <v>7</v>
      </c>
      <c r="E31" s="597" t="s">
        <v>1779</v>
      </c>
      <c r="F31" s="354" t="s">
        <v>49</v>
      </c>
      <c r="G31" s="354" t="str">
        <f>VLOOKUP(F31,Settings!$B$163:D783,3,FALSE)</f>
        <v>F</v>
      </c>
      <c r="H31" s="354">
        <f>VLOOKUP(F31,Settings!$B$163:D782,2,FALSE)</f>
        <v>1</v>
      </c>
      <c r="I31" s="354">
        <f>VLOOKUP(F31,Settings!$B$163:F236,5,FALSE)</f>
        <v>1</v>
      </c>
      <c r="J31" s="353" t="str">
        <f t="shared" si="0"/>
        <v>7-F-23</v>
      </c>
      <c r="K31" s="20">
        <v>0</v>
      </c>
      <c r="L31" s="20">
        <f>VLOOKUP(J31,Fugitive!$I$115:$L$122,3,FALSE)</f>
        <v>1.5755180183073791</v>
      </c>
      <c r="M31" s="20">
        <v>0</v>
      </c>
      <c r="N31" s="61">
        <v>0</v>
      </c>
      <c r="O31" s="21">
        <f>VLOOKUP(J31,Fugitive!$I$115:$L$122,4,FALSE)</f>
        <v>46.9504369455599</v>
      </c>
      <c r="P31" s="62">
        <f t="shared" si="1"/>
        <v>2.3286057779924339E-6</v>
      </c>
    </row>
    <row r="32" spans="2:16" x14ac:dyDescent="0.25">
      <c r="B32" s="141">
        <v>24</v>
      </c>
      <c r="C32" s="141" t="s">
        <v>510</v>
      </c>
      <c r="D32" s="356">
        <f>VLOOKUP(C32,Settings!$B$341:C862,2,FALSE)</f>
        <v>9</v>
      </c>
      <c r="E32" s="302" t="s">
        <v>1779</v>
      </c>
      <c r="F32" s="354" t="s">
        <v>49</v>
      </c>
      <c r="G32" s="354" t="str">
        <f>VLOOKUP(F32,Settings!$B$163:D784,3,FALSE)</f>
        <v>F</v>
      </c>
      <c r="H32" s="354">
        <f>VLOOKUP(F32,Settings!$B$163:D783,2,FALSE)</f>
        <v>1</v>
      </c>
      <c r="I32" s="354">
        <f>VLOOKUP(F32,Settings!$B$163:F238,5,FALSE)</f>
        <v>1</v>
      </c>
      <c r="J32" s="353" t="str">
        <f t="shared" si="0"/>
        <v>9-F-24</v>
      </c>
      <c r="K32" s="20">
        <v>0</v>
      </c>
      <c r="L32" s="20">
        <f>VLOOKUP(J32,Fugitive!$I$115:$L$122,3,FALSE)</f>
        <v>2.344623353291674</v>
      </c>
      <c r="M32" s="20">
        <v>0</v>
      </c>
      <c r="N32" s="61">
        <v>0</v>
      </c>
      <c r="O32" s="21">
        <f>VLOOKUP(J32,Fugitive!$I$115:$L$122,4,FALSE)</f>
        <v>69.869775928091883</v>
      </c>
      <c r="P32" s="62">
        <f t="shared" si="1"/>
        <v>3.4653386532237137E-6</v>
      </c>
    </row>
    <row r="33" spans="2:16" x14ac:dyDescent="0.25">
      <c r="B33" s="141">
        <v>25</v>
      </c>
      <c r="C33" s="141" t="s">
        <v>341</v>
      </c>
      <c r="D33" s="356">
        <f>VLOOKUP(C33,Settings!$B$341:C952,2,FALSE)</f>
        <v>5</v>
      </c>
      <c r="E33" s="597" t="s">
        <v>763</v>
      </c>
      <c r="F33" s="354" t="s">
        <v>49</v>
      </c>
      <c r="G33" s="354" t="str">
        <f>VLOOKUP(F33,Settings!$B$163:D854,3,FALSE)</f>
        <v>F</v>
      </c>
      <c r="H33" s="354">
        <f>VLOOKUP(F33,Settings!$B$163:D853,2,FALSE)</f>
        <v>1</v>
      </c>
      <c r="I33" s="354">
        <f>VLOOKUP(F33,Settings!$B$163:F561,5,FALSE)</f>
        <v>1</v>
      </c>
      <c r="J33" s="353" t="str">
        <f t="shared" si="0"/>
        <v>5-F-25</v>
      </c>
      <c r="K33" s="20">
        <v>0</v>
      </c>
      <c r="L33" s="20">
        <v>0</v>
      </c>
      <c r="M33" s="20">
        <v>0</v>
      </c>
      <c r="N33" s="177">
        <f>Fugitive!K49</f>
        <v>0.4</v>
      </c>
      <c r="O33" s="20">
        <f>Fugitive!L49</f>
        <v>9720</v>
      </c>
      <c r="P33" s="62">
        <f t="shared" si="1"/>
        <v>4.8208386619130191E-4</v>
      </c>
    </row>
    <row r="34" spans="2:16" x14ac:dyDescent="0.25">
      <c r="B34" s="141">
        <v>26</v>
      </c>
      <c r="C34" s="141" t="s">
        <v>343</v>
      </c>
      <c r="D34" s="356">
        <f>VLOOKUP(C34,Settings!$B$341:C983,2,FALSE)</f>
        <v>7</v>
      </c>
      <c r="E34" s="597" t="s">
        <v>838</v>
      </c>
      <c r="F34" s="354" t="s">
        <v>49</v>
      </c>
      <c r="G34" s="354" t="str">
        <f>VLOOKUP(F34,Settings!$B$163:D885,3,FALSE)</f>
        <v>F</v>
      </c>
      <c r="H34" s="354">
        <f>VLOOKUP(F34,Settings!$B$163:D884,2,FALSE)</f>
        <v>1</v>
      </c>
      <c r="I34" s="354">
        <f>VLOOKUP(F34,Settings!$B$163:F592,5,FALSE)</f>
        <v>1</v>
      </c>
      <c r="J34" s="353" t="str">
        <f t="shared" si="0"/>
        <v>7-F-26</v>
      </c>
      <c r="K34" s="20">
        <f>VLOOKUP(J34,Fugitive!$B$49:$M$67,11,FALSE)</f>
        <v>46.863999999999997</v>
      </c>
      <c r="L34" s="20">
        <v>0</v>
      </c>
      <c r="M34" s="20">
        <v>0</v>
      </c>
      <c r="N34" s="61">
        <v>0</v>
      </c>
      <c r="O34" s="20">
        <f>VLOOKUP(J34,Fugitive!B49:L67,11,FALSE)</f>
        <v>46.863999999999997</v>
      </c>
      <c r="P34" s="62">
        <f t="shared" si="1"/>
        <v>2.3243187556778986E-6</v>
      </c>
    </row>
    <row r="35" spans="2:16" x14ac:dyDescent="0.25">
      <c r="B35" s="141">
        <v>27</v>
      </c>
      <c r="C35" s="141" t="s">
        <v>337</v>
      </c>
      <c r="D35" s="356">
        <f>VLOOKUP(C35,Settings!$B$341:C965,2,FALSE)</f>
        <v>1</v>
      </c>
      <c r="E35" s="597" t="s">
        <v>774</v>
      </c>
      <c r="F35" s="354" t="s">
        <v>49</v>
      </c>
      <c r="G35" s="354" t="str">
        <f>VLOOKUP(F35,Settings!$B$163:D867,3,FALSE)</f>
        <v>F</v>
      </c>
      <c r="H35" s="354">
        <f>VLOOKUP(F35,Settings!$B$163:D866,2,FALSE)</f>
        <v>1</v>
      </c>
      <c r="I35" s="354">
        <f>VLOOKUP(F35,Settings!$B$163:F574,5,FALSE)</f>
        <v>1</v>
      </c>
      <c r="J35" s="353" t="str">
        <f t="shared" si="0"/>
        <v>1-F-27</v>
      </c>
      <c r="K35" s="20">
        <f>VLOOKUP(J35,Fugitive!$B$75:$L$90,11,FALSE)</f>
        <v>90.114463999999998</v>
      </c>
      <c r="L35" s="20">
        <v>0</v>
      </c>
      <c r="M35" s="20">
        <v>0</v>
      </c>
      <c r="N35" s="61">
        <v>0</v>
      </c>
      <c r="O35" s="20">
        <f>VLOOKUP(J35,Fugitive!$B$75:$L$90,11,FALSE)</f>
        <v>90.114463999999998</v>
      </c>
      <c r="P35" s="62">
        <f t="shared" si="1"/>
        <v>4.4694165848638778E-6</v>
      </c>
    </row>
    <row r="36" spans="2:16" x14ac:dyDescent="0.25">
      <c r="B36" s="141">
        <v>28</v>
      </c>
      <c r="C36" s="141" t="s">
        <v>338</v>
      </c>
      <c r="D36" s="356">
        <f>VLOOKUP(C36,Settings!$B$341:C966,2,FALSE)</f>
        <v>2</v>
      </c>
      <c r="E36" s="597" t="s">
        <v>774</v>
      </c>
      <c r="F36" s="354" t="s">
        <v>49</v>
      </c>
      <c r="G36" s="354" t="str">
        <f>VLOOKUP(F36,Settings!$B$163:D868,3,FALSE)</f>
        <v>F</v>
      </c>
      <c r="H36" s="354">
        <f>VLOOKUP(F36,Settings!$B$163:D867,2,FALSE)</f>
        <v>1</v>
      </c>
      <c r="I36" s="354">
        <f>VLOOKUP(F36,Settings!$B$163:F575,5,FALSE)</f>
        <v>1</v>
      </c>
      <c r="J36" s="353" t="str">
        <f t="shared" si="0"/>
        <v>2-F-28</v>
      </c>
      <c r="K36" s="20">
        <f>VLOOKUP(J36,Fugitive!$B$75:$L$90,11,FALSE)</f>
        <v>252.45315920000002</v>
      </c>
      <c r="L36" s="20">
        <v>0</v>
      </c>
      <c r="M36" s="20">
        <v>0</v>
      </c>
      <c r="N36" s="61">
        <v>0</v>
      </c>
      <c r="O36" s="20">
        <f>VLOOKUP(J36,Fugitive!$B$75:$L$90,11,FALSE)</f>
        <v>252.45315920000002</v>
      </c>
      <c r="P36" s="62">
        <f t="shared" si="1"/>
        <v>1.252094598964447E-5</v>
      </c>
    </row>
    <row r="37" spans="2:16" x14ac:dyDescent="0.25">
      <c r="B37" s="141">
        <v>29</v>
      </c>
      <c r="C37" s="141" t="s">
        <v>339</v>
      </c>
      <c r="D37" s="356">
        <f>VLOOKUP(C37,Settings!$B$341:C967,2,FALSE)</f>
        <v>3</v>
      </c>
      <c r="E37" s="597" t="s">
        <v>774</v>
      </c>
      <c r="F37" s="354" t="s">
        <v>49</v>
      </c>
      <c r="G37" s="354" t="str">
        <f>VLOOKUP(F37,Settings!$B$163:D869,3,FALSE)</f>
        <v>F</v>
      </c>
      <c r="H37" s="354">
        <f>VLOOKUP(F37,Settings!$B$163:D868,2,FALSE)</f>
        <v>1</v>
      </c>
      <c r="I37" s="354">
        <f>VLOOKUP(F37,Settings!$B$163:F576,5,FALSE)</f>
        <v>1</v>
      </c>
      <c r="J37" s="353" t="str">
        <f t="shared" si="0"/>
        <v>3-F-29</v>
      </c>
      <c r="K37" s="20">
        <f>VLOOKUP(J37,Fugitive!$B$75:$L$90,11,FALSE)</f>
        <v>436.21850799999999</v>
      </c>
      <c r="L37" s="20">
        <v>0</v>
      </c>
      <c r="M37" s="20">
        <v>0</v>
      </c>
      <c r="N37" s="61">
        <v>0</v>
      </c>
      <c r="O37" s="20">
        <f>VLOOKUP(J37,Fugitive!$B$75:$L$90,11,FALSE)</f>
        <v>436.21850799999999</v>
      </c>
      <c r="P37" s="62">
        <f t="shared" si="1"/>
        <v>2.1635175395148287E-5</v>
      </c>
    </row>
    <row r="38" spans="2:16" x14ac:dyDescent="0.25">
      <c r="B38" s="141">
        <v>30</v>
      </c>
      <c r="C38" s="141" t="s">
        <v>340</v>
      </c>
      <c r="D38" s="356">
        <f>VLOOKUP(C38,Settings!$B$341:C968,2,FALSE)</f>
        <v>4</v>
      </c>
      <c r="E38" s="597" t="s">
        <v>774</v>
      </c>
      <c r="F38" s="354" t="s">
        <v>49</v>
      </c>
      <c r="G38" s="354" t="str">
        <f>VLOOKUP(F38,Settings!$B$163:D870,3,FALSE)</f>
        <v>F</v>
      </c>
      <c r="H38" s="354">
        <f>VLOOKUP(F38,Settings!$B$163:D869,2,FALSE)</f>
        <v>1</v>
      </c>
      <c r="I38" s="354">
        <f>VLOOKUP(F38,Settings!$B$163:F577,5,FALSE)</f>
        <v>1</v>
      </c>
      <c r="J38" s="353" t="str">
        <f t="shared" si="0"/>
        <v>4-F-30</v>
      </c>
      <c r="K38" s="20">
        <f>VLOOKUP(J38,Fugitive!$B$75:$L$90,11,FALSE)</f>
        <v>1092.8000160000001</v>
      </c>
      <c r="L38" s="20">
        <v>0</v>
      </c>
      <c r="M38" s="20">
        <v>0</v>
      </c>
      <c r="N38" s="61">
        <v>0</v>
      </c>
      <c r="O38" s="20">
        <f>VLOOKUP(J38,Fugitive!$B$75:$L$90,11,FALSE)</f>
        <v>1092.8000160000001</v>
      </c>
      <c r="P38" s="62">
        <f t="shared" si="1"/>
        <v>5.4199717766172501E-5</v>
      </c>
    </row>
    <row r="39" spans="2:16" x14ac:dyDescent="0.25">
      <c r="B39" s="141">
        <v>31</v>
      </c>
      <c r="C39" s="141" t="s">
        <v>341</v>
      </c>
      <c r="D39" s="356">
        <f>VLOOKUP(C39,Settings!$B$341:C969,2,FALSE)</f>
        <v>5</v>
      </c>
      <c r="E39" s="597" t="s">
        <v>774</v>
      </c>
      <c r="F39" s="354" t="s">
        <v>49</v>
      </c>
      <c r="G39" s="354" t="str">
        <f>VLOOKUP(F39,Settings!$B$163:D871,3,FALSE)</f>
        <v>F</v>
      </c>
      <c r="H39" s="354">
        <f>VLOOKUP(F39,Settings!$B$163:D870,2,FALSE)</f>
        <v>1</v>
      </c>
      <c r="I39" s="354">
        <f>VLOOKUP(F39,Settings!$B$163:F578,5,FALSE)</f>
        <v>1</v>
      </c>
      <c r="J39" s="353" t="str">
        <f t="shared" si="0"/>
        <v>5-F-31</v>
      </c>
      <c r="K39" s="20">
        <f>VLOOKUP(J39,Fugitive!$B$75:$L$90,11,FALSE)</f>
        <v>7.7838992000000005</v>
      </c>
      <c r="L39" s="20">
        <v>0</v>
      </c>
      <c r="M39" s="20">
        <v>0</v>
      </c>
      <c r="N39" s="61">
        <v>0</v>
      </c>
      <c r="O39" s="20">
        <f>VLOOKUP(J39,Fugitive!$B$75:$L$90,11,FALSE)</f>
        <v>7.7838992000000005</v>
      </c>
      <c r="P39" s="62">
        <f t="shared" si="1"/>
        <v>3.860588704094015E-7</v>
      </c>
    </row>
    <row r="40" spans="2:16" x14ac:dyDescent="0.25">
      <c r="B40" s="141">
        <v>32</v>
      </c>
      <c r="C40" s="141" t="s">
        <v>342</v>
      </c>
      <c r="D40" s="356">
        <f>VLOOKUP(C40,Settings!$B$341:C970,2,FALSE)</f>
        <v>6</v>
      </c>
      <c r="E40" s="597" t="s">
        <v>774</v>
      </c>
      <c r="F40" s="354" t="s">
        <v>49</v>
      </c>
      <c r="G40" s="354" t="str">
        <f>VLOOKUP(F40,Settings!$B$163:D872,3,FALSE)</f>
        <v>F</v>
      </c>
      <c r="H40" s="354">
        <f>VLOOKUP(F40,Settings!$B$163:D871,2,FALSE)</f>
        <v>1</v>
      </c>
      <c r="I40" s="354">
        <f>VLOOKUP(F40,Settings!$B$163:F579,5,FALSE)</f>
        <v>1</v>
      </c>
      <c r="J40" s="353" t="str">
        <f t="shared" si="0"/>
        <v>6-F-32</v>
      </c>
      <c r="K40" s="20">
        <f>VLOOKUP(J40,Fugitive!$B$75:$L$90,11,FALSE)</f>
        <v>30.2205376</v>
      </c>
      <c r="L40" s="20">
        <v>0</v>
      </c>
      <c r="M40" s="20">
        <v>0</v>
      </c>
      <c r="N40" s="61">
        <v>0</v>
      </c>
      <c r="O40" s="20">
        <f>VLOOKUP(J40,Fugitive!$B$75:$L$90,11,FALSE)</f>
        <v>30.2205376</v>
      </c>
      <c r="P40" s="62">
        <f t="shared" si="1"/>
        <v>1.4988511938876141E-6</v>
      </c>
    </row>
    <row r="41" spans="2:16" x14ac:dyDescent="0.25">
      <c r="B41" s="141">
        <v>33</v>
      </c>
      <c r="C41" s="141" t="s">
        <v>343</v>
      </c>
      <c r="D41" s="356">
        <f>VLOOKUP(C41,Settings!$B$341:C971,2,FALSE)</f>
        <v>7</v>
      </c>
      <c r="E41" s="597" t="s">
        <v>774</v>
      </c>
      <c r="F41" s="354" t="s">
        <v>49</v>
      </c>
      <c r="G41" s="354" t="str">
        <f>VLOOKUP(F41,Settings!$B$163:D873,3,FALSE)</f>
        <v>F</v>
      </c>
      <c r="H41" s="354">
        <f>VLOOKUP(F41,Settings!$B$163:D872,2,FALSE)</f>
        <v>1</v>
      </c>
      <c r="I41" s="354">
        <f>VLOOKUP(F41,Settings!$B$163:F580,5,FALSE)</f>
        <v>1</v>
      </c>
      <c r="J41" s="353" t="str">
        <f t="shared" ref="J41:J72" si="3">_xlfn.TEXTJOIN("-",,D41,G41,B41)</f>
        <v>7-F-33</v>
      </c>
      <c r="K41" s="20">
        <f>VLOOKUP(J41,Fugitive!$B$75:$L$90,11,FALSE)</f>
        <v>11.77726</v>
      </c>
      <c r="L41" s="20">
        <v>0</v>
      </c>
      <c r="M41" s="20">
        <v>0</v>
      </c>
      <c r="N41" s="61">
        <v>0</v>
      </c>
      <c r="O41" s="20">
        <f>VLOOKUP(J41,Fugitive!$B$75:$L$90,11,FALSE)</f>
        <v>11.77726</v>
      </c>
      <c r="P41" s="62">
        <f t="shared" ref="P41:P72" si="4">O41/$O$195</f>
        <v>5.841180076070136E-7</v>
      </c>
    </row>
    <row r="42" spans="2:16" x14ac:dyDescent="0.25">
      <c r="B42" s="141">
        <v>34</v>
      </c>
      <c r="C42" s="141" t="s">
        <v>510</v>
      </c>
      <c r="D42" s="356">
        <f>VLOOKUP(C42,Settings!$B$341:C972,2,FALSE)</f>
        <v>9</v>
      </c>
      <c r="E42" s="302" t="s">
        <v>774</v>
      </c>
      <c r="F42" s="354" t="s">
        <v>49</v>
      </c>
      <c r="G42" s="354" t="str">
        <f>VLOOKUP(F42,Settings!$B$163:D874,3,FALSE)</f>
        <v>F</v>
      </c>
      <c r="H42" s="354">
        <f>VLOOKUP(F42,Settings!$B$163:D873,2,FALSE)</f>
        <v>1</v>
      </c>
      <c r="I42" s="354">
        <f>VLOOKUP(F42,Settings!$B$163:F581,5,FALSE)</f>
        <v>1</v>
      </c>
      <c r="J42" s="353" t="str">
        <f t="shared" si="3"/>
        <v>9-F-34</v>
      </c>
      <c r="K42" s="20">
        <f>VLOOKUP(J42,Fugitive!$B$75:$L$90,11,FALSE)</f>
        <v>2.576552</v>
      </c>
      <c r="L42" s="20">
        <v>0</v>
      </c>
      <c r="M42" s="20">
        <v>0</v>
      </c>
      <c r="N42" s="61">
        <v>0</v>
      </c>
      <c r="O42" s="20">
        <f>VLOOKUP(J42,Fugitive!$B$75:$L$90,11,FALSE)</f>
        <v>2.576552</v>
      </c>
      <c r="P42" s="62">
        <f t="shared" si="4"/>
        <v>1.2778952156408759E-7</v>
      </c>
    </row>
    <row r="43" spans="2:16" x14ac:dyDescent="0.25">
      <c r="B43" s="141">
        <v>35</v>
      </c>
      <c r="C43" s="141" t="s">
        <v>337</v>
      </c>
      <c r="D43" s="356">
        <f>VLOOKUP(C43,Settings!$B$341:C973,2,FALSE)</f>
        <v>1</v>
      </c>
      <c r="E43" s="302" t="s">
        <v>775</v>
      </c>
      <c r="F43" s="354" t="s">
        <v>49</v>
      </c>
      <c r="G43" s="354" t="str">
        <f>VLOOKUP(F43,Settings!$B$163:D875,3,FALSE)</f>
        <v>F</v>
      </c>
      <c r="H43" s="354">
        <f>VLOOKUP(F43,Settings!$B$163:D874,2,FALSE)</f>
        <v>1</v>
      </c>
      <c r="I43" s="354">
        <f>VLOOKUP(F43,Settings!$B$163:F582,5,FALSE)</f>
        <v>1</v>
      </c>
      <c r="J43" s="353" t="str">
        <f t="shared" si="3"/>
        <v>1-F-35</v>
      </c>
      <c r="K43" s="20">
        <f>VLOOKUP(J43,Fugitive!$B$75:$L$90,11,FALSE)</f>
        <v>15.837392999999999</v>
      </c>
      <c r="L43" s="20">
        <v>0</v>
      </c>
      <c r="M43" s="20">
        <v>0</v>
      </c>
      <c r="N43" s="61">
        <v>0</v>
      </c>
      <c r="O43" s="20">
        <f>VLOOKUP(J43,Fugitive!$B$75:$L$90,11,FALSE)</f>
        <v>15.837392999999999</v>
      </c>
      <c r="P43" s="62">
        <f t="shared" si="4"/>
        <v>7.8548885265751657E-7</v>
      </c>
    </row>
    <row r="44" spans="2:16" x14ac:dyDescent="0.25">
      <c r="B44" s="141">
        <v>36</v>
      </c>
      <c r="C44" s="141" t="s">
        <v>338</v>
      </c>
      <c r="D44" s="356">
        <f>VLOOKUP(C44,Settings!$B$341:C974,2,FALSE)</f>
        <v>2</v>
      </c>
      <c r="E44" s="597" t="s">
        <v>775</v>
      </c>
      <c r="F44" s="354" t="s">
        <v>49</v>
      </c>
      <c r="G44" s="354" t="str">
        <f>VLOOKUP(F44,Settings!$B$163:D876,3,FALSE)</f>
        <v>F</v>
      </c>
      <c r="H44" s="354">
        <f>VLOOKUP(F44,Settings!$B$163:D875,2,FALSE)</f>
        <v>1</v>
      </c>
      <c r="I44" s="354">
        <f>VLOOKUP(F44,Settings!$B$163:F583,5,FALSE)</f>
        <v>1</v>
      </c>
      <c r="J44" s="353" t="str">
        <f t="shared" si="3"/>
        <v>2-F-36</v>
      </c>
      <c r="K44" s="20">
        <f>VLOOKUP(J44,Fugitive!$B$75:$L$90,11,FALSE)</f>
        <v>28.0773416</v>
      </c>
      <c r="L44" s="20">
        <v>0</v>
      </c>
      <c r="M44" s="20">
        <v>0</v>
      </c>
      <c r="N44" s="61">
        <v>0</v>
      </c>
      <c r="O44" s="20">
        <f>VLOOKUP(J44,Fugitive!$B$75:$L$90,11,FALSE)</f>
        <v>28.0773416</v>
      </c>
      <c r="P44" s="62">
        <f t="shared" si="4"/>
        <v>1.3925548756071889E-6</v>
      </c>
    </row>
    <row r="45" spans="2:16" x14ac:dyDescent="0.25">
      <c r="B45" s="141">
        <v>37</v>
      </c>
      <c r="C45" s="141" t="s">
        <v>339</v>
      </c>
      <c r="D45" s="356">
        <f>VLOOKUP(C45,Settings!$B$341:C975,2,FALSE)</f>
        <v>3</v>
      </c>
      <c r="E45" s="302" t="s">
        <v>775</v>
      </c>
      <c r="F45" s="354" t="s">
        <v>49</v>
      </c>
      <c r="G45" s="354" t="str">
        <f>VLOOKUP(F45,Settings!$B$163:D877,3,FALSE)</f>
        <v>F</v>
      </c>
      <c r="H45" s="354">
        <f>VLOOKUP(F45,Settings!$B$163:D876,2,FALSE)</f>
        <v>1</v>
      </c>
      <c r="I45" s="354">
        <f>VLOOKUP(F45,Settings!$B$163:F584,5,FALSE)</f>
        <v>1</v>
      </c>
      <c r="J45" s="353" t="str">
        <f t="shared" si="3"/>
        <v>3-F-37</v>
      </c>
      <c r="K45" s="20">
        <f>VLOOKUP(J45,Fugitive!$B$75:$L$90,11,FALSE)</f>
        <v>36.5490092</v>
      </c>
      <c r="L45" s="20">
        <v>0</v>
      </c>
      <c r="M45" s="20">
        <v>0</v>
      </c>
      <c r="N45" s="61">
        <v>0</v>
      </c>
      <c r="O45" s="20">
        <f>VLOOKUP(J45,Fugitive!$B$75:$L$90,11,FALSE)</f>
        <v>36.5490092</v>
      </c>
      <c r="P45" s="62">
        <f t="shared" si="4"/>
        <v>1.8127250679627021E-6</v>
      </c>
    </row>
    <row r="46" spans="2:16" x14ac:dyDescent="0.25">
      <c r="B46" s="141">
        <v>38</v>
      </c>
      <c r="C46" s="141" t="s">
        <v>340</v>
      </c>
      <c r="D46" s="356">
        <f>VLOOKUP(C46,Settings!$B$341:C976,2,FALSE)</f>
        <v>4</v>
      </c>
      <c r="E46" s="302" t="s">
        <v>775</v>
      </c>
      <c r="F46" s="354" t="s">
        <v>49</v>
      </c>
      <c r="G46" s="354" t="str">
        <f>VLOOKUP(F46,Settings!$B$163:D878,3,FALSE)</f>
        <v>F</v>
      </c>
      <c r="H46" s="354">
        <f>VLOOKUP(F46,Settings!$B$163:D877,2,FALSE)</f>
        <v>1</v>
      </c>
      <c r="I46" s="354">
        <f>VLOOKUP(F46,Settings!$B$163:F585,5,FALSE)</f>
        <v>1</v>
      </c>
      <c r="J46" s="353" t="str">
        <f t="shared" si="3"/>
        <v>4-F-38</v>
      </c>
      <c r="K46" s="20">
        <f>VLOOKUP(J46,Fugitive!$B$75:$L$90,11,FALSE)</f>
        <v>3.3952116000000001</v>
      </c>
      <c r="L46" s="20">
        <v>0</v>
      </c>
      <c r="M46" s="20">
        <v>0</v>
      </c>
      <c r="N46" s="61">
        <v>0</v>
      </c>
      <c r="O46" s="20">
        <f>VLOOKUP(J46,Fugitive!$B$75:$L$90,11,FALSE)</f>
        <v>3.3952116000000001</v>
      </c>
      <c r="P46" s="62">
        <f t="shared" si="4"/>
        <v>1.6839266817546876E-7</v>
      </c>
    </row>
    <row r="47" spans="2:16" x14ac:dyDescent="0.25">
      <c r="B47" s="141">
        <v>39</v>
      </c>
      <c r="C47" s="141" t="s">
        <v>341</v>
      </c>
      <c r="D47" s="356">
        <f>VLOOKUP(C47,Settings!$B$341:C977,2,FALSE)</f>
        <v>5</v>
      </c>
      <c r="E47" s="597" t="s">
        <v>775</v>
      </c>
      <c r="F47" s="354" t="s">
        <v>49</v>
      </c>
      <c r="G47" s="354" t="str">
        <f>VLOOKUP(F47,Settings!$B$163:D879,3,FALSE)</f>
        <v>F</v>
      </c>
      <c r="H47" s="354">
        <f>VLOOKUP(F47,Settings!$B$163:D878,2,FALSE)</f>
        <v>1</v>
      </c>
      <c r="I47" s="354">
        <f>VLOOKUP(F47,Settings!$B$163:F586,5,FALSE)</f>
        <v>1</v>
      </c>
      <c r="J47" s="353" t="str">
        <f t="shared" si="3"/>
        <v>5-F-39</v>
      </c>
      <c r="K47" s="20">
        <f>VLOOKUP(J47,Fugitive!$B$75:$L$90,11,FALSE)</f>
        <v>0.1745216</v>
      </c>
      <c r="L47" s="20">
        <v>0</v>
      </c>
      <c r="M47" s="20">
        <v>0</v>
      </c>
      <c r="N47" s="61">
        <v>0</v>
      </c>
      <c r="O47" s="20">
        <f>VLOOKUP(J47,Fugitive!$B$75:$L$90,11,FALSE)</f>
        <v>0.1745216</v>
      </c>
      <c r="P47" s="62">
        <f t="shared" si="4"/>
        <v>8.6557662203592506E-9</v>
      </c>
    </row>
    <row r="48" spans="2:16" x14ac:dyDescent="0.25">
      <c r="B48" s="141">
        <v>40</v>
      </c>
      <c r="C48" s="141" t="s">
        <v>342</v>
      </c>
      <c r="D48" s="356">
        <f>VLOOKUP(C48,Settings!$B$341:C978,2,FALSE)</f>
        <v>6</v>
      </c>
      <c r="E48" s="597" t="s">
        <v>775</v>
      </c>
      <c r="F48" s="354" t="s">
        <v>49</v>
      </c>
      <c r="G48" s="354" t="str">
        <f>VLOOKUP(F48,Settings!$B$163:D880,3,FALSE)</f>
        <v>F</v>
      </c>
      <c r="H48" s="354">
        <f>VLOOKUP(F48,Settings!$B$163:D879,2,FALSE)</f>
        <v>1</v>
      </c>
      <c r="I48" s="354">
        <f>VLOOKUP(F48,Settings!$B$163:F587,5,FALSE)</f>
        <v>1</v>
      </c>
      <c r="J48" s="353" t="str">
        <f t="shared" si="3"/>
        <v>6-F-40</v>
      </c>
      <c r="K48" s="20">
        <f>VLOOKUP(J48,Fugitive!$B$75:$L$90,11,FALSE)</f>
        <v>1.1202399999999999</v>
      </c>
      <c r="L48" s="20">
        <v>0</v>
      </c>
      <c r="M48" s="20">
        <v>0</v>
      </c>
      <c r="N48" s="61">
        <v>0</v>
      </c>
      <c r="O48" s="20">
        <f>VLOOKUP(J48,Fugitive!$B$75:$L$90,11,FALSE)</f>
        <v>1.1202399999999999</v>
      </c>
      <c r="P48" s="62">
        <f t="shared" si="4"/>
        <v>5.5560661549603295E-8</v>
      </c>
    </row>
    <row r="49" spans="2:16" x14ac:dyDescent="0.25">
      <c r="B49" s="141">
        <v>41</v>
      </c>
      <c r="C49" s="141" t="s">
        <v>343</v>
      </c>
      <c r="D49" s="356">
        <f>VLOOKUP(C49,Settings!$B$341:C979,2,FALSE)</f>
        <v>7</v>
      </c>
      <c r="E49" s="597" t="s">
        <v>775</v>
      </c>
      <c r="F49" s="354" t="s">
        <v>49</v>
      </c>
      <c r="G49" s="354" t="str">
        <f>VLOOKUP(F49,Settings!$B$163:D881,3,FALSE)</f>
        <v>F</v>
      </c>
      <c r="H49" s="354">
        <f>VLOOKUP(F49,Settings!$B$163:D880,2,FALSE)</f>
        <v>1</v>
      </c>
      <c r="I49" s="354">
        <f>VLOOKUP(F49,Settings!$B$163:F588,5,FALSE)</f>
        <v>1</v>
      </c>
      <c r="J49" s="353" t="str">
        <f t="shared" si="3"/>
        <v>7-F-41</v>
      </c>
      <c r="K49" s="20">
        <f>VLOOKUP(J49,Fugitive!$B$75:$L$90,11,FALSE)</f>
        <v>4.8641999999999998E-2</v>
      </c>
      <c r="L49" s="20">
        <v>0</v>
      </c>
      <c r="M49" s="20">
        <v>0</v>
      </c>
      <c r="N49" s="61">
        <v>0</v>
      </c>
      <c r="O49" s="20">
        <f>VLOOKUP(J49,Fugitive!$B$75:$L$90,11,FALSE)</f>
        <v>4.8641999999999998E-2</v>
      </c>
      <c r="P49" s="62">
        <f t="shared" si="4"/>
        <v>2.4125024093906697E-9</v>
      </c>
    </row>
    <row r="50" spans="2:16" x14ac:dyDescent="0.25">
      <c r="B50" s="141">
        <v>42</v>
      </c>
      <c r="C50" s="141" t="s">
        <v>510</v>
      </c>
      <c r="D50" s="356">
        <f>VLOOKUP(C50,Settings!$B$341:C980,2,FALSE)</f>
        <v>9</v>
      </c>
      <c r="E50" s="597" t="s">
        <v>775</v>
      </c>
      <c r="F50" s="354" t="s">
        <v>49</v>
      </c>
      <c r="G50" s="354" t="str">
        <f>VLOOKUP(F50,Settings!$B$163:D882,3,FALSE)</f>
        <v>F</v>
      </c>
      <c r="H50" s="354">
        <f>VLOOKUP(F50,Settings!$B$163:D881,2,FALSE)</f>
        <v>1</v>
      </c>
      <c r="I50" s="354">
        <f>VLOOKUP(F50,Settings!$B$163:F589,5,FALSE)</f>
        <v>1</v>
      </c>
      <c r="J50" s="353" t="str">
        <f t="shared" si="3"/>
        <v>9-F-42</v>
      </c>
      <c r="K50" s="20">
        <f>VLOOKUP(J50,Fugitive!$B$75:$L$90,11,FALSE)</f>
        <v>2.9480000000000005E-3</v>
      </c>
      <c r="L50" s="20">
        <v>0</v>
      </c>
      <c r="M50" s="20">
        <v>0</v>
      </c>
      <c r="N50" s="61">
        <v>0</v>
      </c>
      <c r="O50" s="20">
        <f>VLOOKUP(J50,Fugitive!$B$75:$L$90,11,FALSE)</f>
        <v>2.9480000000000005E-3</v>
      </c>
      <c r="P50" s="62">
        <f t="shared" si="4"/>
        <v>1.4621226723579818E-10</v>
      </c>
    </row>
    <row r="51" spans="2:16" x14ac:dyDescent="0.25">
      <c r="B51" s="141">
        <v>43</v>
      </c>
      <c r="C51" s="141" t="s">
        <v>337</v>
      </c>
      <c r="D51" s="356">
        <f>VLOOKUP(C51,Settings!$B$341:C349,2,FALSE)</f>
        <v>1</v>
      </c>
      <c r="E51" s="141" t="s">
        <v>50</v>
      </c>
      <c r="F51" s="354" t="s">
        <v>50</v>
      </c>
      <c r="G51" s="354" t="str">
        <f>VLOOKUP(F51,Settings!$B$163:D180,3,FALSE)</f>
        <v>E</v>
      </c>
      <c r="H51" s="354">
        <f>VLOOKUP(F51,Settings!$B$163:D180,2,FALSE)</f>
        <v>2</v>
      </c>
      <c r="I51" s="354">
        <f>VLOOKUP(F51,Settings!$B$163:F182,5,FALSE)</f>
        <v>2</v>
      </c>
      <c r="J51" s="353" t="str">
        <f t="shared" si="3"/>
        <v>1-E-43</v>
      </c>
      <c r="K51" s="61">
        <f>VLOOKUP(J51,Electricity!$H$133:$M$140,3,FALSE)</f>
        <v>391357.71475382691</v>
      </c>
      <c r="L51" s="61">
        <f>VLOOKUP(J51,Electricity!$H$133:$M$140,4,FALSE)</f>
        <v>7887.0431012004537</v>
      </c>
      <c r="M51" s="61">
        <f>VLOOKUP(J51,Electricity!$H$133:$M$140,5,FALSE)</f>
        <v>1.1653534546344766</v>
      </c>
      <c r="N51" s="61">
        <v>0</v>
      </c>
      <c r="O51" s="61">
        <f>VLOOKUP(J51,Electricity!$H$133:$M$140,6,FALSE)</f>
        <v>604626.01997935446</v>
      </c>
      <c r="P51" s="62">
        <f t="shared" si="4"/>
        <v>2.9987700546451293E-2</v>
      </c>
    </row>
    <row r="52" spans="2:16" x14ac:dyDescent="0.25">
      <c r="B52" s="141">
        <v>44</v>
      </c>
      <c r="C52" s="141" t="s">
        <v>338</v>
      </c>
      <c r="D52" s="356">
        <f>VLOOKUP(C52,Settings!$B$341:C365,2,FALSE)</f>
        <v>2</v>
      </c>
      <c r="E52" s="141" t="s">
        <v>50</v>
      </c>
      <c r="F52" s="354" t="s">
        <v>50</v>
      </c>
      <c r="G52" s="354" t="str">
        <f>VLOOKUP(F52,Settings!$B$163:D189,3,FALSE)</f>
        <v>E</v>
      </c>
      <c r="H52" s="354">
        <f>VLOOKUP(F52,Settings!$B$163:D189,2,FALSE)</f>
        <v>2</v>
      </c>
      <c r="I52" s="354">
        <f>VLOOKUP(F52,Settings!$B$163:F183,5,FALSE)</f>
        <v>2</v>
      </c>
      <c r="J52" s="353" t="str">
        <f t="shared" si="3"/>
        <v>2-E-44</v>
      </c>
      <c r="K52" s="61">
        <f>VLOOKUP(J52,Electricity!$H$133:$M$140,3,FALSE)</f>
        <v>2033917.5817197415</v>
      </c>
      <c r="L52" s="61">
        <f>VLOOKUP(J52,Electricity!$H$133:$M$140,4,FALSE)</f>
        <v>40989.598586049418</v>
      </c>
      <c r="M52" s="61">
        <f>VLOOKUP(J52,Electricity!$H$133:$M$140,5,FALSE)</f>
        <v>6.056435815478511</v>
      </c>
      <c r="N52" s="61">
        <v>0</v>
      </c>
      <c r="O52" s="61">
        <f>VLOOKUP(J52,Electricity!$H$133:$M$140,6,FALSE)</f>
        <v>3142290.1505207014</v>
      </c>
      <c r="P52" s="62">
        <f t="shared" si="4"/>
        <v>0.15584849634340203</v>
      </c>
    </row>
    <row r="53" spans="2:16" x14ac:dyDescent="0.25">
      <c r="B53" s="141">
        <v>45</v>
      </c>
      <c r="C53" s="141" t="s">
        <v>339</v>
      </c>
      <c r="D53" s="356">
        <f>VLOOKUP(C53,Settings!$B$341:C368,2,FALSE)</f>
        <v>3</v>
      </c>
      <c r="E53" s="141" t="s">
        <v>50</v>
      </c>
      <c r="F53" s="354" t="s">
        <v>50</v>
      </c>
      <c r="G53" s="354" t="str">
        <f>VLOOKUP(F53,Settings!$B$163:D192,3,FALSE)</f>
        <v>E</v>
      </c>
      <c r="H53" s="354">
        <f>VLOOKUP(F53,Settings!$B$163:D192,2,FALSE)</f>
        <v>2</v>
      </c>
      <c r="I53" s="354">
        <f>VLOOKUP(F53,Settings!$B$163:F184,5,FALSE)</f>
        <v>2</v>
      </c>
      <c r="J53" s="353" t="str">
        <f t="shared" si="3"/>
        <v>3-E-45</v>
      </c>
      <c r="K53" s="61">
        <f>VLOOKUP(J53,Electricity!$H$133:$M$140,3,FALSE)</f>
        <v>135166.53329338206</v>
      </c>
      <c r="L53" s="61">
        <f>VLOOKUP(J53,Electricity!$H$133:$M$140,4,FALSE)</f>
        <v>2724.0149707929727</v>
      </c>
      <c r="M53" s="61">
        <f>VLOOKUP(J53,Electricity!$H$133:$M$140,5,FALSE)</f>
        <v>0.40248800671654178</v>
      </c>
      <c r="N53" s="61">
        <v>0</v>
      </c>
      <c r="O53" s="61">
        <f>VLOOKUP(J53,Electricity!$H$133:$M$140,6,FALSE)</f>
        <v>208824.81673062593</v>
      </c>
      <c r="P53" s="62">
        <f t="shared" si="4"/>
        <v>1.0357106482118334E-2</v>
      </c>
    </row>
    <row r="54" spans="2:16" x14ac:dyDescent="0.25">
      <c r="B54" s="141">
        <v>46</v>
      </c>
      <c r="C54" s="141" t="s">
        <v>340</v>
      </c>
      <c r="D54" s="356">
        <f>VLOOKUP(C54,Settings!$B$341:C372,2,FALSE)</f>
        <v>4</v>
      </c>
      <c r="E54" s="141" t="s">
        <v>50</v>
      </c>
      <c r="F54" s="354" t="s">
        <v>50</v>
      </c>
      <c r="G54" s="354" t="str">
        <f>VLOOKUP(F54,Settings!$B$163:D195,3,FALSE)</f>
        <v>E</v>
      </c>
      <c r="H54" s="354">
        <f>VLOOKUP(F54,Settings!$B$163:D195,2,FALSE)</f>
        <v>2</v>
      </c>
      <c r="I54" s="354">
        <f>VLOOKUP(F54,Settings!$B$163:F185,5,FALSE)</f>
        <v>2</v>
      </c>
      <c r="J54" s="353" t="str">
        <f t="shared" si="3"/>
        <v>4-E-46</v>
      </c>
      <c r="K54" s="61">
        <f>VLOOKUP(J54,Electricity!$H$133:$M$140,3,FALSE)</f>
        <v>89063.680020251501</v>
      </c>
      <c r="L54" s="61">
        <f>VLOOKUP(J54,Electricity!$H$133:$M$140,4,FALSE)</f>
        <v>1794.9028640283884</v>
      </c>
      <c r="M54" s="61">
        <f>VLOOKUP(J54,Electricity!$H$133:$M$140,5,FALSE)</f>
        <v>0.26520664671027716</v>
      </c>
      <c r="N54" s="61">
        <v>0</v>
      </c>
      <c r="O54" s="61">
        <f>VLOOKUP(J54,Electricity!$H$133:$M$140,6,FALSE)</f>
        <v>137598.45876356988</v>
      </c>
      <c r="P54" s="62">
        <f t="shared" si="4"/>
        <v>6.8244852862866462E-3</v>
      </c>
    </row>
    <row r="55" spans="2:16" x14ac:dyDescent="0.25">
      <c r="B55" s="141">
        <v>47</v>
      </c>
      <c r="C55" s="141" t="s">
        <v>341</v>
      </c>
      <c r="D55" s="356">
        <f>VLOOKUP(C55,Settings!$B$341:C385,2,FALSE)</f>
        <v>5</v>
      </c>
      <c r="E55" s="141" t="s">
        <v>50</v>
      </c>
      <c r="F55" s="354" t="s">
        <v>50</v>
      </c>
      <c r="G55" s="354" t="str">
        <f>VLOOKUP(F55,Settings!$B$163:D203,3,FALSE)</f>
        <v>E</v>
      </c>
      <c r="H55" s="354">
        <f>VLOOKUP(F55,Settings!$B$163:D202,2,FALSE)</f>
        <v>2</v>
      </c>
      <c r="I55" s="354">
        <f>VLOOKUP(F55,Settings!$B$163:F185,5,FALSE)</f>
        <v>2</v>
      </c>
      <c r="J55" s="353" t="str">
        <f t="shared" si="3"/>
        <v>5-E-47</v>
      </c>
      <c r="K55" s="61">
        <f>VLOOKUP(J55,Electricity!$H$133:$M$140,3,FALSE)</f>
        <v>286140.87089041312</v>
      </c>
      <c r="L55" s="61">
        <f>VLOOKUP(J55,Electricity!$H$133:$M$140,4,FALSE)</f>
        <v>5766.6050690921084</v>
      </c>
      <c r="M55" s="61">
        <f>VLOOKUP(J55,Electricity!$H$133:$M$140,5,FALSE)</f>
        <v>0.85204721878042355</v>
      </c>
      <c r="N55" s="61">
        <v>0</v>
      </c>
      <c r="O55" s="61">
        <f>VLOOKUP(J55,Electricity!$H$133:$M$140,6,FALSE)</f>
        <v>442071.81664662698</v>
      </c>
      <c r="P55" s="62">
        <f t="shared" si="4"/>
        <v>2.1925482562059492E-2</v>
      </c>
    </row>
    <row r="56" spans="2:16" x14ac:dyDescent="0.25">
      <c r="B56" s="141">
        <v>48</v>
      </c>
      <c r="C56" s="141" t="s">
        <v>342</v>
      </c>
      <c r="D56" s="356">
        <f>VLOOKUP(C56,Settings!$B$341:C394,2,FALSE)</f>
        <v>6</v>
      </c>
      <c r="E56" s="141" t="s">
        <v>50</v>
      </c>
      <c r="F56" s="354" t="s">
        <v>50</v>
      </c>
      <c r="G56" s="354" t="str">
        <f>VLOOKUP(F56,Settings!$B$163:D213,3,FALSE)</f>
        <v>E</v>
      </c>
      <c r="H56" s="354">
        <f>VLOOKUP(F56,Settings!$B$163:D212,2,FALSE)</f>
        <v>2</v>
      </c>
      <c r="I56" s="354">
        <f>VLOOKUP(F56,Settings!$B$163:F186,5,FALSE)</f>
        <v>2</v>
      </c>
      <c r="J56" s="353" t="str">
        <f t="shared" si="3"/>
        <v>6-E-48</v>
      </c>
      <c r="K56" s="61">
        <f>VLOOKUP(J56,Electricity!$H$133:$M$140,3,FALSE)</f>
        <v>0</v>
      </c>
      <c r="L56" s="61">
        <f>VLOOKUP(J56,Electricity!$H$133:$M$140,4,FALSE)</f>
        <v>0</v>
      </c>
      <c r="M56" s="61">
        <f>VLOOKUP(J56,Electricity!$H$133:$M$140,5,FALSE)</f>
        <v>0</v>
      </c>
      <c r="N56" s="61">
        <v>0</v>
      </c>
      <c r="O56" s="61">
        <f>VLOOKUP(J56,Electricity!$H$133:$M$140,6,FALSE)</f>
        <v>0</v>
      </c>
      <c r="P56" s="62">
        <f t="shared" si="4"/>
        <v>0</v>
      </c>
    </row>
    <row r="57" spans="2:16" x14ac:dyDescent="0.25">
      <c r="B57" s="141">
        <v>49</v>
      </c>
      <c r="C57" s="141" t="s">
        <v>343</v>
      </c>
      <c r="D57" s="356">
        <f>VLOOKUP(C57,Settings!$B$341:C395,2,FALSE)</f>
        <v>7</v>
      </c>
      <c r="E57" s="141" t="s">
        <v>50</v>
      </c>
      <c r="F57" s="354" t="s">
        <v>50</v>
      </c>
      <c r="G57" s="354" t="str">
        <f>VLOOKUP(F57,Settings!$B$163:D222,3,FALSE)</f>
        <v>E</v>
      </c>
      <c r="H57" s="354">
        <f>VLOOKUP(F57,Settings!$B$163:D221,2,FALSE)</f>
        <v>2</v>
      </c>
      <c r="I57" s="354">
        <f>VLOOKUP(F57,Settings!$B$163:F189,5,FALSE)</f>
        <v>2</v>
      </c>
      <c r="J57" s="353" t="str">
        <f t="shared" si="3"/>
        <v>7-E-49</v>
      </c>
      <c r="K57" s="61">
        <f>VLOOKUP(J57,Electricity!$H$133:$M$140,3,FALSE)</f>
        <v>1646.6627660901127</v>
      </c>
      <c r="L57" s="61">
        <f>VLOOKUP(J57,Electricity!$H$133:$M$140,4,FALSE)</f>
        <v>33.185241327014573</v>
      </c>
      <c r="M57" s="61">
        <f>VLOOKUP(J57,Electricity!$H$133:$M$140,5,FALSE)</f>
        <v>4.9032996431107425E-3</v>
      </c>
      <c r="N57" s="61">
        <v>0</v>
      </c>
      <c r="O57" s="61">
        <f>VLOOKUP(J57,Electricity!$H$133:$M$140,6,FALSE)</f>
        <v>2544.0028827220758</v>
      </c>
      <c r="P57" s="62">
        <f t="shared" si="4"/>
        <v>1.2617517955807361E-4</v>
      </c>
    </row>
    <row r="58" spans="2:16" x14ac:dyDescent="0.25">
      <c r="B58" s="141">
        <v>50</v>
      </c>
      <c r="C58" s="141" t="s">
        <v>510</v>
      </c>
      <c r="D58" s="356">
        <f>VLOOKUP(C58,Settings!$B$341:C395,2,FALSE)</f>
        <v>9</v>
      </c>
      <c r="E58" s="141" t="s">
        <v>50</v>
      </c>
      <c r="F58" s="354" t="s">
        <v>50</v>
      </c>
      <c r="G58" s="354" t="str">
        <f>VLOOKUP(F58,Settings!$B$163:D224,3,FALSE)</f>
        <v>E</v>
      </c>
      <c r="H58" s="354">
        <f>VLOOKUP(F58,Settings!$B$163:D223,2,FALSE)</f>
        <v>2</v>
      </c>
      <c r="I58" s="354">
        <f>VLOOKUP(F58,Settings!$B$163:F190,5,FALSE)</f>
        <v>2</v>
      </c>
      <c r="J58" s="353" t="str">
        <f t="shared" si="3"/>
        <v>9-E-50</v>
      </c>
      <c r="K58" s="61">
        <f>VLOOKUP(J58,Electricity!$H$133:$M$140,3,FALSE)</f>
        <v>1025.660124177683</v>
      </c>
      <c r="L58" s="61">
        <f>VLOOKUP(J58,Electricity!$H$133:$M$140,4,FALSE)</f>
        <v>20.670157509633945</v>
      </c>
      <c r="M58" s="61">
        <f>VLOOKUP(J58,Electricity!$H$133:$M$140,5,FALSE)</f>
        <v>3.0541280366560117E-3</v>
      </c>
      <c r="N58" s="61">
        <v>0</v>
      </c>
      <c r="O58" s="61">
        <f>VLOOKUP(J58,Electricity!$H$133:$M$140,6,FALSE)</f>
        <v>1584.5881538918065</v>
      </c>
      <c r="P58" s="62">
        <f t="shared" si="4"/>
        <v>7.859098596184154E-5</v>
      </c>
    </row>
    <row r="59" spans="2:16" x14ac:dyDescent="0.25">
      <c r="B59" s="141">
        <v>51</v>
      </c>
      <c r="C59" s="141" t="s">
        <v>337</v>
      </c>
      <c r="D59" s="356">
        <f>VLOOKUP(C59,Settings!$B$341:C348,2,FALSE)</f>
        <v>1</v>
      </c>
      <c r="E59" s="141" t="s">
        <v>522</v>
      </c>
      <c r="F59" s="354" t="s">
        <v>1429</v>
      </c>
      <c r="G59" s="354" t="str">
        <f>VLOOKUP(F59,Settings!$B$163:D180,3,FALSE)</f>
        <v>M</v>
      </c>
      <c r="H59" s="354">
        <f>VLOOKUP(F59,Settings!$B$163:D180,2,FALSE)</f>
        <v>1</v>
      </c>
      <c r="I59" s="354">
        <f>VLOOKUP(F59,Settings!$B$163:F195,5,FALSE)</f>
        <v>1</v>
      </c>
      <c r="J59" s="353" t="str">
        <f t="shared" si="3"/>
        <v>1-M-51</v>
      </c>
      <c r="K59" s="61">
        <f>VLOOKUP(J59,'On-Site Tran.'!$J$45:$O$52,3,FALSE)</f>
        <v>8918.3468834499981</v>
      </c>
      <c r="L59" s="61">
        <f>VLOOKUP(J59,'On-Site Tran.'!$J$45:$O$52,4,FALSE)</f>
        <v>0.343747425</v>
      </c>
      <c r="M59" s="61">
        <f>VLOOKUP(J59,'On-Site Tran.'!$J$45:$O$52,5,FALSE)</f>
        <v>0.34702121000000002</v>
      </c>
      <c r="N59" s="61">
        <v>0</v>
      </c>
      <c r="O59" s="20">
        <f>VLOOKUP(J59,'On-Site Tran.'!$J$45:$O$52,6,FALSE)</f>
        <v>9022.364854255</v>
      </c>
      <c r="P59" s="62">
        <f t="shared" si="4"/>
        <v>4.4748318221479142E-4</v>
      </c>
    </row>
    <row r="60" spans="2:16" x14ac:dyDescent="0.25">
      <c r="B60" s="141">
        <v>52</v>
      </c>
      <c r="C60" s="141" t="s">
        <v>338</v>
      </c>
      <c r="D60" s="356">
        <f>VLOOKUP(C60,Settings!$B$341:C395,2,FALSE)</f>
        <v>2</v>
      </c>
      <c r="E60" s="141" t="s">
        <v>522</v>
      </c>
      <c r="F60" s="354" t="s">
        <v>1429</v>
      </c>
      <c r="G60" s="354" t="str">
        <f>VLOOKUP(F60,Settings!$B$163:D236,3,FALSE)</f>
        <v>M</v>
      </c>
      <c r="H60" s="354">
        <f>VLOOKUP(F60,Settings!$B$163:D235,2,FALSE)</f>
        <v>1</v>
      </c>
      <c r="I60" s="354">
        <f>VLOOKUP(F60,Settings!$B$163:F233,5,FALSE)</f>
        <v>1</v>
      </c>
      <c r="J60" s="353" t="str">
        <f t="shared" si="3"/>
        <v>2-M-52</v>
      </c>
      <c r="K60" s="61">
        <f>VLOOKUP(J60,'On-Site Tran.'!$J$45:$O$52,3,FALSE)</f>
        <v>196.412657</v>
      </c>
      <c r="L60" s="61">
        <f>VLOOKUP(J60,'On-Site Tran.'!$J$45:$O$52,4,FALSE)</f>
        <v>7.5705000000000008E-3</v>
      </c>
      <c r="M60" s="61">
        <f>VLOOKUP(J60,'On-Site Tran.'!$J$45:$O$52,5,FALSE)</f>
        <v>7.6426000000000003E-3</v>
      </c>
      <c r="N60" s="61">
        <v>0</v>
      </c>
      <c r="O60" s="20">
        <f>VLOOKUP(J60,'On-Site Tran.'!$J$45:$O$52,6,FALSE)</f>
        <v>198.70349030000003</v>
      </c>
      <c r="P60" s="62">
        <f t="shared" si="4"/>
        <v>9.8551179865771476E-6</v>
      </c>
    </row>
    <row r="61" spans="2:16" x14ac:dyDescent="0.25">
      <c r="B61" s="141">
        <v>53</v>
      </c>
      <c r="C61" s="141" t="s">
        <v>339</v>
      </c>
      <c r="D61" s="356">
        <f>VLOOKUP(C61,Settings!$B$341:C534,2,FALSE)</f>
        <v>3</v>
      </c>
      <c r="E61" s="141" t="s">
        <v>522</v>
      </c>
      <c r="F61" s="354" t="s">
        <v>1429</v>
      </c>
      <c r="G61" s="354" t="str">
        <f>VLOOKUP(F61,Settings!$B$163:D456,3,FALSE)</f>
        <v>M</v>
      </c>
      <c r="H61" s="354">
        <f>VLOOKUP(F61,Settings!$B$163:D455,2,FALSE)</f>
        <v>1</v>
      </c>
      <c r="I61" s="354">
        <f>VLOOKUP(F61,Settings!$B$163:F339,5,FALSE)</f>
        <v>1</v>
      </c>
      <c r="J61" s="353" t="str">
        <f t="shared" si="3"/>
        <v>3-M-53</v>
      </c>
      <c r="K61" s="61">
        <f>VLOOKUP(J61,'On-Site Tran.'!$J$45:$O$52,3,FALSE)</f>
        <v>0</v>
      </c>
      <c r="L61" s="61">
        <f>VLOOKUP(J61,'On-Site Tran.'!$J$45:$O$52,4,FALSE)</f>
        <v>0</v>
      </c>
      <c r="M61" s="61">
        <f>VLOOKUP(J61,'On-Site Tran.'!$J$45:$O$52,5,FALSE)</f>
        <v>0</v>
      </c>
      <c r="N61" s="61">
        <v>0</v>
      </c>
      <c r="O61" s="20">
        <f>VLOOKUP(J61,'On-Site Tran.'!$J$45:$O$52,6,FALSE)</f>
        <v>0</v>
      </c>
      <c r="P61" s="62">
        <f t="shared" si="4"/>
        <v>0</v>
      </c>
    </row>
    <row r="62" spans="2:16" x14ac:dyDescent="0.25">
      <c r="B62" s="141">
        <v>54</v>
      </c>
      <c r="C62" s="141" t="s">
        <v>340</v>
      </c>
      <c r="D62" s="356">
        <f>VLOOKUP(C62,Settings!$B$341:C578,2,FALSE)</f>
        <v>4</v>
      </c>
      <c r="E62" s="141" t="s">
        <v>522</v>
      </c>
      <c r="F62" s="354" t="s">
        <v>1429</v>
      </c>
      <c r="G62" s="354" t="str">
        <f>VLOOKUP(F62,Settings!$B$163:D500,3,FALSE)</f>
        <v>M</v>
      </c>
      <c r="H62" s="354">
        <f>VLOOKUP(F62,Settings!$B$163:D499,2,FALSE)</f>
        <v>1</v>
      </c>
      <c r="I62" s="354">
        <f>VLOOKUP(F62,Settings!$B$163:F395,5,FALSE)</f>
        <v>1</v>
      </c>
      <c r="J62" s="353" t="str">
        <f t="shared" si="3"/>
        <v>4-M-54</v>
      </c>
      <c r="K62" s="61">
        <f>VLOOKUP(J62,'On-Site Tran.'!$J$45:$O$52,3,FALSE)</f>
        <v>57.207570000000004</v>
      </c>
      <c r="L62" s="61">
        <f>VLOOKUP(J62,'On-Site Tran.'!$J$45:$O$52,4,FALSE)</f>
        <v>2.2049999999999999E-3</v>
      </c>
      <c r="M62" s="61">
        <f>VLOOKUP(J62,'On-Site Tran.'!$J$45:$O$52,5,FALSE)</f>
        <v>2.2260000000000001E-3</v>
      </c>
      <c r="N62" s="61">
        <v>0</v>
      </c>
      <c r="O62" s="20">
        <f>VLOOKUP(J62,'On-Site Tran.'!$J$45:$O$52,6,FALSE)</f>
        <v>57.874803000000007</v>
      </c>
      <c r="P62" s="62">
        <f t="shared" si="4"/>
        <v>2.8704227145370334E-6</v>
      </c>
    </row>
    <row r="63" spans="2:16" x14ac:dyDescent="0.25">
      <c r="B63" s="141">
        <v>55</v>
      </c>
      <c r="C63" s="141" t="s">
        <v>341</v>
      </c>
      <c r="D63" s="356">
        <f>VLOOKUP(C63,Settings!$B$341:C685,2,FALSE)</f>
        <v>5</v>
      </c>
      <c r="E63" s="141" t="s">
        <v>522</v>
      </c>
      <c r="F63" s="354" t="s">
        <v>1429</v>
      </c>
      <c r="G63" s="354" t="str">
        <f>VLOOKUP(F63,Settings!$B$163:D607,3,FALSE)</f>
        <v>M</v>
      </c>
      <c r="H63" s="354">
        <f>VLOOKUP(F63,Settings!$B$163:D606,2,FALSE)</f>
        <v>1</v>
      </c>
      <c r="I63" s="354">
        <f>VLOOKUP(F63,Settings!$B$163:F451,5,FALSE)</f>
        <v>1</v>
      </c>
      <c r="J63" s="353" t="str">
        <f t="shared" si="3"/>
        <v>5-M-55</v>
      </c>
      <c r="K63" s="61">
        <f>VLOOKUP(J63,'On-Site Tran.'!$J$45:$O$52,3,FALSE)</f>
        <v>0</v>
      </c>
      <c r="L63" s="61">
        <f>VLOOKUP(J63,'On-Site Tran.'!$J$45:$O$52,4,FALSE)</f>
        <v>0</v>
      </c>
      <c r="M63" s="61">
        <f>VLOOKUP(J63,'On-Site Tran.'!$J$45:$O$52,5,FALSE)</f>
        <v>0</v>
      </c>
      <c r="N63" s="61">
        <v>0</v>
      </c>
      <c r="O63" s="20">
        <f>VLOOKUP(J63,'On-Site Tran.'!$J$45:$O$52,6,FALSE)</f>
        <v>0</v>
      </c>
      <c r="P63" s="62">
        <f t="shared" si="4"/>
        <v>0</v>
      </c>
    </row>
    <row r="64" spans="2:16" x14ac:dyDescent="0.25">
      <c r="B64" s="141">
        <v>56</v>
      </c>
      <c r="C64" s="599" t="s">
        <v>342</v>
      </c>
      <c r="D64" s="356">
        <f>VLOOKUP(C64,Settings!$B$341:C742,2,FALSE)</f>
        <v>6</v>
      </c>
      <c r="E64" s="141" t="s">
        <v>522</v>
      </c>
      <c r="F64" s="354" t="s">
        <v>1429</v>
      </c>
      <c r="G64" s="354" t="str">
        <f>VLOOKUP(F64,Settings!$B$163:D664,3,FALSE)</f>
        <v>M</v>
      </c>
      <c r="H64" s="354">
        <f>VLOOKUP(F64,Settings!$B$163:D663,2,FALSE)</f>
        <v>1</v>
      </c>
      <c r="I64" s="354">
        <f>VLOOKUP(F64,Settings!$B$163:F471,5,FALSE)</f>
        <v>1</v>
      </c>
      <c r="J64" s="353" t="str">
        <f t="shared" si="3"/>
        <v>6-M-56</v>
      </c>
      <c r="K64" s="61">
        <f>VLOOKUP(J64,'On-Site Tran.'!$J$45:$O$52,3,FALSE)</f>
        <v>5963.8210682500003</v>
      </c>
      <c r="L64" s="61">
        <f>VLOOKUP(J64,'On-Site Tran.'!$J$45:$O$52,4,FALSE)</f>
        <v>0.22986862500000002</v>
      </c>
      <c r="M64" s="61">
        <f>VLOOKUP(J64,'On-Site Tran.'!$J$45:$O$52,5,FALSE)</f>
        <v>0.23205785000000001</v>
      </c>
      <c r="N64" s="61">
        <v>0</v>
      </c>
      <c r="O64" s="20">
        <f>VLOOKUP(J64,'On-Site Tran.'!$J$45:$O$52,6,FALSE)</f>
        <v>6033.3793141750002</v>
      </c>
      <c r="P64" s="62">
        <f t="shared" si="4"/>
        <v>2.9923815082058742E-4</v>
      </c>
    </row>
    <row r="65" spans="2:16" x14ac:dyDescent="0.25">
      <c r="B65" s="141">
        <v>57</v>
      </c>
      <c r="C65" s="599" t="s">
        <v>343</v>
      </c>
      <c r="D65" s="356">
        <f>VLOOKUP(C65,Settings!$B$341:C755,2,FALSE)</f>
        <v>7</v>
      </c>
      <c r="E65" s="141" t="s">
        <v>522</v>
      </c>
      <c r="F65" s="354" t="s">
        <v>1429</v>
      </c>
      <c r="G65" s="354" t="str">
        <f>VLOOKUP(F65,Settings!$B$163:D677,3,FALSE)</f>
        <v>M</v>
      </c>
      <c r="H65" s="354">
        <f>VLOOKUP(F65,Settings!$B$163:D676,2,FALSE)</f>
        <v>1</v>
      </c>
      <c r="I65" s="354">
        <f>VLOOKUP(F65,Settings!$B$163:F478,5,FALSE)</f>
        <v>1</v>
      </c>
      <c r="J65" s="353" t="str">
        <f t="shared" si="3"/>
        <v>7-M-57</v>
      </c>
      <c r="K65" s="61">
        <f>VLOOKUP(J65,'On-Site Tran.'!$J$45:$O$52,3,FALSE)</f>
        <v>77.638845000000003</v>
      </c>
      <c r="L65" s="61">
        <f>VLOOKUP(J65,'On-Site Tran.'!$J$45:$O$52,4,FALSE)</f>
        <v>2.9924999999999999E-3</v>
      </c>
      <c r="M65" s="61">
        <f>VLOOKUP(J65,'On-Site Tran.'!$J$45:$O$52,5,FALSE)</f>
        <v>3.0209999999999998E-3</v>
      </c>
      <c r="N65" s="61">
        <v>0</v>
      </c>
      <c r="O65" s="20">
        <f>VLOOKUP(J65,'On-Site Tran.'!$J$45:$O$52,6,FALSE)</f>
        <v>78.544375500000001</v>
      </c>
      <c r="P65" s="62">
        <f t="shared" si="4"/>
        <v>3.8955736840145447E-6</v>
      </c>
    </row>
    <row r="66" spans="2:16" x14ac:dyDescent="0.25">
      <c r="B66" s="141">
        <v>58</v>
      </c>
      <c r="C66" s="599" t="s">
        <v>510</v>
      </c>
      <c r="D66" s="356">
        <f>VLOOKUP(C66,Settings!$B$341:C794,2,FALSE)</f>
        <v>9</v>
      </c>
      <c r="E66" s="141" t="s">
        <v>522</v>
      </c>
      <c r="F66" s="354" t="s">
        <v>1429</v>
      </c>
      <c r="G66" s="354" t="str">
        <f>VLOOKUP(F66,Settings!$B$163:D716,3,FALSE)</f>
        <v>M</v>
      </c>
      <c r="H66" s="354">
        <f>VLOOKUP(F66,Settings!$B$163:D715,2,FALSE)</f>
        <v>1</v>
      </c>
      <c r="I66" s="354">
        <f>VLOOKUP(F66,Settings!$B$163:F533,5,FALSE)</f>
        <v>1</v>
      </c>
      <c r="J66" s="353" t="str">
        <f t="shared" si="3"/>
        <v>9-M-58</v>
      </c>
      <c r="K66" s="61">
        <f>VLOOKUP(J66,'On-Site Tran.'!$J$45:$O$52,3,FALSE)</f>
        <v>33334.390532379999</v>
      </c>
      <c r="L66" s="61">
        <f>VLOOKUP(J66,'On-Site Tran.'!$J$45:$O$52,4,FALSE)</f>
        <v>1.4564314166666665</v>
      </c>
      <c r="M66" s="61">
        <f>VLOOKUP(J66,'On-Site Tran.'!$J$45:$O$52,5,FALSE)</f>
        <v>1.232891139245283</v>
      </c>
      <c r="N66" s="61">
        <v>0</v>
      </c>
      <c r="O66" s="20">
        <f>VLOOKUP(J66,'On-Site Tran.'!$J$45:$O$52,6,FALSE)</f>
        <v>33710.293461643967</v>
      </c>
      <c r="P66" s="62">
        <f t="shared" si="4"/>
        <v>1.6719329837893715E-3</v>
      </c>
    </row>
    <row r="67" spans="2:16" x14ac:dyDescent="0.25">
      <c r="B67" s="141">
        <v>59</v>
      </c>
      <c r="C67" s="141" t="s">
        <v>337</v>
      </c>
      <c r="D67" s="356">
        <f>VLOOKUP(C67,Settings!$B$341:C897,2,FALSE)</f>
        <v>1</v>
      </c>
      <c r="E67" s="302" t="s">
        <v>694</v>
      </c>
      <c r="F67" s="354" t="s">
        <v>167</v>
      </c>
      <c r="G67" s="354" t="str">
        <f>VLOOKUP(F67,Settings!$B$163:D819,3,FALSE)</f>
        <v>T</v>
      </c>
      <c r="H67" s="354">
        <f>VLOOKUP(F67,Settings!$B$163:D818,2,FALSE)</f>
        <v>3</v>
      </c>
      <c r="I67" s="354">
        <f>VLOOKUP(F67,Settings!$B$163:F194,5,FALSE)</f>
        <v>3</v>
      </c>
      <c r="J67" s="353" t="str">
        <f t="shared" si="3"/>
        <v>1-T-59</v>
      </c>
      <c r="K67" s="20">
        <f>VLOOKUP(J67,'Upstream Tran.'!$I$81:$N$88,3,FALSE)</f>
        <v>320684.30370967533</v>
      </c>
      <c r="L67" s="20">
        <f>VLOOKUP(J67,'Upstream Tran.'!$I$81:$N$88,4,FALSE)</f>
        <v>6.4592581612905686</v>
      </c>
      <c r="M67" s="20">
        <f>VLOOKUP(J67,'Upstream Tran.'!$I$81:$N$88,5,FALSE)</f>
        <v>8.6953473892676634</v>
      </c>
      <c r="N67" s="61">
        <v>0</v>
      </c>
      <c r="O67" s="21">
        <f>VLOOKUP(J67,'Upstream Tran.'!$I$81:$N$88,6,FALSE)</f>
        <v>323232.53351730027</v>
      </c>
      <c r="P67" s="62">
        <f t="shared" si="4"/>
        <v>1.6031398090208818E-2</v>
      </c>
    </row>
    <row r="68" spans="2:16" x14ac:dyDescent="0.25">
      <c r="B68" s="141">
        <v>60</v>
      </c>
      <c r="C68" s="141" t="s">
        <v>338</v>
      </c>
      <c r="D68" s="356">
        <f>VLOOKUP(C68,Settings!$B$341:C898,2,FALSE)</f>
        <v>2</v>
      </c>
      <c r="E68" s="597" t="s">
        <v>694</v>
      </c>
      <c r="F68" s="354" t="s">
        <v>167</v>
      </c>
      <c r="G68" s="354" t="str">
        <f>VLOOKUP(F68,Settings!$B$163:D820,3,FALSE)</f>
        <v>T</v>
      </c>
      <c r="H68" s="354">
        <f>VLOOKUP(F68,Settings!$B$163:D819,2,FALSE)</f>
        <v>3</v>
      </c>
      <c r="I68" s="354">
        <f>VLOOKUP(F68,Settings!$B$163:F231,5,FALSE)</f>
        <v>3</v>
      </c>
      <c r="J68" s="353" t="str">
        <f t="shared" si="3"/>
        <v>2-T-60</v>
      </c>
      <c r="K68" s="20">
        <f>VLOOKUP(J68,'Upstream Tran.'!$I$81:$N$88,3,FALSE)</f>
        <v>163898.78794498392</v>
      </c>
      <c r="L68" s="20">
        <f>VLOOKUP(J68,'Upstream Tran.'!$I$81:$N$88,4,FALSE)</f>
        <v>1.4633820352230709</v>
      </c>
      <c r="M68" s="20">
        <f>VLOOKUP(J68,'Upstream Tran.'!$I$81:$N$88,5,FALSE)</f>
        <v>4.5852637103656209</v>
      </c>
      <c r="N68" s="61">
        <v>0</v>
      </c>
      <c r="O68" s="21">
        <f>VLOOKUP(J68,'Upstream Tran.'!$I$81:$N$88,6,FALSE)</f>
        <v>165190.07625286479</v>
      </c>
      <c r="P68" s="62">
        <f t="shared" si="4"/>
        <v>8.1929496518947566E-3</v>
      </c>
    </row>
    <row r="69" spans="2:16" x14ac:dyDescent="0.25">
      <c r="B69" s="141">
        <v>61</v>
      </c>
      <c r="C69" s="141" t="s">
        <v>339</v>
      </c>
      <c r="D69" s="356">
        <f>VLOOKUP(C69,Settings!$B$341:C899,2,FALSE)</f>
        <v>3</v>
      </c>
      <c r="E69" s="302" t="s">
        <v>694</v>
      </c>
      <c r="F69" s="354" t="s">
        <v>167</v>
      </c>
      <c r="G69" s="354" t="str">
        <f>VLOOKUP(F69,Settings!$B$163:D821,3,FALSE)</f>
        <v>T</v>
      </c>
      <c r="H69" s="354">
        <f>VLOOKUP(F69,Settings!$B$163:D820,2,FALSE)</f>
        <v>3</v>
      </c>
      <c r="I69" s="354">
        <f>VLOOKUP(F69,Settings!$B$163:F281,5,FALSE)</f>
        <v>3</v>
      </c>
      <c r="J69" s="353" t="str">
        <f t="shared" si="3"/>
        <v>3-T-61</v>
      </c>
      <c r="K69" s="20">
        <f>VLOOKUP(J69,'Upstream Tran.'!$I$81:$N$88,3,FALSE)</f>
        <v>0</v>
      </c>
      <c r="L69" s="20">
        <f>VLOOKUP(J69,'Upstream Tran.'!$I$81:$N$88,4,FALSE)</f>
        <v>0</v>
      </c>
      <c r="M69" s="20">
        <f>VLOOKUP(J69,'Upstream Tran.'!$I$81:$N$88,5,FALSE)</f>
        <v>0</v>
      </c>
      <c r="N69" s="61">
        <v>0</v>
      </c>
      <c r="O69" s="21">
        <f>VLOOKUP(J69,'Upstream Tran.'!$I$81:$N$88,6,FALSE)</f>
        <v>0</v>
      </c>
      <c r="P69" s="62">
        <f t="shared" si="4"/>
        <v>0</v>
      </c>
    </row>
    <row r="70" spans="2:16" x14ac:dyDescent="0.25">
      <c r="B70" s="141">
        <v>62</v>
      </c>
      <c r="C70" s="141" t="s">
        <v>340</v>
      </c>
      <c r="D70" s="356">
        <f>VLOOKUP(C70,Settings!$B$341:C900,2,FALSE)</f>
        <v>4</v>
      </c>
      <c r="E70" s="302" t="s">
        <v>694</v>
      </c>
      <c r="F70" s="354" t="s">
        <v>167</v>
      </c>
      <c r="G70" s="354" t="str">
        <f>VLOOKUP(F70,Settings!$B$163:D822,3,FALSE)</f>
        <v>T</v>
      </c>
      <c r="H70" s="354">
        <f>VLOOKUP(F70,Settings!$B$163:D821,2,FALSE)</f>
        <v>3</v>
      </c>
      <c r="I70" s="354">
        <f>VLOOKUP(F70,Settings!$B$163:F395,5,FALSE)</f>
        <v>3</v>
      </c>
      <c r="J70" s="353" t="str">
        <f t="shared" si="3"/>
        <v>4-T-62</v>
      </c>
      <c r="K70" s="20">
        <f>VLOOKUP(J70,'Upstream Tran.'!$I$81:$N$88,3,FALSE)</f>
        <v>0</v>
      </c>
      <c r="L70" s="20">
        <f>VLOOKUP(J70,'Upstream Tran.'!$I$81:$N$88,4,FALSE)</f>
        <v>0</v>
      </c>
      <c r="M70" s="20">
        <f>VLOOKUP(J70,'Upstream Tran.'!$I$81:$N$88,5,FALSE)</f>
        <v>0</v>
      </c>
      <c r="N70" s="61">
        <v>0</v>
      </c>
      <c r="O70" s="21">
        <f>VLOOKUP(J70,'Upstream Tran.'!$I$81:$N$88,6,FALSE)</f>
        <v>0</v>
      </c>
      <c r="P70" s="62">
        <f t="shared" si="4"/>
        <v>0</v>
      </c>
    </row>
    <row r="71" spans="2:16" x14ac:dyDescent="0.25">
      <c r="B71" s="141">
        <v>63</v>
      </c>
      <c r="C71" s="141" t="s">
        <v>341</v>
      </c>
      <c r="D71" s="356">
        <f>VLOOKUP(C71,Settings!$B$341:C910,2,FALSE)</f>
        <v>5</v>
      </c>
      <c r="E71" s="597" t="s">
        <v>694</v>
      </c>
      <c r="F71" s="354" t="s">
        <v>167</v>
      </c>
      <c r="G71" s="354" t="str">
        <f>VLOOKUP(F71,Settings!$B$163:D862,3,FALSE)</f>
        <v>T</v>
      </c>
      <c r="H71" s="354">
        <f>VLOOKUP(F71,Settings!$B$163:D861,2,FALSE)</f>
        <v>3</v>
      </c>
      <c r="I71" s="354">
        <f>VLOOKUP(F71,Settings!$B$163:F449,5,FALSE)</f>
        <v>3</v>
      </c>
      <c r="J71" s="353" t="str">
        <f t="shared" si="3"/>
        <v>5-T-63</v>
      </c>
      <c r="K71" s="20">
        <f>VLOOKUP(J71,'Upstream Tran.'!$I$81:$N$88,3,FALSE)</f>
        <v>0</v>
      </c>
      <c r="L71" s="20">
        <f>VLOOKUP(J71,'Upstream Tran.'!$I$81:$N$88,4,FALSE)</f>
        <v>0</v>
      </c>
      <c r="M71" s="20">
        <f>VLOOKUP(J71,'Upstream Tran.'!$I$81:$N$88,5,FALSE)</f>
        <v>0</v>
      </c>
      <c r="N71" s="61">
        <v>0</v>
      </c>
      <c r="O71" s="21">
        <f>VLOOKUP(J71,'Upstream Tran.'!$I$81:$N$88,6,FALSE)</f>
        <v>0</v>
      </c>
      <c r="P71" s="62">
        <f t="shared" si="4"/>
        <v>0</v>
      </c>
    </row>
    <row r="72" spans="2:16" x14ac:dyDescent="0.25">
      <c r="B72" s="141">
        <v>64</v>
      </c>
      <c r="C72" s="599" t="s">
        <v>342</v>
      </c>
      <c r="D72" s="356">
        <f>VLOOKUP(C72,Settings!$B$341:C912,2,FALSE)</f>
        <v>6</v>
      </c>
      <c r="E72" s="597" t="s">
        <v>694</v>
      </c>
      <c r="F72" s="354" t="s">
        <v>167</v>
      </c>
      <c r="G72" s="354" t="str">
        <f>VLOOKUP(F72,Settings!$B$163:D864,3,FALSE)</f>
        <v>T</v>
      </c>
      <c r="H72" s="354">
        <f>VLOOKUP(F72,Settings!$B$163:D863,2,FALSE)</f>
        <v>3</v>
      </c>
      <c r="I72" s="354">
        <f>VLOOKUP(F72,Settings!$B$163:F469,5,FALSE)</f>
        <v>3</v>
      </c>
      <c r="J72" s="353" t="str">
        <f t="shared" si="3"/>
        <v>6-T-64</v>
      </c>
      <c r="K72" s="20">
        <f>VLOOKUP(J72,'Upstream Tran.'!$I$81:$N$88,3,FALSE)</f>
        <v>0</v>
      </c>
      <c r="L72" s="20">
        <f>VLOOKUP(J72,'Upstream Tran.'!$I$81:$N$88,4,FALSE)</f>
        <v>0</v>
      </c>
      <c r="M72" s="20">
        <f>VLOOKUP(J72,'Upstream Tran.'!$I$81:$N$88,5,FALSE)</f>
        <v>0</v>
      </c>
      <c r="N72" s="61">
        <v>0</v>
      </c>
      <c r="O72" s="21">
        <f>VLOOKUP(J72,'Upstream Tran.'!$I$81:$N$88,6,FALSE)</f>
        <v>0</v>
      </c>
      <c r="P72" s="62">
        <f t="shared" si="4"/>
        <v>0</v>
      </c>
    </row>
    <row r="73" spans="2:16" x14ac:dyDescent="0.25">
      <c r="B73" s="141">
        <v>65</v>
      </c>
      <c r="C73" s="599" t="s">
        <v>343</v>
      </c>
      <c r="D73" s="356">
        <f>VLOOKUP(C73,Settings!$B$341:C911,2,FALSE)</f>
        <v>7</v>
      </c>
      <c r="E73" s="597" t="s">
        <v>694</v>
      </c>
      <c r="F73" s="354" t="s">
        <v>167</v>
      </c>
      <c r="G73" s="354" t="str">
        <f>VLOOKUP(F73,Settings!$B$163:D863,3,FALSE)</f>
        <v>T</v>
      </c>
      <c r="H73" s="354">
        <f>VLOOKUP(F73,Settings!$B$163:D862,2,FALSE)</f>
        <v>3</v>
      </c>
      <c r="I73" s="354">
        <f>VLOOKUP(F73,Settings!$B$163:F476,5,FALSE)</f>
        <v>3</v>
      </c>
      <c r="J73" s="353" t="str">
        <f t="shared" ref="J73:J104" si="5">_xlfn.TEXTJOIN("-",,D73,G73,B73)</f>
        <v>7-T-65</v>
      </c>
      <c r="K73" s="20">
        <f>VLOOKUP(J73,'Upstream Tran.'!$I$81:$N$88,3,FALSE)</f>
        <v>0</v>
      </c>
      <c r="L73" s="20">
        <f>VLOOKUP(J73,'Upstream Tran.'!$I$81:$N$88,4,FALSE)</f>
        <v>0</v>
      </c>
      <c r="M73" s="20">
        <f>VLOOKUP(J73,'Upstream Tran.'!$I$81:$N$88,5,FALSE)</f>
        <v>0</v>
      </c>
      <c r="N73" s="61">
        <v>0</v>
      </c>
      <c r="O73" s="21">
        <f>VLOOKUP(J73,'Upstream Tran.'!$I$81:$N$88,6,FALSE)</f>
        <v>0</v>
      </c>
      <c r="P73" s="62">
        <f t="shared" ref="P73:P104" si="6">O73/$O$195</f>
        <v>0</v>
      </c>
    </row>
    <row r="74" spans="2:16" x14ac:dyDescent="0.25">
      <c r="B74" s="141">
        <v>66</v>
      </c>
      <c r="C74" s="324" t="s">
        <v>510</v>
      </c>
      <c r="D74" s="356">
        <f>VLOOKUP(C74,Settings!$B$341:C913,2,FALSE)</f>
        <v>9</v>
      </c>
      <c r="E74" s="302" t="s">
        <v>694</v>
      </c>
      <c r="F74" s="354" t="s">
        <v>167</v>
      </c>
      <c r="G74" s="354" t="str">
        <f>VLOOKUP(F74,Settings!$B$163:D865,3,FALSE)</f>
        <v>T</v>
      </c>
      <c r="H74" s="354">
        <f>VLOOKUP(F74,Settings!$B$163:D864,2,FALSE)</f>
        <v>3</v>
      </c>
      <c r="I74" s="354">
        <f>VLOOKUP(F74,Settings!$B$163:F531,5,FALSE)</f>
        <v>3</v>
      </c>
      <c r="J74" s="353" t="str">
        <f t="shared" si="5"/>
        <v>9-T-66</v>
      </c>
      <c r="K74" s="20">
        <f>VLOOKUP(J74,'Upstream Tran.'!$I$81:$N$88,3,FALSE)</f>
        <v>0</v>
      </c>
      <c r="L74" s="20">
        <f>VLOOKUP(J74,'Upstream Tran.'!$I$81:$N$88,4,FALSE)</f>
        <v>0</v>
      </c>
      <c r="M74" s="20">
        <f>VLOOKUP(J74,'Upstream Tran.'!$I$81:$N$88,5,FALSE)</f>
        <v>0</v>
      </c>
      <c r="N74" s="61">
        <v>0</v>
      </c>
      <c r="O74" s="21">
        <f>VLOOKUP(J74,'Upstream Tran.'!$I$81:$N$88,6,FALSE)</f>
        <v>0</v>
      </c>
      <c r="P74" s="62">
        <f t="shared" si="6"/>
        <v>0</v>
      </c>
    </row>
    <row r="75" spans="2:16" x14ac:dyDescent="0.25">
      <c r="B75" s="141">
        <v>67</v>
      </c>
      <c r="C75" s="141" t="s">
        <v>337</v>
      </c>
      <c r="D75" s="356">
        <f>VLOOKUP(C75,Settings!$B$341:C892,2,FALSE)</f>
        <v>1</v>
      </c>
      <c r="E75" s="302" t="s">
        <v>695</v>
      </c>
      <c r="F75" s="354" t="s">
        <v>168</v>
      </c>
      <c r="G75" s="354" t="str">
        <f>VLOOKUP(F75,Settings!$B$163:D814,3,FALSE)</f>
        <v>D</v>
      </c>
      <c r="H75" s="354">
        <f>VLOOKUP(F75,Settings!$B$163:D813,2,FALSE)</f>
        <v>3</v>
      </c>
      <c r="I75" s="354">
        <f>VLOOKUP(F75,Settings!$B$163:F195,5,FALSE)</f>
        <v>3</v>
      </c>
      <c r="J75" s="353" t="str">
        <f t="shared" si="5"/>
        <v>1-D-67</v>
      </c>
      <c r="K75" s="20">
        <f>VLOOKUP(J75,'Downstream Tran.'!$I$57:$N$64,3,FALSE)</f>
        <v>0</v>
      </c>
      <c r="L75" s="20">
        <f>VLOOKUP(J75,'Downstream Tran.'!$I$57:$N$64,4,FALSE)</f>
        <v>0</v>
      </c>
      <c r="M75" s="20">
        <f>VLOOKUP(J75,'Downstream Tran.'!$I$57:$N$64,5,FALSE)</f>
        <v>0</v>
      </c>
      <c r="N75" s="61">
        <v>0</v>
      </c>
      <c r="O75" s="21">
        <f>VLOOKUP(J75,'Downstream Tran.'!$I$57:$N$64,6,FALSE)</f>
        <v>0</v>
      </c>
      <c r="P75" s="62">
        <f t="shared" si="6"/>
        <v>0</v>
      </c>
    </row>
    <row r="76" spans="2:16" x14ac:dyDescent="0.25">
      <c r="B76" s="141">
        <v>68</v>
      </c>
      <c r="C76" s="141" t="s">
        <v>338</v>
      </c>
      <c r="D76" s="356">
        <f>VLOOKUP(C76,Settings!$B$341:C893,2,FALSE)</f>
        <v>2</v>
      </c>
      <c r="E76" s="597" t="s">
        <v>695</v>
      </c>
      <c r="F76" s="354" t="s">
        <v>168</v>
      </c>
      <c r="G76" s="354" t="str">
        <f>VLOOKUP(F76,Settings!$B$163:D815,3,FALSE)</f>
        <v>D</v>
      </c>
      <c r="H76" s="354">
        <f>VLOOKUP(F76,Settings!$B$163:D814,2,FALSE)</f>
        <v>3</v>
      </c>
      <c r="I76" s="354">
        <f>VLOOKUP(F76,Settings!$B$163:F232,5,FALSE)</f>
        <v>3</v>
      </c>
      <c r="J76" s="353" t="str">
        <f t="shared" si="5"/>
        <v>2-D-68</v>
      </c>
      <c r="K76" s="20">
        <f>VLOOKUP(J76,'Downstream Tran.'!$I$57:$N$64,3,FALSE)</f>
        <v>0</v>
      </c>
      <c r="L76" s="20">
        <f>VLOOKUP(J76,'Downstream Tran.'!$I$57:$N$64,4,FALSE)</f>
        <v>0</v>
      </c>
      <c r="M76" s="20">
        <f>VLOOKUP(J76,'Downstream Tran.'!$I$57:$N$64,5,FALSE)</f>
        <v>0</v>
      </c>
      <c r="N76" s="61">
        <v>0</v>
      </c>
      <c r="O76" s="21">
        <f>VLOOKUP(J76,'Downstream Tran.'!$I$57:$N$64,6,FALSE)</f>
        <v>0</v>
      </c>
      <c r="P76" s="62">
        <f t="shared" si="6"/>
        <v>0</v>
      </c>
    </row>
    <row r="77" spans="2:16" x14ac:dyDescent="0.25">
      <c r="B77" s="141">
        <v>69</v>
      </c>
      <c r="C77" s="141" t="s">
        <v>339</v>
      </c>
      <c r="D77" s="356">
        <f>VLOOKUP(C77,Settings!$B$341:C894,2,FALSE)</f>
        <v>3</v>
      </c>
      <c r="E77" s="302" t="s">
        <v>695</v>
      </c>
      <c r="F77" s="354" t="s">
        <v>168</v>
      </c>
      <c r="G77" s="354" t="str">
        <f>VLOOKUP(F77,Settings!$B$163:D816,3,FALSE)</f>
        <v>D</v>
      </c>
      <c r="H77" s="354">
        <f>VLOOKUP(F77,Settings!$B$163:D815,2,FALSE)</f>
        <v>3</v>
      </c>
      <c r="I77" s="354">
        <f>VLOOKUP(F77,Settings!$B$163:F338,5,FALSE)</f>
        <v>3</v>
      </c>
      <c r="J77" s="353" t="str">
        <f t="shared" si="5"/>
        <v>3-D-69</v>
      </c>
      <c r="K77" s="20">
        <f>VLOOKUP(J77,'Downstream Tran.'!$I$57:$N$64,3,FALSE)</f>
        <v>0</v>
      </c>
      <c r="L77" s="20">
        <f>VLOOKUP(J77,'Downstream Tran.'!$I$57:$N$64,4,FALSE)</f>
        <v>0</v>
      </c>
      <c r="M77" s="20">
        <f>VLOOKUP(J77,'Downstream Tran.'!$I$57:$N$64,5,FALSE)</f>
        <v>0</v>
      </c>
      <c r="N77" s="61">
        <v>0</v>
      </c>
      <c r="O77" s="21">
        <f>VLOOKUP(J77,'Downstream Tran.'!$I$57:$N$64,6,FALSE)</f>
        <v>0</v>
      </c>
      <c r="P77" s="62">
        <f t="shared" si="6"/>
        <v>0</v>
      </c>
    </row>
    <row r="78" spans="2:16" x14ac:dyDescent="0.25">
      <c r="B78" s="141">
        <v>70</v>
      </c>
      <c r="C78" s="141" t="s">
        <v>340</v>
      </c>
      <c r="D78" s="356">
        <f>VLOOKUP(C78,Settings!$B$341:C895,2,FALSE)</f>
        <v>4</v>
      </c>
      <c r="E78" s="302" t="s">
        <v>695</v>
      </c>
      <c r="F78" s="354" t="s">
        <v>168</v>
      </c>
      <c r="G78" s="354" t="str">
        <f>VLOOKUP(F78,Settings!$B$163:D817,3,FALSE)</f>
        <v>D</v>
      </c>
      <c r="H78" s="354">
        <f>VLOOKUP(F78,Settings!$B$163:D816,2,FALSE)</f>
        <v>3</v>
      </c>
      <c r="I78" s="354">
        <f>VLOOKUP(F78,Settings!$B$163:F395,5,FALSE)</f>
        <v>3</v>
      </c>
      <c r="J78" s="353" t="str">
        <f t="shared" si="5"/>
        <v>4-D-70</v>
      </c>
      <c r="K78" s="20">
        <f>VLOOKUP(J78,'Downstream Tran.'!$I$57:$N$64,3,FALSE)</f>
        <v>0</v>
      </c>
      <c r="L78" s="20">
        <f>VLOOKUP(J78,'Downstream Tran.'!$I$57:$N$64,4,FALSE)</f>
        <v>0</v>
      </c>
      <c r="M78" s="20">
        <f>VLOOKUP(J78,'Downstream Tran.'!$I$57:$N$64,5,FALSE)</f>
        <v>0</v>
      </c>
      <c r="N78" s="61">
        <v>0</v>
      </c>
      <c r="O78" s="21">
        <f>VLOOKUP(J78,'Downstream Tran.'!$I$57:$N$64,6,FALSE)</f>
        <v>0</v>
      </c>
      <c r="P78" s="62">
        <f t="shared" si="6"/>
        <v>0</v>
      </c>
    </row>
    <row r="79" spans="2:16" x14ac:dyDescent="0.25">
      <c r="B79" s="141">
        <v>71</v>
      </c>
      <c r="C79" s="141" t="s">
        <v>341</v>
      </c>
      <c r="D79" s="356">
        <f>VLOOKUP(C79,Settings!$B$341:C914,2,FALSE)</f>
        <v>5</v>
      </c>
      <c r="E79" s="597" t="s">
        <v>695</v>
      </c>
      <c r="F79" s="354" t="s">
        <v>168</v>
      </c>
      <c r="G79" s="354" t="str">
        <f>VLOOKUP(F79,Settings!$B$163:D866,3,FALSE)</f>
        <v>D</v>
      </c>
      <c r="H79" s="354">
        <f>VLOOKUP(F79,Settings!$B$163:D865,2,FALSE)</f>
        <v>3</v>
      </c>
      <c r="I79" s="354">
        <f>VLOOKUP(F79,Settings!$B$163:F450,5,FALSE)</f>
        <v>3</v>
      </c>
      <c r="J79" s="353" t="str">
        <f t="shared" si="5"/>
        <v>5-D-71</v>
      </c>
      <c r="K79" s="20">
        <f>VLOOKUP(J79,'Downstream Tran.'!$I$57:$N$64,3,FALSE)</f>
        <v>0</v>
      </c>
      <c r="L79" s="20">
        <f>VLOOKUP(J79,'Downstream Tran.'!$I$57:$N$64,4,FALSE)</f>
        <v>0</v>
      </c>
      <c r="M79" s="20">
        <f>VLOOKUP(J79,'Downstream Tran.'!$I$57:$N$64,5,FALSE)</f>
        <v>0</v>
      </c>
      <c r="N79" s="61">
        <v>0</v>
      </c>
      <c r="O79" s="21">
        <f>VLOOKUP(J79,'Downstream Tran.'!$I$57:$N$64,6,FALSE)</f>
        <v>0</v>
      </c>
      <c r="P79" s="62">
        <f t="shared" si="6"/>
        <v>0</v>
      </c>
    </row>
    <row r="80" spans="2:16" x14ac:dyDescent="0.25">
      <c r="B80" s="141">
        <v>72</v>
      </c>
      <c r="C80" s="35" t="s">
        <v>342</v>
      </c>
      <c r="D80" s="356">
        <f>VLOOKUP(C80,Settings!$B$341:C915,2,FALSE)</f>
        <v>6</v>
      </c>
      <c r="E80" s="597" t="s">
        <v>695</v>
      </c>
      <c r="F80" s="354" t="s">
        <v>168</v>
      </c>
      <c r="G80" s="354" t="str">
        <f>VLOOKUP(F80,Settings!$B$163:D867,3,FALSE)</f>
        <v>D</v>
      </c>
      <c r="H80" s="354">
        <f>VLOOKUP(F80,Settings!$B$163:D866,2,FALSE)</f>
        <v>3</v>
      </c>
      <c r="I80" s="354">
        <f>VLOOKUP(F80,Settings!$B$163:F470,5,FALSE)</f>
        <v>3</v>
      </c>
      <c r="J80" s="353" t="str">
        <f t="shared" si="5"/>
        <v>6-D-72</v>
      </c>
      <c r="K80" s="20">
        <f>VLOOKUP(J80,'Downstream Tran.'!$I$57:$N$64,3,FALSE)</f>
        <v>0</v>
      </c>
      <c r="L80" s="20">
        <f>VLOOKUP(J80,'Downstream Tran.'!$I$57:$N$64,4,FALSE)</f>
        <v>0</v>
      </c>
      <c r="M80" s="20">
        <f>VLOOKUP(J80,'Downstream Tran.'!$I$57:$N$64,5,FALSE)</f>
        <v>0</v>
      </c>
      <c r="N80" s="61">
        <v>0</v>
      </c>
      <c r="O80" s="21">
        <f>VLOOKUP(J80,'Downstream Tran.'!$I$57:$N$64,6,FALSE)</f>
        <v>0</v>
      </c>
      <c r="P80" s="62">
        <f t="shared" si="6"/>
        <v>0</v>
      </c>
    </row>
    <row r="81" spans="2:16" x14ac:dyDescent="0.25">
      <c r="B81" s="141">
        <v>73</v>
      </c>
      <c r="C81" s="35" t="s">
        <v>343</v>
      </c>
      <c r="D81" s="356">
        <f>VLOOKUP(C81,Settings!$B$341:C916,2,FALSE)</f>
        <v>7</v>
      </c>
      <c r="E81" s="302" t="s">
        <v>695</v>
      </c>
      <c r="F81" s="354" t="s">
        <v>168</v>
      </c>
      <c r="G81" s="354" t="str">
        <f>VLOOKUP(F81,Settings!$B$163:D868,3,FALSE)</f>
        <v>D</v>
      </c>
      <c r="H81" s="354">
        <f>VLOOKUP(F81,Settings!$B$163:D867,2,FALSE)</f>
        <v>3</v>
      </c>
      <c r="I81" s="354">
        <f>VLOOKUP(F81,Settings!$B$163:F477,5,FALSE)</f>
        <v>3</v>
      </c>
      <c r="J81" s="353" t="str">
        <f t="shared" si="5"/>
        <v>7-D-73</v>
      </c>
      <c r="K81" s="20">
        <f>VLOOKUP(J81,'Downstream Tran.'!$I$57:$N$64,3,FALSE)</f>
        <v>0</v>
      </c>
      <c r="L81" s="20">
        <f>VLOOKUP(J81,'Downstream Tran.'!$I$57:$N$64,4,FALSE)</f>
        <v>0</v>
      </c>
      <c r="M81" s="20">
        <f>VLOOKUP(J81,'Downstream Tran.'!$I$57:$N$64,5,FALSE)</f>
        <v>0</v>
      </c>
      <c r="N81" s="61">
        <v>0</v>
      </c>
      <c r="O81" s="21">
        <f>VLOOKUP(J81,'Downstream Tran.'!$I$57:$N$64,6,FALSE)</f>
        <v>0</v>
      </c>
      <c r="P81" s="62">
        <f t="shared" si="6"/>
        <v>0</v>
      </c>
    </row>
    <row r="82" spans="2:16" x14ac:dyDescent="0.25">
      <c r="B82" s="141">
        <v>74</v>
      </c>
      <c r="C82" s="35" t="s">
        <v>510</v>
      </c>
      <c r="D82" s="356">
        <f>VLOOKUP(C82,Settings!$B$341:C917,2,FALSE)</f>
        <v>9</v>
      </c>
      <c r="E82" s="302" t="s">
        <v>695</v>
      </c>
      <c r="F82" s="354" t="s">
        <v>168</v>
      </c>
      <c r="G82" s="354" t="str">
        <f>VLOOKUP(F82,Settings!$B$163:D869,3,FALSE)</f>
        <v>D</v>
      </c>
      <c r="H82" s="354">
        <f>VLOOKUP(F82,Settings!$B$163:D868,2,FALSE)</f>
        <v>3</v>
      </c>
      <c r="I82" s="354">
        <f>VLOOKUP(F82,Settings!$B$163:F532,5,FALSE)</f>
        <v>3</v>
      </c>
      <c r="J82" s="353" t="str">
        <f t="shared" si="5"/>
        <v>9-D-74</v>
      </c>
      <c r="K82" s="20">
        <f>VLOOKUP(J82,'Downstream Tran.'!$I$57:$N$64,3,FALSE)</f>
        <v>0</v>
      </c>
      <c r="L82" s="20">
        <f>VLOOKUP(J82,'Downstream Tran.'!$I$57:$N$64,4,FALSE)</f>
        <v>0</v>
      </c>
      <c r="M82" s="20">
        <f>VLOOKUP(J82,'Downstream Tran.'!$I$57:$N$64,5,FALSE)</f>
        <v>0</v>
      </c>
      <c r="N82" s="61">
        <v>0</v>
      </c>
      <c r="O82" s="21">
        <f>VLOOKUP(J82,'Downstream Tran.'!$I$57:$N$64,6,FALSE)</f>
        <v>0</v>
      </c>
      <c r="P82" s="62">
        <f t="shared" si="6"/>
        <v>0</v>
      </c>
    </row>
    <row r="83" spans="2:16" x14ac:dyDescent="0.25">
      <c r="B83" s="141">
        <v>75</v>
      </c>
      <c r="C83" s="164" t="s">
        <v>337</v>
      </c>
      <c r="D83" s="356">
        <f>VLOOKUP(C83,Settings!$B$341:C902,2,FALSE)</f>
        <v>1</v>
      </c>
      <c r="E83" s="597" t="s">
        <v>696</v>
      </c>
      <c r="F83" s="354" t="s">
        <v>275</v>
      </c>
      <c r="G83" s="354" t="str">
        <f>VLOOKUP(F83,Settings!$B$163:D824,3,FALSE)</f>
        <v>P</v>
      </c>
      <c r="H83" s="354">
        <f>VLOOKUP(F83,Settings!$B$163:D823,2,FALSE)</f>
        <v>3</v>
      </c>
      <c r="I83" s="354">
        <f>VLOOKUP(F83,Settings!$B$163:F195,5,FALSE)</f>
        <v>3</v>
      </c>
      <c r="J83" s="353" t="str">
        <f t="shared" si="5"/>
        <v>1-P-75</v>
      </c>
      <c r="K83" s="20">
        <f>VLOOKUP(J83,'Employee Commuting'!$F$22:$N$29,6,FALSE)</f>
        <v>1945.0586410099982</v>
      </c>
      <c r="L83" s="20">
        <f>VLOOKUP(J83,'Employee Commuting'!$F$22:$N$29,7,FALSE)</f>
        <v>2.3831107550885691E-5</v>
      </c>
      <c r="M83" s="20">
        <f>VLOOKUP(J83,'Employee Commuting'!$F$22:$N$29,8,FALSE)</f>
        <v>5.3148184191365922E-5</v>
      </c>
      <c r="N83" s="61">
        <v>0</v>
      </c>
      <c r="O83" s="21">
        <f>VLOOKUP(J83,'Employee Commuting'!$F$22:$N$29,9,FALSE)</f>
        <v>1945.0737939041862</v>
      </c>
      <c r="P83" s="62">
        <f t="shared" si="6"/>
        <v>9.6470030307892361E-5</v>
      </c>
    </row>
    <row r="84" spans="2:16" x14ac:dyDescent="0.25">
      <c r="B84" s="141">
        <v>76</v>
      </c>
      <c r="C84" s="164" t="s">
        <v>338</v>
      </c>
      <c r="D84" s="356">
        <f>VLOOKUP(C84,Settings!$B$341:C903,2,FALSE)</f>
        <v>2</v>
      </c>
      <c r="E84" s="302" t="s">
        <v>696</v>
      </c>
      <c r="F84" s="354" t="s">
        <v>275</v>
      </c>
      <c r="G84" s="354" t="str">
        <f>VLOOKUP(F84,Settings!$B$163:D825,3,FALSE)</f>
        <v>P</v>
      </c>
      <c r="H84" s="354">
        <f>VLOOKUP(F84,Settings!$B$163:D824,2,FALSE)</f>
        <v>3</v>
      </c>
      <c r="I84" s="354">
        <f>VLOOKUP(F84,Settings!$B$163:F234,5,FALSE)</f>
        <v>3</v>
      </c>
      <c r="J84" s="353" t="str">
        <f t="shared" si="5"/>
        <v>2-P-76</v>
      </c>
      <c r="K84" s="20">
        <f>VLOOKUP(J84,'Employee Commuting'!$F$22:$N$29,6,FALSE)</f>
        <v>3553.5676952803528</v>
      </c>
      <c r="L84" s="20">
        <f>VLOOKUP(J84,'Employee Commuting'!$F$22:$N$29,7,FALSE)</f>
        <v>4.3538766467012535E-5</v>
      </c>
      <c r="M84" s="20">
        <f>VLOOKUP(J84,'Employee Commuting'!$F$22:$N$29,8,FALSE)</f>
        <v>9.7100244909416629E-5</v>
      </c>
      <c r="N84" s="61">
        <v>0</v>
      </c>
      <c r="O84" s="21">
        <f>VLOOKUP(J84,'Employee Commuting'!$F$22:$N$29,9,FALSE)</f>
        <v>3553.5953791939078</v>
      </c>
      <c r="P84" s="62">
        <f t="shared" si="6"/>
        <v>1.7624804519355397E-4</v>
      </c>
    </row>
    <row r="85" spans="2:16" x14ac:dyDescent="0.25">
      <c r="B85" s="141">
        <v>77</v>
      </c>
      <c r="C85" s="164" t="s">
        <v>339</v>
      </c>
      <c r="D85" s="356">
        <f>VLOOKUP(C85,Settings!$B$341:C904,2,FALSE)</f>
        <v>3</v>
      </c>
      <c r="E85" s="302" t="s">
        <v>696</v>
      </c>
      <c r="F85" s="354" t="s">
        <v>275</v>
      </c>
      <c r="G85" s="354" t="str">
        <f>VLOOKUP(F85,Settings!$B$163:D826,3,FALSE)</f>
        <v>P</v>
      </c>
      <c r="H85" s="354">
        <f>VLOOKUP(F85,Settings!$B$163:D825,2,FALSE)</f>
        <v>3</v>
      </c>
      <c r="I85" s="354">
        <f>VLOOKUP(F85,Settings!$B$163:F340,5,FALSE)</f>
        <v>3</v>
      </c>
      <c r="J85" s="353" t="str">
        <f t="shared" si="5"/>
        <v>3-P-77</v>
      </c>
      <c r="K85" s="20">
        <f>VLOOKUP(J85,'Employee Commuting'!$F$22:$N$29,6,FALSE)</f>
        <v>1589.9493344133891</v>
      </c>
      <c r="L85" s="20">
        <f>VLOOKUP(J85,'Employee Commuting'!$F$22:$N$29,7,FALSE)</f>
        <v>1.9480262851709995E-5</v>
      </c>
      <c r="M85" s="20">
        <f>VLOOKUP(J85,'Employee Commuting'!$F$22:$N$29,8,FALSE)</f>
        <v>4.344492155591935E-5</v>
      </c>
      <c r="N85" s="61">
        <v>0</v>
      </c>
      <c r="O85" s="21">
        <f>VLOOKUP(J85,'Employee Commuting'!$F$22:$N$29,9,FALSE)</f>
        <v>1589.9617208440709</v>
      </c>
      <c r="P85" s="62">
        <f t="shared" si="6"/>
        <v>7.8857499329288604E-5</v>
      </c>
    </row>
    <row r="86" spans="2:16" x14ac:dyDescent="0.25">
      <c r="B86" s="141">
        <v>78</v>
      </c>
      <c r="C86" s="164" t="s">
        <v>340</v>
      </c>
      <c r="D86" s="356">
        <f>VLOOKUP(C86,Settings!$B$341:C905,2,FALSE)</f>
        <v>4</v>
      </c>
      <c r="E86" s="597" t="s">
        <v>696</v>
      </c>
      <c r="F86" s="354" t="s">
        <v>275</v>
      </c>
      <c r="G86" s="354" t="str">
        <f>VLOOKUP(F86,Settings!$B$163:D827,3,FALSE)</f>
        <v>P</v>
      </c>
      <c r="H86" s="354">
        <f>VLOOKUP(F86,Settings!$B$163:D826,2,FALSE)</f>
        <v>3</v>
      </c>
      <c r="I86" s="354">
        <f>VLOOKUP(F86,Settings!$B$163:F395,5,FALSE)</f>
        <v>3</v>
      </c>
      <c r="J86" s="353" t="str">
        <f t="shared" si="5"/>
        <v>4-P-78</v>
      </c>
      <c r="K86" s="20">
        <f>VLOOKUP(J86,'Employee Commuting'!$F$22:$N$29,6,FALSE)</f>
        <v>2487.0024608333947</v>
      </c>
      <c r="L86" s="20">
        <f>VLOOKUP(J86,'Employee Commuting'!$F$22:$N$29,7,FALSE)</f>
        <v>3.0471072631857658E-5</v>
      </c>
      <c r="M86" s="20">
        <f>VLOOKUP(J86,'Employee Commuting'!$F$22:$N$29,8,FALSE)</f>
        <v>6.7956647725601478E-5</v>
      </c>
      <c r="N86" s="61">
        <v>0</v>
      </c>
      <c r="O86" s="21">
        <f>VLOOKUP(J86,'Employee Commuting'!$F$22:$N$29,9,FALSE)</f>
        <v>2487.0218357171848</v>
      </c>
      <c r="P86" s="62">
        <f t="shared" si="6"/>
        <v>1.233490845539845E-4</v>
      </c>
    </row>
    <row r="87" spans="2:16" x14ac:dyDescent="0.25">
      <c r="B87" s="141">
        <v>79</v>
      </c>
      <c r="C87" s="141" t="s">
        <v>341</v>
      </c>
      <c r="D87" s="356">
        <f>VLOOKUP(C87,Settings!$B$341:C906,2,FALSE)</f>
        <v>5</v>
      </c>
      <c r="E87" s="597" t="s">
        <v>696</v>
      </c>
      <c r="F87" s="354" t="s">
        <v>275</v>
      </c>
      <c r="G87" s="354" t="str">
        <f>VLOOKUP(F87,Settings!$B$163:D828,3,FALSE)</f>
        <v>P</v>
      </c>
      <c r="H87" s="354">
        <f>VLOOKUP(F87,Settings!$B$163:D827,2,FALSE)</f>
        <v>3</v>
      </c>
      <c r="I87" s="354">
        <f>VLOOKUP(F87,Settings!$B$163:F452,5,FALSE)</f>
        <v>3</v>
      </c>
      <c r="J87" s="353" t="str">
        <f t="shared" si="5"/>
        <v>5-P-79</v>
      </c>
      <c r="K87" s="20">
        <f>VLOOKUP(J87,'Employee Commuting'!$F$22:$N$29,6,FALSE)</f>
        <v>1092.5488422467101</v>
      </c>
      <c r="L87" s="20">
        <f>VLOOKUP(J87,'Employee Commuting'!$F$22:$N$29,7,FALSE)</f>
        <v>1.3386048325338463E-5</v>
      </c>
      <c r="M87" s="20">
        <f>VLOOKUP(J87,'Employee Commuting'!$F$22:$N$29,8,FALSE)</f>
        <v>2.9853592010799053E-5</v>
      </c>
      <c r="N87" s="61">
        <v>0</v>
      </c>
      <c r="O87" s="21">
        <f>VLOOKUP(J87,'Employee Commuting'!$F$22:$N$29,9,FALSE)</f>
        <v>1092.5573537006339</v>
      </c>
      <c r="P87" s="62">
        <f t="shared" si="6"/>
        <v>5.4187682418491705E-5</v>
      </c>
    </row>
    <row r="88" spans="2:16" x14ac:dyDescent="0.25">
      <c r="B88" s="141">
        <v>80</v>
      </c>
      <c r="C88" s="324" t="s">
        <v>342</v>
      </c>
      <c r="D88" s="356">
        <f>VLOOKUP(C88,Settings!$B$341:C907,2,FALSE)</f>
        <v>6</v>
      </c>
      <c r="E88" s="302" t="s">
        <v>696</v>
      </c>
      <c r="F88" s="354" t="s">
        <v>275</v>
      </c>
      <c r="G88" s="354" t="str">
        <f>VLOOKUP(F88,Settings!$B$163:D829,3,FALSE)</f>
        <v>P</v>
      </c>
      <c r="H88" s="354">
        <f>VLOOKUP(F88,Settings!$B$163:D828,2,FALSE)</f>
        <v>3</v>
      </c>
      <c r="I88" s="354">
        <f>VLOOKUP(F88,Settings!$B$163:F472,5,FALSE)</f>
        <v>3</v>
      </c>
      <c r="J88" s="353" t="str">
        <f t="shared" si="5"/>
        <v>6-P-80</v>
      </c>
      <c r="K88" s="20">
        <f>VLOOKUP(J88,'Employee Commuting'!$F$22:$N$29,6,FALSE)</f>
        <v>3173.7120955411228</v>
      </c>
      <c r="L88" s="20">
        <f>VLOOKUP(J88,'Employee Commuting'!$F$22:$N$29,7,FALSE)</f>
        <v>3.8884727015281035E-5</v>
      </c>
      <c r="M88" s="20">
        <f>VLOOKUP(J88,'Employee Commuting'!$F$22:$N$29,8,FALSE)</f>
        <v>8.6720796724461575E-5</v>
      </c>
      <c r="N88" s="61">
        <v>0</v>
      </c>
      <c r="O88" s="21">
        <f>VLOOKUP(J88,'Employee Commuting'!$F$22:$N$29,9,FALSE)</f>
        <v>3173.736820206258</v>
      </c>
      <c r="P88" s="62">
        <f t="shared" si="6"/>
        <v>1.5740816013978619E-4</v>
      </c>
    </row>
    <row r="89" spans="2:16" x14ac:dyDescent="0.25">
      <c r="B89" s="141">
        <v>81</v>
      </c>
      <c r="C89" s="599" t="s">
        <v>343</v>
      </c>
      <c r="D89" s="356">
        <f>VLOOKUP(C89,Settings!$B$341:C908,2,FALSE)</f>
        <v>7</v>
      </c>
      <c r="E89" s="302" t="s">
        <v>696</v>
      </c>
      <c r="F89" s="354" t="s">
        <v>275</v>
      </c>
      <c r="G89" s="354" t="str">
        <f>VLOOKUP(F89,Settings!$B$163:D830,3,FALSE)</f>
        <v>P</v>
      </c>
      <c r="H89" s="354">
        <f>VLOOKUP(F89,Settings!$B$163:D829,2,FALSE)</f>
        <v>3</v>
      </c>
      <c r="I89" s="354">
        <f>VLOOKUP(F89,Settings!$B$163:F479,5,FALSE)</f>
        <v>3</v>
      </c>
      <c r="J89" s="353" t="str">
        <f t="shared" si="5"/>
        <v>7-P-81</v>
      </c>
      <c r="K89" s="20">
        <f>VLOOKUP(J89,'Employee Commuting'!$F$22:$N$29,6,FALSE)</f>
        <v>3173.7120955411228</v>
      </c>
      <c r="L89" s="20">
        <f>VLOOKUP(J89,'Employee Commuting'!$F$22:$N$29,7,FALSE)</f>
        <v>3.8884727015281035E-5</v>
      </c>
      <c r="M89" s="20">
        <f>VLOOKUP(J89,'Employee Commuting'!$F$22:$N$29,8,FALSE)</f>
        <v>8.6720796724461575E-5</v>
      </c>
      <c r="N89" s="61">
        <v>0</v>
      </c>
      <c r="O89" s="21">
        <f>VLOOKUP(J89,'Employee Commuting'!$F$22:$N$29,9,FALSE)</f>
        <v>3173.736820206258</v>
      </c>
      <c r="P89" s="62">
        <f t="shared" si="6"/>
        <v>1.5740816013978619E-4</v>
      </c>
    </row>
    <row r="90" spans="2:16" x14ac:dyDescent="0.25">
      <c r="B90" s="141">
        <v>82</v>
      </c>
      <c r="C90" s="324" t="s">
        <v>510</v>
      </c>
      <c r="D90" s="356">
        <f>VLOOKUP(C90,Settings!$B$341:C910,2,FALSE)</f>
        <v>9</v>
      </c>
      <c r="E90" s="597" t="s">
        <v>696</v>
      </c>
      <c r="F90" s="354" t="s">
        <v>275</v>
      </c>
      <c r="G90" s="354" t="str">
        <f>VLOOKUP(F90,Settings!$B$163:D832,3,FALSE)</f>
        <v>P</v>
      </c>
      <c r="H90" s="354">
        <f>VLOOKUP(F90,Settings!$B$163:D831,2,FALSE)</f>
        <v>3</v>
      </c>
      <c r="I90" s="354">
        <f>VLOOKUP(F90,Settings!$B$163:F534,5,FALSE)</f>
        <v>3</v>
      </c>
      <c r="J90" s="353" t="str">
        <f t="shared" si="5"/>
        <v>9-P-82</v>
      </c>
      <c r="K90" s="20">
        <f>VLOOKUP(J90,'Employee Commuting'!$F$22:$N$29,6,FALSE)</f>
        <v>16890.963666119664</v>
      </c>
      <c r="L90" s="20">
        <f>VLOOKUP(J90,'Employee Commuting'!$F$22:$N$29,7,FALSE)</f>
        <v>2.4073787167721119E-4</v>
      </c>
      <c r="M90" s="20">
        <f>VLOOKUP(J90,'Employee Commuting'!$F$22:$N$29,8,FALSE)</f>
        <v>4.4046024622355049E-4</v>
      </c>
      <c r="N90" s="61">
        <v>0</v>
      </c>
      <c r="O90" s="21">
        <f>VLOOKUP(J90,'Employee Commuting'!$F$22:$N$29,9,FALSE)</f>
        <v>16891.090411689416</v>
      </c>
      <c r="P90" s="62">
        <f t="shared" si="6"/>
        <v>8.3774919442943039E-4</v>
      </c>
    </row>
    <row r="91" spans="2:16" x14ac:dyDescent="0.25">
      <c r="B91" s="141">
        <v>83</v>
      </c>
      <c r="C91" s="141" t="s">
        <v>337</v>
      </c>
      <c r="D91" s="356">
        <f>VLOOKUP(C91,Settings!$B$341:C911,2,FALSE)</f>
        <v>1</v>
      </c>
      <c r="E91" s="302" t="s">
        <v>697</v>
      </c>
      <c r="F91" s="354" t="s">
        <v>58</v>
      </c>
      <c r="G91" s="354" t="str">
        <f>VLOOKUP(F91,Settings!$B$163:D833,3,FALSE)</f>
        <v>B</v>
      </c>
      <c r="H91" s="354">
        <f>VLOOKUP(F91,Settings!$B$163:D832,2,FALSE)</f>
        <v>3</v>
      </c>
      <c r="I91" s="354">
        <f>VLOOKUP(F91,Settings!$B$163:F196,5,FALSE)</f>
        <v>3</v>
      </c>
      <c r="J91" s="353" t="str">
        <f t="shared" si="5"/>
        <v>1-B-83</v>
      </c>
      <c r="K91" s="20">
        <f>VLOOKUP(J91,'Business Travel'!$L$175:$Q$182,3,FALSE)</f>
        <v>22680.525447011176</v>
      </c>
      <c r="L91" s="20">
        <f>VLOOKUP(J91,'Business Travel'!$L$175:$Q$182,4,FALSE)</f>
        <v>3.03263783139954E-5</v>
      </c>
      <c r="M91" s="20">
        <f>VLOOKUP(J91,'Business Travel'!$L$175:$Q$182,5,FALSE)</f>
        <v>2.1426697142953391E-4</v>
      </c>
      <c r="N91" s="61">
        <v>0</v>
      </c>
      <c r="O91" s="21">
        <f>VLOOKUP(J91,'Business Travel'!$L$175:$Q$182,6,FALSE)</f>
        <v>22680.584760706595</v>
      </c>
      <c r="P91" s="62">
        <f t="shared" si="6"/>
        <v>1.1248913568848724E-3</v>
      </c>
    </row>
    <row r="92" spans="2:16" x14ac:dyDescent="0.25">
      <c r="B92" s="141">
        <v>84</v>
      </c>
      <c r="C92" s="141" t="s">
        <v>338</v>
      </c>
      <c r="D92" s="356">
        <f>VLOOKUP(C92,Settings!$B$341:C912,2,FALSE)</f>
        <v>2</v>
      </c>
      <c r="E92" s="302" t="s">
        <v>697</v>
      </c>
      <c r="F92" s="354" t="s">
        <v>58</v>
      </c>
      <c r="G92" s="354" t="str">
        <f>VLOOKUP(F92,Settings!$B$163:D834,3,FALSE)</f>
        <v>B</v>
      </c>
      <c r="H92" s="354">
        <f>VLOOKUP(F92,Settings!$B$163:D833,2,FALSE)</f>
        <v>3</v>
      </c>
      <c r="I92" s="354">
        <f>VLOOKUP(F92,Settings!$B$163:F235,5,FALSE)</f>
        <v>3</v>
      </c>
      <c r="J92" s="353" t="str">
        <f t="shared" si="5"/>
        <v>2-B-84</v>
      </c>
      <c r="K92" s="20">
        <f>VLOOKUP(J92,'Business Travel'!$L$175:$Q$182,3,FALSE)</f>
        <v>10484.414626697246</v>
      </c>
      <c r="L92" s="20">
        <f>VLOOKUP(J92,'Business Travel'!$L$175:$Q$182,4,FALSE)</f>
        <v>8.3217926030013805E-5</v>
      </c>
      <c r="M92" s="20">
        <f>VLOOKUP(J92,'Business Travel'!$L$175:$Q$182,5,FALSE)</f>
        <v>6.1848115854647894E-4</v>
      </c>
      <c r="N92" s="61">
        <v>0</v>
      </c>
      <c r="O92" s="21">
        <f>VLOOKUP(J92,'Business Travel'!$L$175:$Q$182,6,FALSE)</f>
        <v>10484.585718937531</v>
      </c>
      <c r="P92" s="62">
        <f t="shared" si="6"/>
        <v>5.2000510481476497E-4</v>
      </c>
    </row>
    <row r="93" spans="2:16" x14ac:dyDescent="0.25">
      <c r="B93" s="141">
        <v>85</v>
      </c>
      <c r="C93" s="141" t="s">
        <v>339</v>
      </c>
      <c r="D93" s="356">
        <f>VLOOKUP(C93,Settings!$B$341:C913,2,FALSE)</f>
        <v>3</v>
      </c>
      <c r="E93" s="597" t="s">
        <v>697</v>
      </c>
      <c r="F93" s="354" t="s">
        <v>58</v>
      </c>
      <c r="G93" s="354" t="str">
        <f>VLOOKUP(F93,Settings!$B$163:D835,3,FALSE)</f>
        <v>B</v>
      </c>
      <c r="H93" s="354">
        <f>VLOOKUP(F93,Settings!$B$163:D834,2,FALSE)</f>
        <v>3</v>
      </c>
      <c r="I93" s="354">
        <f>VLOOKUP(F93,Settings!$B$163:F341,5,FALSE)</f>
        <v>3</v>
      </c>
      <c r="J93" s="353" t="str">
        <f t="shared" si="5"/>
        <v>3-B-85</v>
      </c>
      <c r="K93" s="20">
        <f>VLOOKUP(J93,'Business Travel'!$L$175:$Q$182,3,FALSE)</f>
        <v>3511.9684958500275</v>
      </c>
      <c r="L93" s="20">
        <f>VLOOKUP(J93,'Business Travel'!$L$175:$Q$182,4,FALSE)</f>
        <v>9.6469601863057792E-5</v>
      </c>
      <c r="M93" s="20">
        <f>VLOOKUP(J93,'Business Travel'!$L$175:$Q$182,5,FALSE)</f>
        <v>7.6484146616873593E-4</v>
      </c>
      <c r="N93" s="61">
        <v>0</v>
      </c>
      <c r="O93" s="21">
        <f>VLOOKUP(J93,'Business Travel'!$L$175:$Q$182,6,FALSE)</f>
        <v>3512.179902249542</v>
      </c>
      <c r="P93" s="62">
        <f t="shared" si="6"/>
        <v>1.7419395741109548E-4</v>
      </c>
    </row>
    <row r="94" spans="2:16" x14ac:dyDescent="0.25">
      <c r="B94" s="141">
        <v>86</v>
      </c>
      <c r="C94" s="141" t="s">
        <v>340</v>
      </c>
      <c r="D94" s="356">
        <f>VLOOKUP(C94,Settings!$B$341:C914,2,FALSE)</f>
        <v>4</v>
      </c>
      <c r="E94" s="597" t="s">
        <v>697</v>
      </c>
      <c r="F94" s="354" t="s">
        <v>58</v>
      </c>
      <c r="G94" s="354" t="str">
        <f>VLOOKUP(F94,Settings!$B$163:D836,3,FALSE)</f>
        <v>B</v>
      </c>
      <c r="H94" s="354">
        <f>VLOOKUP(F94,Settings!$B$163:D835,2,FALSE)</f>
        <v>3</v>
      </c>
      <c r="I94" s="354">
        <f>VLOOKUP(F94,Settings!$B$163:F395,5,FALSE)</f>
        <v>3</v>
      </c>
      <c r="J94" s="353" t="str">
        <f t="shared" si="5"/>
        <v>4-B-86</v>
      </c>
      <c r="K94" s="20">
        <f>VLOOKUP(J94,'Business Travel'!$L$175:$Q$182,3,FALSE)</f>
        <v>38379.846792850207</v>
      </c>
      <c r="L94" s="20">
        <f>VLOOKUP(J94,'Business Travel'!$L$175:$Q$182,4,FALSE)</f>
        <v>4.7482685473592198E-5</v>
      </c>
      <c r="M94" s="20">
        <f>VLOOKUP(J94,'Business Travel'!$L$175:$Q$182,5,FALSE)</f>
        <v>3.0846927991180664E-4</v>
      </c>
      <c r="N94" s="61">
        <v>0</v>
      </c>
      <c r="O94" s="21">
        <f>VLOOKUP(J94,'Business Travel'!$L$175:$Q$182,6,FALSE)</f>
        <v>38379.932286996125</v>
      </c>
      <c r="P94" s="62">
        <f t="shared" si="6"/>
        <v>1.9035335536085874E-3</v>
      </c>
    </row>
    <row r="95" spans="2:16" x14ac:dyDescent="0.25">
      <c r="B95" s="141">
        <v>87</v>
      </c>
      <c r="C95" s="141" t="s">
        <v>341</v>
      </c>
      <c r="D95" s="356">
        <f>VLOOKUP(C95,Settings!$B$341:C915,2,FALSE)</f>
        <v>5</v>
      </c>
      <c r="E95" s="302" t="s">
        <v>697</v>
      </c>
      <c r="F95" s="354" t="s">
        <v>58</v>
      </c>
      <c r="G95" s="354" t="str">
        <f>VLOOKUP(F95,Settings!$B$163:D837,3,FALSE)</f>
        <v>B</v>
      </c>
      <c r="H95" s="354">
        <f>VLOOKUP(F95,Settings!$B$163:D836,2,FALSE)</f>
        <v>3</v>
      </c>
      <c r="I95" s="354">
        <f>VLOOKUP(F95,Settings!$B$163:F453,5,FALSE)</f>
        <v>3</v>
      </c>
      <c r="J95" s="353" t="str">
        <f t="shared" si="5"/>
        <v>5-B-87</v>
      </c>
      <c r="K95" s="20">
        <f>VLOOKUP(J95,'Business Travel'!$L$175:$Q$182,3,FALSE)</f>
        <v>10470.710085597533</v>
      </c>
      <c r="L95" s="20">
        <f>VLOOKUP(J95,'Business Travel'!$L$175:$Q$182,4,FALSE)</f>
        <v>2.7431428571603162E-5</v>
      </c>
      <c r="M95" s="20">
        <f>VLOOKUP(J95,'Business Travel'!$L$175:$Q$182,5,FALSE)</f>
        <v>1.9998219328936051E-4</v>
      </c>
      <c r="N95" s="61">
        <v>0</v>
      </c>
      <c r="O95" s="21">
        <f>VLOOKUP(J95,'Business Travel'!$L$175:$Q$182,6,FALSE)</f>
        <v>10470.765421384871</v>
      </c>
      <c r="P95" s="62">
        <f t="shared" si="6"/>
        <v>5.1931965805796453E-4</v>
      </c>
    </row>
    <row r="96" spans="2:16" x14ac:dyDescent="0.25">
      <c r="B96" s="141">
        <v>88</v>
      </c>
      <c r="C96" s="599" t="s">
        <v>342</v>
      </c>
      <c r="D96" s="356">
        <f>VLOOKUP(C96,Settings!$B$341:C886,2,FALSE)</f>
        <v>6</v>
      </c>
      <c r="E96" s="302" t="s">
        <v>697</v>
      </c>
      <c r="F96" s="354" t="s">
        <v>58</v>
      </c>
      <c r="G96" s="354" t="str">
        <f>VLOOKUP(F96,Settings!$B$163:D838,3,FALSE)</f>
        <v>B</v>
      </c>
      <c r="H96" s="354">
        <f>VLOOKUP(F96,Settings!$B$163:D837,2,FALSE)</f>
        <v>3</v>
      </c>
      <c r="I96" s="354">
        <f>VLOOKUP(F96,Settings!$B$163:F473,5,FALSE)</f>
        <v>3</v>
      </c>
      <c r="J96" s="353" t="str">
        <f t="shared" si="5"/>
        <v>6-B-88</v>
      </c>
      <c r="K96" s="20">
        <f>VLOOKUP(J96,'Business Travel'!$L$175:$Q$182,3,FALSE)</f>
        <v>17441.821472599317</v>
      </c>
      <c r="L96" s="20">
        <f>VLOOKUP(J96,'Business Travel'!$L$175:$Q$182,4,FALSE)</f>
        <v>7.2317043438535991E-6</v>
      </c>
      <c r="M96" s="20">
        <f>VLOOKUP(J96,'Business Travel'!$L$175:$Q$182,5,FALSE)</f>
        <v>3.1485710936037282E-5</v>
      </c>
      <c r="N96" s="61">
        <v>0</v>
      </c>
      <c r="O96" s="21">
        <f>VLOOKUP(J96,'Business Travel'!$L$175:$Q$182,6,FALSE)</f>
        <v>17441.830263454423</v>
      </c>
      <c r="P96" s="62">
        <f t="shared" si="6"/>
        <v>8.6506429700190974E-4</v>
      </c>
    </row>
    <row r="97" spans="2:16" x14ac:dyDescent="0.25">
      <c r="B97" s="141">
        <v>89</v>
      </c>
      <c r="C97" s="599" t="s">
        <v>343</v>
      </c>
      <c r="D97" s="356">
        <f>VLOOKUP(C97,Settings!$B$341:C887,2,FALSE)</f>
        <v>7</v>
      </c>
      <c r="E97" s="302" t="s">
        <v>697</v>
      </c>
      <c r="F97" s="354" t="s">
        <v>58</v>
      </c>
      <c r="G97" s="354" t="str">
        <f>VLOOKUP(F97,Settings!$B$163:D839,3,FALSE)</f>
        <v>B</v>
      </c>
      <c r="H97" s="354">
        <f>VLOOKUP(F97,Settings!$B$163:D838,2,FALSE)</f>
        <v>3</v>
      </c>
      <c r="I97" s="354">
        <f>VLOOKUP(F97,Settings!$B$163:F480,5,FALSE)</f>
        <v>3</v>
      </c>
      <c r="J97" s="353" t="str">
        <f t="shared" si="5"/>
        <v>7-B-89</v>
      </c>
      <c r="K97" s="20">
        <f>VLOOKUP(J97,'Business Travel'!$L$175:$Q$182,3,FALSE)</f>
        <v>49033.680929543974</v>
      </c>
      <c r="L97" s="20">
        <f>VLOOKUP(J97,'Business Travel'!$L$175:$Q$182,4,FALSE)</f>
        <v>8.291025190949586E-4</v>
      </c>
      <c r="M97" s="20">
        <f>VLOOKUP(J97,'Business Travel'!$L$175:$Q$182,5,FALSE)</f>
        <v>6.3059203222703168E-3</v>
      </c>
      <c r="N97" s="61">
        <v>0</v>
      </c>
      <c r="O97" s="21">
        <f>VLOOKUP(J97,'Business Travel'!$L$175:$Q$182,6,FALSE)</f>
        <v>49035.424831559969</v>
      </c>
      <c r="P97" s="62">
        <f t="shared" si="6"/>
        <v>2.432015142297469E-3</v>
      </c>
    </row>
    <row r="98" spans="2:16" x14ac:dyDescent="0.25">
      <c r="B98" s="141">
        <v>90</v>
      </c>
      <c r="C98" s="599" t="s">
        <v>510</v>
      </c>
      <c r="D98" s="356">
        <f>VLOOKUP(C98,Settings!$B$341:C889,2,FALSE)</f>
        <v>9</v>
      </c>
      <c r="E98" s="302" t="s">
        <v>697</v>
      </c>
      <c r="F98" s="354" t="s">
        <v>58</v>
      </c>
      <c r="G98" s="354" t="str">
        <f>VLOOKUP(F98,Settings!$B$163:D841,3,FALSE)</f>
        <v>B</v>
      </c>
      <c r="H98" s="354">
        <f>VLOOKUP(F98,Settings!$B$163:D840,2,FALSE)</f>
        <v>3</v>
      </c>
      <c r="I98" s="354">
        <f>VLOOKUP(F98,Settings!$B$163:F535,5,FALSE)</f>
        <v>3</v>
      </c>
      <c r="J98" s="353" t="str">
        <f t="shared" si="5"/>
        <v>9-B-90</v>
      </c>
      <c r="K98" s="20">
        <f>VLOOKUP(J98,'Business Travel'!$L$175:$Q$182,3,FALSE)</f>
        <v>552943.65189725824</v>
      </c>
      <c r="L98" s="20">
        <f>VLOOKUP(J98,'Business Travel'!$L$175:$Q$182,4,FALSE)</f>
        <v>2.6861912980374728E-4</v>
      </c>
      <c r="M98" s="20">
        <f>VLOOKUP(J98,'Business Travel'!$L$175:$Q$182,5,FALSE)</f>
        <v>1.9582876437829679E-3</v>
      </c>
      <c r="N98" s="61">
        <v>0</v>
      </c>
      <c r="O98" s="21">
        <f>VLOOKUP(J98,'Business Travel'!$L$175:$Q$182,6,FALSE)</f>
        <v>552944.19376250159</v>
      </c>
      <c r="P98" s="62">
        <f t="shared" si="6"/>
        <v>2.7424431555252999E-2</v>
      </c>
    </row>
    <row r="99" spans="2:16" x14ac:dyDescent="0.25">
      <c r="B99" s="141">
        <v>91</v>
      </c>
      <c r="C99" s="141" t="s">
        <v>337</v>
      </c>
      <c r="D99" s="356">
        <f>VLOOKUP(C99,Settings!$B$341:C352,2,FALSE)</f>
        <v>1</v>
      </c>
      <c r="E99" s="141" t="s">
        <v>524</v>
      </c>
      <c r="F99" s="353" t="s">
        <v>619</v>
      </c>
      <c r="G99" s="354" t="str">
        <f>VLOOKUP(F99,Settings!$B$163:D183,3,FALSE)</f>
        <v>R</v>
      </c>
      <c r="H99" s="354">
        <f>VLOOKUP(F99,Settings!$B$163:D183,2,FALSE)</f>
        <v>4</v>
      </c>
      <c r="I99" s="354">
        <f>VLOOKUP(F99,Settings!$B$163:F202,5,FALSE)</f>
        <v>3</v>
      </c>
      <c r="J99" s="353" t="str">
        <f t="shared" si="5"/>
        <v>1-R-91</v>
      </c>
      <c r="K99" s="20">
        <f>VLOOKUP(J99,'Purchased Material'!$J$178:L185,3,FALSE)</f>
        <v>2113407.5449346504</v>
      </c>
      <c r="L99" s="20">
        <v>0</v>
      </c>
      <c r="M99" s="20">
        <v>0</v>
      </c>
      <c r="N99" s="61">
        <v>0</v>
      </c>
      <c r="O99" s="20">
        <f>VLOOKUP(J99,'Purchased Material'!$J$178:L185,3,FALSE)</f>
        <v>2113407.5449346504</v>
      </c>
      <c r="P99" s="62">
        <f t="shared" si="6"/>
        <v>0.10481889712962592</v>
      </c>
    </row>
    <row r="100" spans="2:16" x14ac:dyDescent="0.25">
      <c r="B100" s="141">
        <v>92</v>
      </c>
      <c r="C100" s="141" t="s">
        <v>338</v>
      </c>
      <c r="D100" s="356">
        <f>VLOOKUP(C100,Settings!$B$341:C402,2,FALSE)</f>
        <v>2</v>
      </c>
      <c r="E100" s="141" t="s">
        <v>524</v>
      </c>
      <c r="F100" s="353" t="s">
        <v>619</v>
      </c>
      <c r="G100" s="354" t="str">
        <f>VLOOKUP(F100,Settings!$B$163:D344,3,FALSE)</f>
        <v>R</v>
      </c>
      <c r="H100" s="354">
        <f>VLOOKUP(F100,Settings!$B$163:D343,2,FALSE)</f>
        <v>4</v>
      </c>
      <c r="I100" s="354">
        <f>VLOOKUP(F100,Settings!$B$163:F240,5,FALSE)</f>
        <v>3</v>
      </c>
      <c r="J100" s="353" t="str">
        <f t="shared" si="5"/>
        <v>2-R-92</v>
      </c>
      <c r="K100" s="20">
        <f>VLOOKUP(J100,'Purchased Material'!$J$178:L224,3,FALSE)</f>
        <v>5466193.5532615464</v>
      </c>
      <c r="L100" s="20">
        <v>0</v>
      </c>
      <c r="M100" s="20">
        <v>0</v>
      </c>
      <c r="N100" s="61">
        <v>0</v>
      </c>
      <c r="O100" s="20">
        <f>VLOOKUP(J100,'Purchased Material'!$J$178:L224,3,FALSE)</f>
        <v>5466193.5532615464</v>
      </c>
      <c r="P100" s="62">
        <f t="shared" si="6"/>
        <v>0.27110737875579183</v>
      </c>
    </row>
    <row r="101" spans="2:16" x14ac:dyDescent="0.25">
      <c r="B101" s="141">
        <v>93</v>
      </c>
      <c r="C101" s="141" t="s">
        <v>339</v>
      </c>
      <c r="D101" s="356">
        <f>VLOOKUP(C101,Settings!$B$341:C543,2,FALSE)</f>
        <v>3</v>
      </c>
      <c r="E101" s="141" t="s">
        <v>524</v>
      </c>
      <c r="F101" s="353" t="s">
        <v>619</v>
      </c>
      <c r="G101" s="354" t="str">
        <f>VLOOKUP(F101,Settings!$B$163:D465,3,FALSE)</f>
        <v>R</v>
      </c>
      <c r="H101" s="354">
        <f>VLOOKUP(F101,Settings!$B$163:D464,2,FALSE)</f>
        <v>4</v>
      </c>
      <c r="I101" s="354">
        <f>VLOOKUP(F101,Settings!$B$163:F344,5,FALSE)</f>
        <v>3</v>
      </c>
      <c r="J101" s="353" t="str">
        <f t="shared" si="5"/>
        <v>3-R-93</v>
      </c>
      <c r="K101" s="20">
        <f>VLOOKUP(J101,'Purchased Material'!$J$178:L259,3,FALSE)</f>
        <v>57.124732800000004</v>
      </c>
      <c r="L101" s="20">
        <v>0</v>
      </c>
      <c r="M101" s="20">
        <v>0</v>
      </c>
      <c r="N101" s="61">
        <v>0</v>
      </c>
      <c r="O101" s="20">
        <f>VLOOKUP(J101,'Purchased Material'!$J$178:L259,3,FALSE)</f>
        <v>57.124732800000004</v>
      </c>
      <c r="P101" s="62">
        <f t="shared" si="6"/>
        <v>2.8332214036387942E-6</v>
      </c>
    </row>
    <row r="102" spans="2:16" x14ac:dyDescent="0.25">
      <c r="B102" s="141">
        <v>94</v>
      </c>
      <c r="C102" s="141" t="s">
        <v>340</v>
      </c>
      <c r="D102" s="356">
        <f>VLOOKUP(C102,Settings!$B$341:C577,2,FALSE)</f>
        <v>4</v>
      </c>
      <c r="E102" s="141" t="s">
        <v>524</v>
      </c>
      <c r="F102" s="353" t="s">
        <v>619</v>
      </c>
      <c r="G102" s="354" t="str">
        <f>VLOOKUP(F102,Settings!$B$163:D499,3,FALSE)</f>
        <v>R</v>
      </c>
      <c r="H102" s="354">
        <f>VLOOKUP(F102,Settings!$B$163:D498,2,FALSE)</f>
        <v>4</v>
      </c>
      <c r="I102" s="354">
        <f>VLOOKUP(F102,Settings!$B$163:F395,5,FALSE)</f>
        <v>3</v>
      </c>
      <c r="J102" s="353" t="str">
        <f t="shared" si="5"/>
        <v>4-R-94</v>
      </c>
      <c r="K102" s="20">
        <f>VLOOKUP(J102,'Purchased Material'!$J$178:L324,3,FALSE)</f>
        <v>24775.5238312808</v>
      </c>
      <c r="L102" s="20">
        <v>0</v>
      </c>
      <c r="M102" s="20">
        <v>0</v>
      </c>
      <c r="N102" s="61">
        <v>0</v>
      </c>
      <c r="O102" s="20">
        <f>VLOOKUP(J102,'Purchased Material'!$J$178:L324,3,FALSE)</f>
        <v>24775.5238312808</v>
      </c>
      <c r="P102" s="62">
        <f t="shared" si="6"/>
        <v>1.2287942711418298E-3</v>
      </c>
    </row>
    <row r="103" spans="2:16" x14ac:dyDescent="0.25">
      <c r="B103" s="141">
        <v>95</v>
      </c>
      <c r="C103" s="141" t="s">
        <v>341</v>
      </c>
      <c r="D103" s="356">
        <f>VLOOKUP(C103,Settings!$B$341:C918,2,FALSE)</f>
        <v>5</v>
      </c>
      <c r="E103" s="141" t="s">
        <v>524</v>
      </c>
      <c r="F103" s="353" t="s">
        <v>619</v>
      </c>
      <c r="G103" s="354" t="str">
        <f>VLOOKUP(F103,Settings!$B$163:D870,3,FALSE)</f>
        <v>R</v>
      </c>
      <c r="H103" s="354">
        <f>VLOOKUP(F103,Settings!$B$163:D869,2,FALSE)</f>
        <v>4</v>
      </c>
      <c r="I103" s="354">
        <f>VLOOKUP(F103,Settings!$B$163:F537,5,FALSE)</f>
        <v>3</v>
      </c>
      <c r="J103" s="353" t="str">
        <f t="shared" si="5"/>
        <v>5-R-95</v>
      </c>
      <c r="K103" s="20">
        <f>VLOOKUP(J103,'Purchased Material'!$J$178:L397,3,FALSE)</f>
        <v>0</v>
      </c>
      <c r="L103" s="20">
        <v>0</v>
      </c>
      <c r="M103" s="20">
        <v>0</v>
      </c>
      <c r="N103" s="61">
        <v>0</v>
      </c>
      <c r="O103" s="20">
        <f>VLOOKUP(J103,'Purchased Material'!$J$178:L397,3,FALSE)</f>
        <v>0</v>
      </c>
      <c r="P103" s="62">
        <f t="shared" si="6"/>
        <v>0</v>
      </c>
    </row>
    <row r="104" spans="2:16" x14ac:dyDescent="0.25">
      <c r="B104" s="141">
        <v>96</v>
      </c>
      <c r="C104" s="599" t="s">
        <v>342</v>
      </c>
      <c r="D104" s="356">
        <f>VLOOKUP(C104,Settings!$B$341:C919,2,FALSE)</f>
        <v>6</v>
      </c>
      <c r="E104" s="141" t="s">
        <v>524</v>
      </c>
      <c r="F104" s="353" t="s">
        <v>619</v>
      </c>
      <c r="G104" s="354" t="str">
        <f>VLOOKUP(F104,Settings!$B$163:D871,3,FALSE)</f>
        <v>R</v>
      </c>
      <c r="H104" s="354">
        <f>VLOOKUP(F104,Settings!$B$163:D870,2,FALSE)</f>
        <v>4</v>
      </c>
      <c r="I104" s="354">
        <f>VLOOKUP(F104,Settings!$B$163:F538,5,FALSE)</f>
        <v>3</v>
      </c>
      <c r="J104" s="353" t="str">
        <f t="shared" si="5"/>
        <v>6-R-96</v>
      </c>
      <c r="K104" s="20">
        <f>VLOOKUP(J104,'Purchased Material'!$J$178:L411,3,FALSE)</f>
        <v>0</v>
      </c>
      <c r="L104" s="20">
        <v>0</v>
      </c>
      <c r="M104" s="20">
        <v>0</v>
      </c>
      <c r="N104" s="61">
        <v>0</v>
      </c>
      <c r="O104" s="20">
        <f>VLOOKUP(J104,'Purchased Material'!$J$178:L411,3,FALSE)</f>
        <v>0</v>
      </c>
      <c r="P104" s="62">
        <f t="shared" si="6"/>
        <v>0</v>
      </c>
    </row>
    <row r="105" spans="2:16" x14ac:dyDescent="0.25">
      <c r="B105" s="141">
        <v>97</v>
      </c>
      <c r="C105" s="599" t="s">
        <v>343</v>
      </c>
      <c r="D105" s="356">
        <f>VLOOKUP(C105,Settings!$B$341:C920,2,FALSE)</f>
        <v>7</v>
      </c>
      <c r="E105" s="141" t="s">
        <v>524</v>
      </c>
      <c r="F105" s="353" t="s">
        <v>619</v>
      </c>
      <c r="G105" s="354" t="str">
        <f>VLOOKUP(F105,Settings!$B$163:D872,3,FALSE)</f>
        <v>R</v>
      </c>
      <c r="H105" s="354">
        <f>VLOOKUP(F105,Settings!$B$163:D871,2,FALSE)</f>
        <v>4</v>
      </c>
      <c r="I105" s="354">
        <f>VLOOKUP(F105,Settings!$B$163:F539,5,FALSE)</f>
        <v>3</v>
      </c>
      <c r="J105" s="353" t="str">
        <f t="shared" ref="J105:J136" si="7">_xlfn.TEXTJOIN("-",,D105,G105,B105)</f>
        <v>7-R-97</v>
      </c>
      <c r="K105" s="20">
        <f>VLOOKUP(J105,'Purchased Material'!$J$178:L419,3,FALSE)</f>
        <v>0</v>
      </c>
      <c r="L105" s="20">
        <v>0</v>
      </c>
      <c r="M105" s="20">
        <v>0</v>
      </c>
      <c r="N105" s="61">
        <v>0</v>
      </c>
      <c r="O105" s="20">
        <f>VLOOKUP(J105,'Purchased Material'!$J$178:L419,3,FALSE)</f>
        <v>0</v>
      </c>
      <c r="P105" s="62">
        <f t="shared" ref="P105:P136" si="8">O105/$O$195</f>
        <v>0</v>
      </c>
    </row>
    <row r="106" spans="2:16" x14ac:dyDescent="0.25">
      <c r="B106" s="141">
        <v>98</v>
      </c>
      <c r="C106" s="599" t="s">
        <v>510</v>
      </c>
      <c r="D106" s="356">
        <f>VLOOKUP(C106,Settings!$B$341:C923,2,FALSE)</f>
        <v>9</v>
      </c>
      <c r="E106" s="141" t="s">
        <v>524</v>
      </c>
      <c r="F106" s="353" t="s">
        <v>619</v>
      </c>
      <c r="G106" s="354" t="str">
        <f>VLOOKUP(F106,Settings!$B$163:D875,3,FALSE)</f>
        <v>R</v>
      </c>
      <c r="H106" s="354">
        <f>VLOOKUP(F106,Settings!$B$163:D874,2,FALSE)</f>
        <v>4</v>
      </c>
      <c r="I106" s="354">
        <f>VLOOKUP(F106,Settings!$B$163:F542,5,FALSE)</f>
        <v>3</v>
      </c>
      <c r="J106" s="353" t="str">
        <f t="shared" si="7"/>
        <v>9-R-98</v>
      </c>
      <c r="K106" s="20">
        <f>VLOOKUP(J106,'Purchased Material'!$J$178:L475,3,FALSE)</f>
        <v>0</v>
      </c>
      <c r="L106" s="20">
        <v>0</v>
      </c>
      <c r="M106" s="20">
        <v>0</v>
      </c>
      <c r="N106" s="61">
        <v>0</v>
      </c>
      <c r="O106" s="20">
        <f>VLOOKUP(J106,'Purchased Material'!$J$178:L475,3,FALSE)</f>
        <v>0</v>
      </c>
      <c r="P106" s="62">
        <f t="shared" si="8"/>
        <v>0</v>
      </c>
    </row>
    <row r="107" spans="2:16" x14ac:dyDescent="0.25">
      <c r="B107" s="141">
        <v>99</v>
      </c>
      <c r="C107" s="141" t="s">
        <v>337</v>
      </c>
      <c r="D107" s="356">
        <f>VLOOKUP(C107,Settings!$B$341:C984,2,FALSE)</f>
        <v>1</v>
      </c>
      <c r="E107" s="302" t="s">
        <v>966</v>
      </c>
      <c r="F107" s="354" t="s">
        <v>966</v>
      </c>
      <c r="G107" s="354" t="str">
        <f>VLOOKUP(F107,Settings!$B$163:D886,3,FALSE)</f>
        <v>L</v>
      </c>
      <c r="H107" s="354">
        <f>VLOOKUP(F107,Settings!$B$163:D885,2,FALSE)</f>
        <v>4</v>
      </c>
      <c r="I107" s="354">
        <f>VLOOKUP(F107,Settings!$B$163:F593,5,FALSE)</f>
        <v>3</v>
      </c>
      <c r="J107" s="353" t="str">
        <f t="shared" si="7"/>
        <v>1-L-99</v>
      </c>
      <c r="K107" s="20">
        <f>VLOOKUP(J107,'Ancillary Input'!$J$309:$L$316,3,FALSE)</f>
        <v>1939.8701799707676</v>
      </c>
      <c r="L107" s="20">
        <v>0</v>
      </c>
      <c r="M107" s="20">
        <v>0</v>
      </c>
      <c r="N107" s="61">
        <v>0</v>
      </c>
      <c r="O107" s="20">
        <f>VLOOKUP(J107,'Ancillary Input'!$J$309:$L$316,3,FALSE)</f>
        <v>1939.8701799707676</v>
      </c>
      <c r="P107" s="62">
        <f t="shared" si="8"/>
        <v>9.6211946118263816E-5</v>
      </c>
    </row>
    <row r="108" spans="2:16" x14ac:dyDescent="0.25">
      <c r="B108" s="141">
        <v>100</v>
      </c>
      <c r="C108" s="141" t="s">
        <v>338</v>
      </c>
      <c r="D108" s="356">
        <f>VLOOKUP(C108,Settings!$B$341:C985,2,FALSE)</f>
        <v>2</v>
      </c>
      <c r="E108" s="302" t="s">
        <v>966</v>
      </c>
      <c r="F108" s="354" t="s">
        <v>966</v>
      </c>
      <c r="G108" s="354" t="str">
        <f>VLOOKUP(F108,Settings!$B$163:D887,3,FALSE)</f>
        <v>L</v>
      </c>
      <c r="H108" s="354">
        <f>VLOOKUP(F108,Settings!$B$163:D886,2,FALSE)</f>
        <v>4</v>
      </c>
      <c r="I108" s="354">
        <f>VLOOKUP(F108,Settings!$B$163:F594,5,FALSE)</f>
        <v>3</v>
      </c>
      <c r="J108" s="353" t="str">
        <f t="shared" si="7"/>
        <v>2-L-100</v>
      </c>
      <c r="K108" s="20">
        <f>VLOOKUP(J108,'Ancillary Input'!$J$309:$L$316,3,FALSE)</f>
        <v>769.60609712308667</v>
      </c>
      <c r="L108" s="20">
        <v>0</v>
      </c>
      <c r="M108" s="20">
        <v>0</v>
      </c>
      <c r="N108" s="61">
        <v>0</v>
      </c>
      <c r="O108" s="20">
        <f>VLOOKUP(J108,'Ancillary Input'!$J$309:$L$316,3,FALSE)</f>
        <v>769.60609712308667</v>
      </c>
      <c r="P108" s="62">
        <f t="shared" si="8"/>
        <v>3.8170234850359695E-5</v>
      </c>
    </row>
    <row r="109" spans="2:16" x14ac:dyDescent="0.25">
      <c r="B109" s="141">
        <v>101</v>
      </c>
      <c r="C109" s="141" t="s">
        <v>339</v>
      </c>
      <c r="D109" s="356">
        <f>VLOOKUP(C109,Settings!$B$341:C986,2,FALSE)</f>
        <v>3</v>
      </c>
      <c r="E109" s="302" t="s">
        <v>966</v>
      </c>
      <c r="F109" s="354" t="s">
        <v>966</v>
      </c>
      <c r="G109" s="354" t="str">
        <f>VLOOKUP(F109,Settings!$B$163:D888,3,FALSE)</f>
        <v>L</v>
      </c>
      <c r="H109" s="354">
        <f>VLOOKUP(F109,Settings!$B$163:D887,2,FALSE)</f>
        <v>4</v>
      </c>
      <c r="I109" s="354">
        <f>VLOOKUP(F109,Settings!$B$163:F595,5,FALSE)</f>
        <v>3</v>
      </c>
      <c r="J109" s="353" t="str">
        <f t="shared" si="7"/>
        <v>3-L-101</v>
      </c>
      <c r="K109" s="20">
        <f>VLOOKUP(J109,'Ancillary Input'!$J$309:$L$316,3,FALSE)</f>
        <v>2775.4875503743638</v>
      </c>
      <c r="L109" s="20">
        <v>0</v>
      </c>
      <c r="M109" s="20">
        <v>0</v>
      </c>
      <c r="N109" s="61">
        <v>0</v>
      </c>
      <c r="O109" s="20">
        <f>VLOOKUP(J109,'Ancillary Input'!$J$309:$L$316,3,FALSE)</f>
        <v>2775.4875503743638</v>
      </c>
      <c r="P109" s="62">
        <f t="shared" si="8"/>
        <v>1.3765614905867276E-4</v>
      </c>
    </row>
    <row r="110" spans="2:16" x14ac:dyDescent="0.25">
      <c r="B110" s="141">
        <v>102</v>
      </c>
      <c r="C110" s="141" t="s">
        <v>340</v>
      </c>
      <c r="D110" s="356">
        <f>VLOOKUP(C110,Settings!$B$341:C987,2,FALSE)</f>
        <v>4</v>
      </c>
      <c r="E110" s="302" t="s">
        <v>966</v>
      </c>
      <c r="F110" s="354" t="s">
        <v>966</v>
      </c>
      <c r="G110" s="354" t="str">
        <f>VLOOKUP(F110,Settings!$B$163:D889,3,FALSE)</f>
        <v>L</v>
      </c>
      <c r="H110" s="354">
        <f>VLOOKUP(F110,Settings!$B$163:D888,2,FALSE)</f>
        <v>4</v>
      </c>
      <c r="I110" s="354">
        <f>VLOOKUP(F110,Settings!$B$163:F596,5,FALSE)</f>
        <v>3</v>
      </c>
      <c r="J110" s="353" t="str">
        <f t="shared" si="7"/>
        <v>4-L-102</v>
      </c>
      <c r="K110" s="20">
        <f>VLOOKUP(J110,'Ancillary Input'!$J$309:$L$316,3,FALSE)</f>
        <v>16455.576966801338</v>
      </c>
      <c r="L110" s="20">
        <v>0</v>
      </c>
      <c r="M110" s="20">
        <v>0</v>
      </c>
      <c r="N110" s="61">
        <v>0</v>
      </c>
      <c r="O110" s="20">
        <f>VLOOKUP(J110,'Ancillary Input'!$J$309:$L$316,3,FALSE)</f>
        <v>16455.576966801338</v>
      </c>
      <c r="P110" s="62">
        <f t="shared" si="8"/>
        <v>8.1614898812388127E-4</v>
      </c>
    </row>
    <row r="111" spans="2:16" x14ac:dyDescent="0.25">
      <c r="B111" s="141">
        <v>103</v>
      </c>
      <c r="C111" s="141" t="s">
        <v>341</v>
      </c>
      <c r="D111" s="356">
        <f>VLOOKUP(C111,Settings!$B$341:C988,2,FALSE)</f>
        <v>5</v>
      </c>
      <c r="E111" s="302" t="s">
        <v>966</v>
      </c>
      <c r="F111" s="354" t="s">
        <v>966</v>
      </c>
      <c r="G111" s="354" t="str">
        <f>VLOOKUP(F111,Settings!$B$163:D890,3,FALSE)</f>
        <v>L</v>
      </c>
      <c r="H111" s="354">
        <f>VLOOKUP(F111,Settings!$B$163:D889,2,FALSE)</f>
        <v>4</v>
      </c>
      <c r="I111" s="354">
        <f>VLOOKUP(F111,Settings!$B$163:F597,5,FALSE)</f>
        <v>3</v>
      </c>
      <c r="J111" s="353" t="str">
        <f t="shared" si="7"/>
        <v>5-L-103</v>
      </c>
      <c r="K111" s="20">
        <f>VLOOKUP(J111,'Ancillary Input'!$J$309:$L$316,3,FALSE)</f>
        <v>3521.9919221481582</v>
      </c>
      <c r="L111" s="20">
        <v>0</v>
      </c>
      <c r="M111" s="20">
        <v>0</v>
      </c>
      <c r="N111" s="61">
        <v>0</v>
      </c>
      <c r="O111" s="20">
        <f>VLOOKUP(J111,'Ancillary Input'!$J$309:$L$316,3,FALSE)</f>
        <v>3521.9919221481582</v>
      </c>
      <c r="P111" s="62">
        <f t="shared" si="8"/>
        <v>1.7468060519791349E-4</v>
      </c>
    </row>
    <row r="112" spans="2:16" x14ac:dyDescent="0.25">
      <c r="B112" s="141">
        <v>104</v>
      </c>
      <c r="C112" s="141" t="s">
        <v>342</v>
      </c>
      <c r="D112" s="356">
        <f>VLOOKUP(C112,Settings!$B$341:C989,2,FALSE)</f>
        <v>6</v>
      </c>
      <c r="E112" s="597" t="s">
        <v>966</v>
      </c>
      <c r="F112" s="354" t="s">
        <v>966</v>
      </c>
      <c r="G112" s="354" t="str">
        <f>VLOOKUP(F112,Settings!$B$163:D891,3,FALSE)</f>
        <v>L</v>
      </c>
      <c r="H112" s="354">
        <f>VLOOKUP(F112,Settings!$B$163:D890,2,FALSE)</f>
        <v>4</v>
      </c>
      <c r="I112" s="354">
        <f>VLOOKUP(F112,Settings!$B$163:F598,5,FALSE)</f>
        <v>3</v>
      </c>
      <c r="J112" s="353" t="str">
        <f t="shared" si="7"/>
        <v>6-L-104</v>
      </c>
      <c r="K112" s="20">
        <f>VLOOKUP(J112,'Ancillary Input'!$J$309:$L$316,3,FALSE)</f>
        <v>229.77619487020402</v>
      </c>
      <c r="L112" s="20">
        <v>0</v>
      </c>
      <c r="M112" s="20">
        <v>0</v>
      </c>
      <c r="N112" s="61">
        <v>0</v>
      </c>
      <c r="O112" s="20">
        <f>VLOOKUP(J112,'Ancillary Input'!$J$309:$L$316,3,FALSE)</f>
        <v>229.77619487020402</v>
      </c>
      <c r="P112" s="62">
        <f t="shared" si="8"/>
        <v>1.1396234195653698E-5</v>
      </c>
    </row>
    <row r="113" spans="2:16" x14ac:dyDescent="0.25">
      <c r="B113" s="141">
        <v>105</v>
      </c>
      <c r="C113" s="141" t="s">
        <v>343</v>
      </c>
      <c r="D113" s="356">
        <f>VLOOKUP(C113,Settings!$B$341:C990,2,FALSE)</f>
        <v>7</v>
      </c>
      <c r="E113" s="597" t="s">
        <v>966</v>
      </c>
      <c r="F113" s="354" t="s">
        <v>966</v>
      </c>
      <c r="G113" s="354" t="str">
        <f>VLOOKUP(F113,Settings!$B$163:D892,3,FALSE)</f>
        <v>L</v>
      </c>
      <c r="H113" s="354">
        <f>VLOOKUP(F113,Settings!$B$163:D891,2,FALSE)</f>
        <v>4</v>
      </c>
      <c r="I113" s="354">
        <f>VLOOKUP(F113,Settings!$B$163:F599,5,FALSE)</f>
        <v>3</v>
      </c>
      <c r="J113" s="353" t="str">
        <f t="shared" si="7"/>
        <v>7-L-105</v>
      </c>
      <c r="K113" s="20">
        <f>VLOOKUP(J113,'Ancillary Input'!$J$309:$L$316,3,FALSE)</f>
        <v>344.38384313053274</v>
      </c>
      <c r="L113" s="20">
        <v>0</v>
      </c>
      <c r="M113" s="20">
        <v>0</v>
      </c>
      <c r="N113" s="61">
        <v>0</v>
      </c>
      <c r="O113" s="20">
        <f>VLOOKUP(J113,'Ancillary Input'!$J$309:$L$316,3,FALSE)</f>
        <v>344.38384313053274</v>
      </c>
      <c r="P113" s="62">
        <f t="shared" si="8"/>
        <v>1.7080441826150829E-5</v>
      </c>
    </row>
    <row r="114" spans="2:16" x14ac:dyDescent="0.25">
      <c r="B114" s="141">
        <v>106</v>
      </c>
      <c r="C114" s="141" t="s">
        <v>510</v>
      </c>
      <c r="D114" s="356">
        <f>VLOOKUP(C114,Settings!$B$341:C991,2,FALSE)</f>
        <v>9</v>
      </c>
      <c r="E114" s="597" t="s">
        <v>966</v>
      </c>
      <c r="F114" s="354" t="s">
        <v>966</v>
      </c>
      <c r="G114" s="354" t="str">
        <f>VLOOKUP(F114,Settings!$B$163:D893,3,FALSE)</f>
        <v>L</v>
      </c>
      <c r="H114" s="354">
        <f>VLOOKUP(F114,Settings!$B$163:D892,2,FALSE)</f>
        <v>4</v>
      </c>
      <c r="I114" s="354">
        <f>VLOOKUP(F114,Settings!$B$163:F600,5,FALSE)</f>
        <v>3</v>
      </c>
      <c r="J114" s="353" t="str">
        <f t="shared" si="7"/>
        <v>9-L-106</v>
      </c>
      <c r="K114" s="20">
        <f>VLOOKUP(J114,'Ancillary Input'!$J$309:$L$316,3,FALSE)</f>
        <v>255.48580509294354</v>
      </c>
      <c r="L114" s="20">
        <v>0</v>
      </c>
      <c r="M114" s="20">
        <v>0</v>
      </c>
      <c r="N114" s="61">
        <v>0</v>
      </c>
      <c r="O114" s="20">
        <f>VLOOKUP(J114,'Ancillary Input'!$J$309:$L$316,3,FALSE)</f>
        <v>255.48580509294354</v>
      </c>
      <c r="P114" s="62">
        <f t="shared" si="8"/>
        <v>1.2671356448169098E-5</v>
      </c>
    </row>
    <row r="115" spans="2:16" x14ac:dyDescent="0.25">
      <c r="B115" s="141">
        <v>107</v>
      </c>
      <c r="C115" s="141" t="s">
        <v>337</v>
      </c>
      <c r="D115" s="356">
        <f>VLOOKUP(C115,Settings!$B$341:C992,2,FALSE)</f>
        <v>1</v>
      </c>
      <c r="E115" s="597" t="s">
        <v>962</v>
      </c>
      <c r="F115" s="354" t="s">
        <v>962</v>
      </c>
      <c r="G115" s="354" t="str">
        <f>VLOOKUP(F115,Settings!$B$163:D894,3,FALSE)</f>
        <v>X</v>
      </c>
      <c r="H115" s="354">
        <f>VLOOKUP(F115,Settings!$B$163:D893,2,FALSE)</f>
        <v>4</v>
      </c>
      <c r="I115" s="354">
        <f>VLOOKUP(F115,Settings!$B$163:F601,5,FALSE)</f>
        <v>3</v>
      </c>
      <c r="J115" s="353" t="str">
        <f t="shared" si="7"/>
        <v>1-X-107</v>
      </c>
      <c r="K115" s="20">
        <f>VLOOKUP(J115,'Purchased Services'!$H$178:$J$185,3,FALSE)</f>
        <v>1884.7867137278188</v>
      </c>
      <c r="L115" s="20">
        <v>0</v>
      </c>
      <c r="M115" s="20">
        <v>0</v>
      </c>
      <c r="N115" s="61">
        <v>0</v>
      </c>
      <c r="O115" s="20">
        <f>VLOOKUP(J115,'Purchased Services'!$H$178:$J$185,3,FALSE)</f>
        <v>1884.7867137278188</v>
      </c>
      <c r="P115" s="62">
        <f t="shared" si="8"/>
        <v>9.347996562756229E-5</v>
      </c>
    </row>
    <row r="116" spans="2:16" x14ac:dyDescent="0.25">
      <c r="B116" s="141">
        <v>108</v>
      </c>
      <c r="C116" s="141" t="s">
        <v>338</v>
      </c>
      <c r="D116" s="356">
        <f>VLOOKUP(C116,Settings!$B$341:C993,2,FALSE)</f>
        <v>2</v>
      </c>
      <c r="E116" s="597" t="s">
        <v>962</v>
      </c>
      <c r="F116" s="354" t="s">
        <v>962</v>
      </c>
      <c r="G116" s="354" t="str">
        <f>VLOOKUP(F116,Settings!$B$163:D895,3,FALSE)</f>
        <v>X</v>
      </c>
      <c r="H116" s="354">
        <f>VLOOKUP(F116,Settings!$B$163:D894,2,FALSE)</f>
        <v>4</v>
      </c>
      <c r="I116" s="354">
        <f>VLOOKUP(F116,Settings!$B$163:F602,5,FALSE)</f>
        <v>3</v>
      </c>
      <c r="J116" s="353" t="str">
        <f t="shared" si="7"/>
        <v>2-X-108</v>
      </c>
      <c r="K116" s="20">
        <f>VLOOKUP(J116,'Purchased Services'!$H$178:$J$185,3,FALSE)</f>
        <v>3881.4481644172224</v>
      </c>
      <c r="L116" s="20">
        <v>0</v>
      </c>
      <c r="M116" s="20">
        <v>0</v>
      </c>
      <c r="N116" s="61">
        <v>0</v>
      </c>
      <c r="O116" s="20">
        <f>VLOOKUP(J116,'Purchased Services'!$H$178:$J$185,3,FALSE)</f>
        <v>3881.4481644172224</v>
      </c>
      <c r="P116" s="62">
        <f t="shared" si="8"/>
        <v>1.9250859439541015E-4</v>
      </c>
    </row>
    <row r="117" spans="2:16" x14ac:dyDescent="0.25">
      <c r="B117" s="141">
        <v>109</v>
      </c>
      <c r="C117" s="141" t="s">
        <v>339</v>
      </c>
      <c r="D117" s="356">
        <f>VLOOKUP(C117,Settings!$B$341:C994,2,FALSE)</f>
        <v>3</v>
      </c>
      <c r="E117" s="597" t="s">
        <v>962</v>
      </c>
      <c r="F117" s="354" t="s">
        <v>962</v>
      </c>
      <c r="G117" s="354" t="str">
        <f>VLOOKUP(F117,Settings!$B$163:D896,3,FALSE)</f>
        <v>X</v>
      </c>
      <c r="H117" s="354">
        <f>VLOOKUP(F117,Settings!$B$163:D895,2,FALSE)</f>
        <v>4</v>
      </c>
      <c r="I117" s="354">
        <f>VLOOKUP(F117,Settings!$B$163:F603,5,FALSE)</f>
        <v>3</v>
      </c>
      <c r="J117" s="353" t="str">
        <f t="shared" si="7"/>
        <v>3-X-109</v>
      </c>
      <c r="K117" s="20">
        <f>VLOOKUP(J117,'Purchased Services'!$H$178:$J$185,3,FALSE)</f>
        <v>512.41088864838275</v>
      </c>
      <c r="L117" s="20">
        <v>0</v>
      </c>
      <c r="M117" s="20">
        <v>0</v>
      </c>
      <c r="N117" s="61">
        <v>0</v>
      </c>
      <c r="O117" s="20">
        <f>VLOOKUP(J117,'Purchased Services'!$H$178:$J$185,3,FALSE)</f>
        <v>512.41088864838275</v>
      </c>
      <c r="P117" s="62">
        <f t="shared" si="8"/>
        <v>2.5414096942194761E-5</v>
      </c>
    </row>
    <row r="118" spans="2:16" x14ac:dyDescent="0.25">
      <c r="B118" s="141">
        <v>110</v>
      </c>
      <c r="C118" s="141" t="s">
        <v>340</v>
      </c>
      <c r="D118" s="356">
        <f>VLOOKUP(C118,Settings!$B$341:C995,2,FALSE)</f>
        <v>4</v>
      </c>
      <c r="E118" s="597" t="s">
        <v>962</v>
      </c>
      <c r="F118" s="354" t="s">
        <v>962</v>
      </c>
      <c r="G118" s="354" t="str">
        <f>VLOOKUP(F118,Settings!$B$163:D897,3,FALSE)</f>
        <v>X</v>
      </c>
      <c r="H118" s="354">
        <f>VLOOKUP(F118,Settings!$B$163:D896,2,FALSE)</f>
        <v>4</v>
      </c>
      <c r="I118" s="354">
        <f>VLOOKUP(F118,Settings!$B$163:F604,5,FALSE)</f>
        <v>3</v>
      </c>
      <c r="J118" s="353" t="str">
        <f t="shared" si="7"/>
        <v>4-X-110</v>
      </c>
      <c r="K118" s="20">
        <f>VLOOKUP(J118,'Purchased Services'!$H$178:$J$185,3,FALSE)</f>
        <v>706.48785841488984</v>
      </c>
      <c r="L118" s="20">
        <v>0</v>
      </c>
      <c r="M118" s="20">
        <v>0</v>
      </c>
      <c r="N118" s="61">
        <v>0</v>
      </c>
      <c r="O118" s="20">
        <f>VLOOKUP(J118,'Purchased Services'!$H$178:$J$185,3,FALSE)</f>
        <v>706.48785841488984</v>
      </c>
      <c r="P118" s="62">
        <f t="shared" si="8"/>
        <v>3.5039752901426257E-5</v>
      </c>
    </row>
    <row r="119" spans="2:16" x14ac:dyDescent="0.25">
      <c r="B119" s="141">
        <v>111</v>
      </c>
      <c r="C119" s="141" t="s">
        <v>341</v>
      </c>
      <c r="D119" s="356">
        <f>VLOOKUP(C119,Settings!$B$341:C996,2,FALSE)</f>
        <v>5</v>
      </c>
      <c r="E119" s="597" t="s">
        <v>962</v>
      </c>
      <c r="F119" s="354" t="s">
        <v>962</v>
      </c>
      <c r="G119" s="354" t="str">
        <f>VLOOKUP(F119,Settings!$B$163:D898,3,FALSE)</f>
        <v>X</v>
      </c>
      <c r="H119" s="354">
        <f>VLOOKUP(F119,Settings!$B$163:D897,2,FALSE)</f>
        <v>4</v>
      </c>
      <c r="I119" s="354">
        <f>VLOOKUP(F119,Settings!$B$163:F605,5,FALSE)</f>
        <v>3</v>
      </c>
      <c r="J119" s="353" t="str">
        <f t="shared" si="7"/>
        <v>5-X-111</v>
      </c>
      <c r="K119" s="20">
        <f>VLOOKUP(J119,'Purchased Services'!$H$178:$J$185,3,FALSE)</f>
        <v>357.98294882292464</v>
      </c>
      <c r="L119" s="20">
        <v>0</v>
      </c>
      <c r="M119" s="20">
        <v>0</v>
      </c>
      <c r="N119" s="61">
        <v>0</v>
      </c>
      <c r="O119" s="20">
        <f>VLOOKUP(J119,'Purchased Services'!$H$178:$J$185,3,FALSE)</f>
        <v>357.98294882292464</v>
      </c>
      <c r="P119" s="62">
        <f t="shared" si="8"/>
        <v>1.7754918106905195E-5</v>
      </c>
    </row>
    <row r="120" spans="2:16" x14ac:dyDescent="0.25">
      <c r="B120" s="141">
        <v>112</v>
      </c>
      <c r="C120" s="141" t="s">
        <v>342</v>
      </c>
      <c r="D120" s="356">
        <f>VLOOKUP(C120,Settings!$B$341:C997,2,FALSE)</f>
        <v>6</v>
      </c>
      <c r="E120" s="597" t="s">
        <v>962</v>
      </c>
      <c r="F120" s="354" t="s">
        <v>962</v>
      </c>
      <c r="G120" s="354" t="str">
        <f>VLOOKUP(F120,Settings!$B$163:D899,3,FALSE)</f>
        <v>X</v>
      </c>
      <c r="H120" s="354">
        <f>VLOOKUP(F120,Settings!$B$163:D898,2,FALSE)</f>
        <v>4</v>
      </c>
      <c r="I120" s="354">
        <f>VLOOKUP(F120,Settings!$B$163:F606,5,FALSE)</f>
        <v>3</v>
      </c>
      <c r="J120" s="353" t="str">
        <f t="shared" si="7"/>
        <v>6-X-112</v>
      </c>
      <c r="K120" s="20">
        <f>VLOOKUP(J120,'Purchased Services'!$H$178:$J$185,3,FALSE)</f>
        <v>7461.7759618323562</v>
      </c>
      <c r="L120" s="20">
        <v>0</v>
      </c>
      <c r="M120" s="20">
        <v>0</v>
      </c>
      <c r="N120" s="61">
        <v>0</v>
      </c>
      <c r="O120" s="20">
        <f>VLOOKUP(J120,'Purchased Services'!$H$178:$J$185,3,FALSE)</f>
        <v>7461.7759618323562</v>
      </c>
      <c r="P120" s="62">
        <f t="shared" si="8"/>
        <v>3.7008249015776365E-4</v>
      </c>
    </row>
    <row r="121" spans="2:16" x14ac:dyDescent="0.25">
      <c r="B121" s="141">
        <v>113</v>
      </c>
      <c r="C121" s="141" t="s">
        <v>343</v>
      </c>
      <c r="D121" s="356">
        <f>VLOOKUP(C121,Settings!$B$341:C998,2,FALSE)</f>
        <v>7</v>
      </c>
      <c r="E121" s="597" t="s">
        <v>962</v>
      </c>
      <c r="F121" s="354" t="s">
        <v>962</v>
      </c>
      <c r="G121" s="354" t="str">
        <f>VLOOKUP(F121,Settings!$B$163:D900,3,FALSE)</f>
        <v>X</v>
      </c>
      <c r="H121" s="354">
        <f>VLOOKUP(F121,Settings!$B$163:D899,2,FALSE)</f>
        <v>4</v>
      </c>
      <c r="I121" s="354">
        <f>VLOOKUP(F121,Settings!$B$163:F607,5,FALSE)</f>
        <v>3</v>
      </c>
      <c r="J121" s="353" t="str">
        <f t="shared" si="7"/>
        <v>7-X-113</v>
      </c>
      <c r="K121" s="20">
        <f>VLOOKUP(J121,'Purchased Services'!$H$178:$J$185,3,FALSE)</f>
        <v>72.53470931330142</v>
      </c>
      <c r="L121" s="20">
        <v>0</v>
      </c>
      <c r="M121" s="20">
        <v>0</v>
      </c>
      <c r="N121" s="61">
        <v>0</v>
      </c>
      <c r="O121" s="20">
        <f>VLOOKUP(J121,'Purchased Services'!$H$178:$J$185,3,FALSE)</f>
        <v>72.53470931330142</v>
      </c>
      <c r="P121" s="62">
        <f t="shared" si="8"/>
        <v>3.5975116356809241E-6</v>
      </c>
    </row>
    <row r="122" spans="2:16" x14ac:dyDescent="0.25">
      <c r="B122" s="141">
        <v>114</v>
      </c>
      <c r="C122" s="141" t="s">
        <v>510</v>
      </c>
      <c r="D122" s="356">
        <f>VLOOKUP(C122,Settings!$B$341:C999,2,FALSE)</f>
        <v>9</v>
      </c>
      <c r="E122" s="597" t="s">
        <v>962</v>
      </c>
      <c r="F122" s="354" t="s">
        <v>962</v>
      </c>
      <c r="G122" s="354" t="str">
        <f>VLOOKUP(F122,Settings!$B$163:D901,3,FALSE)</f>
        <v>X</v>
      </c>
      <c r="H122" s="354">
        <f>VLOOKUP(F122,Settings!$B$163:D900,2,FALSE)</f>
        <v>4</v>
      </c>
      <c r="I122" s="354">
        <f>VLOOKUP(F122,Settings!$B$163:F608,5,FALSE)</f>
        <v>3</v>
      </c>
      <c r="J122" s="353" t="str">
        <f t="shared" si="7"/>
        <v>9-X-114</v>
      </c>
      <c r="K122" s="20">
        <f>VLOOKUP(J122,'Purchased Services'!$H$178:$J$185,3,FALSE)</f>
        <v>105.91347289631776</v>
      </c>
      <c r="L122" s="20">
        <v>0</v>
      </c>
      <c r="M122" s="20">
        <v>0</v>
      </c>
      <c r="N122" s="61">
        <v>0</v>
      </c>
      <c r="O122" s="20">
        <f>VLOOKUP(J122,'Purchased Services'!$H$178:$J$185,3,FALSE)</f>
        <v>105.91347289631776</v>
      </c>
      <c r="P122" s="62">
        <f t="shared" si="8"/>
        <v>5.2530016970786555E-6</v>
      </c>
    </row>
    <row r="123" spans="2:16" x14ac:dyDescent="0.25">
      <c r="B123" s="141">
        <v>115</v>
      </c>
      <c r="C123" s="141" t="s">
        <v>337</v>
      </c>
      <c r="D123" s="356">
        <f>VLOOKUP(C123,Settings!$B$341:C899,2,FALSE)</f>
        <v>1</v>
      </c>
      <c r="E123" s="141" t="s">
        <v>1431</v>
      </c>
      <c r="F123" s="354" t="s">
        <v>1433</v>
      </c>
      <c r="G123" s="354" t="str">
        <f>VLOOKUP(F123,Settings!$B$163:D851,3,FALSE)</f>
        <v>W</v>
      </c>
      <c r="H123" s="354">
        <f>VLOOKUP(F123,Settings!$B$163:D850,2,FALSE)</f>
        <v>1</v>
      </c>
      <c r="I123" s="354">
        <f>VLOOKUP(F123,Settings!$B$163:F194,5,FALSE)</f>
        <v>1</v>
      </c>
      <c r="J123" s="353" t="str">
        <f t="shared" si="7"/>
        <v>1-W-115</v>
      </c>
      <c r="K123" s="20">
        <f>VLOOKUP(J123,Waste!$N$104:$Q$111,4,FALSE)</f>
        <v>58165.407635859294</v>
      </c>
      <c r="L123" s="20">
        <v>0</v>
      </c>
      <c r="M123" s="20">
        <v>0</v>
      </c>
      <c r="N123" s="61">
        <v>0</v>
      </c>
      <c r="O123" s="21">
        <f>VLOOKUP(J123,Waste!$N$104:$Q$111,4,FALSE)</f>
        <v>58165.407635859294</v>
      </c>
      <c r="P123" s="62">
        <f t="shared" si="8"/>
        <v>2.8848358633423994E-3</v>
      </c>
    </row>
    <row r="124" spans="2:16" x14ac:dyDescent="0.25">
      <c r="B124" s="141">
        <v>116</v>
      </c>
      <c r="C124" s="141" t="s">
        <v>338</v>
      </c>
      <c r="D124" s="356">
        <f>VLOOKUP(C124,Settings!$B$341:C900,2,FALSE)</f>
        <v>2</v>
      </c>
      <c r="E124" s="141" t="s">
        <v>1431</v>
      </c>
      <c r="F124" s="354" t="s">
        <v>1433</v>
      </c>
      <c r="G124" s="354" t="str">
        <f>VLOOKUP(F124,Settings!$B$163:D852,3,FALSE)</f>
        <v>W</v>
      </c>
      <c r="H124" s="354">
        <f>VLOOKUP(F124,Settings!$B$163:D851,2,FALSE)</f>
        <v>1</v>
      </c>
      <c r="I124" s="354">
        <f>VLOOKUP(F124,Settings!$B$163:F230,5,FALSE)</f>
        <v>1</v>
      </c>
      <c r="J124" s="353" t="str">
        <f t="shared" si="7"/>
        <v>2-W-116</v>
      </c>
      <c r="K124" s="20">
        <f>VLOOKUP(J124,Waste!$N$104:$Q$111,4,FALSE)</f>
        <v>32351.555774124918</v>
      </c>
      <c r="L124" s="20">
        <v>0</v>
      </c>
      <c r="M124" s="20">
        <v>0</v>
      </c>
      <c r="N124" s="61">
        <v>0</v>
      </c>
      <c r="O124" s="21">
        <f>VLOOKUP(J124,Waste!$N$104:$Q$111,4,FALSE)</f>
        <v>32351.555774124918</v>
      </c>
      <c r="P124" s="62">
        <f t="shared" si="8"/>
        <v>1.6045435272524361E-3</v>
      </c>
    </row>
    <row r="125" spans="2:16" x14ac:dyDescent="0.25">
      <c r="B125" s="141">
        <v>117</v>
      </c>
      <c r="C125" s="141" t="s">
        <v>339</v>
      </c>
      <c r="D125" s="356">
        <f>VLOOKUP(C125,Settings!$B$341:C901,2,FALSE)</f>
        <v>3</v>
      </c>
      <c r="E125" s="141" t="s">
        <v>1431</v>
      </c>
      <c r="F125" s="354" t="s">
        <v>1433</v>
      </c>
      <c r="G125" s="354" t="str">
        <f>VLOOKUP(F125,Settings!$B$163:D853,3,FALSE)</f>
        <v>W</v>
      </c>
      <c r="H125" s="354">
        <f>VLOOKUP(F125,Settings!$B$163:D852,2,FALSE)</f>
        <v>1</v>
      </c>
      <c r="I125" s="354">
        <f>VLOOKUP(F125,Settings!$B$163:F280,5,FALSE)</f>
        <v>1</v>
      </c>
      <c r="J125" s="353" t="str">
        <f t="shared" si="7"/>
        <v>3-W-117</v>
      </c>
      <c r="K125" s="20">
        <f>VLOOKUP(J125,Waste!$N$104:$Q$111,4,FALSE)</f>
        <v>0</v>
      </c>
      <c r="L125" s="20">
        <v>0</v>
      </c>
      <c r="M125" s="20">
        <v>0</v>
      </c>
      <c r="N125" s="61">
        <v>0</v>
      </c>
      <c r="O125" s="21">
        <f>VLOOKUP(J125,Waste!$N$104:$Q$111,4,FALSE)</f>
        <v>0</v>
      </c>
      <c r="P125" s="62">
        <f t="shared" si="8"/>
        <v>0</v>
      </c>
    </row>
    <row r="126" spans="2:16" x14ac:dyDescent="0.25">
      <c r="B126" s="141">
        <v>118</v>
      </c>
      <c r="C126" s="141" t="s">
        <v>340</v>
      </c>
      <c r="D126" s="356">
        <f>VLOOKUP(C126,Settings!$B$341:C902,2,FALSE)</f>
        <v>4</v>
      </c>
      <c r="E126" s="141" t="s">
        <v>1431</v>
      </c>
      <c r="F126" s="354" t="s">
        <v>1433</v>
      </c>
      <c r="G126" s="354" t="str">
        <f>VLOOKUP(F126,Settings!$B$163:D854,3,FALSE)</f>
        <v>W</v>
      </c>
      <c r="H126" s="354">
        <f>VLOOKUP(F126,Settings!$B$163:D853,2,FALSE)</f>
        <v>1</v>
      </c>
      <c r="I126" s="354">
        <f>VLOOKUP(F126,Settings!$B$163:F395,5,FALSE)</f>
        <v>1</v>
      </c>
      <c r="J126" s="353" t="str">
        <f t="shared" si="7"/>
        <v>4-W-118</v>
      </c>
      <c r="K126" s="20">
        <f>VLOOKUP(J126,Waste!$N$104:$Q$111,4,FALSE)</f>
        <v>0</v>
      </c>
      <c r="L126" s="20">
        <v>0</v>
      </c>
      <c r="M126" s="20">
        <v>0</v>
      </c>
      <c r="N126" s="61">
        <v>0</v>
      </c>
      <c r="O126" s="21">
        <f>VLOOKUP(J126,Waste!$N$104:$Q$111,4,FALSE)</f>
        <v>0</v>
      </c>
      <c r="P126" s="62">
        <f t="shared" si="8"/>
        <v>0</v>
      </c>
    </row>
    <row r="127" spans="2:16" x14ac:dyDescent="0.25">
      <c r="B127" s="141">
        <v>119</v>
      </c>
      <c r="C127" s="141" t="s">
        <v>341</v>
      </c>
      <c r="D127" s="356">
        <f>VLOOKUP(C127,Settings!$B$341:C903,2,FALSE)</f>
        <v>5</v>
      </c>
      <c r="E127" s="141" t="s">
        <v>1431</v>
      </c>
      <c r="F127" s="354" t="s">
        <v>1433</v>
      </c>
      <c r="G127" s="354" t="str">
        <f>VLOOKUP(F127,Settings!$B$163:D855,3,FALSE)</f>
        <v>W</v>
      </c>
      <c r="H127" s="354">
        <f>VLOOKUP(F127,Settings!$B$163:D854,2,FALSE)</f>
        <v>1</v>
      </c>
      <c r="I127" s="354">
        <f>VLOOKUP(F127,Settings!$B$163:F448,5,FALSE)</f>
        <v>1</v>
      </c>
      <c r="J127" s="353" t="str">
        <f t="shared" si="7"/>
        <v>5-W-119</v>
      </c>
      <c r="K127" s="20">
        <f>VLOOKUP(J127,Waste!$N$104:$Q$111,4,FALSE)</f>
        <v>0</v>
      </c>
      <c r="L127" s="20">
        <v>0</v>
      </c>
      <c r="M127" s="20">
        <v>0</v>
      </c>
      <c r="N127" s="61">
        <v>0</v>
      </c>
      <c r="O127" s="21">
        <f>VLOOKUP(J127,Waste!$N$104:$Q$111,4,FALSE)</f>
        <v>0</v>
      </c>
      <c r="P127" s="62">
        <f t="shared" si="8"/>
        <v>0</v>
      </c>
    </row>
    <row r="128" spans="2:16" x14ac:dyDescent="0.25">
      <c r="B128" s="141">
        <v>120</v>
      </c>
      <c r="C128" s="599" t="s">
        <v>342</v>
      </c>
      <c r="D128" s="356">
        <f>VLOOKUP(C128,Settings!$B$341:C904,2,FALSE)</f>
        <v>6</v>
      </c>
      <c r="E128" s="141" t="s">
        <v>1431</v>
      </c>
      <c r="F128" s="354" t="s">
        <v>1433</v>
      </c>
      <c r="G128" s="354" t="str">
        <f>VLOOKUP(F128,Settings!$B$163:D856,3,FALSE)</f>
        <v>W</v>
      </c>
      <c r="H128" s="354">
        <f>VLOOKUP(F128,Settings!$B$163:D855,2,FALSE)</f>
        <v>1</v>
      </c>
      <c r="I128" s="354">
        <f>VLOOKUP(F128,Settings!$B$163:F468,5,FALSE)</f>
        <v>1</v>
      </c>
      <c r="J128" s="353" t="str">
        <f t="shared" si="7"/>
        <v>6-W-120</v>
      </c>
      <c r="K128" s="20">
        <f>VLOOKUP(J128,Waste!$N$104:$Q$111,4,FALSE)</f>
        <v>0</v>
      </c>
      <c r="L128" s="20">
        <v>0</v>
      </c>
      <c r="M128" s="20">
        <v>0</v>
      </c>
      <c r="N128" s="61">
        <v>0</v>
      </c>
      <c r="O128" s="21">
        <f>VLOOKUP(J128,Waste!$N$104:$Q$111,4,FALSE)</f>
        <v>0</v>
      </c>
      <c r="P128" s="62">
        <f t="shared" si="8"/>
        <v>0</v>
      </c>
    </row>
    <row r="129" spans="2:16" x14ac:dyDescent="0.25">
      <c r="B129" s="141">
        <v>121</v>
      </c>
      <c r="C129" s="599" t="s">
        <v>343</v>
      </c>
      <c r="D129" s="356">
        <f>VLOOKUP(C129,Settings!$B$341:C905,2,FALSE)</f>
        <v>7</v>
      </c>
      <c r="E129" s="141" t="s">
        <v>1431</v>
      </c>
      <c r="F129" s="354" t="s">
        <v>1433</v>
      </c>
      <c r="G129" s="354" t="str">
        <f>VLOOKUP(F129,Settings!$B$163:D857,3,FALSE)</f>
        <v>W</v>
      </c>
      <c r="H129" s="354">
        <f>VLOOKUP(F129,Settings!$B$163:D856,2,FALSE)</f>
        <v>1</v>
      </c>
      <c r="I129" s="354">
        <f>VLOOKUP(F129,Settings!$B$163:F475,5,FALSE)</f>
        <v>1</v>
      </c>
      <c r="J129" s="353" t="str">
        <f t="shared" si="7"/>
        <v>7-W-121</v>
      </c>
      <c r="K129" s="20">
        <f>VLOOKUP(J129,Waste!$N$104:$Q$111,4,FALSE)</f>
        <v>0</v>
      </c>
      <c r="L129" s="20">
        <v>0</v>
      </c>
      <c r="M129" s="20">
        <v>0</v>
      </c>
      <c r="N129" s="61">
        <v>0</v>
      </c>
      <c r="O129" s="21">
        <f>VLOOKUP(J129,Waste!$N$104:$Q$111,4,FALSE)</f>
        <v>0</v>
      </c>
      <c r="P129" s="62">
        <f t="shared" si="8"/>
        <v>0</v>
      </c>
    </row>
    <row r="130" spans="2:16" x14ac:dyDescent="0.25">
      <c r="B130" s="141">
        <v>122</v>
      </c>
      <c r="C130" s="599" t="s">
        <v>510</v>
      </c>
      <c r="D130" s="356">
        <f>VLOOKUP(C130,Settings!$B$341:C907,2,FALSE)</f>
        <v>9</v>
      </c>
      <c r="E130" s="141" t="s">
        <v>1431</v>
      </c>
      <c r="F130" s="354" t="s">
        <v>1433</v>
      </c>
      <c r="G130" s="354" t="str">
        <f>VLOOKUP(F130,Settings!$B$163:D859,3,FALSE)</f>
        <v>W</v>
      </c>
      <c r="H130" s="354">
        <f>VLOOKUP(F130,Settings!$B$163:D858,2,FALSE)</f>
        <v>1</v>
      </c>
      <c r="I130" s="354">
        <f>VLOOKUP(F130,Settings!$B$163:F530,5,FALSE)</f>
        <v>1</v>
      </c>
      <c r="J130" s="353" t="str">
        <f t="shared" si="7"/>
        <v>9-W-122</v>
      </c>
      <c r="K130" s="20">
        <f>VLOOKUP(J130,Waste!$N$104:$Q$111,4,FALSE)</f>
        <v>0</v>
      </c>
      <c r="L130" s="20">
        <v>0</v>
      </c>
      <c r="M130" s="20">
        <v>0</v>
      </c>
      <c r="N130" s="61">
        <v>0</v>
      </c>
      <c r="O130" s="21">
        <f>VLOOKUP(J130,Waste!$N$104:$Q$111,4,FALSE)</f>
        <v>0</v>
      </c>
      <c r="P130" s="62">
        <f t="shared" si="8"/>
        <v>0</v>
      </c>
    </row>
    <row r="131" spans="2:16" x14ac:dyDescent="0.25">
      <c r="B131" s="141">
        <v>123</v>
      </c>
      <c r="C131" s="141" t="s">
        <v>337</v>
      </c>
      <c r="D131" s="356">
        <f>VLOOKUP(C131,Settings!$B$341:C989,2,FALSE)</f>
        <v>1</v>
      </c>
      <c r="E131" s="597" t="s">
        <v>1432</v>
      </c>
      <c r="F131" s="354" t="s">
        <v>1434</v>
      </c>
      <c r="G131" s="354" t="str">
        <f>VLOOKUP(F131,Settings!$B$163:D891,3,FALSE)</f>
        <v>Z</v>
      </c>
      <c r="H131" s="354">
        <f>VLOOKUP(F131,Settings!$B$163:D890,2,FALSE)</f>
        <v>4</v>
      </c>
      <c r="I131" s="354">
        <f>VLOOKUP(F131,Settings!$B$163:F598,5,FALSE)</f>
        <v>3</v>
      </c>
      <c r="J131" s="353" t="str">
        <f t="shared" si="7"/>
        <v>1-Z-123</v>
      </c>
      <c r="K131" s="20">
        <f>VLOOKUP(J131,Waste!$O$104:$R$111,4,FALSE)</f>
        <v>0</v>
      </c>
      <c r="L131" s="20">
        <v>0</v>
      </c>
      <c r="M131" s="20">
        <v>0</v>
      </c>
      <c r="N131" s="61">
        <v>0</v>
      </c>
      <c r="O131" s="20">
        <f>VLOOKUP(J131,Waste!$O$104:$R$111,4,FALSE)</f>
        <v>0</v>
      </c>
      <c r="P131" s="62">
        <f t="shared" si="8"/>
        <v>0</v>
      </c>
    </row>
    <row r="132" spans="2:16" x14ac:dyDescent="0.25">
      <c r="B132" s="141">
        <v>124</v>
      </c>
      <c r="C132" s="141" t="s">
        <v>338</v>
      </c>
      <c r="D132" s="356">
        <f>VLOOKUP(C132,Settings!$B$341:C990,2,FALSE)</f>
        <v>2</v>
      </c>
      <c r="E132" s="597" t="s">
        <v>1432</v>
      </c>
      <c r="F132" s="354" t="s">
        <v>1434</v>
      </c>
      <c r="G132" s="354" t="str">
        <f>VLOOKUP(F132,Settings!$B$163:D892,3,FALSE)</f>
        <v>Z</v>
      </c>
      <c r="H132" s="354">
        <f>VLOOKUP(F132,Settings!$B$163:D891,2,FALSE)</f>
        <v>4</v>
      </c>
      <c r="I132" s="354">
        <f>VLOOKUP(F132,Settings!$B$163:F599,5,FALSE)</f>
        <v>3</v>
      </c>
      <c r="J132" s="353" t="str">
        <f t="shared" si="7"/>
        <v>2-Z-124</v>
      </c>
      <c r="K132" s="20">
        <f>VLOOKUP(J132,Waste!$O$104:$R$111,4,FALSE)</f>
        <v>3747.1915618722205</v>
      </c>
      <c r="L132" s="20">
        <v>0</v>
      </c>
      <c r="M132" s="20">
        <v>0</v>
      </c>
      <c r="N132" s="61">
        <v>0</v>
      </c>
      <c r="O132" s="20">
        <f>VLOOKUP(J132,Waste!$O$104:$R$111,4,FALSE)</f>
        <v>3747.1915618722205</v>
      </c>
      <c r="P132" s="62">
        <f t="shared" si="8"/>
        <v>1.858498555048131E-4</v>
      </c>
    </row>
    <row r="133" spans="2:16" x14ac:dyDescent="0.25">
      <c r="B133" s="141">
        <v>125</v>
      </c>
      <c r="C133" s="141" t="s">
        <v>339</v>
      </c>
      <c r="D133" s="356">
        <f>VLOOKUP(C133,Settings!$B$341:C991,2,FALSE)</f>
        <v>3</v>
      </c>
      <c r="E133" s="597" t="s">
        <v>1432</v>
      </c>
      <c r="F133" s="354" t="s">
        <v>1434</v>
      </c>
      <c r="G133" s="354" t="str">
        <f>VLOOKUP(F133,Settings!$B$163:D893,3,FALSE)</f>
        <v>Z</v>
      </c>
      <c r="H133" s="354">
        <f>VLOOKUP(F133,Settings!$B$163:D892,2,FALSE)</f>
        <v>4</v>
      </c>
      <c r="I133" s="354">
        <f>VLOOKUP(F133,Settings!$B$163:F600,5,FALSE)</f>
        <v>3</v>
      </c>
      <c r="J133" s="353" t="str">
        <f t="shared" si="7"/>
        <v>3-Z-125</v>
      </c>
      <c r="K133" s="20">
        <f>VLOOKUP(J133,Waste!$O$104:$R$111,4,FALSE)</f>
        <v>87.330930642949994</v>
      </c>
      <c r="L133" s="20">
        <v>0</v>
      </c>
      <c r="M133" s="20">
        <v>0</v>
      </c>
      <c r="N133" s="61">
        <v>0</v>
      </c>
      <c r="O133" s="20">
        <f>VLOOKUP(J133,Waste!$O$104:$R$111,4,FALSE)</f>
        <v>87.330930642949994</v>
      </c>
      <c r="P133" s="62">
        <f t="shared" si="8"/>
        <v>4.3313613870820753E-6</v>
      </c>
    </row>
    <row r="134" spans="2:16" x14ac:dyDescent="0.25">
      <c r="B134" s="141">
        <v>126</v>
      </c>
      <c r="C134" s="141" t="s">
        <v>340</v>
      </c>
      <c r="D134" s="356">
        <f>VLOOKUP(C134,Settings!$B$341:C992,2,FALSE)</f>
        <v>4</v>
      </c>
      <c r="E134" s="597" t="s">
        <v>1432</v>
      </c>
      <c r="F134" s="354" t="s">
        <v>1434</v>
      </c>
      <c r="G134" s="354" t="str">
        <f>VLOOKUP(F134,Settings!$B$163:D894,3,FALSE)</f>
        <v>Z</v>
      </c>
      <c r="H134" s="354">
        <f>VLOOKUP(F134,Settings!$B$163:D893,2,FALSE)</f>
        <v>4</v>
      </c>
      <c r="I134" s="354">
        <f>VLOOKUP(F134,Settings!$B$163:F601,5,FALSE)</f>
        <v>3</v>
      </c>
      <c r="J134" s="353" t="str">
        <f t="shared" si="7"/>
        <v>4-Z-126</v>
      </c>
      <c r="K134" s="20">
        <f>VLOOKUP(J134,Waste!$O$104:$R$111,4,FALSE)</f>
        <v>9.1486173323500015</v>
      </c>
      <c r="L134" s="20">
        <v>0</v>
      </c>
      <c r="M134" s="20">
        <v>0</v>
      </c>
      <c r="N134" s="61">
        <v>0</v>
      </c>
      <c r="O134" s="20">
        <f>VLOOKUP(J134,Waste!$O$104:$R$111,4,FALSE)</f>
        <v>9.1486173323500015</v>
      </c>
      <c r="P134" s="62">
        <f t="shared" si="8"/>
        <v>4.537449397000045E-7</v>
      </c>
    </row>
    <row r="135" spans="2:16" x14ac:dyDescent="0.25">
      <c r="B135" s="141">
        <v>127</v>
      </c>
      <c r="C135" s="141" t="s">
        <v>341</v>
      </c>
      <c r="D135" s="356">
        <f>VLOOKUP(C135,Settings!$B$341:C993,2,FALSE)</f>
        <v>5</v>
      </c>
      <c r="E135" s="597" t="s">
        <v>1432</v>
      </c>
      <c r="F135" s="354" t="s">
        <v>1434</v>
      </c>
      <c r="G135" s="354" t="str">
        <f>VLOOKUP(F135,Settings!$B$163:D895,3,FALSE)</f>
        <v>Z</v>
      </c>
      <c r="H135" s="354">
        <f>VLOOKUP(F135,Settings!$B$163:D894,2,FALSE)</f>
        <v>4</v>
      </c>
      <c r="I135" s="354">
        <f>VLOOKUP(F135,Settings!$B$163:F602,5,FALSE)</f>
        <v>3</v>
      </c>
      <c r="J135" s="353" t="str">
        <f t="shared" si="7"/>
        <v>5-Z-127</v>
      </c>
      <c r="K135" s="20">
        <f>VLOOKUP(J135,Waste!$O$104:$R$111,4,FALSE)</f>
        <v>0</v>
      </c>
      <c r="L135" s="20">
        <v>0</v>
      </c>
      <c r="M135" s="20">
        <v>0</v>
      </c>
      <c r="N135" s="61">
        <v>0</v>
      </c>
      <c r="O135" s="20">
        <f>VLOOKUP(J135,Waste!$O$104:$R$111,4,FALSE)</f>
        <v>0</v>
      </c>
      <c r="P135" s="62">
        <f t="shared" si="8"/>
        <v>0</v>
      </c>
    </row>
    <row r="136" spans="2:16" x14ac:dyDescent="0.25">
      <c r="B136" s="141">
        <v>128</v>
      </c>
      <c r="C136" s="141" t="s">
        <v>342</v>
      </c>
      <c r="D136" s="356">
        <f>VLOOKUP(C136,Settings!$B$341:C994,2,FALSE)</f>
        <v>6</v>
      </c>
      <c r="E136" s="597" t="s">
        <v>1432</v>
      </c>
      <c r="F136" s="354" t="s">
        <v>1434</v>
      </c>
      <c r="G136" s="354" t="str">
        <f>VLOOKUP(F136,Settings!$B$163:D896,3,FALSE)</f>
        <v>Z</v>
      </c>
      <c r="H136" s="354">
        <f>VLOOKUP(F136,Settings!$B$163:D895,2,FALSE)</f>
        <v>4</v>
      </c>
      <c r="I136" s="354">
        <f>VLOOKUP(F136,Settings!$B$163:F603,5,FALSE)</f>
        <v>3</v>
      </c>
      <c r="J136" s="353" t="str">
        <f t="shared" si="7"/>
        <v>6-Z-128</v>
      </c>
      <c r="K136" s="20">
        <f>VLOOKUP(J136,Waste!$O$104:$R$111,4,FALSE)</f>
        <v>0</v>
      </c>
      <c r="L136" s="20">
        <v>0</v>
      </c>
      <c r="M136" s="20">
        <v>0</v>
      </c>
      <c r="N136" s="61">
        <v>0</v>
      </c>
      <c r="O136" s="20">
        <f>VLOOKUP(J136,Waste!$O$104:$R$111,4,FALSE)</f>
        <v>0</v>
      </c>
      <c r="P136" s="62">
        <f t="shared" si="8"/>
        <v>0</v>
      </c>
    </row>
    <row r="137" spans="2:16" x14ac:dyDescent="0.25">
      <c r="B137" s="141">
        <v>129</v>
      </c>
      <c r="C137" s="141" t="s">
        <v>343</v>
      </c>
      <c r="D137" s="356">
        <f>VLOOKUP(C137,Settings!$B$341:C995,2,FALSE)</f>
        <v>7</v>
      </c>
      <c r="E137" s="597" t="s">
        <v>1432</v>
      </c>
      <c r="F137" s="354" t="s">
        <v>1434</v>
      </c>
      <c r="G137" s="354" t="str">
        <f>VLOOKUP(F137,Settings!$B$163:D897,3,FALSE)</f>
        <v>Z</v>
      </c>
      <c r="H137" s="354">
        <f>VLOOKUP(F137,Settings!$B$163:D896,2,FALSE)</f>
        <v>4</v>
      </c>
      <c r="I137" s="354">
        <f>VLOOKUP(F137,Settings!$B$163:F604,5,FALSE)</f>
        <v>3</v>
      </c>
      <c r="J137" s="353" t="str">
        <f t="shared" ref="J137:J168" si="9">_xlfn.TEXTJOIN("-",,D137,G137,B137)</f>
        <v>7-Z-129</v>
      </c>
      <c r="K137" s="20">
        <f>VLOOKUP(J137,Waste!$O$104:$R$111,4,FALSE)</f>
        <v>0</v>
      </c>
      <c r="L137" s="20">
        <v>0</v>
      </c>
      <c r="M137" s="20">
        <v>0</v>
      </c>
      <c r="N137" s="61">
        <v>0</v>
      </c>
      <c r="O137" s="20">
        <f>VLOOKUP(J137,Waste!$O$104:$R$111,4,FALSE)</f>
        <v>0</v>
      </c>
      <c r="P137" s="62">
        <f t="shared" ref="P137:P168" si="10">O137/$O$195</f>
        <v>0</v>
      </c>
    </row>
    <row r="138" spans="2:16" x14ac:dyDescent="0.25">
      <c r="B138" s="141">
        <v>130</v>
      </c>
      <c r="C138" s="141" t="s">
        <v>510</v>
      </c>
      <c r="D138" s="356">
        <f>VLOOKUP(C138,Settings!$B$341:C986,2,FALSE)</f>
        <v>9</v>
      </c>
      <c r="E138" s="597" t="s">
        <v>1432</v>
      </c>
      <c r="F138" s="354" t="s">
        <v>1434</v>
      </c>
      <c r="G138" s="354" t="str">
        <f>VLOOKUP(F138,Settings!$B$163:D888,3,FALSE)</f>
        <v>Z</v>
      </c>
      <c r="H138" s="354">
        <f>VLOOKUP(F138,Settings!$B$163:D887,2,FALSE)</f>
        <v>4</v>
      </c>
      <c r="I138" s="354">
        <f>VLOOKUP(F138,Settings!$B$163:F595,5,FALSE)</f>
        <v>3</v>
      </c>
      <c r="J138" s="353" t="str">
        <f t="shared" si="9"/>
        <v>9-Z-130</v>
      </c>
      <c r="K138" s="20">
        <f>VLOOKUP(J138,Waste!$O$104:$R$111,4,FALSE)</f>
        <v>0</v>
      </c>
      <c r="L138" s="20">
        <v>0</v>
      </c>
      <c r="M138" s="20">
        <v>0</v>
      </c>
      <c r="N138" s="61">
        <v>0</v>
      </c>
      <c r="O138" s="20">
        <f>VLOOKUP(J138,Waste!$O$104:$R$111,4,FALSE)</f>
        <v>0</v>
      </c>
      <c r="P138" s="62">
        <f t="shared" si="10"/>
        <v>0</v>
      </c>
    </row>
    <row r="139" spans="2:16" x14ac:dyDescent="0.25">
      <c r="B139" s="141">
        <v>131</v>
      </c>
      <c r="C139" s="141" t="s">
        <v>337</v>
      </c>
      <c r="D139" s="356">
        <f>VLOOKUP(C139,Settings!$B$341:C1000,2,FALSE)</f>
        <v>1</v>
      </c>
      <c r="E139" s="302" t="s">
        <v>1156</v>
      </c>
      <c r="F139" s="354" t="s">
        <v>1123</v>
      </c>
      <c r="G139" s="354" t="str">
        <f>VLOOKUP(F139,Settings!$B$163:D902,3,FALSE)</f>
        <v>Y</v>
      </c>
      <c r="H139" s="354">
        <f>VLOOKUP(F139,Settings!$B$163:D901,2,FALSE)</f>
        <v>1</v>
      </c>
      <c r="I139" s="354">
        <f>VLOOKUP(F139,Settings!$B$163:F609,5,FALSE)</f>
        <v>1</v>
      </c>
      <c r="J139" s="353" t="str">
        <f t="shared" si="9"/>
        <v>1-Y-131</v>
      </c>
      <c r="K139" s="20">
        <v>0</v>
      </c>
      <c r="L139" s="20">
        <f>VLOOKUP(J139,Wastewater!$F$118:$I$125,3,FALSE)</f>
        <v>7.3514767980602045</v>
      </c>
      <c r="M139" s="20">
        <v>0</v>
      </c>
      <c r="N139" s="61">
        <v>0</v>
      </c>
      <c r="O139" s="20">
        <f>VLOOKUP(J139,Wastewater!$F$118:$I$125,4,FALSE)</f>
        <v>198.48987354762554</v>
      </c>
      <c r="P139" s="62">
        <f t="shared" si="10"/>
        <v>9.8445232139569903E-6</v>
      </c>
    </row>
    <row r="140" spans="2:16" x14ac:dyDescent="0.25">
      <c r="B140" s="141">
        <v>132</v>
      </c>
      <c r="C140" s="141" t="s">
        <v>338</v>
      </c>
      <c r="D140" s="356">
        <f>VLOOKUP(C140,Settings!$B$341:C1001,2,FALSE)</f>
        <v>2</v>
      </c>
      <c r="E140" s="302" t="s">
        <v>1156</v>
      </c>
      <c r="F140" s="354" t="s">
        <v>1123</v>
      </c>
      <c r="G140" s="354" t="str">
        <f>VLOOKUP(F140,Settings!$B$163:D903,3,FALSE)</f>
        <v>Y</v>
      </c>
      <c r="H140" s="354">
        <f>VLOOKUP(F140,Settings!$B$163:D902,2,FALSE)</f>
        <v>1</v>
      </c>
      <c r="I140" s="354">
        <f>VLOOKUP(F140,Settings!$B$163:F610,5,FALSE)</f>
        <v>1</v>
      </c>
      <c r="J140" s="353" t="str">
        <f t="shared" si="9"/>
        <v>2-Y-132</v>
      </c>
      <c r="K140" s="20">
        <v>0</v>
      </c>
      <c r="L140" s="20">
        <f>VLOOKUP(J140,Wastewater!$F$118:$I$125,3,FALSE)</f>
        <v>5.4587290129363835</v>
      </c>
      <c r="M140" s="20">
        <v>0</v>
      </c>
      <c r="N140" s="61">
        <v>0</v>
      </c>
      <c r="O140" s="20">
        <f>VLOOKUP(J140,Wastewater!$F$118:$I$125,4,FALSE)</f>
        <v>147.38568334928237</v>
      </c>
      <c r="P140" s="62">
        <f t="shared" si="10"/>
        <v>7.3099032973527821E-6</v>
      </c>
    </row>
    <row r="141" spans="2:16" x14ac:dyDescent="0.25">
      <c r="B141" s="141">
        <v>133</v>
      </c>
      <c r="C141" s="141" t="s">
        <v>339</v>
      </c>
      <c r="D141" s="356">
        <f>VLOOKUP(C141,Settings!$B$341:C1002,2,FALSE)</f>
        <v>3</v>
      </c>
      <c r="E141" s="302" t="s">
        <v>1156</v>
      </c>
      <c r="F141" s="354" t="s">
        <v>1123</v>
      </c>
      <c r="G141" s="354" t="str">
        <f>VLOOKUP(F141,Settings!$B$163:D904,3,FALSE)</f>
        <v>Y</v>
      </c>
      <c r="H141" s="354">
        <f>VLOOKUP(F141,Settings!$B$163:D903,2,FALSE)</f>
        <v>1</v>
      </c>
      <c r="I141" s="354">
        <f>VLOOKUP(F141,Settings!$B$163:F611,5,FALSE)</f>
        <v>1</v>
      </c>
      <c r="J141" s="353" t="str">
        <f t="shared" si="9"/>
        <v>3-Y-133</v>
      </c>
      <c r="K141" s="20">
        <v>0</v>
      </c>
      <c r="L141" s="20">
        <f>VLOOKUP(J141,Wastewater!$F$118:$I$125,3,FALSE)</f>
        <v>0.85370400911952404</v>
      </c>
      <c r="M141" s="20">
        <v>0</v>
      </c>
      <c r="N141" s="61">
        <v>0</v>
      </c>
      <c r="O141" s="20">
        <f>VLOOKUP(J141,Wastewater!$F$118:$I$125,4,FALSE)</f>
        <v>23.050008246227147</v>
      </c>
      <c r="P141" s="62">
        <f t="shared" si="10"/>
        <v>1.1432136924982072E-6</v>
      </c>
    </row>
    <row r="142" spans="2:16" x14ac:dyDescent="0.25">
      <c r="B142" s="141">
        <v>134</v>
      </c>
      <c r="C142" s="141" t="s">
        <v>340</v>
      </c>
      <c r="D142" s="356">
        <f>VLOOKUP(C142,Settings!$B$341:C1003,2,FALSE)</f>
        <v>4</v>
      </c>
      <c r="E142" s="302" t="s">
        <v>1156</v>
      </c>
      <c r="F142" s="354" t="s">
        <v>1123</v>
      </c>
      <c r="G142" s="354" t="str">
        <f>VLOOKUP(F142,Settings!$B$163:D905,3,FALSE)</f>
        <v>Y</v>
      </c>
      <c r="H142" s="354">
        <f>VLOOKUP(F142,Settings!$B$163:D904,2,FALSE)</f>
        <v>1</v>
      </c>
      <c r="I142" s="354">
        <f>VLOOKUP(F142,Settings!$B$163:F612,5,FALSE)</f>
        <v>1</v>
      </c>
      <c r="J142" s="353" t="str">
        <f t="shared" si="9"/>
        <v>4-Y-134</v>
      </c>
      <c r="K142" s="20">
        <v>0</v>
      </c>
      <c r="L142" s="20">
        <f>VLOOKUP(J142,Wastewater!$F$118:$I$125,3,FALSE)</f>
        <v>1.4470545277092328</v>
      </c>
      <c r="M142" s="20">
        <v>0</v>
      </c>
      <c r="N142" s="61">
        <v>0</v>
      </c>
      <c r="O142" s="20">
        <f>VLOOKUP(J142,Wastewater!$F$118:$I$125,4,FALSE)</f>
        <v>39.070472248149287</v>
      </c>
      <c r="P142" s="62">
        <f t="shared" si="10"/>
        <v>1.9377823369658206E-6</v>
      </c>
    </row>
    <row r="143" spans="2:16" x14ac:dyDescent="0.25">
      <c r="B143" s="141">
        <v>135</v>
      </c>
      <c r="C143" s="141" t="s">
        <v>341</v>
      </c>
      <c r="D143" s="356">
        <f>VLOOKUP(C143,Settings!$B$341:C985,2,FALSE)</f>
        <v>5</v>
      </c>
      <c r="E143" s="302" t="s">
        <v>1156</v>
      </c>
      <c r="F143" s="354" t="s">
        <v>1123</v>
      </c>
      <c r="G143" s="354" t="str">
        <f>VLOOKUP(F143,Settings!$B$163:D887,3,FALSE)</f>
        <v>Y</v>
      </c>
      <c r="H143" s="354">
        <f>VLOOKUP(F143,Settings!$B$163:D886,2,FALSE)</f>
        <v>1</v>
      </c>
      <c r="I143" s="354">
        <f>VLOOKUP(F143,Settings!$B$163:F594,5,FALSE)</f>
        <v>1</v>
      </c>
      <c r="J143" s="353" t="str">
        <f t="shared" si="9"/>
        <v>5-Y-135</v>
      </c>
      <c r="K143" s="20">
        <v>0</v>
      </c>
      <c r="L143" s="20">
        <f>VLOOKUP(J143,Wastewater!$F$118:$I$125,3,FALSE)</f>
        <v>6.9961099562187412</v>
      </c>
      <c r="M143" s="20">
        <v>0</v>
      </c>
      <c r="N143" s="61">
        <v>0</v>
      </c>
      <c r="O143" s="20">
        <f>VLOOKUP(J143,Wastewater!$F$118:$I$125,4,FALSE)</f>
        <v>188.89496881790603</v>
      </c>
      <c r="P143" s="62">
        <f t="shared" si="10"/>
        <v>9.3686437110927529E-6</v>
      </c>
    </row>
    <row r="144" spans="2:16" x14ac:dyDescent="0.25">
      <c r="B144" s="141">
        <v>136</v>
      </c>
      <c r="C144" s="141" t="s">
        <v>342</v>
      </c>
      <c r="D144" s="356">
        <f>VLOOKUP(C144,Settings!$B$341:C986,2,FALSE)</f>
        <v>6</v>
      </c>
      <c r="E144" s="302" t="s">
        <v>1156</v>
      </c>
      <c r="F144" s="354" t="s">
        <v>1123</v>
      </c>
      <c r="G144" s="354" t="str">
        <f>VLOOKUP(F144,Settings!$B$163:D888,3,FALSE)</f>
        <v>Y</v>
      </c>
      <c r="H144" s="354">
        <f>VLOOKUP(F144,Settings!$B$163:D887,2,FALSE)</f>
        <v>1</v>
      </c>
      <c r="I144" s="354">
        <f>VLOOKUP(F144,Settings!$B$163:F595,5,FALSE)</f>
        <v>1</v>
      </c>
      <c r="J144" s="353" t="str">
        <f t="shared" si="9"/>
        <v>6-Y-136</v>
      </c>
      <c r="K144" s="20">
        <v>0</v>
      </c>
      <c r="L144" s="20">
        <f>VLOOKUP(J144,Wastewater!$F$118:$I$125,3,FALSE)</f>
        <v>0</v>
      </c>
      <c r="M144" s="20">
        <v>0</v>
      </c>
      <c r="N144" s="61">
        <v>0</v>
      </c>
      <c r="O144" s="20">
        <f>VLOOKUP(J144,Wastewater!$F$118:$I$125,4,FALSE)</f>
        <v>0</v>
      </c>
      <c r="P144" s="62">
        <f t="shared" si="10"/>
        <v>0</v>
      </c>
    </row>
    <row r="145" spans="2:16" x14ac:dyDescent="0.25">
      <c r="B145" s="141">
        <v>137</v>
      </c>
      <c r="C145" s="141" t="s">
        <v>343</v>
      </c>
      <c r="D145" s="356">
        <f>VLOOKUP(C145,Settings!$B$341:C987,2,FALSE)</f>
        <v>7</v>
      </c>
      <c r="E145" s="302" t="s">
        <v>1156</v>
      </c>
      <c r="F145" s="354" t="s">
        <v>1123</v>
      </c>
      <c r="G145" s="354" t="str">
        <f>VLOOKUP(F145,Settings!$B$163:D889,3,FALSE)</f>
        <v>Y</v>
      </c>
      <c r="H145" s="354">
        <f>VLOOKUP(F145,Settings!$B$163:D888,2,FALSE)</f>
        <v>1</v>
      </c>
      <c r="I145" s="354">
        <f>VLOOKUP(F145,Settings!$B$163:F596,5,FALSE)</f>
        <v>1</v>
      </c>
      <c r="J145" s="353" t="str">
        <f t="shared" si="9"/>
        <v>7-Y-137</v>
      </c>
      <c r="K145" s="20">
        <v>0</v>
      </c>
      <c r="L145" s="20">
        <f>VLOOKUP(J145,Wastewater!$F$118:$I$125,3,FALSE)</f>
        <v>2.0063159445157398E-2</v>
      </c>
      <c r="M145" s="20">
        <v>0</v>
      </c>
      <c r="N145" s="61">
        <v>0</v>
      </c>
      <c r="O145" s="20">
        <f>VLOOKUP(J145,Wastewater!$F$118:$I$125,4,FALSE)</f>
        <v>0.54170530501924974</v>
      </c>
      <c r="P145" s="62">
        <f t="shared" si="10"/>
        <v>2.6867015203705597E-8</v>
      </c>
    </row>
    <row r="146" spans="2:16" x14ac:dyDescent="0.25">
      <c r="B146" s="141">
        <v>138</v>
      </c>
      <c r="C146" s="141" t="s">
        <v>510</v>
      </c>
      <c r="D146" s="356">
        <f>VLOOKUP(C146,Settings!$B$341:C988,2,FALSE)</f>
        <v>9</v>
      </c>
      <c r="E146" s="302" t="s">
        <v>1156</v>
      </c>
      <c r="F146" s="354" t="s">
        <v>1123</v>
      </c>
      <c r="G146" s="354" t="str">
        <f>VLOOKUP(F146,Settings!$B$163:D890,3,FALSE)</f>
        <v>Y</v>
      </c>
      <c r="H146" s="354">
        <f>VLOOKUP(F146,Settings!$B$163:D889,2,FALSE)</f>
        <v>1</v>
      </c>
      <c r="I146" s="354">
        <f>VLOOKUP(F146,Settings!$B$163:F597,5,FALSE)</f>
        <v>1</v>
      </c>
      <c r="J146" s="353" t="str">
        <f t="shared" si="9"/>
        <v>9-Y-138</v>
      </c>
      <c r="K146" s="20">
        <v>0</v>
      </c>
      <c r="L146" s="20">
        <f>VLOOKUP(J146,Wastewater!$F$118:$I$125,3,FALSE)</f>
        <v>0</v>
      </c>
      <c r="M146" s="20">
        <v>0</v>
      </c>
      <c r="N146" s="61">
        <v>0</v>
      </c>
      <c r="O146" s="20">
        <f>VLOOKUP(J146,Wastewater!$F$118:$I$125,4,FALSE)</f>
        <v>0</v>
      </c>
      <c r="P146" s="62">
        <f t="shared" si="10"/>
        <v>0</v>
      </c>
    </row>
    <row r="147" spans="2:16" x14ac:dyDescent="0.25">
      <c r="B147" s="141">
        <v>139</v>
      </c>
      <c r="C147" s="141" t="s">
        <v>341</v>
      </c>
      <c r="D147" s="356">
        <f>VLOOKUP(C147,Settings!$B$341:C733,2,FALSE)</f>
        <v>5</v>
      </c>
      <c r="E147" s="141" t="s">
        <v>698</v>
      </c>
      <c r="F147" s="354" t="s">
        <v>59</v>
      </c>
      <c r="G147" s="354" t="str">
        <f>VLOOKUP(F147,Settings!$B$163:D655,3,FALSE)</f>
        <v>N</v>
      </c>
      <c r="H147" s="354">
        <f>VLOOKUP(F147,Settings!$B$163:D654,2,FALSE)</f>
        <v>4</v>
      </c>
      <c r="I147" s="354">
        <f>VLOOKUP(F147,Settings!$B$163:F460,5,FALSE)</f>
        <v>3</v>
      </c>
      <c r="J147" s="353" t="str">
        <f t="shared" si="9"/>
        <v>5-N-139</v>
      </c>
      <c r="K147" s="20">
        <f>VLOOKUP(J147,'Energy Related'!$B$10:I49,8,FALSE)</f>
        <v>468656.42775750003</v>
      </c>
      <c r="L147" s="20">
        <v>0</v>
      </c>
      <c r="M147" s="20">
        <v>0</v>
      </c>
      <c r="N147" s="61">
        <v>0</v>
      </c>
      <c r="O147" s="21">
        <f>VLOOKUP(J147,'Energy Related'!$B$10:I49,8,FALSE)</f>
        <v>468656.42775750003</v>
      </c>
      <c r="P147" s="62">
        <f t="shared" si="10"/>
        <v>2.3244002326002079E-2</v>
      </c>
    </row>
    <row r="148" spans="2:16" x14ac:dyDescent="0.25">
      <c r="B148" s="141">
        <v>140</v>
      </c>
      <c r="C148" s="141" t="s">
        <v>337</v>
      </c>
      <c r="D148" s="356">
        <f>VLOOKUP(C148,Settings!$B$341:C981,2,FALSE)</f>
        <v>1</v>
      </c>
      <c r="E148" s="141" t="s">
        <v>827</v>
      </c>
      <c r="F148" s="354" t="s">
        <v>59</v>
      </c>
      <c r="G148" s="354" t="str">
        <f>VLOOKUP(F148,Settings!$B$163:D883,3,FALSE)</f>
        <v>N</v>
      </c>
      <c r="H148" s="354">
        <f>VLOOKUP(F148,Settings!$B$163:D882,2,FALSE)</f>
        <v>4</v>
      </c>
      <c r="I148" s="354">
        <f>VLOOKUP(F148,Settings!$B$163:F590,5,FALSE)</f>
        <v>3</v>
      </c>
      <c r="J148" s="353" t="str">
        <f t="shared" si="9"/>
        <v>1-N-140</v>
      </c>
      <c r="K148" s="20">
        <f>VLOOKUP(J148,'Energy Related'!$B$10:$I$49,8,FALSE)</f>
        <v>2051.5173702500001</v>
      </c>
      <c r="L148" s="20">
        <v>0</v>
      </c>
      <c r="M148" s="20">
        <v>0</v>
      </c>
      <c r="N148" s="61">
        <v>0</v>
      </c>
      <c r="O148" s="20">
        <f>VLOOKUP(J148,'Energy Related'!$B$10:$I$49,8,FALSE)</f>
        <v>2051.5173702500001</v>
      </c>
      <c r="P148" s="62">
        <f t="shared" si="10"/>
        <v>1.0174932360172147E-4</v>
      </c>
    </row>
    <row r="149" spans="2:16" x14ac:dyDescent="0.25">
      <c r="B149" s="141">
        <v>141</v>
      </c>
      <c r="C149" s="141" t="s">
        <v>338</v>
      </c>
      <c r="D149" s="356">
        <f>VLOOKUP(C149,Settings!$B$341:C954,2,FALSE)</f>
        <v>2</v>
      </c>
      <c r="E149" s="141" t="s">
        <v>827</v>
      </c>
      <c r="F149" s="354" t="s">
        <v>59</v>
      </c>
      <c r="G149" s="354" t="str">
        <f>VLOOKUP(F149,Settings!$B$163:D856,3,FALSE)</f>
        <v>N</v>
      </c>
      <c r="H149" s="354">
        <f>VLOOKUP(F149,Settings!$B$163:D855,2,FALSE)</f>
        <v>4</v>
      </c>
      <c r="I149" s="354">
        <f>VLOOKUP(F149,Settings!$B$163:F563,5,FALSE)</f>
        <v>3</v>
      </c>
      <c r="J149" s="353" t="str">
        <f t="shared" si="9"/>
        <v>2-N-141</v>
      </c>
      <c r="K149" s="20">
        <f>VLOOKUP(J149,'Energy Related'!$B$10:$I$49,8,FALSE)</f>
        <v>45.181464999999996</v>
      </c>
      <c r="L149" s="20">
        <v>0</v>
      </c>
      <c r="M149" s="20">
        <v>0</v>
      </c>
      <c r="N149" s="61">
        <v>0</v>
      </c>
      <c r="O149" s="20">
        <f>VLOOKUP(J149,'Energy Related'!$B$10:$I$49,8,FALSE)</f>
        <v>45.181464999999996</v>
      </c>
      <c r="P149" s="62">
        <f t="shared" si="10"/>
        <v>2.2408698896488674E-6</v>
      </c>
    </row>
    <row r="150" spans="2:16" x14ac:dyDescent="0.25">
      <c r="B150" s="141">
        <v>142</v>
      </c>
      <c r="C150" s="141" t="s">
        <v>339</v>
      </c>
      <c r="D150" s="356">
        <f>VLOOKUP(C150,Settings!$B$341:C955,2,FALSE)</f>
        <v>3</v>
      </c>
      <c r="E150" s="141" t="s">
        <v>827</v>
      </c>
      <c r="F150" s="354" t="s">
        <v>59</v>
      </c>
      <c r="G150" s="354" t="str">
        <f>VLOOKUP(F150,Settings!$B$163:D857,3,FALSE)</f>
        <v>N</v>
      </c>
      <c r="H150" s="354">
        <f>VLOOKUP(F150,Settings!$B$163:D856,2,FALSE)</f>
        <v>4</v>
      </c>
      <c r="I150" s="354">
        <f>VLOOKUP(F150,Settings!$B$163:F564,5,FALSE)</f>
        <v>3</v>
      </c>
      <c r="J150" s="353" t="str">
        <f t="shared" si="9"/>
        <v>3-N-142</v>
      </c>
      <c r="K150" s="20">
        <f>VLOOKUP(J150,'Energy Related'!$B$10:$I$49,8,FALSE)</f>
        <v>0</v>
      </c>
      <c r="L150" s="20">
        <v>0</v>
      </c>
      <c r="M150" s="20">
        <v>0</v>
      </c>
      <c r="N150" s="61">
        <v>0</v>
      </c>
      <c r="O150" s="20">
        <f>VLOOKUP(J150,'Energy Related'!$B$10:$I$49,8,FALSE)</f>
        <v>0</v>
      </c>
      <c r="P150" s="62">
        <f t="shared" si="10"/>
        <v>0</v>
      </c>
    </row>
    <row r="151" spans="2:16" x14ac:dyDescent="0.25">
      <c r="B151" s="141">
        <v>143</v>
      </c>
      <c r="C151" s="141" t="s">
        <v>340</v>
      </c>
      <c r="D151" s="356">
        <f>VLOOKUP(C151,Settings!$B$341:C956,2,FALSE)</f>
        <v>4</v>
      </c>
      <c r="E151" s="141" t="s">
        <v>827</v>
      </c>
      <c r="F151" s="354" t="s">
        <v>59</v>
      </c>
      <c r="G151" s="354" t="str">
        <f>VLOOKUP(F151,Settings!$B$163:D858,3,FALSE)</f>
        <v>N</v>
      </c>
      <c r="H151" s="354">
        <f>VLOOKUP(F151,Settings!$B$163:D857,2,FALSE)</f>
        <v>4</v>
      </c>
      <c r="I151" s="354">
        <f>VLOOKUP(F151,Settings!$B$163:F565,5,FALSE)</f>
        <v>3</v>
      </c>
      <c r="J151" s="353" t="str">
        <f t="shared" si="9"/>
        <v>4-N-143</v>
      </c>
      <c r="K151" s="20">
        <f>VLOOKUP(J151,'Energy Related'!$B$10:$I$49,8,FALSE)</f>
        <v>13.159649999999999</v>
      </c>
      <c r="L151" s="20">
        <v>0</v>
      </c>
      <c r="M151" s="20">
        <v>0</v>
      </c>
      <c r="N151" s="61">
        <v>0</v>
      </c>
      <c r="O151" s="20">
        <f>VLOOKUP(J151,'Energy Related'!$B$10:$I$49,8,FALSE)</f>
        <v>13.159649999999999</v>
      </c>
      <c r="P151" s="62">
        <f t="shared" si="10"/>
        <v>6.5268055038316528E-7</v>
      </c>
    </row>
    <row r="152" spans="2:16" x14ac:dyDescent="0.25">
      <c r="B152" s="141">
        <v>144</v>
      </c>
      <c r="C152" s="141" t="s">
        <v>341</v>
      </c>
      <c r="D152" s="356">
        <f>VLOOKUP(C152,Settings!$B$341:C957,2,FALSE)</f>
        <v>5</v>
      </c>
      <c r="E152" s="141" t="s">
        <v>827</v>
      </c>
      <c r="F152" s="354" t="s">
        <v>59</v>
      </c>
      <c r="G152" s="354" t="str">
        <f>VLOOKUP(F152,Settings!$B$163:D859,3,FALSE)</f>
        <v>N</v>
      </c>
      <c r="H152" s="354">
        <f>VLOOKUP(F152,Settings!$B$163:D858,2,FALSE)</f>
        <v>4</v>
      </c>
      <c r="I152" s="354">
        <f>VLOOKUP(F152,Settings!$B$163:F566,5,FALSE)</f>
        <v>3</v>
      </c>
      <c r="J152" s="353" t="str">
        <f t="shared" si="9"/>
        <v>5-N-144</v>
      </c>
      <c r="K152" s="20">
        <f>VLOOKUP(J152,'Energy Related'!$B$10:$I$49,8,FALSE)</f>
        <v>0</v>
      </c>
      <c r="L152" s="20">
        <v>0</v>
      </c>
      <c r="M152" s="20">
        <v>0</v>
      </c>
      <c r="N152" s="61">
        <v>0</v>
      </c>
      <c r="O152" s="20">
        <f>VLOOKUP(J152,'Energy Related'!$B$10:$I$49,8,FALSE)</f>
        <v>0</v>
      </c>
      <c r="P152" s="62">
        <f t="shared" si="10"/>
        <v>0</v>
      </c>
    </row>
    <row r="153" spans="2:16" x14ac:dyDescent="0.25">
      <c r="B153" s="141">
        <v>145</v>
      </c>
      <c r="C153" s="141" t="s">
        <v>342</v>
      </c>
      <c r="D153" s="356">
        <f>VLOOKUP(C153,Settings!$B$341:C958,2,FALSE)</f>
        <v>6</v>
      </c>
      <c r="E153" s="141" t="s">
        <v>827</v>
      </c>
      <c r="F153" s="354" t="s">
        <v>59</v>
      </c>
      <c r="G153" s="354" t="str">
        <f>VLOOKUP(F153,Settings!$B$163:D860,3,FALSE)</f>
        <v>N</v>
      </c>
      <c r="H153" s="354">
        <f>VLOOKUP(F153,Settings!$B$163:D859,2,FALSE)</f>
        <v>4</v>
      </c>
      <c r="I153" s="354">
        <f>VLOOKUP(F153,Settings!$B$163:F567,5,FALSE)</f>
        <v>3</v>
      </c>
      <c r="J153" s="353" t="str">
        <f t="shared" si="9"/>
        <v>6-N-145</v>
      </c>
      <c r="K153" s="20">
        <f>VLOOKUP(J153,'Energy Related'!$B$10:$I$49,8,FALSE)</f>
        <v>1371.8778462499999</v>
      </c>
      <c r="L153" s="20">
        <v>0</v>
      </c>
      <c r="M153" s="20">
        <v>0</v>
      </c>
      <c r="N153" s="61">
        <v>0</v>
      </c>
      <c r="O153" s="20">
        <f>VLOOKUP(J153,'Energy Related'!$B$10:$I$49,8,FALSE)</f>
        <v>1371.8778462499999</v>
      </c>
      <c r="P153" s="62">
        <f t="shared" si="10"/>
        <v>6.8041170376789765E-5</v>
      </c>
    </row>
    <row r="154" spans="2:16" x14ac:dyDescent="0.25">
      <c r="B154" s="141">
        <v>146</v>
      </c>
      <c r="C154" s="141" t="s">
        <v>343</v>
      </c>
      <c r="D154" s="356">
        <f>VLOOKUP(C154,Settings!$B$341:C959,2,FALSE)</f>
        <v>7</v>
      </c>
      <c r="E154" s="141" t="s">
        <v>827</v>
      </c>
      <c r="F154" s="354" t="s">
        <v>59</v>
      </c>
      <c r="G154" s="354" t="str">
        <f>VLOOKUP(F154,Settings!$B$163:D861,3,FALSE)</f>
        <v>N</v>
      </c>
      <c r="H154" s="354">
        <f>VLOOKUP(F154,Settings!$B$163:D860,2,FALSE)</f>
        <v>4</v>
      </c>
      <c r="I154" s="354">
        <f>VLOOKUP(F154,Settings!$B$163:F568,5,FALSE)</f>
        <v>3</v>
      </c>
      <c r="J154" s="353" t="str">
        <f t="shared" si="9"/>
        <v>7-N-146</v>
      </c>
      <c r="K154" s="20">
        <f>VLOOKUP(J154,'Energy Related'!$B$10:$I$49,8,FALSE)</f>
        <v>17.859524999999998</v>
      </c>
      <c r="L154" s="20">
        <v>0</v>
      </c>
      <c r="M154" s="20">
        <v>0</v>
      </c>
      <c r="N154" s="61">
        <v>0</v>
      </c>
      <c r="O154" s="20">
        <f>VLOOKUP(J154,'Energy Related'!$B$10:$I$49,8,FALSE)</f>
        <v>17.859524999999998</v>
      </c>
      <c r="P154" s="62">
        <f t="shared" si="10"/>
        <v>8.8578074694858139E-7</v>
      </c>
    </row>
    <row r="155" spans="2:16" x14ac:dyDescent="0.25">
      <c r="B155" s="141">
        <v>147</v>
      </c>
      <c r="C155" s="141" t="s">
        <v>510</v>
      </c>
      <c r="D155" s="356">
        <f>VLOOKUP(C155,Settings!$B$341:C960,2,FALSE)</f>
        <v>9</v>
      </c>
      <c r="E155" s="141" t="s">
        <v>827</v>
      </c>
      <c r="F155" s="354" t="s">
        <v>59</v>
      </c>
      <c r="G155" s="354" t="str">
        <f>VLOOKUP(F155,Settings!$B$163:D862,3,FALSE)</f>
        <v>N</v>
      </c>
      <c r="H155" s="354">
        <f>VLOOKUP(F155,Settings!$B$163:D861,2,FALSE)</f>
        <v>4</v>
      </c>
      <c r="I155" s="354">
        <f>VLOOKUP(F155,Settings!$B$163:F569,5,FALSE)</f>
        <v>3</v>
      </c>
      <c r="J155" s="353" t="str">
        <f t="shared" si="9"/>
        <v>9-N-147</v>
      </c>
      <c r="K155" s="20">
        <f>VLOOKUP(J155,'Energy Related'!$B$10:$I$49,8,FALSE)</f>
        <v>7163.8214410999999</v>
      </c>
      <c r="L155" s="20">
        <v>0</v>
      </c>
      <c r="M155" s="20">
        <v>0</v>
      </c>
      <c r="N155" s="61">
        <v>0</v>
      </c>
      <c r="O155" s="20">
        <f>VLOOKUP(J155,'Energy Related'!$B$10:$I$49,8,FALSE)</f>
        <v>7163.8214410999999</v>
      </c>
      <c r="P155" s="62">
        <f t="shared" si="10"/>
        <v>3.5530480833638191E-4</v>
      </c>
    </row>
    <row r="156" spans="2:16" x14ac:dyDescent="0.25">
      <c r="B156" s="141">
        <v>148</v>
      </c>
      <c r="C156" s="141" t="s">
        <v>510</v>
      </c>
      <c r="D156" s="356">
        <f>VLOOKUP(C156,Settings!$B$341:C961,2,FALSE)</f>
        <v>9</v>
      </c>
      <c r="E156" s="141" t="s">
        <v>828</v>
      </c>
      <c r="F156" s="354" t="s">
        <v>59</v>
      </c>
      <c r="G156" s="354" t="str">
        <f>VLOOKUP(F156,Settings!$B$163:D863,3,FALSE)</f>
        <v>N</v>
      </c>
      <c r="H156" s="354">
        <f>VLOOKUP(F156,Settings!$B$163:D862,2,FALSE)</f>
        <v>4</v>
      </c>
      <c r="I156" s="354">
        <f>VLOOKUP(F156,Settings!$B$163:F570,5,FALSE)</f>
        <v>3</v>
      </c>
      <c r="J156" s="353" t="str">
        <f t="shared" si="9"/>
        <v>9-N-148</v>
      </c>
      <c r="K156" s="20">
        <f>VLOOKUP(J156,'Energy Related'!$B$10:$I$49,8,FALSE)</f>
        <v>568.34403007999992</v>
      </c>
      <c r="L156" s="20">
        <v>0</v>
      </c>
      <c r="M156" s="20">
        <v>0</v>
      </c>
      <c r="N156" s="61">
        <v>0</v>
      </c>
      <c r="O156" s="20">
        <f>VLOOKUP(J156,'Energy Related'!$B$10:$I$49,8,FALSE)</f>
        <v>568.34403007999992</v>
      </c>
      <c r="P156" s="62">
        <f t="shared" si="10"/>
        <v>2.8188218862933329E-5</v>
      </c>
    </row>
    <row r="157" spans="2:16" x14ac:dyDescent="0.25">
      <c r="B157" s="141">
        <v>149</v>
      </c>
      <c r="C157" s="141" t="s">
        <v>337</v>
      </c>
      <c r="D157" s="356">
        <f>VLOOKUP(C157,Settings!$B$341:C962,2,FALSE)</f>
        <v>1</v>
      </c>
      <c r="E157" s="141" t="s">
        <v>829</v>
      </c>
      <c r="F157" s="354" t="s">
        <v>59</v>
      </c>
      <c r="G157" s="354" t="str">
        <f>VLOOKUP(F157,Settings!$B$163:D864,3,FALSE)</f>
        <v>N</v>
      </c>
      <c r="H157" s="354">
        <f>VLOOKUP(F157,Settings!$B$163:D863,2,FALSE)</f>
        <v>4</v>
      </c>
      <c r="I157" s="354">
        <f>VLOOKUP(F157,Settings!$B$163:F571,5,FALSE)</f>
        <v>3</v>
      </c>
      <c r="J157" s="353" t="str">
        <f t="shared" si="9"/>
        <v>1-N-149</v>
      </c>
      <c r="K157" s="20">
        <f>VLOOKUP(J157,'Energy Related'!$B$10:$I$49,8,FALSE)</f>
        <v>50545.443069000001</v>
      </c>
      <c r="L157" s="20">
        <v>0</v>
      </c>
      <c r="M157" s="20">
        <v>0</v>
      </c>
      <c r="N157" s="61">
        <v>0</v>
      </c>
      <c r="O157" s="20">
        <f>VLOOKUP(J157,'Energy Related'!$B$10:$I$49,8,FALSE)</f>
        <v>50545.443069000001</v>
      </c>
      <c r="P157" s="62">
        <f t="shared" si="10"/>
        <v>2.5069076762403155E-3</v>
      </c>
    </row>
    <row r="158" spans="2:16" x14ac:dyDescent="0.25">
      <c r="B158" s="141">
        <v>150</v>
      </c>
      <c r="C158" s="141" t="s">
        <v>338</v>
      </c>
      <c r="D158" s="356">
        <f>VLOOKUP(C158,Settings!$B$341:C963,2,FALSE)</f>
        <v>2</v>
      </c>
      <c r="E158" s="141" t="s">
        <v>829</v>
      </c>
      <c r="F158" s="354" t="s">
        <v>59</v>
      </c>
      <c r="G158" s="354" t="str">
        <f>VLOOKUP(F158,Settings!$B$163:D865,3,FALSE)</f>
        <v>N</v>
      </c>
      <c r="H158" s="354">
        <f>VLOOKUP(F158,Settings!$B$163:D864,2,FALSE)</f>
        <v>4</v>
      </c>
      <c r="I158" s="354">
        <f>VLOOKUP(F158,Settings!$B$163:F572,5,FALSE)</f>
        <v>3</v>
      </c>
      <c r="J158" s="353" t="str">
        <f t="shared" si="9"/>
        <v>2-N-150</v>
      </c>
      <c r="K158" s="20">
        <f>VLOOKUP(J158,'Energy Related'!$B$10:$I$49,8,FALSE)</f>
        <v>13882.665099600003</v>
      </c>
      <c r="L158" s="20">
        <v>0</v>
      </c>
      <c r="M158" s="20">
        <v>0</v>
      </c>
      <c r="N158" s="61">
        <v>0</v>
      </c>
      <c r="O158" s="20">
        <f>VLOOKUP(J158,'Energy Related'!$B$10:$I$49,8,FALSE)</f>
        <v>13882.665099600003</v>
      </c>
      <c r="P158" s="62">
        <f t="shared" si="10"/>
        <v>6.88540006610517E-4</v>
      </c>
    </row>
    <row r="159" spans="2:16" x14ac:dyDescent="0.25">
      <c r="B159" s="141">
        <v>151</v>
      </c>
      <c r="C159" s="141" t="s">
        <v>339</v>
      </c>
      <c r="D159" s="356">
        <f>VLOOKUP(C159,Settings!$B$341:C964,2,FALSE)</f>
        <v>3</v>
      </c>
      <c r="E159" s="141" t="s">
        <v>829</v>
      </c>
      <c r="F159" s="354" t="s">
        <v>59</v>
      </c>
      <c r="G159" s="354" t="str">
        <f>VLOOKUP(F159,Settings!$B$163:D866,3,FALSE)</f>
        <v>N</v>
      </c>
      <c r="H159" s="354">
        <f>VLOOKUP(F159,Settings!$B$163:D865,2,FALSE)</f>
        <v>4</v>
      </c>
      <c r="I159" s="354">
        <f>VLOOKUP(F159,Settings!$B$163:F573,5,FALSE)</f>
        <v>3</v>
      </c>
      <c r="J159" s="353" t="str">
        <f t="shared" si="9"/>
        <v>3-N-151</v>
      </c>
      <c r="K159" s="20">
        <f>VLOOKUP(J159,'Energy Related'!$B$10:$I$49,8,FALSE)</f>
        <v>70126.811805599995</v>
      </c>
      <c r="L159" s="20">
        <v>0</v>
      </c>
      <c r="M159" s="20">
        <v>0</v>
      </c>
      <c r="N159" s="61">
        <v>0</v>
      </c>
      <c r="O159" s="20">
        <f>VLOOKUP(J159,'Energy Related'!$B$10:$I$49,8,FALSE)</f>
        <v>70126.811805599995</v>
      </c>
      <c r="P159" s="62">
        <f t="shared" si="10"/>
        <v>3.4780868887771071E-3</v>
      </c>
    </row>
    <row r="160" spans="2:16" x14ac:dyDescent="0.25">
      <c r="B160" s="141">
        <v>152</v>
      </c>
      <c r="C160" s="141" t="s">
        <v>340</v>
      </c>
      <c r="D160" s="356">
        <f>VLOOKUP(C160,Settings!$B$341:C965,2,FALSE)</f>
        <v>4</v>
      </c>
      <c r="E160" s="141" t="s">
        <v>829</v>
      </c>
      <c r="F160" s="354" t="s">
        <v>59</v>
      </c>
      <c r="G160" s="354" t="str">
        <f>VLOOKUP(F160,Settings!$B$163:D867,3,FALSE)</f>
        <v>N</v>
      </c>
      <c r="H160" s="354">
        <f>VLOOKUP(F160,Settings!$B$163:D866,2,FALSE)</f>
        <v>4</v>
      </c>
      <c r="I160" s="354">
        <f>VLOOKUP(F160,Settings!$B$163:F574,5,FALSE)</f>
        <v>3</v>
      </c>
      <c r="J160" s="353" t="str">
        <f t="shared" si="9"/>
        <v>4-N-152</v>
      </c>
      <c r="K160" s="20">
        <f>VLOOKUP(J160,'Energy Related'!$B$10:$I$49,8,FALSE)</f>
        <v>10973.804252400001</v>
      </c>
      <c r="L160" s="20">
        <v>0</v>
      </c>
      <c r="M160" s="20">
        <v>0</v>
      </c>
      <c r="N160" s="61">
        <v>0</v>
      </c>
      <c r="O160" s="20">
        <f>VLOOKUP(J160,'Energy Related'!$B$10:$I$49,8,FALSE)</f>
        <v>10973.804252400001</v>
      </c>
      <c r="P160" s="62">
        <f t="shared" si="10"/>
        <v>5.4426892806826567E-4</v>
      </c>
    </row>
    <row r="161" spans="2:16" x14ac:dyDescent="0.25">
      <c r="B161" s="141">
        <v>153</v>
      </c>
      <c r="C161" s="141" t="s">
        <v>341</v>
      </c>
      <c r="D161" s="356">
        <f>VLOOKUP(C161,Settings!$B$341:C966,2,FALSE)</f>
        <v>5</v>
      </c>
      <c r="E161" s="141" t="s">
        <v>829</v>
      </c>
      <c r="F161" s="354" t="s">
        <v>59</v>
      </c>
      <c r="G161" s="354" t="str">
        <f>VLOOKUP(F161,Settings!$B$163:D868,3,FALSE)</f>
        <v>N</v>
      </c>
      <c r="H161" s="354">
        <f>VLOOKUP(F161,Settings!$B$163:D867,2,FALSE)</f>
        <v>4</v>
      </c>
      <c r="I161" s="354">
        <f>VLOOKUP(F161,Settings!$B$163:F575,5,FALSE)</f>
        <v>3</v>
      </c>
      <c r="J161" s="353" t="str">
        <f t="shared" si="9"/>
        <v>5-N-153</v>
      </c>
      <c r="K161" s="20">
        <f>VLOOKUP(J161,'Energy Related'!$B$10:$I$49,8,FALSE)</f>
        <v>327168.43030079996</v>
      </c>
      <c r="L161" s="20">
        <v>0</v>
      </c>
      <c r="M161" s="20">
        <v>0</v>
      </c>
      <c r="N161" s="61">
        <v>0</v>
      </c>
      <c r="O161" s="20">
        <f>VLOOKUP(J161,'Energy Related'!$B$10:$I$49,8,FALSE)</f>
        <v>327168.43030079996</v>
      </c>
      <c r="P161" s="62">
        <f t="shared" si="10"/>
        <v>1.6226607178513285E-2</v>
      </c>
    </row>
    <row r="162" spans="2:16" x14ac:dyDescent="0.25">
      <c r="B162" s="141">
        <v>154</v>
      </c>
      <c r="C162" s="141" t="s">
        <v>342</v>
      </c>
      <c r="D162" s="356">
        <f>VLOOKUP(C162,Settings!$B$341:C967,2,FALSE)</f>
        <v>6</v>
      </c>
      <c r="E162" s="141" t="s">
        <v>829</v>
      </c>
      <c r="F162" s="354" t="s">
        <v>59</v>
      </c>
      <c r="G162" s="354" t="str">
        <f>VLOOKUP(F162,Settings!$B$163:D869,3,FALSE)</f>
        <v>N</v>
      </c>
      <c r="H162" s="354">
        <f>VLOOKUP(F162,Settings!$B$163:D868,2,FALSE)</f>
        <v>4</v>
      </c>
      <c r="I162" s="354">
        <f>VLOOKUP(F162,Settings!$B$163:F576,5,FALSE)</f>
        <v>3</v>
      </c>
      <c r="J162" s="353" t="str">
        <f t="shared" si="9"/>
        <v>6-N-154</v>
      </c>
      <c r="K162" s="20">
        <f>VLOOKUP(J162,'Energy Related'!$B$10:$I$49,8,FALSE)</f>
        <v>0</v>
      </c>
      <c r="L162" s="20">
        <v>0</v>
      </c>
      <c r="M162" s="20">
        <v>0</v>
      </c>
      <c r="N162" s="61">
        <v>0</v>
      </c>
      <c r="O162" s="20">
        <f>VLOOKUP(J162,'Energy Related'!$B$10:$I$49,8,FALSE)</f>
        <v>0</v>
      </c>
      <c r="P162" s="62">
        <f t="shared" si="10"/>
        <v>0</v>
      </c>
    </row>
    <row r="163" spans="2:16" x14ac:dyDescent="0.25">
      <c r="B163" s="141">
        <v>155</v>
      </c>
      <c r="C163" s="141" t="s">
        <v>343</v>
      </c>
      <c r="D163" s="356">
        <f>VLOOKUP(C163,Settings!$B$341:C968,2,FALSE)</f>
        <v>7</v>
      </c>
      <c r="E163" s="141" t="s">
        <v>829</v>
      </c>
      <c r="F163" s="354" t="s">
        <v>59</v>
      </c>
      <c r="G163" s="354" t="str">
        <f>VLOOKUP(F163,Settings!$B$163:D870,3,FALSE)</f>
        <v>N</v>
      </c>
      <c r="H163" s="354">
        <f>VLOOKUP(F163,Settings!$B$163:D869,2,FALSE)</f>
        <v>4</v>
      </c>
      <c r="I163" s="354">
        <f>VLOOKUP(F163,Settings!$B$163:F577,5,FALSE)</f>
        <v>3</v>
      </c>
      <c r="J163" s="353" t="str">
        <f t="shared" si="9"/>
        <v>7-N-155</v>
      </c>
      <c r="K163" s="20">
        <f>VLOOKUP(J163,'Energy Related'!$B$10:$I$49,8,FALSE)</f>
        <v>5551.0823214000002</v>
      </c>
      <c r="L163" s="20">
        <v>0</v>
      </c>
      <c r="M163" s="20">
        <v>0</v>
      </c>
      <c r="N163" s="61">
        <v>0</v>
      </c>
      <c r="O163" s="20">
        <f>VLOOKUP(J163,'Energy Related'!$B$10:$I$49,8,FALSE)</f>
        <v>5551.0823214000002</v>
      </c>
      <c r="P163" s="62">
        <f t="shared" si="10"/>
        <v>2.7531761595130653E-4</v>
      </c>
    </row>
    <row r="164" spans="2:16" x14ac:dyDescent="0.25">
      <c r="B164" s="141">
        <v>156</v>
      </c>
      <c r="C164" s="141" t="s">
        <v>510</v>
      </c>
      <c r="D164" s="356">
        <f>VLOOKUP(C164,Settings!$B$341:C969,2,FALSE)</f>
        <v>9</v>
      </c>
      <c r="E164" s="141" t="s">
        <v>829</v>
      </c>
      <c r="F164" s="354" t="s">
        <v>59</v>
      </c>
      <c r="G164" s="354" t="str">
        <f>VLOOKUP(F164,Settings!$B$163:D871,3,FALSE)</f>
        <v>N</v>
      </c>
      <c r="H164" s="354">
        <f>VLOOKUP(F164,Settings!$B$163:D870,2,FALSE)</f>
        <v>4</v>
      </c>
      <c r="I164" s="354">
        <f>VLOOKUP(F164,Settings!$B$163:F578,5,FALSE)</f>
        <v>3</v>
      </c>
      <c r="J164" s="353" t="str">
        <f t="shared" si="9"/>
        <v>9-N-156</v>
      </c>
      <c r="K164" s="20">
        <f>VLOOKUP(J164,'Energy Related'!$B$10:$I$49,8,FALSE)</f>
        <v>35989.518391199999</v>
      </c>
      <c r="L164" s="20">
        <v>0</v>
      </c>
      <c r="M164" s="20">
        <v>0</v>
      </c>
      <c r="N164" s="61">
        <v>0</v>
      </c>
      <c r="O164" s="20">
        <f>VLOOKUP(J164,'Energy Related'!$B$10:$I$49,8,FALSE)</f>
        <v>35989.518391199999</v>
      </c>
      <c r="P164" s="62">
        <f t="shared" si="10"/>
        <v>1.7849759432502737E-3</v>
      </c>
    </row>
    <row r="165" spans="2:16" x14ac:dyDescent="0.25">
      <c r="B165" s="141">
        <v>157</v>
      </c>
      <c r="C165" s="141" t="s">
        <v>337</v>
      </c>
      <c r="D165" s="356">
        <f>VLOOKUP(C165,Settings!$B$341:C970,2,FALSE)</f>
        <v>1</v>
      </c>
      <c r="E165" s="141" t="s">
        <v>830</v>
      </c>
      <c r="F165" s="354" t="s">
        <v>59</v>
      </c>
      <c r="G165" s="354" t="str">
        <f>VLOOKUP(F165,Settings!$B$163:D872,3,FALSE)</f>
        <v>N</v>
      </c>
      <c r="H165" s="354">
        <f>VLOOKUP(F165,Settings!$B$163:D871,2,FALSE)</f>
        <v>4</v>
      </c>
      <c r="I165" s="354">
        <f>VLOOKUP(F165,Settings!$B$163:F579,5,FALSE)</f>
        <v>3</v>
      </c>
      <c r="J165" s="353" t="str">
        <f t="shared" si="9"/>
        <v>1-N-157</v>
      </c>
      <c r="K165" s="20">
        <f>VLOOKUP(J165,'Energy Related'!$B$10:$I$49,8,FALSE)</f>
        <v>0.82186670489000002</v>
      </c>
      <c r="L165" s="20">
        <v>0</v>
      </c>
      <c r="M165" s="20">
        <v>0</v>
      </c>
      <c r="N165" s="61">
        <v>0</v>
      </c>
      <c r="O165" s="20">
        <f>VLOOKUP(J165,'Energy Related'!$B$10:$I$49,8,FALSE)</f>
        <v>0.82186670489000002</v>
      </c>
      <c r="P165" s="62">
        <f t="shared" si="10"/>
        <v>4.0762209731201339E-8</v>
      </c>
    </row>
    <row r="166" spans="2:16" x14ac:dyDescent="0.25">
      <c r="B166" s="141">
        <v>158</v>
      </c>
      <c r="C166" s="141" t="s">
        <v>338</v>
      </c>
      <c r="D166" s="356">
        <f>VLOOKUP(C166,Settings!$B$341:C971,2,FALSE)</f>
        <v>2</v>
      </c>
      <c r="E166" s="141" t="s">
        <v>830</v>
      </c>
      <c r="F166" s="354" t="s">
        <v>59</v>
      </c>
      <c r="G166" s="354" t="str">
        <f>VLOOKUP(F166,Settings!$B$163:D873,3,FALSE)</f>
        <v>N</v>
      </c>
      <c r="H166" s="354">
        <f>VLOOKUP(F166,Settings!$B$163:D872,2,FALSE)</f>
        <v>4</v>
      </c>
      <c r="I166" s="354">
        <f>VLOOKUP(F166,Settings!$B$163:F580,5,FALSE)</f>
        <v>3</v>
      </c>
      <c r="J166" s="353" t="str">
        <f t="shared" si="9"/>
        <v>2-N-158</v>
      </c>
      <c r="K166" s="20">
        <f>VLOOKUP(J166,'Energy Related'!$B$10:$I$49,8,FALSE)</f>
        <v>2.0737759378099998</v>
      </c>
      <c r="L166" s="20">
        <v>0</v>
      </c>
      <c r="M166" s="20">
        <v>0</v>
      </c>
      <c r="N166" s="61">
        <v>0</v>
      </c>
      <c r="O166" s="20">
        <f>VLOOKUP(J166,'Energy Related'!$B$10:$I$49,8,FALSE)</f>
        <v>2.0737759378099998</v>
      </c>
      <c r="P166" s="62">
        <f t="shared" si="10"/>
        <v>1.0285328412694832E-7</v>
      </c>
    </row>
    <row r="167" spans="2:16" x14ac:dyDescent="0.25">
      <c r="B167" s="141">
        <v>159</v>
      </c>
      <c r="C167" s="141" t="s">
        <v>339</v>
      </c>
      <c r="D167" s="356">
        <f>VLOOKUP(C167,Settings!$B$341:C972,2,FALSE)</f>
        <v>3</v>
      </c>
      <c r="E167" s="141" t="s">
        <v>830</v>
      </c>
      <c r="F167" s="354" t="s">
        <v>59</v>
      </c>
      <c r="G167" s="354" t="str">
        <f>VLOOKUP(F167,Settings!$B$163:D874,3,FALSE)</f>
        <v>N</v>
      </c>
      <c r="H167" s="354">
        <f>VLOOKUP(F167,Settings!$B$163:D873,2,FALSE)</f>
        <v>4</v>
      </c>
      <c r="I167" s="354">
        <f>VLOOKUP(F167,Settings!$B$163:F581,5,FALSE)</f>
        <v>3</v>
      </c>
      <c r="J167" s="353" t="str">
        <f t="shared" si="9"/>
        <v>3-N-159</v>
      </c>
      <c r="K167" s="20">
        <f>VLOOKUP(J167,'Energy Related'!$B$10:$I$49,8,FALSE)</f>
        <v>0.96200065918</v>
      </c>
      <c r="L167" s="20">
        <v>0</v>
      </c>
      <c r="M167" s="20">
        <v>0</v>
      </c>
      <c r="N167" s="61">
        <v>0</v>
      </c>
      <c r="O167" s="20">
        <f>VLOOKUP(J167,'Energy Related'!$B$10:$I$49,8,FALSE)</f>
        <v>0.96200065918</v>
      </c>
      <c r="P167" s="62">
        <f t="shared" si="10"/>
        <v>4.7712448256797878E-8</v>
      </c>
    </row>
    <row r="168" spans="2:16" x14ac:dyDescent="0.25">
      <c r="B168" s="141">
        <v>160</v>
      </c>
      <c r="C168" s="141" t="s">
        <v>340</v>
      </c>
      <c r="D168" s="356">
        <f>VLOOKUP(C168,Settings!$B$341:C973,2,FALSE)</f>
        <v>4</v>
      </c>
      <c r="E168" s="141" t="s">
        <v>830</v>
      </c>
      <c r="F168" s="354" t="s">
        <v>59</v>
      </c>
      <c r="G168" s="354" t="str">
        <f>VLOOKUP(F168,Settings!$B$163:D875,3,FALSE)</f>
        <v>N</v>
      </c>
      <c r="H168" s="354">
        <f>VLOOKUP(F168,Settings!$B$163:D874,2,FALSE)</f>
        <v>4</v>
      </c>
      <c r="I168" s="354">
        <f>VLOOKUP(F168,Settings!$B$163:F582,5,FALSE)</f>
        <v>3</v>
      </c>
      <c r="J168" s="353" t="str">
        <f t="shared" si="9"/>
        <v>4-N-160</v>
      </c>
      <c r="K168" s="20">
        <f>VLOOKUP(J168,'Energy Related'!$B$10:$I$49,8,FALSE)</f>
        <v>5.0138345021399999</v>
      </c>
      <c r="L168" s="20">
        <v>0</v>
      </c>
      <c r="M168" s="20">
        <v>0</v>
      </c>
      <c r="N168" s="61">
        <v>0</v>
      </c>
      <c r="O168" s="20">
        <f>VLOOKUP(J168,'Energy Related'!$B$10:$I$49,8,FALSE)</f>
        <v>5.0138345021399999</v>
      </c>
      <c r="P168" s="62">
        <f t="shared" si="10"/>
        <v>2.4867167913940253E-7</v>
      </c>
    </row>
    <row r="169" spans="2:16" x14ac:dyDescent="0.25">
      <c r="B169" s="141">
        <v>161</v>
      </c>
      <c r="C169" s="141" t="s">
        <v>341</v>
      </c>
      <c r="D169" s="356">
        <f>VLOOKUP(C169,Settings!$B$341:C974,2,FALSE)</f>
        <v>5</v>
      </c>
      <c r="E169" s="141" t="s">
        <v>830</v>
      </c>
      <c r="F169" s="354" t="s">
        <v>59</v>
      </c>
      <c r="G169" s="354" t="str">
        <f>VLOOKUP(F169,Settings!$B$163:D876,3,FALSE)</f>
        <v>N</v>
      </c>
      <c r="H169" s="354">
        <f>VLOOKUP(F169,Settings!$B$163:D875,2,FALSE)</f>
        <v>4</v>
      </c>
      <c r="I169" s="354">
        <f>VLOOKUP(F169,Settings!$B$163:F583,5,FALSE)</f>
        <v>3</v>
      </c>
      <c r="J169" s="353" t="str">
        <f t="shared" ref="J169:J194" si="11">_xlfn.TEXTJOIN("-",,D169,G169,B169)</f>
        <v>5-N-161</v>
      </c>
      <c r="K169" s="20">
        <f>VLOOKUP(J169,'Energy Related'!$B$10:$I$49,8,FALSE)</f>
        <v>0.20451982518</v>
      </c>
      <c r="L169" s="20">
        <v>0</v>
      </c>
      <c r="M169" s="20">
        <v>0</v>
      </c>
      <c r="N169" s="61">
        <v>0</v>
      </c>
      <c r="O169" s="20">
        <f>VLOOKUP(J169,'Energy Related'!$B$10:$I$49,8,FALSE)</f>
        <v>0.20451982518</v>
      </c>
      <c r="P169" s="62">
        <f t="shared" ref="P169:P194" si="12">O169/$O$195</f>
        <v>1.0143591361681439E-8</v>
      </c>
    </row>
    <row r="170" spans="2:16" x14ac:dyDescent="0.25">
      <c r="B170" s="141">
        <v>162</v>
      </c>
      <c r="C170" s="141" t="s">
        <v>342</v>
      </c>
      <c r="D170" s="356">
        <f>VLOOKUP(C170,Settings!$B$341:C975,2,FALSE)</f>
        <v>6</v>
      </c>
      <c r="E170" s="141" t="s">
        <v>830</v>
      </c>
      <c r="F170" s="354" t="s">
        <v>59</v>
      </c>
      <c r="G170" s="354" t="str">
        <f>VLOOKUP(F170,Settings!$B$163:D877,3,FALSE)</f>
        <v>N</v>
      </c>
      <c r="H170" s="354">
        <f>VLOOKUP(F170,Settings!$B$163:D876,2,FALSE)</f>
        <v>4</v>
      </c>
      <c r="I170" s="354">
        <f>VLOOKUP(F170,Settings!$B$163:F584,5,FALSE)</f>
        <v>3</v>
      </c>
      <c r="J170" s="353" t="str">
        <f t="shared" si="11"/>
        <v>6-N-162</v>
      </c>
      <c r="K170" s="20">
        <f>VLOOKUP(J170,'Energy Related'!$B$10:$I$49,8,FALSE)</f>
        <v>3.4086637530000005E-2</v>
      </c>
      <c r="L170" s="20">
        <v>0</v>
      </c>
      <c r="M170" s="20">
        <v>0</v>
      </c>
      <c r="N170" s="61">
        <v>0</v>
      </c>
      <c r="O170" s="20">
        <f>VLOOKUP(J170,'Energy Related'!$B$10:$I$49,8,FALSE)</f>
        <v>3.4086637530000005E-2</v>
      </c>
      <c r="P170" s="62">
        <f t="shared" si="12"/>
        <v>1.69059856028024E-9</v>
      </c>
    </row>
    <row r="171" spans="2:16" x14ac:dyDescent="0.25">
      <c r="B171" s="141">
        <v>163</v>
      </c>
      <c r="C171" s="141" t="s">
        <v>343</v>
      </c>
      <c r="D171" s="356">
        <f>VLOOKUP(C171,Settings!$B$341:C976,2,FALSE)</f>
        <v>7</v>
      </c>
      <c r="E171" s="141" t="s">
        <v>830</v>
      </c>
      <c r="F171" s="354" t="s">
        <v>59</v>
      </c>
      <c r="G171" s="354" t="str">
        <f>VLOOKUP(F171,Settings!$B$163:D878,3,FALSE)</f>
        <v>N</v>
      </c>
      <c r="H171" s="354">
        <f>VLOOKUP(F171,Settings!$B$163:D877,2,FALSE)</f>
        <v>4</v>
      </c>
      <c r="I171" s="354">
        <f>VLOOKUP(F171,Settings!$B$163:F585,5,FALSE)</f>
        <v>3</v>
      </c>
      <c r="J171" s="353" t="str">
        <f t="shared" si="11"/>
        <v>7-N-163</v>
      </c>
      <c r="K171" s="20">
        <f>VLOOKUP(J171,'Energy Related'!$B$10:$I$49,8,FALSE)</f>
        <v>0.23826215324</v>
      </c>
      <c r="L171" s="20">
        <v>0</v>
      </c>
      <c r="M171" s="20">
        <v>0</v>
      </c>
      <c r="N171" s="61">
        <v>0</v>
      </c>
      <c r="O171" s="20">
        <f>VLOOKUP(J171,'Energy Related'!$B$10:$I$49,8,FALSE)</f>
        <v>0.23826215324</v>
      </c>
      <c r="P171" s="62">
        <f t="shared" si="12"/>
        <v>1.1817113168827534E-8</v>
      </c>
    </row>
    <row r="172" spans="2:16" x14ac:dyDescent="0.25">
      <c r="B172" s="141">
        <v>164</v>
      </c>
      <c r="C172" s="141" t="s">
        <v>510</v>
      </c>
      <c r="D172" s="356">
        <f>VLOOKUP(C172,Settings!$B$341:C977,2,FALSE)</f>
        <v>9</v>
      </c>
      <c r="E172" s="141" t="s">
        <v>830</v>
      </c>
      <c r="F172" s="354" t="s">
        <v>59</v>
      </c>
      <c r="G172" s="354" t="str">
        <f>VLOOKUP(F172,Settings!$B$163:D879,3,FALSE)</f>
        <v>N</v>
      </c>
      <c r="H172" s="354">
        <f>VLOOKUP(F172,Settings!$B$163:D878,2,FALSE)</f>
        <v>4</v>
      </c>
      <c r="I172" s="354">
        <f>VLOOKUP(F172,Settings!$B$163:F586,5,FALSE)</f>
        <v>3</v>
      </c>
      <c r="J172" s="353" t="str">
        <f t="shared" si="11"/>
        <v>9-N-164</v>
      </c>
      <c r="K172" s="20">
        <f>VLOOKUP(J172,'Energy Related'!$B$10:$I$49,8,FALSE)</f>
        <v>1.5697068737300002</v>
      </c>
      <c r="L172" s="20">
        <v>0</v>
      </c>
      <c r="M172" s="20">
        <v>0</v>
      </c>
      <c r="N172" s="61">
        <v>0</v>
      </c>
      <c r="O172" s="20">
        <f>VLOOKUP(J172,'Energy Related'!$B$10:$I$49,8,FALSE)</f>
        <v>1.5697068737300002</v>
      </c>
      <c r="P172" s="62">
        <f t="shared" si="12"/>
        <v>7.7852917538561752E-8</v>
      </c>
    </row>
    <row r="173" spans="2:16" x14ac:dyDescent="0.25">
      <c r="B173" s="141">
        <v>165</v>
      </c>
      <c r="C173" s="141" t="s">
        <v>510</v>
      </c>
      <c r="D173" s="356">
        <f>VLOOKUP(C173,Settings!$B$341:C978,2,FALSE)</f>
        <v>9</v>
      </c>
      <c r="E173" s="141" t="s">
        <v>831</v>
      </c>
      <c r="F173" s="354" t="s">
        <v>59</v>
      </c>
      <c r="G173" s="354" t="str">
        <f>VLOOKUP(F173,Settings!$B$163:D880,3,FALSE)</f>
        <v>N</v>
      </c>
      <c r="H173" s="354">
        <f>VLOOKUP(F173,Settings!$B$163:D879,2,FALSE)</f>
        <v>4</v>
      </c>
      <c r="I173" s="354">
        <f>VLOOKUP(F173,Settings!$B$163:F587,5,FALSE)</f>
        <v>3</v>
      </c>
      <c r="J173" s="353" t="str">
        <f t="shared" si="11"/>
        <v>9-N-165</v>
      </c>
      <c r="K173" s="20">
        <f>VLOOKUP(J173,'Energy Related'!$B$10:$I$49,8,FALSE)</f>
        <v>6.7706188799999999E-3</v>
      </c>
      <c r="L173" s="20">
        <v>0</v>
      </c>
      <c r="M173" s="20">
        <v>0</v>
      </c>
      <c r="N173" s="61">
        <v>0</v>
      </c>
      <c r="O173" s="20">
        <f>VLOOKUP(J173,'Energy Related'!$B$10:$I$49,8,FALSE)</f>
        <v>6.7706188799999999E-3</v>
      </c>
      <c r="P173" s="62">
        <f t="shared" si="12"/>
        <v>3.3580309940105167E-10</v>
      </c>
    </row>
    <row r="174" spans="2:16" x14ac:dyDescent="0.25">
      <c r="B174" s="141">
        <v>166</v>
      </c>
      <c r="C174" s="141" t="s">
        <v>341</v>
      </c>
      <c r="D174" s="356">
        <f>VLOOKUP(C174,Settings!$B$341:C982,2,FALSE)</f>
        <v>5</v>
      </c>
      <c r="E174" s="141" t="s">
        <v>833</v>
      </c>
      <c r="F174" s="354" t="s">
        <v>59</v>
      </c>
      <c r="G174" s="354" t="str">
        <f>VLOOKUP(F174,Settings!$B$163:D884,3,FALSE)</f>
        <v>N</v>
      </c>
      <c r="H174" s="354">
        <f>VLOOKUP(F174,Settings!$B$163:D883,2,FALSE)</f>
        <v>4</v>
      </c>
      <c r="I174" s="354">
        <f>VLOOKUP(F174,Settings!$B$163:F591,5,FALSE)</f>
        <v>3</v>
      </c>
      <c r="J174" s="353" t="str">
        <f t="shared" si="11"/>
        <v>5-N-166</v>
      </c>
      <c r="K174" s="20">
        <f>VLOOKUP(J174,'Energy Related'!$B$10:$I$49,8,FALSE)</f>
        <v>7707.7950000000001</v>
      </c>
      <c r="L174" s="20">
        <v>0</v>
      </c>
      <c r="M174" s="20">
        <v>0</v>
      </c>
      <c r="N174" s="61">
        <v>0</v>
      </c>
      <c r="O174" s="20">
        <f>VLOOKUP(J174,'Energy Related'!$B$10:$I$49,8,FALSE)</f>
        <v>7707.7950000000001</v>
      </c>
      <c r="P174" s="62">
        <f t="shared" si="12"/>
        <v>3.8228432236728254E-4</v>
      </c>
    </row>
    <row r="175" spans="2:16" x14ac:dyDescent="0.25">
      <c r="B175" s="141">
        <v>167</v>
      </c>
      <c r="C175" s="141" t="s">
        <v>337</v>
      </c>
      <c r="D175" s="356">
        <f>VLOOKUP(C175,Settings!$B$341:C997,2,FALSE)</f>
        <v>1</v>
      </c>
      <c r="E175" s="141" t="s">
        <v>832</v>
      </c>
      <c r="F175" s="354" t="s">
        <v>59</v>
      </c>
      <c r="G175" s="354" t="str">
        <f>VLOOKUP(F175,Settings!$B$163:D899,3,FALSE)</f>
        <v>N</v>
      </c>
      <c r="H175" s="354">
        <f>VLOOKUP(F175,Settings!$B$163:D898,2,FALSE)</f>
        <v>4</v>
      </c>
      <c r="I175" s="354">
        <f>VLOOKUP(F175,Settings!$B$163:F606,5,FALSE)</f>
        <v>3</v>
      </c>
      <c r="J175" s="353" t="str">
        <f t="shared" si="11"/>
        <v>1-N-167</v>
      </c>
      <c r="K175" s="20">
        <f>VLOOKUP(J175,'Energy Related'!$B$10:$I$49,8,FALSE)</f>
        <v>0</v>
      </c>
      <c r="L175" s="20">
        <v>0</v>
      </c>
      <c r="M175" s="20">
        <v>0</v>
      </c>
      <c r="N175" s="61">
        <v>0</v>
      </c>
      <c r="O175" s="20">
        <f>VLOOKUP(J175,'Energy Related'!$B$10:$I$49,8,FALSE)</f>
        <v>0</v>
      </c>
      <c r="P175" s="62">
        <f t="shared" si="12"/>
        <v>0</v>
      </c>
    </row>
    <row r="176" spans="2:16" x14ac:dyDescent="0.25">
      <c r="B176" s="141">
        <v>168</v>
      </c>
      <c r="C176" s="141" t="s">
        <v>338</v>
      </c>
      <c r="D176" s="356">
        <f>VLOOKUP(C176,Settings!$B$341:C988,2,FALSE)</f>
        <v>2</v>
      </c>
      <c r="E176" s="141" t="s">
        <v>832</v>
      </c>
      <c r="F176" s="354" t="s">
        <v>59</v>
      </c>
      <c r="G176" s="354" t="str">
        <f>VLOOKUP(F176,Settings!$B$163:D890,3,FALSE)</f>
        <v>N</v>
      </c>
      <c r="H176" s="354">
        <f>VLOOKUP(F176,Settings!$B$163:D889,2,FALSE)</f>
        <v>4</v>
      </c>
      <c r="I176" s="354">
        <f>VLOOKUP(F176,Settings!$B$163:F597,5,FALSE)</f>
        <v>3</v>
      </c>
      <c r="J176" s="353" t="str">
        <f t="shared" si="11"/>
        <v>2-N-168</v>
      </c>
      <c r="K176" s="20">
        <f>VLOOKUP(J176,'Energy Related'!$B$10:$I$49,8,FALSE)</f>
        <v>0</v>
      </c>
      <c r="L176" s="20">
        <v>0</v>
      </c>
      <c r="M176" s="20">
        <v>0</v>
      </c>
      <c r="N176" s="61">
        <v>0</v>
      </c>
      <c r="O176" s="20">
        <f>VLOOKUP(J176,'Energy Related'!$B$10:$I$49,8,FALSE)</f>
        <v>0</v>
      </c>
      <c r="P176" s="62">
        <f t="shared" si="12"/>
        <v>0</v>
      </c>
    </row>
    <row r="177" spans="2:16" x14ac:dyDescent="0.25">
      <c r="B177" s="141">
        <v>169</v>
      </c>
      <c r="C177" s="141" t="s">
        <v>339</v>
      </c>
      <c r="D177" s="356">
        <f>VLOOKUP(C177,Settings!$B$341:C989,2,FALSE)</f>
        <v>3</v>
      </c>
      <c r="E177" s="141" t="s">
        <v>832</v>
      </c>
      <c r="F177" s="354" t="s">
        <v>59</v>
      </c>
      <c r="G177" s="354" t="str">
        <f>VLOOKUP(F177,Settings!$B$163:D891,3,FALSE)</f>
        <v>N</v>
      </c>
      <c r="H177" s="354">
        <f>VLOOKUP(F177,Settings!$B$163:D890,2,FALSE)</f>
        <v>4</v>
      </c>
      <c r="I177" s="354">
        <f>VLOOKUP(F177,Settings!$B$163:F598,5,FALSE)</f>
        <v>3</v>
      </c>
      <c r="J177" s="353" t="str">
        <f t="shared" si="11"/>
        <v>3-N-169</v>
      </c>
      <c r="K177" s="20">
        <f>VLOOKUP(J177,'Energy Related'!$B$10:$I$49,8,FALSE)</f>
        <v>0</v>
      </c>
      <c r="L177" s="20">
        <v>0</v>
      </c>
      <c r="M177" s="20">
        <v>0</v>
      </c>
      <c r="N177" s="61">
        <v>0</v>
      </c>
      <c r="O177" s="20">
        <f>VLOOKUP(J177,'Energy Related'!$B$10:$I$49,8,FALSE)</f>
        <v>0</v>
      </c>
      <c r="P177" s="62">
        <f t="shared" si="12"/>
        <v>0</v>
      </c>
    </row>
    <row r="178" spans="2:16" x14ac:dyDescent="0.25">
      <c r="B178" s="141">
        <v>170</v>
      </c>
      <c r="C178" s="141" t="s">
        <v>340</v>
      </c>
      <c r="D178" s="356">
        <f>VLOOKUP(C178,Settings!$B$341:C990,2,FALSE)</f>
        <v>4</v>
      </c>
      <c r="E178" s="141" t="s">
        <v>832</v>
      </c>
      <c r="F178" s="354" t="s">
        <v>59</v>
      </c>
      <c r="G178" s="354" t="str">
        <f>VLOOKUP(F178,Settings!$B$163:D892,3,FALSE)</f>
        <v>N</v>
      </c>
      <c r="H178" s="354">
        <f>VLOOKUP(F178,Settings!$B$163:D891,2,FALSE)</f>
        <v>4</v>
      </c>
      <c r="I178" s="354">
        <f>VLOOKUP(F178,Settings!$B$163:F599,5,FALSE)</f>
        <v>3</v>
      </c>
      <c r="J178" s="353" t="str">
        <f t="shared" si="11"/>
        <v>4-N-170</v>
      </c>
      <c r="K178" s="20">
        <f>VLOOKUP(J178,'Energy Related'!$B$10:$I$49,8,FALSE)</f>
        <v>0</v>
      </c>
      <c r="L178" s="20">
        <v>0</v>
      </c>
      <c r="M178" s="20">
        <v>0</v>
      </c>
      <c r="N178" s="61">
        <v>0</v>
      </c>
      <c r="O178" s="20">
        <f>VLOOKUP(J178,'Energy Related'!$B$10:$I$49,8,FALSE)</f>
        <v>0</v>
      </c>
      <c r="P178" s="62">
        <f t="shared" si="12"/>
        <v>0</v>
      </c>
    </row>
    <row r="179" spans="2:16" x14ac:dyDescent="0.25">
      <c r="B179" s="141">
        <v>171</v>
      </c>
      <c r="C179" s="141" t="s">
        <v>341</v>
      </c>
      <c r="D179" s="356">
        <f>VLOOKUP(C179,Settings!$B$341:C991,2,FALSE)</f>
        <v>5</v>
      </c>
      <c r="E179" s="141" t="s">
        <v>832</v>
      </c>
      <c r="F179" s="354" t="s">
        <v>59</v>
      </c>
      <c r="G179" s="354" t="str">
        <f>VLOOKUP(F179,Settings!$B$163:D893,3,FALSE)</f>
        <v>N</v>
      </c>
      <c r="H179" s="354">
        <f>VLOOKUP(F179,Settings!$B$163:D892,2,FALSE)</f>
        <v>4</v>
      </c>
      <c r="I179" s="354">
        <f>VLOOKUP(F179,Settings!$B$163:F600,5,FALSE)</f>
        <v>3</v>
      </c>
      <c r="J179" s="353" t="str">
        <f t="shared" si="11"/>
        <v>5-N-171</v>
      </c>
      <c r="K179" s="20">
        <f>VLOOKUP(J179,'Energy Related'!$B$10:$I$49,8,FALSE)</f>
        <v>0</v>
      </c>
      <c r="L179" s="20">
        <v>0</v>
      </c>
      <c r="M179" s="20">
        <v>0</v>
      </c>
      <c r="N179" s="61">
        <v>0</v>
      </c>
      <c r="O179" s="20">
        <f>VLOOKUP(J179,'Energy Related'!$B$10:$I$49,8,FALSE)</f>
        <v>0</v>
      </c>
      <c r="P179" s="62">
        <f t="shared" si="12"/>
        <v>0</v>
      </c>
    </row>
    <row r="180" spans="2:16" x14ac:dyDescent="0.25">
      <c r="B180" s="141">
        <v>172</v>
      </c>
      <c r="C180" s="141" t="s">
        <v>342</v>
      </c>
      <c r="D180" s="356">
        <f>VLOOKUP(C180,Settings!$B$341:C992,2,FALSE)</f>
        <v>6</v>
      </c>
      <c r="E180" s="141" t="s">
        <v>832</v>
      </c>
      <c r="F180" s="354" t="s">
        <v>59</v>
      </c>
      <c r="G180" s="354" t="str">
        <f>VLOOKUP(F180,Settings!$B$163:D894,3,FALSE)</f>
        <v>N</v>
      </c>
      <c r="H180" s="354">
        <f>VLOOKUP(F180,Settings!$B$163:D893,2,FALSE)</f>
        <v>4</v>
      </c>
      <c r="I180" s="354">
        <f>VLOOKUP(F180,Settings!$B$163:F601,5,FALSE)</f>
        <v>3</v>
      </c>
      <c r="J180" s="353" t="str">
        <f t="shared" si="11"/>
        <v>6-N-172</v>
      </c>
      <c r="K180" s="20">
        <f>VLOOKUP(J180,'Energy Related'!$B$10:$I$49,8,FALSE)</f>
        <v>0</v>
      </c>
      <c r="L180" s="20">
        <v>0</v>
      </c>
      <c r="M180" s="20">
        <v>0</v>
      </c>
      <c r="N180" s="61">
        <v>0</v>
      </c>
      <c r="O180" s="20">
        <f>VLOOKUP(J180,'Energy Related'!$B$10:$I$49,8,FALSE)</f>
        <v>0</v>
      </c>
      <c r="P180" s="62">
        <f t="shared" si="12"/>
        <v>0</v>
      </c>
    </row>
    <row r="181" spans="2:16" x14ac:dyDescent="0.25">
      <c r="B181" s="141">
        <v>173</v>
      </c>
      <c r="C181" s="141" t="s">
        <v>343</v>
      </c>
      <c r="D181" s="356">
        <f>VLOOKUP(C181,Settings!$B$341:C993,2,FALSE)</f>
        <v>7</v>
      </c>
      <c r="E181" s="141" t="s">
        <v>832</v>
      </c>
      <c r="F181" s="354" t="s">
        <v>59</v>
      </c>
      <c r="G181" s="354" t="str">
        <f>VLOOKUP(F181,Settings!$B$163:D895,3,FALSE)</f>
        <v>N</v>
      </c>
      <c r="H181" s="354">
        <f>VLOOKUP(F181,Settings!$B$163:D894,2,FALSE)</f>
        <v>4</v>
      </c>
      <c r="I181" s="354">
        <f>VLOOKUP(F181,Settings!$B$163:F602,5,FALSE)</f>
        <v>3</v>
      </c>
      <c r="J181" s="353" t="str">
        <f t="shared" si="11"/>
        <v>7-N-173</v>
      </c>
      <c r="K181" s="20">
        <f>VLOOKUP(J181,'Energy Related'!$B$10:$I$49,8,FALSE)</f>
        <v>3.33247167E-3</v>
      </c>
      <c r="L181" s="20">
        <v>0</v>
      </c>
      <c r="M181" s="20">
        <v>0</v>
      </c>
      <c r="N181" s="61">
        <v>0</v>
      </c>
      <c r="O181" s="20">
        <f>VLOOKUP(J181,'Energy Related'!$B$10:$I$49,8,FALSE)</f>
        <v>3.33247167E-3</v>
      </c>
      <c r="P181" s="62">
        <f t="shared" si="12"/>
        <v>1.6528094924347577E-10</v>
      </c>
    </row>
    <row r="182" spans="2:16" x14ac:dyDescent="0.25">
      <c r="B182" s="141">
        <v>174</v>
      </c>
      <c r="C182" s="141" t="s">
        <v>510</v>
      </c>
      <c r="D182" s="356">
        <f>VLOOKUP(C182,Settings!$B$341:C994,2,FALSE)</f>
        <v>9</v>
      </c>
      <c r="E182" s="141" t="s">
        <v>832</v>
      </c>
      <c r="F182" s="354" t="s">
        <v>59</v>
      </c>
      <c r="G182" s="354" t="str">
        <f>VLOOKUP(F182,Settings!$B$163:D896,3,FALSE)</f>
        <v>N</v>
      </c>
      <c r="H182" s="354">
        <f>VLOOKUP(F182,Settings!$B$163:D895,2,FALSE)</f>
        <v>4</v>
      </c>
      <c r="I182" s="354">
        <f>VLOOKUP(F182,Settings!$B$163:F603,5,FALSE)</f>
        <v>3</v>
      </c>
      <c r="J182" s="353" t="str">
        <f t="shared" si="11"/>
        <v>9-N-174</v>
      </c>
      <c r="K182" s="20">
        <f>VLOOKUP(J182,'Energy Related'!$B$10:$I$49,8,FALSE)</f>
        <v>1.9085974110000001E-2</v>
      </c>
      <c r="L182" s="20">
        <v>0</v>
      </c>
      <c r="M182" s="20">
        <v>0</v>
      </c>
      <c r="N182" s="61">
        <v>0</v>
      </c>
      <c r="O182" s="20">
        <f>VLOOKUP(J182,'Energy Related'!$B$10:$I$49,8,FALSE)</f>
        <v>1.9085974110000001E-2</v>
      </c>
      <c r="P182" s="62">
        <f t="shared" si="12"/>
        <v>9.466090729399067E-10</v>
      </c>
    </row>
    <row r="183" spans="2:16" x14ac:dyDescent="0.25">
      <c r="B183" s="141">
        <v>175</v>
      </c>
      <c r="C183" s="141"/>
      <c r="D183" s="356" t="e">
        <f>VLOOKUP(C183,Settings!$B$341:C998,2,FALSE)</f>
        <v>#N/A</v>
      </c>
      <c r="E183" s="574"/>
      <c r="F183" s="354"/>
      <c r="G183" s="354" t="e">
        <f>VLOOKUP(F183,Settings!$B$163:D900,3,FALSE)</f>
        <v>#N/A</v>
      </c>
      <c r="H183" s="354" t="e">
        <f>VLOOKUP(F183,Settings!$B$163:D899,2,FALSE)</f>
        <v>#N/A</v>
      </c>
      <c r="I183" s="354" t="e">
        <f>VLOOKUP(F183,Settings!$B$163:F607,5,FALSE)</f>
        <v>#N/A</v>
      </c>
      <c r="J183" s="353" t="e">
        <f t="shared" si="11"/>
        <v>#N/A</v>
      </c>
      <c r="K183" s="20"/>
      <c r="L183" s="20"/>
      <c r="M183" s="20"/>
      <c r="N183" s="61"/>
      <c r="O183" s="20"/>
      <c r="P183" s="62">
        <f t="shared" si="12"/>
        <v>0</v>
      </c>
    </row>
    <row r="184" spans="2:16" x14ac:dyDescent="0.25">
      <c r="B184" s="141">
        <v>176</v>
      </c>
      <c r="C184" s="141"/>
      <c r="D184" s="356" t="e">
        <f>VLOOKUP(C184,Settings!$B$341:C999,2,FALSE)</f>
        <v>#N/A</v>
      </c>
      <c r="E184" s="574"/>
      <c r="F184" s="354"/>
      <c r="G184" s="354" t="e">
        <f>VLOOKUP(F184,Settings!$B$163:D901,3,FALSE)</f>
        <v>#N/A</v>
      </c>
      <c r="H184" s="354" t="e">
        <f>VLOOKUP(F184,Settings!$B$163:D900,2,FALSE)</f>
        <v>#N/A</v>
      </c>
      <c r="I184" s="354" t="e">
        <f>VLOOKUP(F184,Settings!$B$163:F608,5,FALSE)</f>
        <v>#N/A</v>
      </c>
      <c r="J184" s="353" t="e">
        <f t="shared" si="11"/>
        <v>#N/A</v>
      </c>
      <c r="K184" s="20"/>
      <c r="L184" s="20"/>
      <c r="M184" s="20"/>
      <c r="N184" s="61"/>
      <c r="O184" s="20"/>
      <c r="P184" s="62">
        <f t="shared" si="12"/>
        <v>0</v>
      </c>
    </row>
    <row r="185" spans="2:16" x14ac:dyDescent="0.25">
      <c r="B185" s="141">
        <v>177</v>
      </c>
      <c r="C185" s="141"/>
      <c r="D185" s="356" t="e">
        <f>VLOOKUP(C185,Settings!$B$341:C1000,2,FALSE)</f>
        <v>#N/A</v>
      </c>
      <c r="E185" s="574"/>
      <c r="F185" s="354"/>
      <c r="G185" s="354" t="e">
        <f>VLOOKUP(F185,Settings!$B$163:D902,3,FALSE)</f>
        <v>#N/A</v>
      </c>
      <c r="H185" s="354" t="e">
        <f>VLOOKUP(F185,Settings!$B$163:D901,2,FALSE)</f>
        <v>#N/A</v>
      </c>
      <c r="I185" s="354" t="e">
        <f>VLOOKUP(F185,Settings!$B$163:F609,5,FALSE)</f>
        <v>#N/A</v>
      </c>
      <c r="J185" s="353" t="e">
        <f t="shared" si="11"/>
        <v>#N/A</v>
      </c>
      <c r="K185" s="20"/>
      <c r="L185" s="20"/>
      <c r="M185" s="20"/>
      <c r="N185" s="61"/>
      <c r="O185" s="20"/>
      <c r="P185" s="62">
        <f t="shared" si="12"/>
        <v>0</v>
      </c>
    </row>
    <row r="186" spans="2:16" x14ac:dyDescent="0.25">
      <c r="B186" s="141">
        <v>178</v>
      </c>
      <c r="C186" s="141"/>
      <c r="D186" s="356" t="e">
        <f>VLOOKUP(C186,Settings!$B$341:C1001,2,FALSE)</f>
        <v>#N/A</v>
      </c>
      <c r="E186" s="574"/>
      <c r="F186" s="354"/>
      <c r="G186" s="354" t="e">
        <f>VLOOKUP(F186,Settings!$B$163:D903,3,FALSE)</f>
        <v>#N/A</v>
      </c>
      <c r="H186" s="354" t="e">
        <f>VLOOKUP(F186,Settings!$B$163:D902,2,FALSE)</f>
        <v>#N/A</v>
      </c>
      <c r="I186" s="354" t="e">
        <f>VLOOKUP(F186,Settings!$B$163:F610,5,FALSE)</f>
        <v>#N/A</v>
      </c>
      <c r="J186" s="353" t="e">
        <f t="shared" si="11"/>
        <v>#N/A</v>
      </c>
      <c r="K186" s="20"/>
      <c r="L186" s="20"/>
      <c r="M186" s="20"/>
      <c r="N186" s="61"/>
      <c r="O186" s="20"/>
      <c r="P186" s="62">
        <f t="shared" si="12"/>
        <v>0</v>
      </c>
    </row>
    <row r="187" spans="2:16" x14ac:dyDescent="0.25">
      <c r="B187" s="141">
        <v>179</v>
      </c>
      <c r="C187" s="141"/>
      <c r="D187" s="356" t="e">
        <f>VLOOKUP(C187,Settings!$B$341:C1002,2,FALSE)</f>
        <v>#N/A</v>
      </c>
      <c r="E187" s="574"/>
      <c r="F187" s="354"/>
      <c r="G187" s="354" t="e">
        <f>VLOOKUP(F187,Settings!$B$163:D904,3,FALSE)</f>
        <v>#N/A</v>
      </c>
      <c r="H187" s="354" t="e">
        <f>VLOOKUP(F187,Settings!$B$163:D903,2,FALSE)</f>
        <v>#N/A</v>
      </c>
      <c r="I187" s="354" t="e">
        <f>VLOOKUP(F187,Settings!$B$163:F611,5,FALSE)</f>
        <v>#N/A</v>
      </c>
      <c r="J187" s="353" t="e">
        <f t="shared" si="11"/>
        <v>#N/A</v>
      </c>
      <c r="K187" s="20"/>
      <c r="L187" s="20"/>
      <c r="M187" s="20"/>
      <c r="N187" s="61"/>
      <c r="O187" s="20"/>
      <c r="P187" s="62">
        <f t="shared" si="12"/>
        <v>0</v>
      </c>
    </row>
    <row r="188" spans="2:16" x14ac:dyDescent="0.25">
      <c r="B188" s="141">
        <v>180</v>
      </c>
      <c r="C188" s="141"/>
      <c r="D188" s="356" t="e">
        <f>VLOOKUP(C188,Settings!$B$341:C989,2,FALSE)</f>
        <v>#N/A</v>
      </c>
      <c r="E188" s="302"/>
      <c r="F188" s="354"/>
      <c r="G188" s="354" t="e">
        <f>VLOOKUP(F188,Settings!$B$163:D891,3,FALSE)</f>
        <v>#N/A</v>
      </c>
      <c r="H188" s="354" t="e">
        <f>VLOOKUP(F188,Settings!$B$163:D890,2,FALSE)</f>
        <v>#N/A</v>
      </c>
      <c r="I188" s="354" t="e">
        <f>VLOOKUP(F188,Settings!$B$163:F598,5,FALSE)</f>
        <v>#N/A</v>
      </c>
      <c r="J188" s="353" t="e">
        <f t="shared" si="11"/>
        <v>#N/A</v>
      </c>
      <c r="K188" s="20"/>
      <c r="L188" s="20"/>
      <c r="M188" s="20"/>
      <c r="N188" s="61"/>
      <c r="O188" s="20"/>
      <c r="P188" s="62">
        <f t="shared" si="12"/>
        <v>0</v>
      </c>
    </row>
    <row r="189" spans="2:16" x14ac:dyDescent="0.25">
      <c r="B189" s="141">
        <v>181</v>
      </c>
      <c r="C189" s="141"/>
      <c r="D189" s="356" t="e">
        <f>VLOOKUP(C189,Settings!$B$341:C990,2,FALSE)</f>
        <v>#N/A</v>
      </c>
      <c r="E189" s="302"/>
      <c r="F189" s="354"/>
      <c r="G189" s="354" t="e">
        <f>VLOOKUP(F189,Settings!$B$163:D892,3,FALSE)</f>
        <v>#N/A</v>
      </c>
      <c r="H189" s="354" t="e">
        <f>VLOOKUP(F189,Settings!$B$163:D891,2,FALSE)</f>
        <v>#N/A</v>
      </c>
      <c r="I189" s="354" t="e">
        <f>VLOOKUP(F189,Settings!$B$163:F599,5,FALSE)</f>
        <v>#N/A</v>
      </c>
      <c r="J189" s="353" t="e">
        <f t="shared" si="11"/>
        <v>#N/A</v>
      </c>
      <c r="K189" s="20"/>
      <c r="L189" s="20"/>
      <c r="M189" s="20"/>
      <c r="N189" s="61"/>
      <c r="O189" s="20"/>
      <c r="P189" s="62">
        <f t="shared" si="12"/>
        <v>0</v>
      </c>
    </row>
    <row r="190" spans="2:16" x14ac:dyDescent="0.25">
      <c r="B190" s="141">
        <v>182</v>
      </c>
      <c r="C190" s="141"/>
      <c r="D190" s="356" t="e">
        <f>VLOOKUP(C190,Settings!$B$341:C956,2,FALSE)</f>
        <v>#N/A</v>
      </c>
      <c r="E190" s="302"/>
      <c r="F190" s="354"/>
      <c r="G190" s="354" t="e">
        <f>VLOOKUP(F190,Settings!$B$163:D858,3,FALSE)</f>
        <v>#N/A</v>
      </c>
      <c r="H190" s="354" t="e">
        <f>VLOOKUP(F190,Settings!$B$163:D857,2,FALSE)</f>
        <v>#N/A</v>
      </c>
      <c r="I190" s="354" t="e">
        <f>VLOOKUP(F190,Settings!$B$163:F565,5,FALSE)</f>
        <v>#N/A</v>
      </c>
      <c r="J190" s="353" t="e">
        <f t="shared" si="11"/>
        <v>#N/A</v>
      </c>
      <c r="K190" s="20"/>
      <c r="L190" s="20"/>
      <c r="M190" s="20"/>
      <c r="N190" s="61"/>
      <c r="O190" s="20"/>
      <c r="P190" s="62">
        <f t="shared" si="12"/>
        <v>0</v>
      </c>
    </row>
    <row r="191" spans="2:16" x14ac:dyDescent="0.25">
      <c r="B191" s="141">
        <v>183</v>
      </c>
      <c r="C191" s="141"/>
      <c r="D191" s="356" t="e">
        <f>VLOOKUP(C191,Settings!$B$341:C957,2,FALSE)</f>
        <v>#N/A</v>
      </c>
      <c r="E191" s="302"/>
      <c r="F191" s="354"/>
      <c r="G191" s="354" t="e">
        <f>VLOOKUP(F191,Settings!$B$163:D859,3,FALSE)</f>
        <v>#N/A</v>
      </c>
      <c r="H191" s="354" t="e">
        <f>VLOOKUP(F191,Settings!$B$163:D858,2,FALSE)</f>
        <v>#N/A</v>
      </c>
      <c r="I191" s="354" t="e">
        <f>VLOOKUP(F191,Settings!$B$163:F566,5,FALSE)</f>
        <v>#N/A</v>
      </c>
      <c r="J191" s="353" t="e">
        <f t="shared" si="11"/>
        <v>#N/A</v>
      </c>
      <c r="K191" s="20"/>
      <c r="L191" s="20"/>
      <c r="M191" s="20"/>
      <c r="N191" s="61"/>
      <c r="O191" s="20"/>
      <c r="P191" s="62">
        <f t="shared" si="12"/>
        <v>0</v>
      </c>
    </row>
    <row r="192" spans="2:16" x14ac:dyDescent="0.25">
      <c r="B192" s="141">
        <v>184</v>
      </c>
      <c r="C192" s="141"/>
      <c r="D192" s="356" t="e">
        <f>VLOOKUP(C192,Settings!$B$341:C958,2,FALSE)</f>
        <v>#N/A</v>
      </c>
      <c r="E192" s="302"/>
      <c r="F192" s="354"/>
      <c r="G192" s="354" t="e">
        <f>VLOOKUP(F192,Settings!$B$163:D860,3,FALSE)</f>
        <v>#N/A</v>
      </c>
      <c r="H192" s="354" t="e">
        <f>VLOOKUP(F192,Settings!$B$163:D859,2,FALSE)</f>
        <v>#N/A</v>
      </c>
      <c r="I192" s="354" t="e">
        <f>VLOOKUP(F192,Settings!$B$163:F567,5,FALSE)</f>
        <v>#N/A</v>
      </c>
      <c r="J192" s="353" t="e">
        <f t="shared" si="11"/>
        <v>#N/A</v>
      </c>
      <c r="K192" s="20"/>
      <c r="L192" s="20"/>
      <c r="M192" s="20"/>
      <c r="N192" s="61"/>
      <c r="O192" s="20"/>
      <c r="P192" s="62">
        <f t="shared" si="12"/>
        <v>0</v>
      </c>
    </row>
    <row r="193" spans="2:16" x14ac:dyDescent="0.25">
      <c r="B193" s="141">
        <v>185</v>
      </c>
      <c r="C193" s="141"/>
      <c r="D193" s="356" t="e">
        <f>VLOOKUP(C193,Settings!$B$341:C959,2,FALSE)</f>
        <v>#N/A</v>
      </c>
      <c r="E193" s="302"/>
      <c r="F193" s="354"/>
      <c r="G193" s="354" t="e">
        <f>VLOOKUP(F193,Settings!$B$163:D861,3,FALSE)</f>
        <v>#N/A</v>
      </c>
      <c r="H193" s="354" t="e">
        <f>VLOOKUP(F193,Settings!$B$163:D860,2,FALSE)</f>
        <v>#N/A</v>
      </c>
      <c r="I193" s="354" t="e">
        <f>VLOOKUP(F193,Settings!$B$163:F568,5,FALSE)</f>
        <v>#N/A</v>
      </c>
      <c r="J193" s="353" t="e">
        <f t="shared" si="11"/>
        <v>#N/A</v>
      </c>
      <c r="K193" s="20"/>
      <c r="L193" s="20"/>
      <c r="M193" s="20"/>
      <c r="N193" s="61"/>
      <c r="O193" s="20"/>
      <c r="P193" s="62">
        <f t="shared" si="12"/>
        <v>0</v>
      </c>
    </row>
    <row r="194" spans="2:16" x14ac:dyDescent="0.25">
      <c r="B194" s="141">
        <v>186</v>
      </c>
      <c r="C194" s="141"/>
      <c r="D194" s="356" t="e">
        <f>VLOOKUP(C194,Settings!$B$341:C952,2,FALSE)</f>
        <v>#N/A</v>
      </c>
      <c r="E194" s="141"/>
      <c r="F194" s="354"/>
      <c r="G194" s="354" t="e">
        <f>VLOOKUP(F194,Settings!$B$163:D854,3,FALSE)</f>
        <v>#N/A</v>
      </c>
      <c r="H194" s="354" t="e">
        <f>VLOOKUP(F194,Settings!$B$163:D853,2,FALSE)</f>
        <v>#N/A</v>
      </c>
      <c r="I194" s="354" t="e">
        <f>VLOOKUP(F194,Settings!$B$163:F561,5,FALSE)</f>
        <v>#N/A</v>
      </c>
      <c r="J194" s="353" t="e">
        <f t="shared" si="11"/>
        <v>#N/A</v>
      </c>
      <c r="K194" s="20"/>
      <c r="L194" s="20"/>
      <c r="M194" s="20"/>
      <c r="N194" s="61"/>
      <c r="O194" s="20"/>
      <c r="P194" s="62">
        <f t="shared" si="12"/>
        <v>0</v>
      </c>
    </row>
    <row r="195" spans="2:16" x14ac:dyDescent="0.25">
      <c r="B195" s="300"/>
      <c r="C195" s="300" t="s">
        <v>410</v>
      </c>
      <c r="D195" s="300"/>
      <c r="E195" s="300"/>
      <c r="F195" s="355"/>
      <c r="G195" s="355"/>
      <c r="H195" s="355"/>
      <c r="I195" s="355"/>
      <c r="J195" s="355"/>
      <c r="K195" s="135">
        <f t="shared" ref="K195:P195" si="13">_xlfn.AGGREGATE(9,6,K9:K194)</f>
        <v>18543415.126081921</v>
      </c>
      <c r="L195" s="135">
        <f t="shared" si="13"/>
        <v>59333.236110877137</v>
      </c>
      <c r="M195" s="135">
        <f t="shared" si="13"/>
        <v>26.231749739454958</v>
      </c>
      <c r="N195" s="135">
        <f t="shared" si="13"/>
        <v>0.4</v>
      </c>
      <c r="O195" s="135">
        <f t="shared" si="13"/>
        <v>20162466.910151441</v>
      </c>
      <c r="P195" s="347">
        <f t="shared" si="13"/>
        <v>1.0000000000000002</v>
      </c>
    </row>
  </sheetData>
  <autoFilter ref="B8:P195" xr:uid="{3D18A35F-65BA-4B36-9CEF-384A398ACE0A}">
    <sortState xmlns:xlrd2="http://schemas.microsoft.com/office/spreadsheetml/2017/richdata2" ref="B9:P195">
      <sortCondition ref="B8:B195"/>
    </sortState>
  </autoFilter>
  <dataConsolidate/>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D96DBC40-5E02-4638-832C-60C55083C9F1}">
          <x14:formula1>
            <xm:f>Settings!$B$341:$B$348</xm:f>
          </x14:formula1>
          <xm:sqref>C9:C194</xm:sqref>
        </x14:dataValidation>
        <x14:dataValidation type="list" allowBlank="1" showInputMessage="1" showErrorMessage="1" xr:uid="{A80D6A5C-E2A3-4F91-9404-B9851DD98FFC}">
          <x14:formula1>
            <xm:f>Settings!$B$163:$B$180</xm:f>
          </x14:formula1>
          <xm:sqref>F9:F194</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E1B79-7E1A-4B43-AA4A-50B4CBB08FEA}">
  <sheetPr>
    <tabColor rgb="FF00CC66"/>
  </sheetPr>
  <dimension ref="A6:Z411"/>
  <sheetViews>
    <sheetView rightToLeft="1" zoomScale="70" zoomScaleNormal="70" workbookViewId="0">
      <selection activeCell="F23" sqref="F23"/>
    </sheetView>
  </sheetViews>
  <sheetFormatPr defaultColWidth="8.8984375" defaultRowHeight="16.2" x14ac:dyDescent="0.25"/>
  <cols>
    <col min="1" max="1" width="10.3984375" style="3" customWidth="1"/>
    <col min="2" max="2" width="25" style="3" customWidth="1"/>
    <col min="3" max="3" width="7.3984375" style="3" customWidth="1"/>
    <col min="4" max="4" width="9" style="3" bestFit="1" customWidth="1"/>
    <col min="5" max="5" width="27" style="2" customWidth="1"/>
    <col min="6" max="6" width="12.8984375" style="3" customWidth="1"/>
    <col min="7" max="7" width="14.69921875" style="3" customWidth="1"/>
    <col min="8" max="8" width="10.69921875" style="3" customWidth="1"/>
    <col min="9" max="9" width="9.69921875" style="3" customWidth="1"/>
    <col min="10" max="11" width="8.8984375" style="3" customWidth="1"/>
    <col min="12" max="16384" width="8.8984375" style="3"/>
  </cols>
  <sheetData>
    <row r="6" spans="1:26" ht="19.2" thickBot="1" x14ac:dyDescent="0.3">
      <c r="G6" s="303"/>
      <c r="H6" s="304"/>
      <c r="I6" s="304"/>
      <c r="J6" s="304"/>
      <c r="K6" s="304"/>
      <c r="L6" s="304"/>
      <c r="M6" s="304"/>
      <c r="N6" s="304"/>
      <c r="O6" s="304"/>
      <c r="P6" s="304"/>
      <c r="Q6" s="304"/>
      <c r="R6" s="304"/>
      <c r="S6" s="304"/>
      <c r="T6" s="24"/>
      <c r="U6" s="24"/>
    </row>
    <row r="7" spans="1:26" ht="16.8" customHeight="1" thickBot="1" x14ac:dyDescent="0.3">
      <c r="B7" s="943" t="s">
        <v>1355</v>
      </c>
      <c r="C7" s="944"/>
      <c r="D7" s="944"/>
      <c r="E7" s="945"/>
      <c r="G7" s="357"/>
      <c r="H7" s="941" t="s">
        <v>1</v>
      </c>
      <c r="I7" s="942"/>
      <c r="J7" s="358"/>
      <c r="K7" s="941" t="s">
        <v>344</v>
      </c>
      <c r="L7" s="942"/>
      <c r="M7" s="357"/>
      <c r="N7" s="357"/>
      <c r="O7" s="357"/>
      <c r="P7" s="357"/>
      <c r="Q7" s="358"/>
      <c r="R7" s="358"/>
      <c r="S7" s="305"/>
      <c r="T7" s="139"/>
      <c r="U7" s="139"/>
    </row>
    <row r="8" spans="1:26" ht="16.2" customHeight="1" thickBot="1" x14ac:dyDescent="0.3">
      <c r="B8" s="946"/>
      <c r="C8" s="947"/>
      <c r="D8" s="947"/>
      <c r="E8" s="948"/>
      <c r="G8" s="357"/>
      <c r="H8" s="358"/>
      <c r="I8" s="358"/>
      <c r="J8" s="358"/>
      <c r="K8" s="358"/>
      <c r="L8" s="358"/>
      <c r="M8" s="357"/>
      <c r="N8" s="357"/>
      <c r="O8" s="357"/>
      <c r="P8" s="357"/>
      <c r="Q8" s="358"/>
      <c r="R8" s="358"/>
      <c r="S8" s="305"/>
      <c r="T8" s="139"/>
      <c r="U8" s="139"/>
    </row>
    <row r="9" spans="1:26" ht="16.8" customHeight="1" thickBot="1" x14ac:dyDescent="0.3">
      <c r="B9" s="946"/>
      <c r="C9" s="947"/>
      <c r="D9" s="947"/>
      <c r="E9" s="948"/>
      <c r="G9" s="357"/>
      <c r="H9" s="941" t="s">
        <v>337</v>
      </c>
      <c r="I9" s="942"/>
      <c r="J9" s="358"/>
      <c r="K9" s="941" t="s">
        <v>338</v>
      </c>
      <c r="L9" s="942"/>
      <c r="M9" s="358"/>
      <c r="N9" s="941" t="s">
        <v>339</v>
      </c>
      <c r="O9" s="942"/>
      <c r="P9" s="358"/>
      <c r="Q9" s="941" t="s">
        <v>340</v>
      </c>
      <c r="R9" s="942"/>
      <c r="S9" s="305"/>
      <c r="T9" s="24"/>
      <c r="U9" s="24"/>
    </row>
    <row r="10" spans="1:26" ht="16.8" thickBot="1" x14ac:dyDescent="0.3">
      <c r="B10" s="946"/>
      <c r="C10" s="947"/>
      <c r="D10" s="947"/>
      <c r="E10" s="948"/>
      <c r="G10" s="357"/>
      <c r="H10" s="358"/>
      <c r="I10" s="358"/>
      <c r="J10" s="358"/>
      <c r="K10" s="358"/>
      <c r="L10" s="358"/>
      <c r="M10" s="358"/>
      <c r="N10" s="358"/>
      <c r="O10" s="358"/>
      <c r="P10" s="358"/>
      <c r="Q10" s="358"/>
      <c r="R10" s="358"/>
      <c r="S10" s="305"/>
      <c r="T10" s="139"/>
      <c r="U10" s="139"/>
    </row>
    <row r="11" spans="1:26" ht="16.8" thickBot="1" x14ac:dyDescent="0.3">
      <c r="B11" s="949"/>
      <c r="C11" s="950"/>
      <c r="D11" s="950"/>
      <c r="E11" s="951"/>
      <c r="G11" s="357"/>
      <c r="H11" s="941" t="s">
        <v>342</v>
      </c>
      <c r="I11" s="942"/>
      <c r="J11" s="358"/>
      <c r="K11" s="941" t="s">
        <v>343</v>
      </c>
      <c r="L11" s="942"/>
      <c r="M11" s="358"/>
      <c r="N11" s="941" t="s">
        <v>341</v>
      </c>
      <c r="O11" s="942"/>
      <c r="P11" s="358"/>
      <c r="Q11" s="941" t="s">
        <v>510</v>
      </c>
      <c r="R11" s="942"/>
      <c r="S11" s="305"/>
      <c r="T11" s="139"/>
      <c r="U11" s="139"/>
    </row>
    <row r="12" spans="1:26" ht="18.600000000000001" x14ac:dyDescent="0.25">
      <c r="G12" s="359"/>
      <c r="H12" s="359"/>
      <c r="I12" s="359"/>
      <c r="J12" s="359"/>
      <c r="K12" s="359"/>
      <c r="L12" s="359"/>
      <c r="M12" s="359"/>
      <c r="N12" s="359"/>
      <c r="O12" s="359"/>
      <c r="P12" s="359"/>
      <c r="Q12" s="359"/>
      <c r="R12" s="359"/>
      <c r="S12" s="303"/>
      <c r="T12" s="4"/>
      <c r="U12" s="4"/>
    </row>
    <row r="13" spans="1:26" ht="22.8" x14ac:dyDescent="0.25">
      <c r="A13" s="158"/>
      <c r="B13" s="159" t="s">
        <v>1</v>
      </c>
      <c r="C13" s="101"/>
      <c r="D13" s="101"/>
      <c r="E13" s="102"/>
      <c r="F13" s="101"/>
      <c r="G13" s="101"/>
      <c r="H13" s="101"/>
      <c r="I13" s="101"/>
      <c r="J13" s="101"/>
      <c r="K13" s="101"/>
      <c r="L13" s="101"/>
      <c r="M13" s="101"/>
      <c r="N13" s="101"/>
      <c r="O13" s="101"/>
      <c r="P13" s="101"/>
      <c r="Q13" s="101"/>
      <c r="R13" s="101"/>
      <c r="S13" s="101"/>
      <c r="T13" s="101"/>
      <c r="U13" s="101"/>
      <c r="V13" s="101"/>
      <c r="W13" s="101"/>
      <c r="X13" s="101"/>
      <c r="Y13" s="101"/>
      <c r="Z13" s="101"/>
    </row>
    <row r="20" spans="2:7" ht="16.8" x14ac:dyDescent="0.25">
      <c r="B20" s="925" t="s">
        <v>584</v>
      </c>
      <c r="C20" s="926"/>
      <c r="D20" s="926"/>
      <c r="E20" s="926"/>
      <c r="F20" s="927"/>
      <c r="G20" s="122"/>
    </row>
    <row r="21" spans="2:7" ht="27.6" x14ac:dyDescent="0.25">
      <c r="B21" s="142" t="s">
        <v>335</v>
      </c>
      <c r="C21" s="925" t="s">
        <v>575</v>
      </c>
      <c r="D21" s="927"/>
      <c r="E21" s="160" t="s">
        <v>587</v>
      </c>
      <c r="F21" s="161" t="s">
        <v>588</v>
      </c>
      <c r="G21" s="125"/>
    </row>
    <row r="22" spans="2:7" x14ac:dyDescent="0.25">
      <c r="B22" s="324" t="s">
        <v>337</v>
      </c>
      <c r="C22" s="952">
        <f>VLOOKUP(B22,Settings!$B$341:C348,2,FALSE)</f>
        <v>1</v>
      </c>
      <c r="D22" s="953"/>
      <c r="E22" s="346">
        <f>SUMIF(Inventory!$C$9:$C$194,B22,Inventory!$O$9:$O$194)</f>
        <v>7182736.2314968714</v>
      </c>
      <c r="F22" s="58">
        <f t="shared" ref="F22:F29" si="0">E22/$E$30</f>
        <v>0.35624292719262907</v>
      </c>
      <c r="G22" s="127"/>
    </row>
    <row r="23" spans="2:7" x14ac:dyDescent="0.25">
      <c r="B23" s="324" t="s">
        <v>338</v>
      </c>
      <c r="C23" s="952">
        <f>VLOOKUP(B23,Settings!$B$341:C349,2,FALSE)</f>
        <v>2</v>
      </c>
      <c r="D23" s="953"/>
      <c r="E23" s="346">
        <f>SUMIF(Inventory!$C$9:$C$194,B23,Inventory!$O$9:$O$194)</f>
        <v>9305750.0108622964</v>
      </c>
      <c r="F23" s="58">
        <f t="shared" si="0"/>
        <v>0.46153826574549861</v>
      </c>
      <c r="G23" s="127"/>
    </row>
    <row r="24" spans="2:7" x14ac:dyDescent="0.25">
      <c r="B24" s="324" t="s">
        <v>339</v>
      </c>
      <c r="C24" s="952">
        <f>VLOOKUP(B24,Settings!$B$341:C350,2,FALSE)</f>
        <v>3</v>
      </c>
      <c r="D24" s="953"/>
      <c r="E24" s="346">
        <f>SUMIF(Inventory!$C$9:$C$194,B24,Inventory!$O$9:$O$194)</f>
        <v>463713.19685769925</v>
      </c>
      <c r="F24" s="58">
        <f t="shared" si="0"/>
        <v>2.2998832381181892E-2</v>
      </c>
      <c r="G24" s="127"/>
    </row>
    <row r="25" spans="2:7" x14ac:dyDescent="0.25">
      <c r="B25" s="324" t="s">
        <v>340</v>
      </c>
      <c r="C25" s="952">
        <f>VLOOKUP(B25,Settings!$B$341:C351,2,FALSE)</f>
        <v>4</v>
      </c>
      <c r="D25" s="953"/>
      <c r="E25" s="346">
        <f>SUMIF(Inventory!$C$9:$C$194,B25,Inventory!$O$9:$O$194)</f>
        <v>260650.52944576315</v>
      </c>
      <c r="F25" s="58">
        <f t="shared" si="0"/>
        <v>1.2927511827162893E-2</v>
      </c>
      <c r="G25" s="127"/>
    </row>
    <row r="26" spans="2:7" x14ac:dyDescent="0.25">
      <c r="B26" s="324" t="s">
        <v>341</v>
      </c>
      <c r="C26" s="952">
        <f>VLOOKUP(B26,Settings!$B$341:C352,2,FALSE)</f>
        <v>5</v>
      </c>
      <c r="D26" s="953"/>
      <c r="E26" s="346">
        <f>SUMIF(Inventory!$C$9:$C$194,B26,Inventory!$O$9:$O$194)</f>
        <v>2099578.6974632288</v>
      </c>
      <c r="F26" s="58">
        <f t="shared" si="0"/>
        <v>0.104133026321602</v>
      </c>
      <c r="G26" s="127"/>
    </row>
    <row r="27" spans="2:7" x14ac:dyDescent="0.25">
      <c r="B27" s="324" t="s">
        <v>342</v>
      </c>
      <c r="C27" s="952">
        <f>VLOOKUP(B27,Settings!$B$341:C353,2,FALSE)</f>
        <v>6</v>
      </c>
      <c r="D27" s="953"/>
      <c r="E27" s="346">
        <f>SUMIF(Inventory!$C$9:$C$194,B27,Inventory!$O$9:$O$194)</f>
        <v>35746.12735550385</v>
      </c>
      <c r="F27" s="58">
        <f t="shared" si="0"/>
        <v>1.7729044523567858E-3</v>
      </c>
      <c r="G27" s="127"/>
    </row>
    <row r="28" spans="2:7" x14ac:dyDescent="0.25">
      <c r="B28" s="324" t="s">
        <v>343</v>
      </c>
      <c r="C28" s="952">
        <f>VLOOKUP(B28,Settings!$B$341:C362,2,FALSE)</f>
        <v>7</v>
      </c>
      <c r="D28" s="953"/>
      <c r="E28" s="346">
        <f>SUMIF(Inventory!$C$9:$C$194,B28,Inventory!$O$9:$O$194)</f>
        <v>74832.069815460767</v>
      </c>
      <c r="F28" s="58">
        <f t="shared" si="0"/>
        <v>3.7114540670509012E-3</v>
      </c>
      <c r="G28" s="127"/>
    </row>
    <row r="29" spans="2:7" x14ac:dyDescent="0.25">
      <c r="B29" s="324" t="s">
        <v>510</v>
      </c>
      <c r="C29" s="952">
        <f>VLOOKUP(B29,Settings!$B$341:C364,2,FALSE)</f>
        <v>9</v>
      </c>
      <c r="D29" s="953"/>
      <c r="E29" s="346">
        <f>SUMIF(Inventory!$C$9:$C$194,B29,Inventory!$O$9:$O$194)</f>
        <v>739460.04685461009</v>
      </c>
      <c r="F29" s="58">
        <f t="shared" si="0"/>
        <v>3.6675078012517674E-2</v>
      </c>
      <c r="G29" s="127"/>
    </row>
    <row r="30" spans="2:7" x14ac:dyDescent="0.25">
      <c r="B30" s="142" t="s">
        <v>410</v>
      </c>
      <c r="C30" s="956"/>
      <c r="D30" s="957"/>
      <c r="E30" s="135">
        <f>_xlfn.AGGREGATE(9,6,E22:E29)</f>
        <v>20162466.910151437</v>
      </c>
      <c r="F30" s="360">
        <f>SUM(F22:F29)</f>
        <v>0.99999999999999989</v>
      </c>
      <c r="G30" s="126"/>
    </row>
    <row r="40" spans="2:6" x14ac:dyDescent="0.25">
      <c r="B40" s="925" t="s">
        <v>586</v>
      </c>
      <c r="C40" s="926"/>
      <c r="D40" s="926"/>
      <c r="E40" s="926"/>
      <c r="F40" s="927"/>
    </row>
    <row r="41" spans="2:6" ht="27.6" x14ac:dyDescent="0.25">
      <c r="B41" s="142" t="s">
        <v>590</v>
      </c>
      <c r="C41" s="142" t="s">
        <v>332</v>
      </c>
      <c r="D41" s="142" t="s">
        <v>331</v>
      </c>
      <c r="E41" s="160" t="s">
        <v>587</v>
      </c>
      <c r="F41" s="161" t="s">
        <v>588</v>
      </c>
    </row>
    <row r="42" spans="2:6" x14ac:dyDescent="0.25">
      <c r="B42" s="308" t="s">
        <v>47</v>
      </c>
      <c r="C42" s="361" t="str">
        <f>VLOOKUP(B42,Settings!$B$163:$D$180,3,FALSE)</f>
        <v>C</v>
      </c>
      <c r="D42" s="361">
        <f>VLOOKUP(B42,Settings!$B$163:$C$180,2,FALSE)</f>
        <v>1</v>
      </c>
      <c r="E42" s="346">
        <f>SUMIF(Inventory!$G$9:$G$194,C42,Inventory!$O$9:$O$194)</f>
        <v>1296746.9928550471</v>
      </c>
      <c r="F42" s="59">
        <f t="shared" ref="F42:F57" si="1">E42/$E$58</f>
        <v>6.4314897509002655E-2</v>
      </c>
    </row>
    <row r="43" spans="2:6" x14ac:dyDescent="0.25">
      <c r="B43" s="308" t="s">
        <v>48</v>
      </c>
      <c r="C43" s="361" t="str">
        <f>VLOOKUP(B43,Settings!$B$163:$D$180,3,FALSE)</f>
        <v>V</v>
      </c>
      <c r="D43" s="361">
        <f>VLOOKUP(B43,Settings!$B$163:$C$180,2,FALSE)</f>
        <v>1</v>
      </c>
      <c r="E43" s="346">
        <f>SUMIF(Inventory!$G$9:$G$194,C43,Inventory!$O$9:$O$194)</f>
        <v>4293669.2697966658</v>
      </c>
      <c r="F43" s="59">
        <f t="shared" si="1"/>
        <v>0.21295356807925528</v>
      </c>
    </row>
    <row r="44" spans="2:6" x14ac:dyDescent="0.25">
      <c r="B44" s="308" t="s">
        <v>49</v>
      </c>
      <c r="C44" s="361" t="str">
        <f>VLOOKUP(B44,Settings!$B$163:$D$180,3,FALSE)</f>
        <v>F</v>
      </c>
      <c r="D44" s="361">
        <f>VLOOKUP(B44,Settings!$B$163:$C$180,2,FALSE)</f>
        <v>1</v>
      </c>
      <c r="E44" s="346">
        <f>SUMIF(Inventory!$G$9:$G$194,C44,Inventory!$O$9:$O$194)</f>
        <v>13618.732833191651</v>
      </c>
      <c r="F44" s="59">
        <f t="shared" si="1"/>
        <v>6.7544973012875049E-4</v>
      </c>
    </row>
    <row r="45" spans="2:6" x14ac:dyDescent="0.25">
      <c r="B45" s="308" t="s">
        <v>1429</v>
      </c>
      <c r="C45" s="361" t="str">
        <f>VLOOKUP(B45,Settings!$B$163:$D$180,3,FALSE)</f>
        <v>M</v>
      </c>
      <c r="D45" s="361">
        <f>VLOOKUP(B45,Settings!$B$163:$C$180,2,FALSE)</f>
        <v>1</v>
      </c>
      <c r="E45" s="346">
        <f>SUMIF(Inventory!$G$9:$G$194,C45,Inventory!$O$9:$O$194)</f>
        <v>49101.160298873969</v>
      </c>
      <c r="F45" s="59">
        <f t="shared" si="1"/>
        <v>2.4352754312098796E-3</v>
      </c>
    </row>
    <row r="46" spans="2:6" x14ac:dyDescent="0.25">
      <c r="B46" s="308" t="s">
        <v>1433</v>
      </c>
      <c r="C46" s="361" t="str">
        <f>VLOOKUP(B46,Settings!$B$163:$D$180,3,FALSE)</f>
        <v>W</v>
      </c>
      <c r="D46" s="361">
        <f>VLOOKUP(B46,Settings!$B$163:$C$180,2,FALSE)</f>
        <v>1</v>
      </c>
      <c r="E46" s="346">
        <f>SUMIF(Inventory!$G$9:$G$194,C46,Inventory!$O$9:$O$194)</f>
        <v>90516.963409984208</v>
      </c>
      <c r="F46" s="59">
        <f t="shared" si="1"/>
        <v>4.4893793905948359E-3</v>
      </c>
    </row>
    <row r="47" spans="2:6" x14ac:dyDescent="0.25">
      <c r="B47" s="308" t="s">
        <v>1123</v>
      </c>
      <c r="C47" s="361" t="str">
        <f>VLOOKUP(B47,Settings!$B$163:$D$180,3,FALSE)</f>
        <v>Y</v>
      </c>
      <c r="D47" s="361">
        <f>VLOOKUP(B47,Settings!$B$163:$C$180,2,FALSE)</f>
        <v>1</v>
      </c>
      <c r="E47" s="346">
        <f>SUMIF(Inventory!$G$9:$G$194,C47,Inventory!$O$9:$O$194)</f>
        <v>597.4327115142097</v>
      </c>
      <c r="F47" s="59">
        <f t="shared" si="1"/>
        <v>2.9630933267070269E-5</v>
      </c>
    </row>
    <row r="48" spans="2:6" x14ac:dyDescent="0.25">
      <c r="B48" s="308" t="s">
        <v>50</v>
      </c>
      <c r="C48" s="361" t="str">
        <f>VLOOKUP(B48,Settings!$B$163:$D$180,3,FALSE)</f>
        <v>E</v>
      </c>
      <c r="D48" s="361">
        <f>VLOOKUP(B48,Settings!$B$163:$C$180,2,FALSE)</f>
        <v>2</v>
      </c>
      <c r="E48" s="346">
        <f>SUMIF(Inventory!$G$9:$G$194,C48,Inventory!$O$9:$O$194)</f>
        <v>4539539.8536774926</v>
      </c>
      <c r="F48" s="59">
        <f t="shared" si="1"/>
        <v>0.22514803738583777</v>
      </c>
    </row>
    <row r="49" spans="2:6" x14ac:dyDescent="0.25">
      <c r="B49" s="308" t="s">
        <v>167</v>
      </c>
      <c r="C49" s="361" t="str">
        <f>VLOOKUP(B49,Settings!$B$163:$D$180,3,FALSE)</f>
        <v>T</v>
      </c>
      <c r="D49" s="361">
        <f>VLOOKUP(B49,Settings!$B$163:$C$180,2,FALSE)</f>
        <v>3</v>
      </c>
      <c r="E49" s="346">
        <f>SUMIF(Inventory!$G$9:$G$194,C49,Inventory!$O$9:$O$194)</f>
        <v>488422.60977016506</v>
      </c>
      <c r="F49" s="59">
        <f t="shared" si="1"/>
        <v>2.4224347742103577E-2</v>
      </c>
    </row>
    <row r="50" spans="2:6" x14ac:dyDescent="0.25">
      <c r="B50" s="308" t="s">
        <v>168</v>
      </c>
      <c r="C50" s="361" t="str">
        <f>VLOOKUP(B50,Settings!$B$163:$D$180,3,FALSE)</f>
        <v>D</v>
      </c>
      <c r="D50" s="361">
        <f>VLOOKUP(B50,Settings!$B$163:$C$180,2,FALSE)</f>
        <v>3</v>
      </c>
      <c r="E50" s="346">
        <f>SUMIF(Inventory!$G$9:$G$194,C50,Inventory!$O$9:$O$194)</f>
        <v>0</v>
      </c>
      <c r="F50" s="59">
        <f t="shared" si="1"/>
        <v>0</v>
      </c>
    </row>
    <row r="51" spans="2:6" x14ac:dyDescent="0.25">
      <c r="B51" s="308" t="s">
        <v>275</v>
      </c>
      <c r="C51" s="361" t="str">
        <f>VLOOKUP(B51,Settings!$B$163:$D$180,3,FALSE)</f>
        <v>P</v>
      </c>
      <c r="D51" s="361">
        <f>VLOOKUP(B51,Settings!$B$163:$C$180,2,FALSE)</f>
        <v>3</v>
      </c>
      <c r="E51" s="346">
        <f>SUMIF(Inventory!$G$9:$G$194,C51,Inventory!$O$9:$O$194)</f>
        <v>33906.774135461914</v>
      </c>
      <c r="F51" s="59">
        <f t="shared" si="1"/>
        <v>1.6816778565122141E-3</v>
      </c>
    </row>
    <row r="52" spans="2:6" x14ac:dyDescent="0.25">
      <c r="B52" s="308" t="s">
        <v>58</v>
      </c>
      <c r="C52" s="361" t="str">
        <f>VLOOKUP(B52,Settings!$B$163:$D$180,3,FALSE)</f>
        <v>B</v>
      </c>
      <c r="D52" s="361">
        <f>VLOOKUP(B52,Settings!$B$163:$C$180,2,FALSE)</f>
        <v>3</v>
      </c>
      <c r="E52" s="346">
        <f>SUMIF(Inventory!$G$9:$G$194,C52,Inventory!$O$9:$O$194)</f>
        <v>704949.49694779061</v>
      </c>
      <c r="F52" s="59">
        <f t="shared" si="1"/>
        <v>3.4963454625329668E-2</v>
      </c>
    </row>
    <row r="53" spans="2:6" x14ac:dyDescent="0.25">
      <c r="B53" s="308" t="s">
        <v>619</v>
      </c>
      <c r="C53" s="361" t="str">
        <f>VLOOKUP(B53,Settings!$B$163:$D$180,3,FALSE)</f>
        <v>R</v>
      </c>
      <c r="D53" s="361">
        <f>VLOOKUP(B53,Settings!$B$163:$C$180,2,FALSE)</f>
        <v>4</v>
      </c>
      <c r="E53" s="346">
        <f>SUMIF(Inventory!$G$9:$G$194,C53,Inventory!$O$9:$O$194)</f>
        <v>7604433.746760278</v>
      </c>
      <c r="F53" s="59">
        <f t="shared" si="1"/>
        <v>0.37715790337796329</v>
      </c>
    </row>
    <row r="54" spans="2:6" x14ac:dyDescent="0.25">
      <c r="B54" s="302" t="s">
        <v>966</v>
      </c>
      <c r="C54" s="361" t="str">
        <f>VLOOKUP(B54,Settings!$B$163:$D$180,3,FALSE)</f>
        <v>L</v>
      </c>
      <c r="D54" s="361">
        <f>VLOOKUP(B54,Settings!$B$163:$C$180,2,FALSE)</f>
        <v>4</v>
      </c>
      <c r="E54" s="346">
        <f>SUMIF(Inventory!$G$9:$G$194,C54,Inventory!$O$9:$O$194)</f>
        <v>26292.178559511394</v>
      </c>
      <c r="F54" s="59">
        <f t="shared" si="1"/>
        <v>1.3040159558190649E-3</v>
      </c>
    </row>
    <row r="55" spans="2:6" x14ac:dyDescent="0.25">
      <c r="B55" s="302" t="s">
        <v>962</v>
      </c>
      <c r="C55" s="361" t="str">
        <f>VLOOKUP(B55,Settings!$B$163:$D$180,3,FALSE)</f>
        <v>X</v>
      </c>
      <c r="D55" s="361">
        <f>VLOOKUP(B55,Settings!$B$163:$C$180,2,FALSE)</f>
        <v>4</v>
      </c>
      <c r="E55" s="346">
        <f>SUMIF(Inventory!$G$9:$G$194,C55,Inventory!$O$9:$O$194)</f>
        <v>14983.340718073214</v>
      </c>
      <c r="F55" s="59">
        <f t="shared" si="1"/>
        <v>7.4313033146402208E-4</v>
      </c>
    </row>
    <row r="56" spans="2:6" x14ac:dyDescent="0.25">
      <c r="B56" s="344" t="s">
        <v>1434</v>
      </c>
      <c r="C56" s="361" t="str">
        <f>VLOOKUP(B56,Settings!$B$163:$D$180,3,FALSE)</f>
        <v>Z</v>
      </c>
      <c r="D56" s="361">
        <f>VLOOKUP(B56,Settings!$B$163:$C$180,2,FALSE)</f>
        <v>4</v>
      </c>
      <c r="E56" s="346">
        <f>SUMIF(Inventory!$G$9:$G$194,C56,Inventory!$O$9:$O$194)</f>
        <v>3843.6711098475207</v>
      </c>
      <c r="F56" s="59">
        <f t="shared" si="1"/>
        <v>1.9063496183159521E-4</v>
      </c>
    </row>
    <row r="57" spans="2:6" x14ac:dyDescent="0.25">
      <c r="B57" s="308" t="s">
        <v>59</v>
      </c>
      <c r="C57" s="361" t="str">
        <f>VLOOKUP(B57,Settings!$B$163:$D$180,3,FALSE)</f>
        <v>N</v>
      </c>
      <c r="D57" s="361">
        <f>VLOOKUP(B57,Settings!$B$163:$C$180,2,FALSE)</f>
        <v>4</v>
      </c>
      <c r="E57" s="346">
        <f>SUMIF(Inventory!$G$9:$G$194,C57,Inventory!$O$9:$O$194)</f>
        <v>1001844.6865675382</v>
      </c>
      <c r="F57" s="59">
        <f t="shared" si="1"/>
        <v>4.9688596689680245E-2</v>
      </c>
    </row>
    <row r="58" spans="2:6" ht="16.8" x14ac:dyDescent="0.25">
      <c r="B58" s="142" t="s">
        <v>410</v>
      </c>
      <c r="C58" s="362"/>
      <c r="D58" s="362"/>
      <c r="E58" s="135">
        <f>_xlfn.AGGREGATE(9,6,E42:E57)</f>
        <v>20162466.910151437</v>
      </c>
      <c r="F58" s="360">
        <f>SUM(F42:F57)</f>
        <v>0.99999999999999989</v>
      </c>
    </row>
    <row r="66" spans="2:7" ht="16.8" x14ac:dyDescent="0.25">
      <c r="B66" s="931" t="s">
        <v>585</v>
      </c>
      <c r="C66" s="931"/>
      <c r="D66" s="931"/>
      <c r="E66" s="931"/>
      <c r="F66" s="931"/>
      <c r="G66" s="122"/>
    </row>
    <row r="67" spans="2:7" ht="27.6" x14ac:dyDescent="0.25">
      <c r="B67" s="925" t="s">
        <v>331</v>
      </c>
      <c r="C67" s="926"/>
      <c r="D67" s="927"/>
      <c r="E67" s="160" t="s">
        <v>587</v>
      </c>
      <c r="F67" s="161" t="s">
        <v>588</v>
      </c>
      <c r="G67" s="125"/>
    </row>
    <row r="68" spans="2:7" x14ac:dyDescent="0.25">
      <c r="B68" s="928">
        <v>1</v>
      </c>
      <c r="C68" s="929"/>
      <c r="D68" s="930"/>
      <c r="E68" s="67">
        <f>SUMIF(Inventory!$H$9:$H$194,B68,Inventory!$O$9:$O$194)</f>
        <v>5744250.5519052772</v>
      </c>
      <c r="F68" s="58">
        <f>E68/$E$74</f>
        <v>0.28489820107345848</v>
      </c>
      <c r="G68" s="127"/>
    </row>
    <row r="69" spans="2:7" x14ac:dyDescent="0.25">
      <c r="B69" s="928">
        <v>2</v>
      </c>
      <c r="C69" s="929"/>
      <c r="D69" s="930"/>
      <c r="E69" s="67">
        <f>SUMIF(Inventory!$H$9:$H$194,B69,Inventory!$O$9:$O$194)</f>
        <v>4539539.8536774926</v>
      </c>
      <c r="F69" s="58">
        <f t="shared" ref="F69:F73" si="2">E69/$E$74</f>
        <v>0.22514803738583777</v>
      </c>
      <c r="G69" s="127"/>
    </row>
    <row r="70" spans="2:7" x14ac:dyDescent="0.25">
      <c r="B70" s="928">
        <v>3</v>
      </c>
      <c r="C70" s="929"/>
      <c r="D70" s="930"/>
      <c r="E70" s="67">
        <f>SUMIF(Inventory!$H$9:$H$194,B70,Inventory!$O$9:$O$194)</f>
        <v>1227278.8808534178</v>
      </c>
      <c r="F70" s="58">
        <f t="shared" si="2"/>
        <v>6.086948022394547E-2</v>
      </c>
      <c r="G70" s="127"/>
    </row>
    <row r="71" spans="2:7" x14ac:dyDescent="0.25">
      <c r="B71" s="928">
        <v>4</v>
      </c>
      <c r="C71" s="929"/>
      <c r="D71" s="930"/>
      <c r="E71" s="67">
        <f>SUMIF(Inventory!$H$9:$H$194,B71,Inventory!$O$9:$O$194)</f>
        <v>8651397.6237152461</v>
      </c>
      <c r="F71" s="58">
        <f t="shared" si="2"/>
        <v>0.42908428131675813</v>
      </c>
      <c r="G71" s="127"/>
    </row>
    <row r="72" spans="2:7" x14ac:dyDescent="0.25">
      <c r="B72" s="928">
        <v>5</v>
      </c>
      <c r="C72" s="929"/>
      <c r="D72" s="930"/>
      <c r="E72" s="67">
        <f>SUMIF(Inventory!$H$9:$H$194,B72,Inventory!$O$9:$O$194)</f>
        <v>0</v>
      </c>
      <c r="F72" s="58">
        <f t="shared" si="2"/>
        <v>0</v>
      </c>
      <c r="G72" s="127"/>
    </row>
    <row r="73" spans="2:7" x14ac:dyDescent="0.25">
      <c r="B73" s="928">
        <v>6</v>
      </c>
      <c r="C73" s="929"/>
      <c r="D73" s="930"/>
      <c r="E73" s="67">
        <f>SUMIF(Inventory!$H$9:$H$194,B73,Inventory!$O$9:$O$194)</f>
        <v>0</v>
      </c>
      <c r="F73" s="58">
        <f t="shared" si="2"/>
        <v>0</v>
      </c>
      <c r="G73" s="127"/>
    </row>
    <row r="74" spans="2:7" x14ac:dyDescent="0.25">
      <c r="B74" s="925" t="s">
        <v>410</v>
      </c>
      <c r="C74" s="926"/>
      <c r="D74" s="927"/>
      <c r="E74" s="363">
        <f>_xlfn.AGGREGATE(9,6,E68:E73)</f>
        <v>20162466.910151437</v>
      </c>
      <c r="F74" s="360">
        <f>SUM(F68:F73)</f>
        <v>0.99999999999999989</v>
      </c>
      <c r="G74" s="126"/>
    </row>
    <row r="84" spans="2:19" x14ac:dyDescent="0.25">
      <c r="E84" s="3"/>
      <c r="S84" s="340"/>
    </row>
    <row r="85" spans="2:19" x14ac:dyDescent="0.25">
      <c r="E85" s="3"/>
    </row>
    <row r="86" spans="2:19" ht="16.8" x14ac:dyDescent="0.25">
      <c r="B86" s="931" t="s">
        <v>1322</v>
      </c>
      <c r="C86" s="931"/>
      <c r="D86" s="931"/>
      <c r="E86" s="931"/>
      <c r="F86" s="931"/>
      <c r="G86" s="122"/>
    </row>
    <row r="87" spans="2:19" ht="27.6" x14ac:dyDescent="0.25">
      <c r="B87" s="142" t="s">
        <v>591</v>
      </c>
      <c r="C87" s="925" t="s">
        <v>592</v>
      </c>
      <c r="D87" s="927"/>
      <c r="E87" s="160" t="s">
        <v>589</v>
      </c>
      <c r="F87" s="161" t="s">
        <v>588</v>
      </c>
      <c r="G87" s="125"/>
    </row>
    <row r="88" spans="2:19" x14ac:dyDescent="0.25">
      <c r="B88" s="17" t="s">
        <v>1063</v>
      </c>
      <c r="C88" s="954" t="s">
        <v>12</v>
      </c>
      <c r="D88" s="955"/>
      <c r="E88" s="346">
        <f>Inventory!K195</f>
        <v>18543415.126081921</v>
      </c>
      <c r="F88" s="58">
        <f>E88/$E$92</f>
        <v>0.99680908531765056</v>
      </c>
      <c r="G88" s="127"/>
    </row>
    <row r="89" spans="2:19" x14ac:dyDescent="0.25">
      <c r="B89" s="17" t="s">
        <v>770</v>
      </c>
      <c r="C89" s="954" t="s">
        <v>170</v>
      </c>
      <c r="D89" s="955"/>
      <c r="E89" s="346">
        <f>Inventory!L195</f>
        <v>59333.236110877137</v>
      </c>
      <c r="F89" s="58">
        <f t="shared" ref="F89:F91" si="3">E89/$E$92</f>
        <v>3.1894830814325988E-3</v>
      </c>
      <c r="G89" s="127"/>
    </row>
    <row r="90" spans="2:19" x14ac:dyDescent="0.25">
      <c r="B90" s="17" t="s">
        <v>1064</v>
      </c>
      <c r="C90" s="954" t="s">
        <v>171</v>
      </c>
      <c r="D90" s="955"/>
      <c r="E90" s="346">
        <f>Inventory!M195</f>
        <v>26.231749739454958</v>
      </c>
      <c r="F90" s="58">
        <f t="shared" si="3"/>
        <v>1.4100987486004953E-6</v>
      </c>
      <c r="G90" s="127"/>
    </row>
    <row r="91" spans="2:19" x14ac:dyDescent="0.25">
      <c r="B91" s="17" t="s">
        <v>1065</v>
      </c>
      <c r="C91" s="954" t="s">
        <v>769</v>
      </c>
      <c r="D91" s="955"/>
      <c r="E91" s="346">
        <f>Inventory!N195</f>
        <v>0.4</v>
      </c>
      <c r="F91" s="58">
        <f t="shared" si="3"/>
        <v>2.1502168366292053E-8</v>
      </c>
      <c r="G91" s="127"/>
    </row>
    <row r="92" spans="2:19" ht="16.8" x14ac:dyDescent="0.25">
      <c r="B92" s="142" t="s">
        <v>410</v>
      </c>
      <c r="C92" s="959"/>
      <c r="D92" s="960"/>
      <c r="E92" s="135">
        <f>SUM(E88:E91)</f>
        <v>18602774.993942536</v>
      </c>
      <c r="F92" s="360">
        <f>SUM(F88:F90)</f>
        <v>0.99999997849783184</v>
      </c>
      <c r="G92" s="126"/>
    </row>
    <row r="93" spans="2:19" x14ac:dyDescent="0.25">
      <c r="E93" s="3"/>
    </row>
    <row r="94" spans="2:19" x14ac:dyDescent="0.25">
      <c r="E94" s="3"/>
    </row>
    <row r="95" spans="2:19" x14ac:dyDescent="0.25">
      <c r="E95" s="3"/>
    </row>
    <row r="96" spans="2:19" x14ac:dyDescent="0.25">
      <c r="E96" s="3"/>
    </row>
    <row r="97" spans="2:7" x14ac:dyDescent="0.25">
      <c r="E97" s="3"/>
    </row>
    <row r="98" spans="2:7" x14ac:dyDescent="0.25">
      <c r="E98" s="3"/>
    </row>
    <row r="99" spans="2:7" x14ac:dyDescent="0.25">
      <c r="E99" s="3"/>
    </row>
    <row r="100" spans="2:7" x14ac:dyDescent="0.25">
      <c r="E100" s="3"/>
    </row>
    <row r="101" spans="2:7" x14ac:dyDescent="0.25">
      <c r="E101" s="3"/>
    </row>
    <row r="102" spans="2:7" x14ac:dyDescent="0.25">
      <c r="E102" s="3"/>
    </row>
    <row r="103" spans="2:7" x14ac:dyDescent="0.25">
      <c r="E103" s="3"/>
    </row>
    <row r="104" spans="2:7" x14ac:dyDescent="0.25">
      <c r="E104" s="3"/>
    </row>
    <row r="105" spans="2:7" ht="16.8" x14ac:dyDescent="0.25">
      <c r="B105" s="931" t="s">
        <v>1059</v>
      </c>
      <c r="C105" s="931"/>
      <c r="D105" s="931"/>
      <c r="E105" s="931"/>
      <c r="F105" s="931"/>
      <c r="G105" s="122"/>
    </row>
    <row r="106" spans="2:7" ht="27.6" x14ac:dyDescent="0.25">
      <c r="B106" s="925" t="s">
        <v>330</v>
      </c>
      <c r="C106" s="926"/>
      <c r="D106" s="927"/>
      <c r="E106" s="160" t="s">
        <v>589</v>
      </c>
      <c r="F106" s="161" t="s">
        <v>588</v>
      </c>
      <c r="G106" s="125"/>
    </row>
    <row r="107" spans="2:7" x14ac:dyDescent="0.25">
      <c r="B107" s="962" t="s">
        <v>1060</v>
      </c>
      <c r="C107" s="963"/>
      <c r="D107" s="964"/>
      <c r="E107" s="346">
        <f>E68</f>
        <v>5744250.5519052772</v>
      </c>
      <c r="F107" s="58">
        <f>E107/$E$110</f>
        <v>0.28489820107345848</v>
      </c>
      <c r="G107" s="127"/>
    </row>
    <row r="108" spans="2:7" x14ac:dyDescent="0.25">
      <c r="B108" s="962" t="s">
        <v>1061</v>
      </c>
      <c r="C108" s="963"/>
      <c r="D108" s="964"/>
      <c r="E108" s="346">
        <f>E69</f>
        <v>4539539.8536774926</v>
      </c>
      <c r="F108" s="58">
        <f>E108/$E$110</f>
        <v>0.22514803738583777</v>
      </c>
      <c r="G108" s="127"/>
    </row>
    <row r="109" spans="2:7" x14ac:dyDescent="0.25">
      <c r="B109" s="962" t="s">
        <v>1062</v>
      </c>
      <c r="C109" s="963"/>
      <c r="D109" s="964"/>
      <c r="E109" s="346">
        <f>SUM(E70:E73)</f>
        <v>9878676.5045686644</v>
      </c>
      <c r="F109" s="58">
        <f>E109/$E$110</f>
        <v>0.48995376154070364</v>
      </c>
      <c r="G109" s="127"/>
    </row>
    <row r="110" spans="2:7" ht="16.8" customHeight="1" x14ac:dyDescent="0.25">
      <c r="B110" s="925" t="s">
        <v>410</v>
      </c>
      <c r="C110" s="926"/>
      <c r="D110" s="927"/>
      <c r="E110" s="135">
        <f>SUM(E107:E109)</f>
        <v>20162466.910151437</v>
      </c>
      <c r="F110" s="360">
        <f>SUM(F107:F109)</f>
        <v>1</v>
      </c>
      <c r="G110" s="126"/>
    </row>
    <row r="117" spans="2:21" x14ac:dyDescent="0.25">
      <c r="B117" s="285" t="s">
        <v>1315</v>
      </c>
      <c r="C117" s="931" t="s">
        <v>330</v>
      </c>
      <c r="D117" s="931"/>
      <c r="E117" s="285" t="s">
        <v>568</v>
      </c>
      <c r="F117" s="285" t="s">
        <v>1320</v>
      </c>
      <c r="G117" s="285" t="s">
        <v>1320</v>
      </c>
      <c r="J117" s="931" t="s">
        <v>1316</v>
      </c>
      <c r="K117" s="931"/>
      <c r="L117" s="931"/>
      <c r="M117" s="931"/>
      <c r="N117" s="931"/>
      <c r="O117" s="931"/>
      <c r="P117" s="931"/>
      <c r="Q117" s="931"/>
      <c r="R117" s="931"/>
      <c r="S117" s="931"/>
      <c r="T117" s="931"/>
      <c r="U117" s="931"/>
    </row>
    <row r="118" spans="2:21" x14ac:dyDescent="0.25">
      <c r="B118" s="900" t="s">
        <v>1316</v>
      </c>
      <c r="C118" s="932">
        <v>1</v>
      </c>
      <c r="D118" s="933"/>
      <c r="E118" s="284" t="s">
        <v>34</v>
      </c>
      <c r="F118" s="938">
        <f>SUM(E42:E47)</f>
        <v>5744250.5519052772</v>
      </c>
      <c r="G118" s="938">
        <f>F118+F124</f>
        <v>20162466.910151437</v>
      </c>
      <c r="J118" s="958" t="s">
        <v>591</v>
      </c>
      <c r="K118" s="958"/>
      <c r="L118" s="961" t="s">
        <v>9</v>
      </c>
      <c r="M118" s="961"/>
      <c r="N118" s="961" t="s">
        <v>1089</v>
      </c>
      <c r="O118" s="961"/>
      <c r="P118" s="961" t="s">
        <v>1162</v>
      </c>
      <c r="Q118" s="961"/>
      <c r="R118" s="961" t="s">
        <v>11</v>
      </c>
      <c r="S118" s="961"/>
      <c r="T118" s="961" t="s">
        <v>1086</v>
      </c>
      <c r="U118" s="961"/>
    </row>
    <row r="119" spans="2:21" x14ac:dyDescent="0.25">
      <c r="B119" s="901"/>
      <c r="C119" s="934"/>
      <c r="D119" s="935"/>
      <c r="E119" s="284" t="s">
        <v>35</v>
      </c>
      <c r="F119" s="939"/>
      <c r="G119" s="939"/>
      <c r="J119" s="965" t="s">
        <v>272</v>
      </c>
      <c r="K119" s="966"/>
      <c r="L119" s="907">
        <f>Settings!B24</f>
        <v>1</v>
      </c>
      <c r="M119" s="908"/>
      <c r="N119" s="911">
        <f>Settings!G24</f>
        <v>29.8</v>
      </c>
      <c r="O119" s="912"/>
      <c r="P119" s="907">
        <f>Settings!C24</f>
        <v>27</v>
      </c>
      <c r="Q119" s="908"/>
      <c r="R119" s="907">
        <f>Settings!D24</f>
        <v>273</v>
      </c>
      <c r="S119" s="908"/>
      <c r="T119" s="907">
        <f>Settings!E24</f>
        <v>24300</v>
      </c>
      <c r="U119" s="908"/>
    </row>
    <row r="120" spans="2:21" x14ac:dyDescent="0.25">
      <c r="B120" s="901"/>
      <c r="C120" s="934"/>
      <c r="D120" s="935"/>
      <c r="E120" s="284" t="s">
        <v>36</v>
      </c>
      <c r="F120" s="939"/>
      <c r="G120" s="939"/>
      <c r="J120" s="906" t="s">
        <v>1087</v>
      </c>
      <c r="K120" s="906"/>
      <c r="L120" s="909">
        <f>SUMIF(Inventory!I9:I194,C118,Inventory!K9:K194)</f>
        <v>5730262.5725657297</v>
      </c>
      <c r="M120" s="910"/>
      <c r="N120" s="909">
        <f>SUMIF(Inventory!G9:G194,E119,Inventory!L9:L194)+SUMIF(Inventory!G9:G194,E120,Inventory!L9:L194)</f>
        <v>61.836212422538573</v>
      </c>
      <c r="O120" s="910"/>
      <c r="P120" s="909">
        <f>SUMIF(Inventory!G9:G194,E118,Inventory!L9:L194)+SUMIF(Inventory!G9:G194,E123,Inventory!L9:L194)</f>
        <v>45.412613695489242</v>
      </c>
      <c r="Q120" s="910"/>
      <c r="R120" s="909">
        <f>SUMIF(Inventory!I9:I194,C118,Inventory!M9:M194)</f>
        <v>4.1903429296452828</v>
      </c>
      <c r="S120" s="910"/>
      <c r="T120" s="909">
        <f>SUMIF(Inventory!I9:I194,C118,Inventory!N9:N194)</f>
        <v>0.4</v>
      </c>
      <c r="U120" s="910"/>
    </row>
    <row r="121" spans="2:21" x14ac:dyDescent="0.25">
      <c r="B121" s="901"/>
      <c r="C121" s="934"/>
      <c r="D121" s="935"/>
      <c r="E121" s="284" t="s">
        <v>46</v>
      </c>
      <c r="F121" s="939"/>
      <c r="G121" s="939"/>
      <c r="J121" s="906" t="s">
        <v>1321</v>
      </c>
      <c r="K121" s="906"/>
      <c r="L121" s="909">
        <f>L120*L119</f>
        <v>5730262.5725657297</v>
      </c>
      <c r="M121" s="910"/>
      <c r="N121" s="909">
        <f t="shared" ref="N121" si="4">N120*N119</f>
        <v>1842.7191301916496</v>
      </c>
      <c r="O121" s="910"/>
      <c r="P121" s="909">
        <f t="shared" ref="P121" si="5">P120*P119</f>
        <v>1226.1405697782095</v>
      </c>
      <c r="Q121" s="910"/>
      <c r="R121" s="909">
        <f t="shared" ref="R121" si="6">R120*R119</f>
        <v>1143.9636197931623</v>
      </c>
      <c r="S121" s="910"/>
      <c r="T121" s="909">
        <f t="shared" ref="T121" si="7">T120*T119</f>
        <v>9720</v>
      </c>
      <c r="U121" s="910"/>
    </row>
    <row r="122" spans="2:21" ht="16.2" customHeight="1" x14ac:dyDescent="0.25">
      <c r="B122" s="901"/>
      <c r="C122" s="934"/>
      <c r="D122" s="935"/>
      <c r="E122" s="284" t="s">
        <v>39</v>
      </c>
      <c r="F122" s="939"/>
      <c r="G122" s="939"/>
      <c r="J122" s="906" t="s">
        <v>1321</v>
      </c>
      <c r="K122" s="906"/>
      <c r="L122" s="913">
        <f>L121</f>
        <v>5730262.5725657297</v>
      </c>
      <c r="M122" s="914"/>
      <c r="N122" s="913">
        <f>N121+P121</f>
        <v>3068.8596999698593</v>
      </c>
      <c r="O122" s="919"/>
      <c r="P122" s="919"/>
      <c r="Q122" s="914"/>
      <c r="R122" s="913">
        <f>R121</f>
        <v>1143.9636197931623</v>
      </c>
      <c r="S122" s="914"/>
      <c r="T122" s="913">
        <f>T121</f>
        <v>9720</v>
      </c>
      <c r="U122" s="914"/>
    </row>
    <row r="123" spans="2:21" ht="16.2" customHeight="1" x14ac:dyDescent="0.25">
      <c r="B123" s="902"/>
      <c r="C123" s="936"/>
      <c r="D123" s="937"/>
      <c r="E123" s="345" t="s">
        <v>1155</v>
      </c>
      <c r="F123" s="940"/>
      <c r="G123" s="939"/>
      <c r="J123" s="920" t="s">
        <v>410</v>
      </c>
      <c r="K123" s="920"/>
      <c r="L123" s="921">
        <f>SUM(L122:U122)</f>
        <v>5744195.3958854927</v>
      </c>
      <c r="M123" s="922"/>
      <c r="N123" s="922"/>
      <c r="O123" s="922"/>
      <c r="P123" s="922"/>
      <c r="Q123" s="922"/>
      <c r="R123" s="922"/>
      <c r="S123" s="922"/>
      <c r="T123" s="922"/>
      <c r="U123" s="923"/>
    </row>
    <row r="124" spans="2:21" x14ac:dyDescent="0.25">
      <c r="B124" s="343" t="s">
        <v>1317</v>
      </c>
      <c r="C124" s="864" t="s">
        <v>1318</v>
      </c>
      <c r="D124" s="864"/>
      <c r="E124" s="284" t="s">
        <v>1319</v>
      </c>
      <c r="F124" s="364">
        <f>SUM(E48:E57)</f>
        <v>14418216.358246159</v>
      </c>
      <c r="G124" s="939"/>
    </row>
    <row r="125" spans="2:21" x14ac:dyDescent="0.25">
      <c r="B125" s="343" t="s">
        <v>1424</v>
      </c>
      <c r="C125" s="928">
        <v>1</v>
      </c>
      <c r="D125" s="930"/>
      <c r="E125" s="284" t="s">
        <v>228</v>
      </c>
      <c r="F125" s="365">
        <f>Fugitive!L108</f>
        <v>85633.728000000003</v>
      </c>
      <c r="G125" s="364">
        <f>F125</f>
        <v>85633.728000000003</v>
      </c>
      <c r="J125" s="24"/>
      <c r="K125" s="24"/>
      <c r="L125" s="24"/>
      <c r="M125" s="24"/>
      <c r="N125" s="24"/>
      <c r="O125" s="24"/>
      <c r="P125" s="24"/>
      <c r="Q125" s="24"/>
      <c r="R125" s="24"/>
      <c r="S125" s="24"/>
      <c r="T125" s="24"/>
      <c r="U125" s="24"/>
    </row>
    <row r="126" spans="2:21" x14ac:dyDescent="0.25">
      <c r="E126" s="3"/>
      <c r="F126" s="24"/>
      <c r="J126" s="24"/>
      <c r="K126" s="24"/>
      <c r="L126" s="24"/>
      <c r="M126" s="24"/>
      <c r="N126" s="24"/>
      <c r="O126" s="24"/>
      <c r="P126" s="24"/>
      <c r="Q126" s="24"/>
      <c r="R126" s="24"/>
      <c r="S126" s="24"/>
      <c r="T126" s="24"/>
      <c r="U126" s="24"/>
    </row>
    <row r="127" spans="2:21" x14ac:dyDescent="0.25">
      <c r="F127" s="24"/>
    </row>
    <row r="129" spans="1:26" ht="22.8" x14ac:dyDescent="0.25">
      <c r="A129" s="158" t="s">
        <v>282</v>
      </c>
      <c r="B129" s="159" t="s">
        <v>337</v>
      </c>
      <c r="C129" s="101"/>
      <c r="D129" s="101"/>
      <c r="E129" s="102"/>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2" spans="1:26" ht="41.4" x14ac:dyDescent="0.25">
      <c r="B132" s="142" t="s">
        <v>568</v>
      </c>
      <c r="C132" s="142" t="s">
        <v>332</v>
      </c>
      <c r="D132" s="173" t="s">
        <v>331</v>
      </c>
      <c r="E132" s="160" t="s">
        <v>587</v>
      </c>
      <c r="F132" s="161" t="s">
        <v>588</v>
      </c>
      <c r="G132" s="161" t="s">
        <v>705</v>
      </c>
      <c r="H132" s="161" t="s">
        <v>900</v>
      </c>
    </row>
    <row r="133" spans="1:26" x14ac:dyDescent="0.25">
      <c r="B133" s="308" t="s">
        <v>47</v>
      </c>
      <c r="C133" s="57" t="str">
        <f>VLOOKUP(B133,Settings!$B$163:D242,3,FALSE)</f>
        <v>C</v>
      </c>
      <c r="D133" s="900" t="s">
        <v>706</v>
      </c>
      <c r="E133" s="346">
        <f>SUMIFS(Inventory!$O$9:$O$194,Inventory!$D$9:$D$194,1,Inventory!$G$9:$G$194,C133)</f>
        <v>126543.20701439452</v>
      </c>
      <c r="F133" s="59">
        <f t="shared" ref="F133:F148" si="8">E133/$E$149</f>
        <v>1.7617688153365906E-2</v>
      </c>
      <c r="G133" s="903">
        <f>SUM(E133:E138)</f>
        <v>4060422.0353113022</v>
      </c>
      <c r="H133" s="916">
        <f>G133/G149</f>
        <v>0.56530295759797333</v>
      </c>
    </row>
    <row r="134" spans="1:26" x14ac:dyDescent="0.25">
      <c r="B134" s="308" t="s">
        <v>48</v>
      </c>
      <c r="C134" s="57" t="str">
        <f>VLOOKUP(B134,Settings!$B$163:D242,3,FALSE)</f>
        <v>V</v>
      </c>
      <c r="D134" s="901"/>
      <c r="E134" s="346">
        <f>SUMIFS(Inventory!$O$9:$O$194,Inventory!$D$9:$D$194,1,Inventory!$G$9:$G$194,C134)</f>
        <v>3866055.3740399992</v>
      </c>
      <c r="F134" s="59">
        <f t="shared" si="8"/>
        <v>0.53824270437316601</v>
      </c>
      <c r="G134" s="904"/>
      <c r="H134" s="917"/>
    </row>
    <row r="135" spans="1:26" x14ac:dyDescent="0.25">
      <c r="B135" s="308" t="s">
        <v>49</v>
      </c>
      <c r="C135" s="57" t="str">
        <f>VLOOKUP(B135,Settings!$B$163:D242,3,FALSE)</f>
        <v>F</v>
      </c>
      <c r="D135" s="901"/>
      <c r="E135" s="346">
        <f>SUMIFS(Inventory!$O$9:$O$194,Inventory!$D$9:$D$194,1,Inventory!$G$9:$G$194,C135)</f>
        <v>437.19189324661193</v>
      </c>
      <c r="F135" s="59">
        <f t="shared" si="8"/>
        <v>6.0867039963056226E-5</v>
      </c>
      <c r="G135" s="904"/>
      <c r="H135" s="917"/>
    </row>
    <row r="136" spans="1:26" x14ac:dyDescent="0.25">
      <c r="B136" s="308" t="s">
        <v>1429</v>
      </c>
      <c r="C136" s="57" t="str">
        <f>VLOOKUP(B136,Settings!$B$163:D242,3,FALSE)</f>
        <v>M</v>
      </c>
      <c r="D136" s="901"/>
      <c r="E136" s="346">
        <f>SUMIFS(Inventory!$O$9:$O$194,Inventory!$D$9:$D$194,1,Inventory!$G$9:$G$194,C136)</f>
        <v>9022.364854255</v>
      </c>
      <c r="F136" s="59">
        <f t="shared" si="8"/>
        <v>1.2561180813923266E-3</v>
      </c>
      <c r="G136" s="904"/>
      <c r="H136" s="917"/>
    </row>
    <row r="137" spans="1:26" x14ac:dyDescent="0.25">
      <c r="B137" s="308" t="s">
        <v>1433</v>
      </c>
      <c r="C137" s="57" t="str">
        <f>VLOOKUP(B137,Settings!$B$163:D243,3,FALSE)</f>
        <v>W</v>
      </c>
      <c r="D137" s="901"/>
      <c r="E137" s="346">
        <f>SUMIFS(Inventory!$O$9:$O$194,Inventory!$D$9:$D$194,1,Inventory!$G$9:$G$194,C137)</f>
        <v>58165.407635859294</v>
      </c>
      <c r="F137" s="59">
        <f t="shared" si="8"/>
        <v>8.097945652076062E-3</v>
      </c>
      <c r="G137" s="904"/>
      <c r="H137" s="917"/>
    </row>
    <row r="138" spans="1:26" x14ac:dyDescent="0.25">
      <c r="B138" s="308" t="s">
        <v>1123</v>
      </c>
      <c r="C138" s="57" t="str">
        <f>VLOOKUP(B138,Settings!$B$163:D244,3,FALSE)</f>
        <v>Y</v>
      </c>
      <c r="D138" s="902"/>
      <c r="E138" s="346">
        <f>SUMIFS(Inventory!$O$9:$O$194,Inventory!$D$9:$D$194,1,Inventory!$G$9:$G$194,C138)</f>
        <v>198.48987354762554</v>
      </c>
      <c r="F138" s="59">
        <f t="shared" si="8"/>
        <v>2.7634298009890938E-5</v>
      </c>
      <c r="G138" s="905"/>
      <c r="H138" s="918"/>
    </row>
    <row r="139" spans="1:26" x14ac:dyDescent="0.25">
      <c r="B139" s="308" t="s">
        <v>50</v>
      </c>
      <c r="C139" s="57" t="str">
        <f>VLOOKUP(B139,Settings!$B$163:D243,3,FALSE)</f>
        <v>E</v>
      </c>
      <c r="D139" s="208" t="s">
        <v>707</v>
      </c>
      <c r="E139" s="346">
        <f>SUMIFS(Inventory!$O$9:$O$194,Inventory!$D$9:$D$194,1,Inventory!$G$9:$G$194,C139)</f>
        <v>604626.01997935446</v>
      </c>
      <c r="F139" s="59">
        <f t="shared" si="8"/>
        <v>8.4177672754850871E-2</v>
      </c>
      <c r="G139" s="346">
        <f>E139</f>
        <v>604626.01997935446</v>
      </c>
      <c r="H139" s="366">
        <f>G139/G149</f>
        <v>8.4177672754850885E-2</v>
      </c>
    </row>
    <row r="140" spans="1:26" x14ac:dyDescent="0.25">
      <c r="B140" s="308" t="s">
        <v>167</v>
      </c>
      <c r="C140" s="57" t="str">
        <f>VLOOKUP(B140,Settings!$B$163:D246,3,FALSE)</f>
        <v>T</v>
      </c>
      <c r="D140" s="900" t="s">
        <v>708</v>
      </c>
      <c r="E140" s="346">
        <f>SUMIFS(Inventory!$O$9:$O$194,Inventory!$D$9:$D$194,1,Inventory!$G$9:$G$194,C140)</f>
        <v>323232.53351730027</v>
      </c>
      <c r="F140" s="59">
        <f t="shared" si="8"/>
        <v>4.5001309125051792E-2</v>
      </c>
      <c r="G140" s="915">
        <f>SUM(E140:E143)</f>
        <v>347858.19207191101</v>
      </c>
      <c r="H140" s="916">
        <f>G140/G149</f>
        <v>4.8429760033025453E-2</v>
      </c>
    </row>
    <row r="141" spans="1:26" x14ac:dyDescent="0.25">
      <c r="B141" s="308" t="s">
        <v>168</v>
      </c>
      <c r="C141" s="57" t="str">
        <f>VLOOKUP(B141,Settings!$B$163:D247,3,FALSE)</f>
        <v>D</v>
      </c>
      <c r="D141" s="901"/>
      <c r="E141" s="346">
        <f>SUMIFS(Inventory!$O$9:$O$194,Inventory!$D$9:$D$194,1,Inventory!$G$9:$G$194,C141)</f>
        <v>0</v>
      </c>
      <c r="F141" s="59">
        <f t="shared" si="8"/>
        <v>0</v>
      </c>
      <c r="G141" s="915"/>
      <c r="H141" s="917"/>
    </row>
    <row r="142" spans="1:26" x14ac:dyDescent="0.25">
      <c r="B142" s="308" t="s">
        <v>275</v>
      </c>
      <c r="C142" s="57" t="str">
        <f>VLOOKUP(B142,Settings!$B$163:D248,3,FALSE)</f>
        <v>P</v>
      </c>
      <c r="D142" s="901"/>
      <c r="E142" s="346">
        <f>SUMIFS(Inventory!$O$9:$O$194,Inventory!$D$9:$D$194,1,Inventory!$G$9:$G$194,C142)</f>
        <v>1945.0737939041862</v>
      </c>
      <c r="F142" s="59">
        <f t="shared" si="8"/>
        <v>2.7079844382630708E-4</v>
      </c>
      <c r="G142" s="915"/>
      <c r="H142" s="917"/>
    </row>
    <row r="143" spans="1:26" x14ac:dyDescent="0.25">
      <c r="B143" s="308" t="s">
        <v>58</v>
      </c>
      <c r="C143" s="57" t="str">
        <f>VLOOKUP(B143,Settings!$B$163:D249,3,FALSE)</f>
        <v>B</v>
      </c>
      <c r="D143" s="902"/>
      <c r="E143" s="346">
        <f>SUMIFS(Inventory!$O$9:$O$194,Inventory!$D$9:$D$194,1,Inventory!$G$9:$G$194,C143)</f>
        <v>22680.584760706595</v>
      </c>
      <c r="F143" s="59">
        <f t="shared" si="8"/>
        <v>3.1576524641473568E-3</v>
      </c>
      <c r="G143" s="915"/>
      <c r="H143" s="918"/>
    </row>
    <row r="144" spans="1:26" x14ac:dyDescent="0.25">
      <c r="B144" s="308" t="s">
        <v>619</v>
      </c>
      <c r="C144" s="57" t="str">
        <f>VLOOKUP(B144,Settings!$B$163:D250,3,FALSE)</f>
        <v>R</v>
      </c>
      <c r="D144" s="900" t="s">
        <v>709</v>
      </c>
      <c r="E144" s="346">
        <f>SUMIFS(Inventory!$O$9:$O$194,Inventory!$D$9:$D$194,1,Inventory!$G$9:$G$194,C144)</f>
        <v>2113407.5449346504</v>
      </c>
      <c r="F144" s="59">
        <f t="shared" si="8"/>
        <v>0.29423432475039102</v>
      </c>
      <c r="G144" s="903">
        <f>SUM(E144:E148)</f>
        <v>2169829.9841343039</v>
      </c>
      <c r="H144" s="916">
        <f>G144/G149</f>
        <v>0.30208960961415043</v>
      </c>
    </row>
    <row r="145" spans="1:26" x14ac:dyDescent="0.25">
      <c r="B145" s="302" t="s">
        <v>966</v>
      </c>
      <c r="C145" s="57" t="str">
        <f>VLOOKUP(B145,Settings!$B$163:D251,3,FALSE)</f>
        <v>L</v>
      </c>
      <c r="D145" s="901"/>
      <c r="E145" s="346">
        <f>SUMIFS(Inventory!$O$9:$O$194,Inventory!$D$9:$D$194,1,Inventory!$G$9:$G$194,C145)</f>
        <v>1939.8701799707676</v>
      </c>
      <c r="F145" s="59">
        <f t="shared" si="8"/>
        <v>2.7007398259514003E-4</v>
      </c>
      <c r="G145" s="904"/>
      <c r="H145" s="917"/>
    </row>
    <row r="146" spans="1:26" x14ac:dyDescent="0.25">
      <c r="B146" s="302" t="s">
        <v>962</v>
      </c>
      <c r="C146" s="57" t="str">
        <f>VLOOKUP(B146,Settings!$B$163:D252,3,FALSE)</f>
        <v>X</v>
      </c>
      <c r="D146" s="901"/>
      <c r="E146" s="346">
        <f>SUMIFS(Inventory!$O$9:$O$194,Inventory!$D$9:$D$194,1,Inventory!$G$9:$G$194,C146)</f>
        <v>1884.7867137278188</v>
      </c>
      <c r="F146" s="59">
        <f t="shared" si="8"/>
        <v>2.6240511317440264E-4</v>
      </c>
      <c r="G146" s="904"/>
      <c r="H146" s="917"/>
    </row>
    <row r="147" spans="1:26" x14ac:dyDescent="0.25">
      <c r="B147" s="344" t="s">
        <v>1434</v>
      </c>
      <c r="C147" s="57" t="str">
        <f>VLOOKUP(B147,Settings!$B$163:D253,3,FALSE)</f>
        <v>Z</v>
      </c>
      <c r="D147" s="901"/>
      <c r="E147" s="346">
        <f>SUMIFS(Inventory!$O$9:$O$194,Inventory!$D$9:$D$194,1,Inventory!$G$9:$G$194,C147)</f>
        <v>0</v>
      </c>
      <c r="F147" s="59">
        <f t="shared" si="8"/>
        <v>0</v>
      </c>
      <c r="G147" s="904"/>
      <c r="H147" s="917"/>
    </row>
    <row r="148" spans="1:26" x14ac:dyDescent="0.25">
      <c r="B148" s="308" t="s">
        <v>59</v>
      </c>
      <c r="C148" s="57" t="str">
        <f>VLOOKUP(B148,Settings!$B$163:D252,3,FALSE)</f>
        <v>N</v>
      </c>
      <c r="D148" s="902"/>
      <c r="E148" s="346">
        <f>SUMIFS(Inventory!$O$9:$O$194,Inventory!$D$9:$D$194,1,Inventory!$G$9:$G$194,C148)</f>
        <v>52597.782305954897</v>
      </c>
      <c r="F148" s="59">
        <f t="shared" si="8"/>
        <v>7.3228057679898401E-3</v>
      </c>
      <c r="G148" s="905"/>
      <c r="H148" s="918"/>
    </row>
    <row r="149" spans="1:26" ht="16.8" x14ac:dyDescent="0.25">
      <c r="B149" s="142" t="s">
        <v>410</v>
      </c>
      <c r="C149" s="100"/>
      <c r="D149" s="119"/>
      <c r="E149" s="135">
        <f>_xlfn.AGGREGATE(9,6,E133:E148)</f>
        <v>7182736.2314968714</v>
      </c>
      <c r="F149" s="360">
        <f>SUM(F133:F148)</f>
        <v>1.0000000000000002</v>
      </c>
      <c r="G149" s="135">
        <f>SUM(G133:G148)</f>
        <v>7182736.2314968705</v>
      </c>
      <c r="H149" s="347">
        <f>SUM(H133:H148)</f>
        <v>1</v>
      </c>
    </row>
    <row r="154" spans="1:26" ht="22.8" x14ac:dyDescent="0.25">
      <c r="A154" s="158" t="s">
        <v>289</v>
      </c>
      <c r="B154" s="159" t="s">
        <v>338</v>
      </c>
      <c r="C154" s="101"/>
      <c r="D154" s="101"/>
      <c r="E154" s="102"/>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7" spans="1:26" ht="41.4" x14ac:dyDescent="0.25">
      <c r="B157" s="142" t="s">
        <v>568</v>
      </c>
      <c r="C157" s="142" t="s">
        <v>332</v>
      </c>
      <c r="D157" s="173" t="s">
        <v>331</v>
      </c>
      <c r="E157" s="160" t="s">
        <v>587</v>
      </c>
      <c r="F157" s="161" t="s">
        <v>588</v>
      </c>
      <c r="G157" s="161" t="s">
        <v>705</v>
      </c>
      <c r="H157" s="161" t="s">
        <v>900</v>
      </c>
    </row>
    <row r="158" spans="1:26" x14ac:dyDescent="0.25">
      <c r="B158" s="308" t="s">
        <v>47</v>
      </c>
      <c r="C158" s="57" t="str">
        <f>VLOOKUP(B158,Settings!$B$163:D340,3,FALSE)</f>
        <v>C</v>
      </c>
      <c r="D158" s="900" t="s">
        <v>706</v>
      </c>
      <c r="E158" s="346">
        <f>SUMIFS(Inventory!$O$9:$O$194,Inventory!$D$9:$D$194,2,Inventory!$G$9:$G$194,C158)</f>
        <v>34884.813333527163</v>
      </c>
      <c r="F158" s="59">
        <f t="shared" ref="F158:F173" si="9">E158/$E$174</f>
        <v>3.7487374250121984E-3</v>
      </c>
      <c r="G158" s="903">
        <f>SUM(E158:E163)</f>
        <v>495709.88356510346</v>
      </c>
      <c r="H158" s="916">
        <f>G158/G174</f>
        <v>5.3269202695803937E-2</v>
      </c>
    </row>
    <row r="159" spans="1:26" x14ac:dyDescent="0.25">
      <c r="B159" s="308" t="s">
        <v>48</v>
      </c>
      <c r="C159" s="57" t="str">
        <f>VLOOKUP(B159,Settings!$B$163:D340,3,FALSE)</f>
        <v>V</v>
      </c>
      <c r="D159" s="901"/>
      <c r="E159" s="346">
        <f>SUMIFS(Inventory!$O$9:$O$194,Inventory!$D$9:$D$194,2,Inventory!$G$9:$G$194,C159)</f>
        <v>427613.89575666661</v>
      </c>
      <c r="F159" s="59">
        <f t="shared" si="9"/>
        <v>4.5951577815600782E-2</v>
      </c>
      <c r="G159" s="904"/>
      <c r="H159" s="917"/>
    </row>
    <row r="160" spans="1:26" x14ac:dyDescent="0.25">
      <c r="B160" s="308" t="s">
        <v>49</v>
      </c>
      <c r="C160" s="57" t="str">
        <f>VLOOKUP(B160,Settings!$B$163:D341,3,FALSE)</f>
        <v>F</v>
      </c>
      <c r="D160" s="901"/>
      <c r="E160" s="346">
        <f>SUMIFS(Inventory!$O$9:$O$194,Inventory!$D$9:$D$194,2,Inventory!$G$9:$G$194,C160)</f>
        <v>513.52952713547904</v>
      </c>
      <c r="F160" s="59">
        <f t="shared" si="9"/>
        <v>5.5184109452333548E-5</v>
      </c>
      <c r="G160" s="904"/>
      <c r="H160" s="917"/>
    </row>
    <row r="161" spans="2:8" x14ac:dyDescent="0.25">
      <c r="B161" s="308" t="s">
        <v>1429</v>
      </c>
      <c r="C161" s="57" t="str">
        <f>VLOOKUP(B161,Settings!$B$163:D342,3,FALSE)</f>
        <v>M</v>
      </c>
      <c r="D161" s="901"/>
      <c r="E161" s="346">
        <f>SUMIFS(Inventory!$O$9:$O$194,Inventory!$D$9:$D$194,2,Inventory!$G$9:$G$194,C161)</f>
        <v>198.70349030000003</v>
      </c>
      <c r="F161" s="59">
        <f t="shared" si="9"/>
        <v>2.13527646958128E-5</v>
      </c>
      <c r="G161" s="904"/>
      <c r="H161" s="917"/>
    </row>
    <row r="162" spans="2:8" x14ac:dyDescent="0.25">
      <c r="B162" s="308" t="s">
        <v>1433</v>
      </c>
      <c r="C162" s="57" t="str">
        <f>VLOOKUP(B162,Settings!$B$163:D343,3,FALSE)</f>
        <v>W</v>
      </c>
      <c r="D162" s="901"/>
      <c r="E162" s="346">
        <f>SUMIFS(Inventory!$O$9:$O$194,Inventory!$D$9:$D$194,2,Inventory!$G$9:$G$194,C162)</f>
        <v>32351.555774124918</v>
      </c>
      <c r="F162" s="59">
        <f t="shared" si="9"/>
        <v>3.476512450513071E-3</v>
      </c>
      <c r="G162" s="904"/>
      <c r="H162" s="917"/>
    </row>
    <row r="163" spans="2:8" x14ac:dyDescent="0.25">
      <c r="B163" s="308" t="s">
        <v>1123</v>
      </c>
      <c r="C163" s="57" t="str">
        <f>VLOOKUP(B163,Settings!$B$163:D344,3,FALSE)</f>
        <v>Y</v>
      </c>
      <c r="D163" s="902"/>
      <c r="E163" s="346">
        <f>SUMIFS(Inventory!$O$9:$O$194,Inventory!$D$9:$D$194,2,Inventory!$G$9:$G$194,C163)</f>
        <v>147.38568334928237</v>
      </c>
      <c r="F163" s="59">
        <f t="shared" si="9"/>
        <v>1.5838130529752456E-5</v>
      </c>
      <c r="G163" s="905"/>
      <c r="H163" s="918"/>
    </row>
    <row r="164" spans="2:8" x14ac:dyDescent="0.25">
      <c r="B164" s="308" t="s">
        <v>50</v>
      </c>
      <c r="C164" s="57" t="str">
        <f>VLOOKUP(B164,Settings!$B$163:D343,3,FALSE)</f>
        <v>E</v>
      </c>
      <c r="D164" s="208" t="s">
        <v>707</v>
      </c>
      <c r="E164" s="346">
        <f>SUMIFS(Inventory!$O$9:$O$194,Inventory!$D$9:$D$194,2,Inventory!$G$9:$G$194,C164)</f>
        <v>3142290.1505207014</v>
      </c>
      <c r="F164" s="59">
        <f t="shared" si="9"/>
        <v>0.33767188532389214</v>
      </c>
      <c r="G164" s="346">
        <f>E164</f>
        <v>3142290.1505207014</v>
      </c>
      <c r="H164" s="366">
        <f>G164/G174</f>
        <v>0.33767188532389208</v>
      </c>
    </row>
    <row r="165" spans="2:8" x14ac:dyDescent="0.25">
      <c r="B165" s="308" t="s">
        <v>167</v>
      </c>
      <c r="C165" s="57" t="str">
        <f>VLOOKUP(B165,Settings!$B$163:D346,3,FALSE)</f>
        <v>T</v>
      </c>
      <c r="D165" s="900" t="s">
        <v>708</v>
      </c>
      <c r="E165" s="346">
        <f>SUMIFS(Inventory!$O$9:$O$194,Inventory!$D$9:$D$194,2,Inventory!$G$9:$G$194,C165)</f>
        <v>165190.07625286479</v>
      </c>
      <c r="F165" s="59">
        <f t="shared" si="9"/>
        <v>1.7751398442902917E-2</v>
      </c>
      <c r="G165" s="915">
        <f>SUM(E165:E168)</f>
        <v>179228.25735099622</v>
      </c>
      <c r="H165" s="916">
        <f>G165/G174</f>
        <v>1.9259947574541431E-2</v>
      </c>
    </row>
    <row r="166" spans="2:8" x14ac:dyDescent="0.25">
      <c r="B166" s="308" t="s">
        <v>168</v>
      </c>
      <c r="C166" s="57" t="str">
        <f>VLOOKUP(B166,Settings!$B$163:D347,3,FALSE)</f>
        <v>D</v>
      </c>
      <c r="D166" s="901"/>
      <c r="E166" s="346">
        <f>SUMIFS(Inventory!$O$9:$O$194,Inventory!$D$9:$D$194,2,Inventory!$G$9:$G$194,C166)</f>
        <v>0</v>
      </c>
      <c r="F166" s="59">
        <f t="shared" si="9"/>
        <v>0</v>
      </c>
      <c r="G166" s="915"/>
      <c r="H166" s="917"/>
    </row>
    <row r="167" spans="2:8" x14ac:dyDescent="0.25">
      <c r="B167" s="308" t="s">
        <v>275</v>
      </c>
      <c r="C167" s="57" t="str">
        <f>VLOOKUP(B167,Settings!$B$163:D347,3,FALSE)</f>
        <v>P</v>
      </c>
      <c r="D167" s="901"/>
      <c r="E167" s="346">
        <f>SUMIFS(Inventory!$O$9:$O$194,Inventory!$D$9:$D$194,2,Inventory!$G$9:$G$194,C167)</f>
        <v>3553.5953791939078</v>
      </c>
      <c r="F167" s="59">
        <f t="shared" si="9"/>
        <v>3.8187092658258738E-4</v>
      </c>
      <c r="G167" s="915"/>
      <c r="H167" s="917"/>
    </row>
    <row r="168" spans="2:8" x14ac:dyDescent="0.25">
      <c r="B168" s="308" t="s">
        <v>58</v>
      </c>
      <c r="C168" s="57" t="str">
        <f>VLOOKUP(B168,Settings!$B$163:D348,3,FALSE)</f>
        <v>B</v>
      </c>
      <c r="D168" s="902"/>
      <c r="E168" s="346">
        <f>SUMIFS(Inventory!$O$9:$O$194,Inventory!$D$9:$D$194,2,Inventory!$G$9:$G$194,C168)</f>
        <v>10484.585718937531</v>
      </c>
      <c r="F168" s="59">
        <f t="shared" si="9"/>
        <v>1.1266782050559298E-3</v>
      </c>
      <c r="G168" s="915"/>
      <c r="H168" s="918"/>
    </row>
    <row r="169" spans="2:8" x14ac:dyDescent="0.25">
      <c r="B169" s="308" t="s">
        <v>619</v>
      </c>
      <c r="C169" s="57" t="str">
        <f>VLOOKUP(B169,Settings!$B$163:D349,3,FALSE)</f>
        <v>R</v>
      </c>
      <c r="D169" s="900" t="s">
        <v>709</v>
      </c>
      <c r="E169" s="346">
        <f>SUMIFS(Inventory!$O$9:$O$194,Inventory!$D$9:$D$194,2,Inventory!$G$9:$G$194,C169)</f>
        <v>5466193.5532615464</v>
      </c>
      <c r="F169" s="59">
        <f t="shared" si="9"/>
        <v>0.58739956982307051</v>
      </c>
      <c r="G169" s="903">
        <f>SUM(E169:E173)</f>
        <v>5488521.7194254966</v>
      </c>
      <c r="H169" s="916">
        <f>G169/G174</f>
        <v>0.58979896440576252</v>
      </c>
    </row>
    <row r="170" spans="2:8" x14ac:dyDescent="0.25">
      <c r="B170" s="302" t="s">
        <v>966</v>
      </c>
      <c r="C170" s="57" t="str">
        <f>VLOOKUP(B170,Settings!$B$163:D350,3,FALSE)</f>
        <v>L</v>
      </c>
      <c r="D170" s="901"/>
      <c r="E170" s="346">
        <f>SUMIFS(Inventory!$O$9:$O$194,Inventory!$D$9:$D$194,2,Inventory!$G$9:$G$194,C170)</f>
        <v>769.60609712308667</v>
      </c>
      <c r="F170" s="59">
        <f t="shared" si="9"/>
        <v>8.2702210592886197E-5</v>
      </c>
      <c r="G170" s="904"/>
      <c r="H170" s="917"/>
    </row>
    <row r="171" spans="2:8" x14ac:dyDescent="0.25">
      <c r="B171" s="302" t="s">
        <v>962</v>
      </c>
      <c r="C171" s="57" t="str">
        <f>VLOOKUP(B171,Settings!$B$163:D351,3,FALSE)</f>
        <v>X</v>
      </c>
      <c r="D171" s="901"/>
      <c r="E171" s="346">
        <f>SUMIFS(Inventory!$O$9:$O$194,Inventory!$D$9:$D$194,2,Inventory!$G$9:$G$194,C171)</f>
        <v>3881.4481644172224</v>
      </c>
      <c r="F171" s="59">
        <f t="shared" si="9"/>
        <v>4.1710213146565675E-4</v>
      </c>
      <c r="G171" s="904"/>
      <c r="H171" s="917"/>
    </row>
    <row r="172" spans="2:8" x14ac:dyDescent="0.25">
      <c r="B172" s="344" t="s">
        <v>1434</v>
      </c>
      <c r="C172" s="57" t="str">
        <f>VLOOKUP(B172,Settings!$B$163:D352,3,FALSE)</f>
        <v>Z</v>
      </c>
      <c r="D172" s="901"/>
      <c r="E172" s="346">
        <f>SUMIFS(Inventory!$O$9:$O$194,Inventory!$D$9:$D$194,2,Inventory!$G$9:$G$194,C172)</f>
        <v>3747.1915618722205</v>
      </c>
      <c r="F172" s="59">
        <f t="shared" si="9"/>
        <v>4.0267485774905267E-4</v>
      </c>
      <c r="G172" s="904"/>
      <c r="H172" s="917"/>
    </row>
    <row r="173" spans="2:8" x14ac:dyDescent="0.25">
      <c r="B173" s="308" t="s">
        <v>59</v>
      </c>
      <c r="C173" s="57" t="str">
        <f>VLOOKUP(B173,Settings!$B$163:D351,3,FALSE)</f>
        <v>N</v>
      </c>
      <c r="D173" s="902"/>
      <c r="E173" s="346">
        <f>SUMIFS(Inventory!$O$9:$O$194,Inventory!$D$9:$D$194,2,Inventory!$G$9:$G$194,C173)</f>
        <v>13929.920340537812</v>
      </c>
      <c r="F173" s="59">
        <f t="shared" si="9"/>
        <v>1.4969153828845471E-3</v>
      </c>
      <c r="G173" s="905"/>
      <c r="H173" s="918"/>
    </row>
    <row r="174" spans="2:8" ht="16.8" x14ac:dyDescent="0.25">
      <c r="B174" s="142" t="s">
        <v>410</v>
      </c>
      <c r="C174" s="100"/>
      <c r="D174" s="119"/>
      <c r="E174" s="135">
        <f>_xlfn.AGGREGATE(9,6,E158:E173)</f>
        <v>9305750.0108622964</v>
      </c>
      <c r="F174" s="360">
        <f>SUM(F158:F173)</f>
        <v>1.0000000000000002</v>
      </c>
      <c r="G174" s="135">
        <f>SUM(G158:G173)</f>
        <v>9305750.0108622983</v>
      </c>
      <c r="H174" s="347">
        <f>SUM(H158:H173)</f>
        <v>1</v>
      </c>
    </row>
    <row r="179" spans="1:26" ht="22.8" x14ac:dyDescent="0.25">
      <c r="A179" s="158" t="s">
        <v>290</v>
      </c>
      <c r="B179" s="159" t="s">
        <v>339</v>
      </c>
      <c r="C179" s="101"/>
      <c r="D179" s="101"/>
      <c r="E179" s="102"/>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2" spans="1:26" ht="41.4" x14ac:dyDescent="0.25">
      <c r="B182" s="142" t="s">
        <v>568</v>
      </c>
      <c r="C182" s="142" t="s">
        <v>332</v>
      </c>
      <c r="D182" s="173" t="s">
        <v>331</v>
      </c>
      <c r="E182" s="160" t="s">
        <v>587</v>
      </c>
      <c r="F182" s="161" t="s">
        <v>588</v>
      </c>
      <c r="G182" s="161" t="s">
        <v>705</v>
      </c>
      <c r="H182" s="161" t="s">
        <v>900</v>
      </c>
    </row>
    <row r="183" spans="1:26" x14ac:dyDescent="0.25">
      <c r="B183" s="308" t="s">
        <v>47</v>
      </c>
      <c r="C183" s="57" t="str">
        <f>VLOOKUP(B183,Settings!$B$163:D381,3,FALSE)</f>
        <v>C</v>
      </c>
      <c r="D183" s="900" t="s">
        <v>706</v>
      </c>
      <c r="E183" s="346">
        <f>SUMIFS(Inventory!$O$9:$O$194,Inventory!$D$9:$D$194,3,Inventory!$G$9:$G$194,C183)</f>
        <v>175553.77995167449</v>
      </c>
      <c r="F183" s="59">
        <f t="shared" ref="F183:F198" si="10">E183/$E$199</f>
        <v>0.37858266950627051</v>
      </c>
      <c r="G183" s="903">
        <f>SUM(E183:E188)</f>
        <v>176226.11059525484</v>
      </c>
      <c r="H183" s="916">
        <f>G183/G199</f>
        <v>0.38003255415077986</v>
      </c>
    </row>
    <row r="184" spans="1:26" x14ac:dyDescent="0.25">
      <c r="B184" s="308" t="s">
        <v>48</v>
      </c>
      <c r="C184" s="57" t="str">
        <f>VLOOKUP(B184,Settings!$B$163:D381,3,FALSE)</f>
        <v>V</v>
      </c>
      <c r="D184" s="901"/>
      <c r="E184" s="346">
        <f>SUMIFS(Inventory!$O$9:$O$194,Inventory!$D$9:$D$194,3,Inventory!$G$9:$G$194,C184)</f>
        <v>0</v>
      </c>
      <c r="F184" s="59">
        <f t="shared" si="10"/>
        <v>0</v>
      </c>
      <c r="G184" s="904"/>
      <c r="H184" s="917"/>
    </row>
    <row r="185" spans="1:26" x14ac:dyDescent="0.25">
      <c r="B185" s="308" t="s">
        <v>49</v>
      </c>
      <c r="C185" s="57" t="str">
        <f>VLOOKUP(B185,Settings!$B$163:D382,3,FALSE)</f>
        <v>F</v>
      </c>
      <c r="D185" s="901"/>
      <c r="E185" s="346">
        <f>SUMIFS(Inventory!$O$9:$O$194,Inventory!$D$9:$D$194,3,Inventory!$G$9:$G$194,C185)</f>
        <v>649.28063533412683</v>
      </c>
      <c r="F185" s="59">
        <f t="shared" si="10"/>
        <v>1.4001771779063108E-3</v>
      </c>
      <c r="G185" s="904"/>
      <c r="H185" s="917"/>
    </row>
    <row r="186" spans="1:26" x14ac:dyDescent="0.25">
      <c r="B186" s="308" t="s">
        <v>1429</v>
      </c>
      <c r="C186" s="57" t="str">
        <f>VLOOKUP(B186,Settings!$B$163:D383,3,FALSE)</f>
        <v>M</v>
      </c>
      <c r="D186" s="901"/>
      <c r="E186" s="346">
        <f>SUMIFS(Inventory!$O$9:$O$194,Inventory!$D$9:$D$194,3,Inventory!$G$9:$G$194,C186)</f>
        <v>0</v>
      </c>
      <c r="F186" s="59">
        <f t="shared" si="10"/>
        <v>0</v>
      </c>
      <c r="G186" s="904"/>
      <c r="H186" s="917"/>
    </row>
    <row r="187" spans="1:26" x14ac:dyDescent="0.25">
      <c r="B187" s="308" t="s">
        <v>1433</v>
      </c>
      <c r="C187" s="57" t="str">
        <f>VLOOKUP(B187,Settings!$B$163:D384,3,FALSE)</f>
        <v>W</v>
      </c>
      <c r="D187" s="901"/>
      <c r="E187" s="346">
        <f>SUMIFS(Inventory!$O$9:$O$194,Inventory!$D$9:$D$194,3,Inventory!$G$9:$G$194,C187)</f>
        <v>0</v>
      </c>
      <c r="F187" s="59">
        <f t="shared" si="10"/>
        <v>0</v>
      </c>
      <c r="G187" s="904"/>
      <c r="H187" s="917"/>
    </row>
    <row r="188" spans="1:26" x14ac:dyDescent="0.25">
      <c r="B188" s="308" t="s">
        <v>1123</v>
      </c>
      <c r="C188" s="57" t="str">
        <f>VLOOKUP(B188,Settings!$B$163:D385,3,FALSE)</f>
        <v>Y</v>
      </c>
      <c r="D188" s="902"/>
      <c r="E188" s="346">
        <f>SUMIFS(Inventory!$O$9:$O$194,Inventory!$D$9:$D$194,3,Inventory!$G$9:$G$194,C188)</f>
        <v>23.050008246227147</v>
      </c>
      <c r="F188" s="59">
        <f t="shared" si="10"/>
        <v>4.9707466603113647E-5</v>
      </c>
      <c r="G188" s="905"/>
      <c r="H188" s="918"/>
    </row>
    <row r="189" spans="1:26" x14ac:dyDescent="0.25">
      <c r="B189" s="308" t="s">
        <v>50</v>
      </c>
      <c r="C189" s="57" t="str">
        <f>VLOOKUP(B189,Settings!$B$163:D384,3,FALSE)</f>
        <v>E</v>
      </c>
      <c r="D189" s="208" t="s">
        <v>707</v>
      </c>
      <c r="E189" s="346">
        <f>SUMIFS(Inventory!$O$9:$O$194,Inventory!$D$9:$D$194,3,Inventory!$G$9:$G$194,C189)</f>
        <v>208824.81673062593</v>
      </c>
      <c r="F189" s="59">
        <f t="shared" si="10"/>
        <v>0.45033183904556529</v>
      </c>
      <c r="G189" s="346">
        <f>E189</f>
        <v>208824.81673062593</v>
      </c>
      <c r="H189" s="366">
        <f>G189/G199</f>
        <v>0.45033183904556523</v>
      </c>
    </row>
    <row r="190" spans="1:26" x14ac:dyDescent="0.25">
      <c r="B190" s="308" t="s">
        <v>167</v>
      </c>
      <c r="C190" s="57" t="str">
        <f>VLOOKUP(B190,Settings!$B$163:D387,3,FALSE)</f>
        <v>T</v>
      </c>
      <c r="D190" s="900" t="s">
        <v>708</v>
      </c>
      <c r="E190" s="346">
        <f>SUMIFS(Inventory!$O$9:$O$194,Inventory!$D$9:$D$194,3,Inventory!$G$9:$G$194,C190)</f>
        <v>0</v>
      </c>
      <c r="F190" s="59">
        <f t="shared" si="10"/>
        <v>0</v>
      </c>
      <c r="G190" s="915">
        <f>SUM(E190:E193)</f>
        <v>5102.1416230936129</v>
      </c>
      <c r="H190" s="916">
        <f>G190/G199</f>
        <v>1.1002795817905781E-2</v>
      </c>
    </row>
    <row r="191" spans="1:26" x14ac:dyDescent="0.25">
      <c r="B191" s="308" t="s">
        <v>168</v>
      </c>
      <c r="C191" s="57" t="str">
        <f>VLOOKUP(B191,Settings!$B$163:D388,3,FALSE)</f>
        <v>D</v>
      </c>
      <c r="D191" s="901"/>
      <c r="E191" s="346">
        <f>SUMIFS(Inventory!$O$9:$O$194,Inventory!$D$9:$D$194,3,Inventory!$G$9:$G$194,C191)</f>
        <v>0</v>
      </c>
      <c r="F191" s="59">
        <f t="shared" si="10"/>
        <v>0</v>
      </c>
      <c r="G191" s="915"/>
      <c r="H191" s="917"/>
    </row>
    <row r="192" spans="1:26" x14ac:dyDescent="0.25">
      <c r="B192" s="308" t="s">
        <v>275</v>
      </c>
      <c r="C192" s="57" t="str">
        <f>VLOOKUP(B192,Settings!$B$163:D389,3,FALSE)</f>
        <v>P</v>
      </c>
      <c r="D192" s="901"/>
      <c r="E192" s="346">
        <f>SUMIFS(Inventory!$O$9:$O$194,Inventory!$D$9:$D$194,3,Inventory!$G$9:$G$194,C192)</f>
        <v>1589.9617208440709</v>
      </c>
      <c r="F192" s="59">
        <f t="shared" si="10"/>
        <v>3.4287609919628542E-3</v>
      </c>
      <c r="G192" s="915"/>
      <c r="H192" s="917"/>
    </row>
    <row r="193" spans="1:26" x14ac:dyDescent="0.25">
      <c r="B193" s="308" t="s">
        <v>58</v>
      </c>
      <c r="C193" s="57" t="str">
        <f>VLOOKUP(B193,Settings!$B$163:D390,3,FALSE)</f>
        <v>B</v>
      </c>
      <c r="D193" s="902"/>
      <c r="E193" s="346">
        <f>SUMIFS(Inventory!$O$9:$O$194,Inventory!$D$9:$D$194,3,Inventory!$G$9:$G$194,C193)</f>
        <v>3512.179902249542</v>
      </c>
      <c r="F193" s="59">
        <f t="shared" si="10"/>
        <v>7.5740348259429272E-3</v>
      </c>
      <c r="G193" s="915"/>
      <c r="H193" s="918"/>
    </row>
    <row r="194" spans="1:26" x14ac:dyDescent="0.25">
      <c r="B194" s="308" t="s">
        <v>619</v>
      </c>
      <c r="C194" s="57" t="str">
        <f>VLOOKUP(B194,Settings!$B$163:D391,3,FALSE)</f>
        <v>R</v>
      </c>
      <c r="D194" s="900" t="s">
        <v>709</v>
      </c>
      <c r="E194" s="346">
        <f>SUMIFS(Inventory!$O$9:$O$194,Inventory!$D$9:$D$194,3,Inventory!$G$9:$G$194,C194)</f>
        <v>57.124732800000004</v>
      </c>
      <c r="F194" s="59">
        <f t="shared" si="10"/>
        <v>1.2318979314606397E-4</v>
      </c>
      <c r="G194" s="903">
        <f>SUM(E194:E198)</f>
        <v>73560.127908724884</v>
      </c>
      <c r="H194" s="916">
        <f>G194/G199</f>
        <v>0.15863281098574913</v>
      </c>
    </row>
    <row r="195" spans="1:26" x14ac:dyDescent="0.25">
      <c r="B195" s="302" t="s">
        <v>966</v>
      </c>
      <c r="C195" s="57" t="str">
        <f>VLOOKUP(B195,Settings!$B$163:D392,3,FALSE)</f>
        <v>L</v>
      </c>
      <c r="D195" s="901"/>
      <c r="E195" s="346">
        <f>SUMIFS(Inventory!$O$9:$O$194,Inventory!$D$9:$D$194,3,Inventory!$G$9:$G$194,C195)</f>
        <v>2775.4875503743638</v>
      </c>
      <c r="F195" s="59">
        <f t="shared" si="10"/>
        <v>5.9853538117572366E-3</v>
      </c>
      <c r="G195" s="904"/>
      <c r="H195" s="917"/>
    </row>
    <row r="196" spans="1:26" x14ac:dyDescent="0.25">
      <c r="B196" s="302" t="s">
        <v>962</v>
      </c>
      <c r="C196" s="57" t="str">
        <f>VLOOKUP(B196,Settings!$B$163:D393,3,FALSE)</f>
        <v>X</v>
      </c>
      <c r="D196" s="901"/>
      <c r="E196" s="346">
        <f>SUMIFS(Inventory!$O$9:$O$194,Inventory!$D$9:$D$194,3,Inventory!$G$9:$G$194,C196)</f>
        <v>512.41088864838275</v>
      </c>
      <c r="F196" s="59">
        <f t="shared" si="10"/>
        <v>1.1050168339410611E-3</v>
      </c>
      <c r="G196" s="904"/>
      <c r="H196" s="917"/>
    </row>
    <row r="197" spans="1:26" x14ac:dyDescent="0.25">
      <c r="B197" s="344" t="s">
        <v>1434</v>
      </c>
      <c r="C197" s="57" t="str">
        <f>VLOOKUP(B197,Settings!$B$163:D394,3,FALSE)</f>
        <v>Z</v>
      </c>
      <c r="D197" s="901"/>
      <c r="E197" s="346">
        <f>SUMIFS(Inventory!$O$9:$O$194,Inventory!$D$9:$D$194,3,Inventory!$G$9:$G$194,C197)</f>
        <v>87.330930642949994</v>
      </c>
      <c r="F197" s="59">
        <f t="shared" si="10"/>
        <v>1.883296210561578E-4</v>
      </c>
      <c r="G197" s="904"/>
      <c r="H197" s="917"/>
    </row>
    <row r="198" spans="1:26" x14ac:dyDescent="0.25">
      <c r="B198" s="308" t="s">
        <v>59</v>
      </c>
      <c r="C198" s="57" t="str">
        <f>VLOOKUP(B198,Settings!$B$163:D393,3,FALSE)</f>
        <v>N</v>
      </c>
      <c r="D198" s="902"/>
      <c r="E198" s="346">
        <f>SUMIFS(Inventory!$O$9:$O$194,Inventory!$D$9:$D$194,3,Inventory!$G$9:$G$194,C198)</f>
        <v>70127.773806259182</v>
      </c>
      <c r="F198" s="59">
        <f t="shared" si="10"/>
        <v>0.15123092092584861</v>
      </c>
      <c r="G198" s="905"/>
      <c r="H198" s="918"/>
    </row>
    <row r="199" spans="1:26" ht="16.8" x14ac:dyDescent="0.25">
      <c r="B199" s="142" t="s">
        <v>410</v>
      </c>
      <c r="C199" s="100"/>
      <c r="D199" s="119"/>
      <c r="E199" s="135">
        <f>_xlfn.AGGREGATE(9,6,E183:E198)</f>
        <v>463713.19685769919</v>
      </c>
      <c r="F199" s="360">
        <f>SUM(F183:F198)</f>
        <v>1</v>
      </c>
      <c r="G199" s="135">
        <f>SUM(G183:G198)</f>
        <v>463713.19685769925</v>
      </c>
      <c r="H199" s="347">
        <f>SUM(H183:H198)</f>
        <v>1</v>
      </c>
    </row>
    <row r="204" spans="1:26" ht="22.8" x14ac:dyDescent="0.25">
      <c r="A204" s="158" t="s">
        <v>291</v>
      </c>
      <c r="B204" s="159" t="s">
        <v>340</v>
      </c>
      <c r="C204" s="101"/>
      <c r="D204" s="101"/>
      <c r="E204" s="102"/>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7" spans="1:26" ht="41.4" x14ac:dyDescent="0.25">
      <c r="B207" s="142" t="s">
        <v>568</v>
      </c>
      <c r="C207" s="142" t="s">
        <v>332</v>
      </c>
      <c r="D207" s="173" t="s">
        <v>331</v>
      </c>
      <c r="E207" s="160" t="s">
        <v>587</v>
      </c>
      <c r="F207" s="161" t="s">
        <v>588</v>
      </c>
      <c r="G207" s="161" t="s">
        <v>705</v>
      </c>
      <c r="H207" s="161" t="s">
        <v>900</v>
      </c>
    </row>
    <row r="208" spans="1:26" x14ac:dyDescent="0.25">
      <c r="B208" s="308" t="s">
        <v>47</v>
      </c>
      <c r="C208" s="57" t="str">
        <f>VLOOKUP(B208,Settings!$B$163:D409,3,FALSE)</f>
        <v>C</v>
      </c>
      <c r="D208" s="900" t="s">
        <v>706</v>
      </c>
      <c r="E208" s="346">
        <f>SUMIFS(Inventory!$O$9:$O$194,Inventory!$D$9:$D$194,4,Inventory!$G$9:$G$194,C208)</f>
        <v>27810.566198456043</v>
      </c>
      <c r="F208" s="59">
        <f t="shared" ref="F208:F223" si="11">E208/$E$224</f>
        <v>0.1066967569856517</v>
      </c>
      <c r="G208" s="903">
        <f>SUM(E208:E211)</f>
        <v>29207.331076500268</v>
      </c>
      <c r="H208" s="916">
        <f>G208/G224</f>
        <v>0.11207232096217422</v>
      </c>
    </row>
    <row r="209" spans="2:8" x14ac:dyDescent="0.25">
      <c r="B209" s="308" t="s">
        <v>48</v>
      </c>
      <c r="C209" s="57" t="str">
        <f>VLOOKUP(B209,Settings!$B$163:D409,3,FALSE)</f>
        <v>V</v>
      </c>
      <c r="D209" s="901"/>
      <c r="E209" s="346">
        <f>SUMIFS(Inventory!$O$9:$O$194,Inventory!$D$9:$D$194,4,Inventory!$G$9:$G$194,C209)</f>
        <v>0</v>
      </c>
      <c r="F209" s="59">
        <f t="shared" si="11"/>
        <v>0</v>
      </c>
      <c r="G209" s="904"/>
      <c r="H209" s="917"/>
    </row>
    <row r="210" spans="2:8" x14ac:dyDescent="0.25">
      <c r="B210" s="308" t="s">
        <v>49</v>
      </c>
      <c r="C210" s="57" t="str">
        <f>VLOOKUP(B210,Settings!$B$163:D410,3,FALSE)</f>
        <v>F</v>
      </c>
      <c r="D210" s="901"/>
      <c r="E210" s="346">
        <f>SUMIFS(Inventory!$O$9:$O$194,Inventory!$D$9:$D$194,4,Inventory!$G$9:$G$194,C210)</f>
        <v>1338.8900750442276</v>
      </c>
      <c r="F210" s="59">
        <f t="shared" si="11"/>
        <v>5.136724939293966E-3</v>
      </c>
      <c r="G210" s="904"/>
      <c r="H210" s="917"/>
    </row>
    <row r="211" spans="2:8" x14ac:dyDescent="0.25">
      <c r="B211" s="308" t="s">
        <v>1429</v>
      </c>
      <c r="C211" s="57" t="str">
        <f>VLOOKUP(B211,Settings!$B$163:D411,3,FALSE)</f>
        <v>M</v>
      </c>
      <c r="D211" s="901"/>
      <c r="E211" s="346">
        <f>SUMIFS(Inventory!$O$9:$O$194,Inventory!$D$9:$D$194,4,Inventory!$G$9:$G$194,C211)</f>
        <v>57.874803000000007</v>
      </c>
      <c r="F211" s="59">
        <f t="shared" si="11"/>
        <v>2.2203984439649011E-4</v>
      </c>
      <c r="G211" s="904"/>
      <c r="H211" s="917"/>
    </row>
    <row r="212" spans="2:8" x14ac:dyDescent="0.25">
      <c r="B212" s="308" t="s">
        <v>1433</v>
      </c>
      <c r="C212" s="57" t="str">
        <f>VLOOKUP(B212,Settings!$B$163:D412,3,FALSE)</f>
        <v>W</v>
      </c>
      <c r="D212" s="901"/>
      <c r="E212" s="346">
        <f>SUMIFS(Inventory!$O$9:$O$194,Inventory!$D$9:$D$194,4,Inventory!$G$9:$G$194,C212)</f>
        <v>0</v>
      </c>
      <c r="F212" s="59">
        <f t="shared" si="11"/>
        <v>0</v>
      </c>
      <c r="G212" s="904"/>
      <c r="H212" s="917"/>
    </row>
    <row r="213" spans="2:8" x14ac:dyDescent="0.25">
      <c r="B213" s="308" t="s">
        <v>1123</v>
      </c>
      <c r="C213" s="57" t="str">
        <f>VLOOKUP(B213,Settings!$B$163:D413,3,FALSE)</f>
        <v>Y</v>
      </c>
      <c r="D213" s="902"/>
      <c r="E213" s="346">
        <f>SUMIFS(Inventory!$O$9:$O$194,Inventory!$D$9:$D$194,4,Inventory!$G$9:$G$194,C213)</f>
        <v>39.070472248149287</v>
      </c>
      <c r="F213" s="59">
        <f t="shared" si="11"/>
        <v>1.4989600186589752E-4</v>
      </c>
      <c r="G213" s="905"/>
      <c r="H213" s="918"/>
    </row>
    <row r="214" spans="2:8" x14ac:dyDescent="0.25">
      <c r="B214" s="308" t="s">
        <v>50</v>
      </c>
      <c r="C214" s="57" t="str">
        <f>VLOOKUP(B214,Settings!$B$163:D412,3,FALSE)</f>
        <v>E</v>
      </c>
      <c r="D214" s="208" t="s">
        <v>707</v>
      </c>
      <c r="E214" s="346">
        <f>SUMIFS(Inventory!$O$9:$O$194,Inventory!$D$9:$D$194,4,Inventory!$G$9:$G$194,C214)</f>
        <v>137598.45876356988</v>
      </c>
      <c r="F214" s="59">
        <f t="shared" si="11"/>
        <v>0.52790400639566604</v>
      </c>
      <c r="G214" s="346">
        <f>E214</f>
        <v>137598.45876356988</v>
      </c>
      <c r="H214" s="366">
        <f>G214/G224</f>
        <v>0.52798314895874754</v>
      </c>
    </row>
    <row r="215" spans="2:8" x14ac:dyDescent="0.25">
      <c r="B215" s="308" t="s">
        <v>167</v>
      </c>
      <c r="C215" s="57" t="str">
        <f>VLOOKUP(B215,Settings!$B$163:D414,3,FALSE)</f>
        <v>T</v>
      </c>
      <c r="D215" s="900" t="s">
        <v>708</v>
      </c>
      <c r="E215" s="346">
        <f>SUMIFS(Inventory!$O$9:$O$194,Inventory!$D$9:$D$194,4,Inventory!$G$9:$G$194,C215)</f>
        <v>0</v>
      </c>
      <c r="F215" s="59">
        <f t="shared" si="11"/>
        <v>0</v>
      </c>
      <c r="G215" s="915">
        <f>SUM(E215:E218)</f>
        <v>40866.954122713309</v>
      </c>
      <c r="H215" s="916">
        <f>G215/G224</f>
        <v>0.15681180821318558</v>
      </c>
    </row>
    <row r="216" spans="2:8" x14ac:dyDescent="0.25">
      <c r="B216" s="308" t="s">
        <v>168</v>
      </c>
      <c r="C216" s="57" t="str">
        <f>VLOOKUP(B216,Settings!$B$163:D415,3,FALSE)</f>
        <v>D</v>
      </c>
      <c r="D216" s="901"/>
      <c r="E216" s="346">
        <f>SUMIFS(Inventory!$O$9:$O$194,Inventory!$D$9:$D$194,4,Inventory!$G$9:$G$194,C216)</f>
        <v>0</v>
      </c>
      <c r="F216" s="59">
        <f t="shared" si="11"/>
        <v>0</v>
      </c>
      <c r="G216" s="915"/>
      <c r="H216" s="917"/>
    </row>
    <row r="217" spans="2:8" x14ac:dyDescent="0.25">
      <c r="B217" s="308" t="s">
        <v>275</v>
      </c>
      <c r="C217" s="57" t="str">
        <f>VLOOKUP(B217,Settings!$B$163:D416,3,FALSE)</f>
        <v>P</v>
      </c>
      <c r="D217" s="901"/>
      <c r="E217" s="346">
        <f>SUMIFS(Inventory!$O$9:$O$194,Inventory!$D$9:$D$194,4,Inventory!$G$9:$G$194,C217)</f>
        <v>2487.0218357171848</v>
      </c>
      <c r="F217" s="59">
        <f t="shared" si="11"/>
        <v>9.541595181124277E-3</v>
      </c>
      <c r="G217" s="915"/>
      <c r="H217" s="917"/>
    </row>
    <row r="218" spans="2:8" x14ac:dyDescent="0.25">
      <c r="B218" s="308" t="s">
        <v>58</v>
      </c>
      <c r="C218" s="57" t="str">
        <f>VLOOKUP(B218,Settings!$B$163:D417,3,FALSE)</f>
        <v>B</v>
      </c>
      <c r="D218" s="902"/>
      <c r="E218" s="346">
        <f>SUMIFS(Inventory!$O$9:$O$194,Inventory!$D$9:$D$194,4,Inventory!$G$9:$G$194,C218)</f>
        <v>38379.932286996125</v>
      </c>
      <c r="F218" s="59">
        <f t="shared" si="11"/>
        <v>0.14724670756896477</v>
      </c>
      <c r="G218" s="915"/>
      <c r="H218" s="918"/>
    </row>
    <row r="219" spans="2:8" x14ac:dyDescent="0.25">
      <c r="B219" s="308" t="s">
        <v>619</v>
      </c>
      <c r="C219" s="57" t="str">
        <f>VLOOKUP(B219,Settings!$B$163:D418,3,FALSE)</f>
        <v>R</v>
      </c>
      <c r="D219" s="900" t="s">
        <v>709</v>
      </c>
      <c r="E219" s="346">
        <f>SUMIFS(Inventory!$O$9:$O$194,Inventory!$D$9:$D$194,4,Inventory!$G$9:$G$194,C219)</f>
        <v>24775.5238312808</v>
      </c>
      <c r="F219" s="59">
        <f t="shared" si="11"/>
        <v>9.5052651087885701E-2</v>
      </c>
      <c r="G219" s="903">
        <f>SUM(E219:E223)</f>
        <v>52938.715010731517</v>
      </c>
      <c r="H219" s="916">
        <f>G219/G224</f>
        <v>0.20313272186589268</v>
      </c>
    </row>
    <row r="220" spans="2:8" x14ac:dyDescent="0.25">
      <c r="B220" s="302" t="s">
        <v>966</v>
      </c>
      <c r="C220" s="57" t="str">
        <f>VLOOKUP(B220,Settings!$B$163:D419,3,FALSE)</f>
        <v>L</v>
      </c>
      <c r="D220" s="901"/>
      <c r="E220" s="346">
        <f>SUMIFS(Inventory!$O$9:$O$194,Inventory!$D$9:$D$194,4,Inventory!$G$9:$G$194,C220)</f>
        <v>16455.576966801338</v>
      </c>
      <c r="F220" s="59">
        <f t="shared" si="11"/>
        <v>6.3132720281795784E-2</v>
      </c>
      <c r="G220" s="904"/>
      <c r="H220" s="917"/>
    </row>
    <row r="221" spans="2:8" x14ac:dyDescent="0.25">
      <c r="B221" s="302" t="s">
        <v>962</v>
      </c>
      <c r="C221" s="57" t="str">
        <f>VLOOKUP(B221,Settings!$B$163:D420,3,FALSE)</f>
        <v>X</v>
      </c>
      <c r="D221" s="901"/>
      <c r="E221" s="346">
        <f>SUMIFS(Inventory!$O$9:$O$194,Inventory!$D$9:$D$194,4,Inventory!$G$9:$G$194,C221)</f>
        <v>706.48785841488984</v>
      </c>
      <c r="F221" s="59">
        <f t="shared" si="11"/>
        <v>2.7104792762828352E-3</v>
      </c>
      <c r="G221" s="904"/>
      <c r="H221" s="917"/>
    </row>
    <row r="222" spans="2:8" x14ac:dyDescent="0.25">
      <c r="B222" s="344" t="s">
        <v>1434</v>
      </c>
      <c r="C222" s="57" t="str">
        <f>VLOOKUP(B222,Settings!$B$163:D421,3,FALSE)</f>
        <v>Z</v>
      </c>
      <c r="D222" s="901"/>
      <c r="E222" s="346">
        <f>SUMIFS(Inventory!$O$9:$O$194,Inventory!$D$9:$D$194,4,Inventory!$G$9:$G$194,C222)</f>
        <v>9.1486173323500015</v>
      </c>
      <c r="F222" s="59">
        <f t="shared" si="11"/>
        <v>3.5099170340467965E-5</v>
      </c>
      <c r="G222" s="904"/>
      <c r="H222" s="917"/>
    </row>
    <row r="223" spans="2:8" x14ac:dyDescent="0.25">
      <c r="B223" s="308" t="s">
        <v>59</v>
      </c>
      <c r="C223" s="57" t="str">
        <f>VLOOKUP(B223,Settings!$B$163:D420,3,FALSE)</f>
        <v>N</v>
      </c>
      <c r="D223" s="902"/>
      <c r="E223" s="346">
        <f>SUMIFS(Inventory!$O$9:$O$194,Inventory!$D$9:$D$194,4,Inventory!$G$9:$G$194,C223)</f>
        <v>10991.977736902141</v>
      </c>
      <c r="F223" s="59">
        <f t="shared" si="11"/>
        <v>4.2171323266732064E-2</v>
      </c>
      <c r="G223" s="905"/>
      <c r="H223" s="918"/>
    </row>
    <row r="224" spans="2:8" ht="16.8" x14ac:dyDescent="0.25">
      <c r="B224" s="142" t="s">
        <v>410</v>
      </c>
      <c r="C224" s="100"/>
      <c r="D224" s="119"/>
      <c r="E224" s="135">
        <f>_xlfn.AGGREGATE(9,6,E208:E223)</f>
        <v>260650.52944576312</v>
      </c>
      <c r="F224" s="360">
        <f>SUM(F208:F223)</f>
        <v>1.0000000000000002</v>
      </c>
      <c r="G224" s="135">
        <f>SUM(G208:G223)</f>
        <v>260611.45897351496</v>
      </c>
      <c r="H224" s="347">
        <f>SUM(H208:H223)</f>
        <v>1</v>
      </c>
    </row>
    <row r="229" spans="1:26" ht="22.8" x14ac:dyDescent="0.25">
      <c r="A229" s="158" t="s">
        <v>294</v>
      </c>
      <c r="B229" s="159" t="s">
        <v>341</v>
      </c>
      <c r="C229" s="101"/>
      <c r="D229" s="101"/>
      <c r="E229" s="102"/>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2" spans="1:26" ht="41.4" x14ac:dyDescent="0.25">
      <c r="B232" s="142" t="s">
        <v>568</v>
      </c>
      <c r="C232" s="142" t="s">
        <v>332</v>
      </c>
      <c r="D232" s="173" t="s">
        <v>331</v>
      </c>
      <c r="E232" s="160" t="s">
        <v>587</v>
      </c>
      <c r="F232" s="161" t="s">
        <v>588</v>
      </c>
      <c r="G232" s="161" t="s">
        <v>705</v>
      </c>
      <c r="H232" s="161" t="s">
        <v>900</v>
      </c>
    </row>
    <row r="233" spans="1:26" x14ac:dyDescent="0.25">
      <c r="B233" s="308" t="s">
        <v>47</v>
      </c>
      <c r="C233" s="57" t="str">
        <f>VLOOKUP(B233,Settings!$B$163:D434,3,FALSE)</f>
        <v>C</v>
      </c>
      <c r="D233" s="900" t="s">
        <v>706</v>
      </c>
      <c r="E233" s="346">
        <f>SUMIFS(Inventory!$O$9:$O$194,Inventory!$D$9:$D$194,5,Inventory!$G$9:$G$194,C233)</f>
        <v>827871.42031364446</v>
      </c>
      <c r="F233" s="59">
        <f t="shared" ref="F233:F248" si="12">E233/$E$249</f>
        <v>0.39430359115088298</v>
      </c>
      <c r="G233" s="903">
        <f>SUM(E233:E238)</f>
        <v>838530.72559241997</v>
      </c>
      <c r="H233" s="916">
        <f>G233/G249</f>
        <v>0.39938046933204124</v>
      </c>
    </row>
    <row r="234" spans="1:26" x14ac:dyDescent="0.25">
      <c r="B234" s="308" t="s">
        <v>48</v>
      </c>
      <c r="C234" s="57" t="str">
        <f>VLOOKUP(B234,Settings!$B$163:D434,3,FALSE)</f>
        <v>V</v>
      </c>
      <c r="D234" s="901"/>
      <c r="E234" s="346">
        <f>SUMIFS(Inventory!$O$9:$O$194,Inventory!$D$9:$D$194,5,Inventory!$G$9:$G$194,C234)</f>
        <v>0</v>
      </c>
      <c r="F234" s="59">
        <f t="shared" si="12"/>
        <v>0</v>
      </c>
      <c r="G234" s="904"/>
      <c r="H234" s="917"/>
    </row>
    <row r="235" spans="1:26" x14ac:dyDescent="0.25">
      <c r="B235" s="308" t="s">
        <v>49</v>
      </c>
      <c r="C235" s="57" t="str">
        <f>VLOOKUP(B235,Settings!$B$163:D435,3,FALSE)</f>
        <v>F</v>
      </c>
      <c r="D235" s="901"/>
      <c r="E235" s="346">
        <f>SUMIFS(Inventory!$O$9:$O$194,Inventory!$D$9:$D$194,5,Inventory!$G$9:$G$194,C235)</f>
        <v>10470.410309957553</v>
      </c>
      <c r="F235" s="59">
        <f t="shared" si="12"/>
        <v>4.9869101465966495E-3</v>
      </c>
      <c r="G235" s="904"/>
      <c r="H235" s="917"/>
    </row>
    <row r="236" spans="1:26" x14ac:dyDescent="0.25">
      <c r="B236" s="308" t="s">
        <v>1429</v>
      </c>
      <c r="C236" s="57" t="str">
        <f>VLOOKUP(B236,Settings!$B$163:D436,3,FALSE)</f>
        <v>M</v>
      </c>
      <c r="D236" s="901"/>
      <c r="E236" s="346">
        <f>SUMIFS(Inventory!$O$9:$O$194,Inventory!$D$9:$D$194,5,Inventory!$G$9:$G$194,C236)</f>
        <v>0</v>
      </c>
      <c r="F236" s="59">
        <f t="shared" si="12"/>
        <v>0</v>
      </c>
      <c r="G236" s="904"/>
      <c r="H236" s="917"/>
    </row>
    <row r="237" spans="1:26" x14ac:dyDescent="0.25">
      <c r="B237" s="308" t="s">
        <v>1433</v>
      </c>
      <c r="C237" s="57" t="str">
        <f>VLOOKUP(B237,Settings!$B$163:D437,3,FALSE)</f>
        <v>W</v>
      </c>
      <c r="D237" s="901"/>
      <c r="E237" s="346">
        <f>SUMIFS(Inventory!$O$9:$O$194,Inventory!$D$9:$D$194,5,Inventory!$G$9:$G$194,C237)</f>
        <v>0</v>
      </c>
      <c r="F237" s="59">
        <f t="shared" si="12"/>
        <v>0</v>
      </c>
      <c r="G237" s="904"/>
      <c r="H237" s="917"/>
    </row>
    <row r="238" spans="1:26" x14ac:dyDescent="0.25">
      <c r="B238" s="308" t="s">
        <v>1123</v>
      </c>
      <c r="C238" s="57" t="str">
        <f>VLOOKUP(B238,Settings!$B$163:D438,3,FALSE)</f>
        <v>Y</v>
      </c>
      <c r="D238" s="902"/>
      <c r="E238" s="346">
        <f>SUMIFS(Inventory!$O$9:$O$194,Inventory!$D$9:$D$194,5,Inventory!$G$9:$G$194,C238)</f>
        <v>188.89496881790603</v>
      </c>
      <c r="F238" s="59">
        <f t="shared" si="12"/>
        <v>8.9968034561473858E-5</v>
      </c>
      <c r="G238" s="905"/>
      <c r="H238" s="918"/>
    </row>
    <row r="239" spans="1:26" x14ac:dyDescent="0.25">
      <c r="B239" s="308" t="s">
        <v>50</v>
      </c>
      <c r="C239" s="57" t="str">
        <f>VLOOKUP(B239,Settings!$B$163:D437,3,FALSE)</f>
        <v>E</v>
      </c>
      <c r="D239" s="208" t="s">
        <v>707</v>
      </c>
      <c r="E239" s="346">
        <f>SUMIFS(Inventory!$O$9:$O$194,Inventory!$D$9:$D$194,5,Inventory!$G$9:$G$194,C239)</f>
        <v>442071.81664662698</v>
      </c>
      <c r="F239" s="59">
        <f t="shared" si="12"/>
        <v>0.2105526300017955</v>
      </c>
      <c r="G239" s="346">
        <f>E239</f>
        <v>442071.81664662698</v>
      </c>
      <c r="H239" s="366">
        <f>G239/G249</f>
        <v>0.21055263000179555</v>
      </c>
    </row>
    <row r="240" spans="1:26" x14ac:dyDescent="0.25">
      <c r="B240" s="308" t="s">
        <v>167</v>
      </c>
      <c r="C240" s="57" t="str">
        <f>VLOOKUP(B240,Settings!$B$163:D440,3,FALSE)</f>
        <v>T</v>
      </c>
      <c r="D240" s="900" t="s">
        <v>708</v>
      </c>
      <c r="E240" s="346">
        <f>SUMIFS(Inventory!$O$9:$O$194,Inventory!$D$9:$D$194,5,Inventory!$G$9:$G$194,C240)</f>
        <v>0</v>
      </c>
      <c r="F240" s="59">
        <f t="shared" si="12"/>
        <v>0</v>
      </c>
      <c r="G240" s="915">
        <f>SUM(E240:E243)</f>
        <v>11563.322775085504</v>
      </c>
      <c r="H240" s="916">
        <f>G240/G249</f>
        <v>5.5074490844552026E-3</v>
      </c>
    </row>
    <row r="241" spans="1:26" x14ac:dyDescent="0.25">
      <c r="B241" s="308" t="s">
        <v>168</v>
      </c>
      <c r="C241" s="57" t="str">
        <f>VLOOKUP(B241,Settings!$B$163:D441,3,FALSE)</f>
        <v>D</v>
      </c>
      <c r="D241" s="901"/>
      <c r="E241" s="346">
        <f>SUMIFS(Inventory!$O$9:$O$194,Inventory!$D$9:$D$194,5,Inventory!$G$9:$G$194,C241)</f>
        <v>0</v>
      </c>
      <c r="F241" s="59">
        <f t="shared" si="12"/>
        <v>0</v>
      </c>
      <c r="G241" s="915"/>
      <c r="H241" s="917"/>
    </row>
    <row r="242" spans="1:26" x14ac:dyDescent="0.25">
      <c r="B242" s="308" t="s">
        <v>275</v>
      </c>
      <c r="C242" s="57" t="str">
        <f>VLOOKUP(B242,Settings!$B$163:D442,3,FALSE)</f>
        <v>P</v>
      </c>
      <c r="D242" s="901"/>
      <c r="E242" s="346">
        <f>SUMIFS(Inventory!$O$9:$O$194,Inventory!$D$9:$D$194,5,Inventory!$G$9:$G$194,C242)</f>
        <v>1092.5573537006339</v>
      </c>
      <c r="F242" s="59">
        <f t="shared" si="12"/>
        <v>5.203698032470481E-4</v>
      </c>
      <c r="G242" s="915"/>
      <c r="H242" s="917"/>
    </row>
    <row r="243" spans="1:26" x14ac:dyDescent="0.25">
      <c r="B243" s="308" t="s">
        <v>58</v>
      </c>
      <c r="C243" s="57" t="str">
        <f>VLOOKUP(B243,Settings!$B$163:D443,3,FALSE)</f>
        <v>B</v>
      </c>
      <c r="D243" s="902"/>
      <c r="E243" s="346">
        <f>SUMIFS(Inventory!$O$9:$O$194,Inventory!$D$9:$D$194,5,Inventory!$G$9:$G$194,C243)</f>
        <v>10470.765421384871</v>
      </c>
      <c r="F243" s="59">
        <f t="shared" si="12"/>
        <v>4.9870792812081541E-3</v>
      </c>
      <c r="G243" s="915"/>
      <c r="H243" s="918"/>
    </row>
    <row r="244" spans="1:26" x14ac:dyDescent="0.25">
      <c r="B244" s="308" t="s">
        <v>619</v>
      </c>
      <c r="C244" s="57" t="str">
        <f>VLOOKUP(B244,Settings!$B$163:D444,3,FALSE)</f>
        <v>R</v>
      </c>
      <c r="D244" s="900" t="s">
        <v>709</v>
      </c>
      <c r="E244" s="346">
        <f>SUMIFS(Inventory!$O$9:$O$194,Inventory!$D$9:$D$194,5,Inventory!$G$9:$G$194,C244)</f>
        <v>0</v>
      </c>
      <c r="F244" s="59">
        <f t="shared" si="12"/>
        <v>0</v>
      </c>
      <c r="G244" s="903">
        <f>SUM(E244:E248)</f>
        <v>807412.83244909626</v>
      </c>
      <c r="H244" s="916">
        <f>G244/G249</f>
        <v>0.38455945158170818</v>
      </c>
    </row>
    <row r="245" spans="1:26" x14ac:dyDescent="0.25">
      <c r="B245" s="302" t="s">
        <v>966</v>
      </c>
      <c r="C245" s="57" t="str">
        <f>VLOOKUP(B245,Settings!$B$163:D445,3,FALSE)</f>
        <v>L</v>
      </c>
      <c r="D245" s="901"/>
      <c r="E245" s="346">
        <f>SUMIFS(Inventory!$O$9:$O$194,Inventory!$D$9:$D$194,5,Inventory!$G$9:$G$194,C245)</f>
        <v>3521.9919221481582</v>
      </c>
      <c r="F245" s="59">
        <f t="shared" si="12"/>
        <v>1.6774755461195761E-3</v>
      </c>
      <c r="G245" s="904"/>
      <c r="H245" s="917"/>
    </row>
    <row r="246" spans="1:26" x14ac:dyDescent="0.25">
      <c r="B246" s="302" t="s">
        <v>962</v>
      </c>
      <c r="C246" s="57" t="str">
        <f>VLOOKUP(B246,Settings!$B$163:D446,3,FALSE)</f>
        <v>X</v>
      </c>
      <c r="D246" s="901"/>
      <c r="E246" s="346">
        <f>SUMIFS(Inventory!$O$9:$O$194,Inventory!$D$9:$D$194,5,Inventory!$G$9:$G$194,C246)</f>
        <v>357.98294882292464</v>
      </c>
      <c r="F246" s="59">
        <f t="shared" si="12"/>
        <v>1.7050227707846814E-4</v>
      </c>
      <c r="G246" s="904"/>
      <c r="H246" s="917"/>
    </row>
    <row r="247" spans="1:26" x14ac:dyDescent="0.25">
      <c r="B247" s="344" t="s">
        <v>1434</v>
      </c>
      <c r="C247" s="57" t="str">
        <f>VLOOKUP(B247,Settings!$B$163:D447,3,FALSE)</f>
        <v>Z</v>
      </c>
      <c r="D247" s="901"/>
      <c r="E247" s="346">
        <f>SUMIFS(Inventory!$O$9:$O$194,Inventory!$D$9:$D$194,5,Inventory!$G$9:$G$194,C247)</f>
        <v>0</v>
      </c>
      <c r="F247" s="59">
        <f t="shared" si="12"/>
        <v>0</v>
      </c>
      <c r="G247" s="904"/>
      <c r="H247" s="917"/>
    </row>
    <row r="248" spans="1:26" x14ac:dyDescent="0.25">
      <c r="B248" s="308" t="s">
        <v>59</v>
      </c>
      <c r="C248" s="57" t="str">
        <f>VLOOKUP(B248,Settings!$B$163:D446,3,FALSE)</f>
        <v>N</v>
      </c>
      <c r="D248" s="902"/>
      <c r="E248" s="346">
        <f>SUMIFS(Inventory!$O$9:$O$194,Inventory!$D$9:$D$194,5,Inventory!$G$9:$G$194,C248)</f>
        <v>803532.8575781252</v>
      </c>
      <c r="F248" s="59">
        <f t="shared" si="12"/>
        <v>0.38271147375851006</v>
      </c>
      <c r="G248" s="905"/>
      <c r="H248" s="918"/>
    </row>
    <row r="249" spans="1:26" ht="16.8" x14ac:dyDescent="0.25">
      <c r="B249" s="142" t="s">
        <v>410</v>
      </c>
      <c r="C249" s="100"/>
      <c r="D249" s="119"/>
      <c r="E249" s="135">
        <f>_xlfn.AGGREGATE(9,6,E233:E248)</f>
        <v>2099578.6974632288</v>
      </c>
      <c r="F249" s="360">
        <f>SUM(F233:F248)</f>
        <v>0.99999999999999978</v>
      </c>
      <c r="G249" s="135">
        <f>SUM(G233:G248)</f>
        <v>2099578.6974632284</v>
      </c>
      <c r="H249" s="347">
        <f>SUM(H233:H248)</f>
        <v>1.0000000000000002</v>
      </c>
    </row>
    <row r="254" spans="1:26" ht="22.8" x14ac:dyDescent="0.25">
      <c r="A254" s="158" t="s">
        <v>583</v>
      </c>
      <c r="B254" s="159" t="s">
        <v>342</v>
      </c>
      <c r="C254" s="101"/>
      <c r="D254" s="101"/>
      <c r="E254" s="102"/>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7" spans="2:8" ht="41.4" x14ac:dyDescent="0.25">
      <c r="B257" s="142" t="s">
        <v>568</v>
      </c>
      <c r="C257" s="142" t="s">
        <v>332</v>
      </c>
      <c r="D257" s="173" t="s">
        <v>331</v>
      </c>
      <c r="E257" s="160" t="s">
        <v>587</v>
      </c>
      <c r="F257" s="161" t="s">
        <v>588</v>
      </c>
      <c r="G257" s="161" t="s">
        <v>705</v>
      </c>
      <c r="H257" s="161" t="s">
        <v>900</v>
      </c>
    </row>
    <row r="258" spans="2:8" x14ac:dyDescent="0.25">
      <c r="B258" s="308" t="s">
        <v>47</v>
      </c>
      <c r="C258" s="57" t="str">
        <f>VLOOKUP(B258,Settings!$B$163:D460,3,FALSE)</f>
        <v>C</v>
      </c>
      <c r="D258" s="900" t="s">
        <v>706</v>
      </c>
      <c r="E258" s="346">
        <f>SUMIFS(Inventory!$O$9:$O$194,Inventory!$D$9:$D$194,6,Inventory!$G$9:$G$194,C258)</f>
        <v>2.3760904780800001</v>
      </c>
      <c r="F258" s="59">
        <f t="shared" ref="F258:F273" si="13">E258/$E$274</f>
        <v>6.6471269865101966E-5</v>
      </c>
      <c r="G258" s="903">
        <f>SUM(E258:E263)</f>
        <v>6067.0961822530799</v>
      </c>
      <c r="H258" s="916">
        <f>G258/G274</f>
        <v>0.16972736995855092</v>
      </c>
    </row>
    <row r="259" spans="2:8" x14ac:dyDescent="0.25">
      <c r="B259" s="308" t="s">
        <v>48</v>
      </c>
      <c r="C259" s="57" t="str">
        <f>VLOOKUP(B259,Settings!$B$163:D460,3,FALSE)</f>
        <v>V</v>
      </c>
      <c r="D259" s="901"/>
      <c r="E259" s="346">
        <f>SUMIFS(Inventory!$O$9:$O$194,Inventory!$D$9:$D$194,6,Inventory!$G$9:$G$194,C259)</f>
        <v>0</v>
      </c>
      <c r="F259" s="59">
        <f t="shared" si="13"/>
        <v>0</v>
      </c>
      <c r="G259" s="904"/>
      <c r="H259" s="917"/>
    </row>
    <row r="260" spans="2:8" x14ac:dyDescent="0.25">
      <c r="B260" s="308" t="s">
        <v>49</v>
      </c>
      <c r="C260" s="57" t="str">
        <f>VLOOKUP(B260,Settings!$B$163:D461,3,FALSE)</f>
        <v>F</v>
      </c>
      <c r="D260" s="901"/>
      <c r="E260" s="346">
        <f>SUMIFS(Inventory!$O$9:$O$194,Inventory!$D$9:$D$194,6,Inventory!$G$9:$G$194,C260)</f>
        <v>31.340777599999999</v>
      </c>
      <c r="F260" s="59">
        <f t="shared" si="13"/>
        <v>8.767600833597557E-4</v>
      </c>
      <c r="G260" s="904"/>
      <c r="H260" s="917"/>
    </row>
    <row r="261" spans="2:8" x14ac:dyDescent="0.25">
      <c r="B261" s="308" t="s">
        <v>1429</v>
      </c>
      <c r="C261" s="57" t="str">
        <f>VLOOKUP(B261,Settings!$B$163:D462,3,FALSE)</f>
        <v>M</v>
      </c>
      <c r="D261" s="901"/>
      <c r="E261" s="346">
        <f>SUMIFS(Inventory!$O$9:$O$194,Inventory!$D$9:$D$194,6,Inventory!$G$9:$G$194,C261)</f>
        <v>6033.3793141750002</v>
      </c>
      <c r="F261" s="59">
        <f t="shared" si="13"/>
        <v>0.1687841386053261</v>
      </c>
      <c r="G261" s="904"/>
      <c r="H261" s="917"/>
    </row>
    <row r="262" spans="2:8" x14ac:dyDescent="0.25">
      <c r="B262" s="308" t="s">
        <v>1433</v>
      </c>
      <c r="C262" s="57" t="str">
        <f>VLOOKUP(B262,Settings!$B$163:D463,3,FALSE)</f>
        <v>W</v>
      </c>
      <c r="D262" s="901"/>
      <c r="E262" s="346">
        <f>SUMIFS(Inventory!$O$9:$O$194,Inventory!$D$9:$D$194,6,Inventory!$G$9:$G$194,C262)</f>
        <v>0</v>
      </c>
      <c r="F262" s="59">
        <f t="shared" si="13"/>
        <v>0</v>
      </c>
      <c r="G262" s="904"/>
      <c r="H262" s="917"/>
    </row>
    <row r="263" spans="2:8" x14ac:dyDescent="0.25">
      <c r="B263" s="308" t="s">
        <v>1123</v>
      </c>
      <c r="C263" s="57" t="str">
        <f>VLOOKUP(B263,Settings!$B$163:D464,3,FALSE)</f>
        <v>Y</v>
      </c>
      <c r="D263" s="902"/>
      <c r="E263" s="346">
        <f>SUMIFS(Inventory!$O$9:$O$194,Inventory!$D$9:$D$194,6,Inventory!$G$9:$G$194,C263)</f>
        <v>0</v>
      </c>
      <c r="F263" s="59">
        <f t="shared" si="13"/>
        <v>0</v>
      </c>
      <c r="G263" s="905"/>
      <c r="H263" s="918"/>
    </row>
    <row r="264" spans="2:8" x14ac:dyDescent="0.25">
      <c r="B264" s="308" t="s">
        <v>50</v>
      </c>
      <c r="C264" s="57" t="str">
        <f>VLOOKUP(B264,Settings!$B$163:D463,3,FALSE)</f>
        <v>E</v>
      </c>
      <c r="D264" s="208" t="s">
        <v>707</v>
      </c>
      <c r="E264" s="346">
        <f>SUMIFS(Inventory!$O$9:$O$194,Inventory!$D$9:$D$194,6,Inventory!$G$9:$G$194,C264)</f>
        <v>0</v>
      </c>
      <c r="F264" s="59">
        <f t="shared" si="13"/>
        <v>0</v>
      </c>
      <c r="G264" s="346">
        <f>E264</f>
        <v>0</v>
      </c>
      <c r="H264" s="366">
        <f>G264/G274</f>
        <v>0</v>
      </c>
    </row>
    <row r="265" spans="2:8" x14ac:dyDescent="0.25">
      <c r="B265" s="308" t="s">
        <v>167</v>
      </c>
      <c r="C265" s="57" t="str">
        <f>VLOOKUP(B265,Settings!$B$163:D466,3,FALSE)</f>
        <v>T</v>
      </c>
      <c r="D265" s="900" t="s">
        <v>708</v>
      </c>
      <c r="E265" s="346">
        <f>SUMIFS(Inventory!$O$9:$O$194,Inventory!$D$9:$D$194,6,Inventory!$G$9:$G$194,C265)</f>
        <v>0</v>
      </c>
      <c r="F265" s="59">
        <f t="shared" si="13"/>
        <v>0</v>
      </c>
      <c r="G265" s="915">
        <f>SUM(E265:E268)</f>
        <v>20615.567083660681</v>
      </c>
      <c r="H265" s="916">
        <f>G265/G274</f>
        <v>0.57672169291609965</v>
      </c>
    </row>
    <row r="266" spans="2:8" x14ac:dyDescent="0.25">
      <c r="B266" s="308" t="s">
        <v>168</v>
      </c>
      <c r="C266" s="57" t="str">
        <f>VLOOKUP(B266,Settings!$B$163:D467,3,FALSE)</f>
        <v>D</v>
      </c>
      <c r="D266" s="901"/>
      <c r="E266" s="346">
        <f>SUMIFS(Inventory!$O$9:$O$194,Inventory!$D$9:$D$194,6,Inventory!$G$9:$G$194,C266)</f>
        <v>0</v>
      </c>
      <c r="F266" s="59">
        <f t="shared" si="13"/>
        <v>0</v>
      </c>
      <c r="G266" s="915"/>
      <c r="H266" s="917"/>
    </row>
    <row r="267" spans="2:8" x14ac:dyDescent="0.25">
      <c r="B267" s="308" t="s">
        <v>275</v>
      </c>
      <c r="C267" s="57" t="str">
        <f>VLOOKUP(B267,Settings!$B$163:D468,3,FALSE)</f>
        <v>P</v>
      </c>
      <c r="D267" s="901"/>
      <c r="E267" s="346">
        <f>SUMIFS(Inventory!$O$9:$O$194,Inventory!$D$9:$D$194,6,Inventory!$G$9:$G$194,C267)</f>
        <v>3173.736820206258</v>
      </c>
      <c r="F267" s="59">
        <f t="shared" si="13"/>
        <v>8.8785472860953035E-2</v>
      </c>
      <c r="G267" s="915"/>
      <c r="H267" s="917"/>
    </row>
    <row r="268" spans="2:8" x14ac:dyDescent="0.25">
      <c r="B268" s="308" t="s">
        <v>58</v>
      </c>
      <c r="C268" s="57" t="str">
        <f>VLOOKUP(B268,Settings!$B$163:D469,3,FALSE)</f>
        <v>B</v>
      </c>
      <c r="D268" s="902"/>
      <c r="E268" s="346">
        <f>SUMIFS(Inventory!$O$9:$O$194,Inventory!$D$9:$D$194,6,Inventory!$G$9:$G$194,C268)</f>
        <v>17441.830263454423</v>
      </c>
      <c r="F268" s="59">
        <f t="shared" si="13"/>
        <v>0.48793622005514664</v>
      </c>
      <c r="G268" s="915"/>
      <c r="H268" s="918"/>
    </row>
    <row r="269" spans="2:8" x14ac:dyDescent="0.25">
      <c r="B269" s="308" t="s">
        <v>619</v>
      </c>
      <c r="C269" s="57" t="str">
        <f>VLOOKUP(B269,Settings!$B$163:D470,3,FALSE)</f>
        <v>R</v>
      </c>
      <c r="D269" s="900" t="s">
        <v>709</v>
      </c>
      <c r="E269" s="346">
        <f>SUMIFS(Inventory!$O$9:$O$194,Inventory!$D$9:$D$194,6,Inventory!$G$9:$G$194,C269)</f>
        <v>0</v>
      </c>
      <c r="F269" s="59">
        <f t="shared" si="13"/>
        <v>0</v>
      </c>
      <c r="G269" s="903">
        <f>SUM(E269:E273)</f>
        <v>9063.4640895900902</v>
      </c>
      <c r="H269" s="916">
        <f>G269/G274</f>
        <v>0.25355093712534943</v>
      </c>
    </row>
    <row r="270" spans="2:8" x14ac:dyDescent="0.25">
      <c r="B270" s="302" t="s">
        <v>966</v>
      </c>
      <c r="C270" s="57" t="str">
        <f>VLOOKUP(B270,Settings!$B$163:D471,3,FALSE)</f>
        <v>L</v>
      </c>
      <c r="D270" s="901"/>
      <c r="E270" s="346">
        <f>SUMIFS(Inventory!$O$9:$O$194,Inventory!$D$9:$D$194,6,Inventory!$G$9:$G$194,C270)</f>
        <v>229.77619487020402</v>
      </c>
      <c r="F270" s="59">
        <f t="shared" si="13"/>
        <v>6.4280024682121335E-3</v>
      </c>
      <c r="G270" s="904"/>
      <c r="H270" s="917"/>
    </row>
    <row r="271" spans="2:8" x14ac:dyDescent="0.25">
      <c r="B271" s="302" t="s">
        <v>962</v>
      </c>
      <c r="C271" s="57" t="str">
        <f>VLOOKUP(B271,Settings!$B$163:D472,3,FALSE)</f>
        <v>X</v>
      </c>
      <c r="D271" s="901"/>
      <c r="E271" s="346">
        <f>SUMIFS(Inventory!$O$9:$O$194,Inventory!$D$9:$D$194,6,Inventory!$G$9:$G$194,C271)</f>
        <v>7461.7759618323562</v>
      </c>
      <c r="F271" s="59">
        <f t="shared" si="13"/>
        <v>0.20874361822815649</v>
      </c>
      <c r="G271" s="904"/>
      <c r="H271" s="917"/>
    </row>
    <row r="272" spans="2:8" x14ac:dyDescent="0.25">
      <c r="B272" s="344" t="s">
        <v>1434</v>
      </c>
      <c r="C272" s="57" t="str">
        <f>VLOOKUP(B272,Settings!$B$163:D473,3,FALSE)</f>
        <v>Z</v>
      </c>
      <c r="D272" s="901"/>
      <c r="E272" s="346">
        <f>SUMIFS(Inventory!$O$9:$O$194,Inventory!$D$9:$D$194,6,Inventory!$G$9:$G$194,C272)</f>
        <v>0</v>
      </c>
      <c r="F272" s="59">
        <f t="shared" si="13"/>
        <v>0</v>
      </c>
      <c r="G272" s="904"/>
      <c r="H272" s="917"/>
    </row>
    <row r="273" spans="1:26" x14ac:dyDescent="0.25">
      <c r="B273" s="308" t="s">
        <v>59</v>
      </c>
      <c r="C273" s="57" t="str">
        <f>VLOOKUP(B273,Settings!$B$163:D472,3,FALSE)</f>
        <v>N</v>
      </c>
      <c r="D273" s="902"/>
      <c r="E273" s="346">
        <f>SUMIFS(Inventory!$O$9:$O$194,Inventory!$D$9:$D$194,6,Inventory!$G$9:$G$194,C273)</f>
        <v>1371.9119328875299</v>
      </c>
      <c r="F273" s="59">
        <f t="shared" si="13"/>
        <v>3.8379316428980827E-2</v>
      </c>
      <c r="G273" s="905"/>
      <c r="H273" s="918"/>
    </row>
    <row r="274" spans="1:26" ht="16.8" x14ac:dyDescent="0.25">
      <c r="B274" s="142" t="s">
        <v>410</v>
      </c>
      <c r="C274" s="100"/>
      <c r="D274" s="119"/>
      <c r="E274" s="135">
        <f>_xlfn.AGGREGATE(9,6,E258:E273)</f>
        <v>35746.12735550385</v>
      </c>
      <c r="F274" s="360">
        <f>SUM(F258:F273)</f>
        <v>1</v>
      </c>
      <c r="G274" s="135">
        <f>SUM(G258:G273)</f>
        <v>35746.12735550385</v>
      </c>
      <c r="H274" s="347">
        <f>SUM(H258:H273)</f>
        <v>1</v>
      </c>
    </row>
    <row r="279" spans="1:26" ht="22.8" x14ac:dyDescent="0.25">
      <c r="A279" s="158" t="s">
        <v>292</v>
      </c>
      <c r="B279" s="159" t="s">
        <v>343</v>
      </c>
      <c r="C279" s="101"/>
      <c r="D279" s="101"/>
      <c r="E279" s="102"/>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2" spans="1:26" ht="41.4" x14ac:dyDescent="0.25">
      <c r="B282" s="142" t="s">
        <v>568</v>
      </c>
      <c r="C282" s="142" t="s">
        <v>332</v>
      </c>
      <c r="D282" s="173" t="s">
        <v>331</v>
      </c>
      <c r="E282" s="160" t="s">
        <v>587</v>
      </c>
      <c r="F282" s="161" t="s">
        <v>588</v>
      </c>
      <c r="G282" s="161" t="s">
        <v>705</v>
      </c>
      <c r="H282" s="161" t="s">
        <v>900</v>
      </c>
    </row>
    <row r="283" spans="1:26" x14ac:dyDescent="0.25">
      <c r="B283" s="308" t="s">
        <v>47</v>
      </c>
      <c r="C283" s="57" t="str">
        <f>VLOOKUP(B283,Settings!$B$163:D485,3,FALSE)</f>
        <v>C</v>
      </c>
      <c r="D283" s="900" t="s">
        <v>706</v>
      </c>
      <c r="E283" s="346">
        <f>SUMIFS(Inventory!$O$9:$O$194,Inventory!$D$9:$D$194,7,Inventory!$G$9:$G$194,C283)</f>
        <v>13908.076867753138</v>
      </c>
      <c r="F283" s="59">
        <f t="shared" ref="F283:F298" si="14">E283/$E$299</f>
        <v>0.18585717195917575</v>
      </c>
      <c r="G283" s="903">
        <f>SUM(E283:E288)</f>
        <v>14092.803287503715</v>
      </c>
      <c r="H283" s="916">
        <f>G283/G299</f>
        <v>0.18832571813471416</v>
      </c>
    </row>
    <row r="284" spans="1:26" x14ac:dyDescent="0.25">
      <c r="B284" s="308" t="s">
        <v>48</v>
      </c>
      <c r="C284" s="57" t="str">
        <f>VLOOKUP(B284,Settings!$B$163:D485,3,FALSE)</f>
        <v>V</v>
      </c>
      <c r="D284" s="901"/>
      <c r="E284" s="346">
        <f>SUMIFS(Inventory!$O$9:$O$194,Inventory!$D$9:$D$194,7,Inventory!$G$9:$G$194,C284)</f>
        <v>0</v>
      </c>
      <c r="F284" s="59">
        <f t="shared" si="14"/>
        <v>0</v>
      </c>
      <c r="G284" s="904"/>
      <c r="H284" s="917"/>
    </row>
    <row r="285" spans="1:26" x14ac:dyDescent="0.25">
      <c r="B285" s="308" t="s">
        <v>49</v>
      </c>
      <c r="C285" s="57" t="str">
        <f>VLOOKUP(B285,Settings!$B$163:D486,3,FALSE)</f>
        <v>F</v>
      </c>
      <c r="D285" s="901"/>
      <c r="E285" s="346">
        <f>SUMIFS(Inventory!$O$9:$O$194,Inventory!$D$9:$D$194,7,Inventory!$G$9:$G$194,C285)</f>
        <v>105.64033894555989</v>
      </c>
      <c r="F285" s="59">
        <f t="shared" si="14"/>
        <v>1.4116987436813347E-3</v>
      </c>
      <c r="G285" s="904"/>
      <c r="H285" s="917"/>
    </row>
    <row r="286" spans="1:26" x14ac:dyDescent="0.25">
      <c r="B286" s="308" t="s">
        <v>1429</v>
      </c>
      <c r="C286" s="57" t="str">
        <f>VLOOKUP(B286,Settings!$B$163:D487,3,FALSE)</f>
        <v>M</v>
      </c>
      <c r="D286" s="901"/>
      <c r="E286" s="346">
        <f>SUMIFS(Inventory!$O$9:$O$194,Inventory!$D$9:$D$194,7,Inventory!$G$9:$G$194,C286)</f>
        <v>78.544375500000001</v>
      </c>
      <c r="F286" s="59">
        <f t="shared" si="14"/>
        <v>1.0496084859565418E-3</v>
      </c>
      <c r="G286" s="904"/>
      <c r="H286" s="917"/>
    </row>
    <row r="287" spans="1:26" x14ac:dyDescent="0.25">
      <c r="B287" s="308" t="s">
        <v>1433</v>
      </c>
      <c r="C287" s="57" t="str">
        <f>VLOOKUP(B287,Settings!$B$163:D488,3,FALSE)</f>
        <v>W</v>
      </c>
      <c r="D287" s="901"/>
      <c r="E287" s="346">
        <f>SUMIFS(Inventory!$O$9:$O$194,Inventory!$D$9:$D$194,7,Inventory!$G$9:$G$194,C287)</f>
        <v>0</v>
      </c>
      <c r="F287" s="59">
        <f t="shared" si="14"/>
        <v>0</v>
      </c>
      <c r="G287" s="904"/>
      <c r="H287" s="917"/>
    </row>
    <row r="288" spans="1:26" x14ac:dyDescent="0.25">
      <c r="B288" s="308" t="s">
        <v>1123</v>
      </c>
      <c r="C288" s="57" t="str">
        <f>VLOOKUP(B288,Settings!$B$163:D489,3,FALSE)</f>
        <v>Y</v>
      </c>
      <c r="D288" s="902"/>
      <c r="E288" s="346">
        <f>SUMIFS(Inventory!$O$9:$O$194,Inventory!$D$9:$D$194,7,Inventory!$G$9:$G$194,C288)</f>
        <v>0.54170530501924974</v>
      </c>
      <c r="F288" s="59">
        <f t="shared" si="14"/>
        <v>7.2389459005359503E-6</v>
      </c>
      <c r="G288" s="905"/>
      <c r="H288" s="918"/>
    </row>
    <row r="289" spans="1:26" x14ac:dyDescent="0.25">
      <c r="B289" s="308" t="s">
        <v>50</v>
      </c>
      <c r="C289" s="57" t="str">
        <f>VLOOKUP(B289,Settings!$B$163:D488,3,FALSE)</f>
        <v>E</v>
      </c>
      <c r="D289" s="208" t="s">
        <v>707</v>
      </c>
      <c r="E289" s="346">
        <f>SUMIFS(Inventory!$O$9:$O$194,Inventory!$D$9:$D$194,7,Inventory!$G$9:$G$194,C289)</f>
        <v>2544.0028827220758</v>
      </c>
      <c r="F289" s="59">
        <f t="shared" si="14"/>
        <v>3.3996158184528384E-2</v>
      </c>
      <c r="G289" s="346">
        <f>E289</f>
        <v>2544.0028827220758</v>
      </c>
      <c r="H289" s="366">
        <f>G289/G299</f>
        <v>3.3996158184528384E-2</v>
      </c>
    </row>
    <row r="290" spans="1:26" x14ac:dyDescent="0.25">
      <c r="B290" s="308" t="s">
        <v>167</v>
      </c>
      <c r="C290" s="57" t="str">
        <f>VLOOKUP(B290,Settings!$B$163:D491,3,FALSE)</f>
        <v>T</v>
      </c>
      <c r="D290" s="900" t="s">
        <v>708</v>
      </c>
      <c r="E290" s="346">
        <f>SUMIFS(Inventory!$O$9:$O$194,Inventory!$D$9:$D$194,7,Inventory!$G$9:$G$194,C290)</f>
        <v>0</v>
      </c>
      <c r="F290" s="59">
        <f t="shared" si="14"/>
        <v>0</v>
      </c>
      <c r="G290" s="915">
        <f>SUM(E290:E293)</f>
        <v>52209.161651766226</v>
      </c>
      <c r="H290" s="916">
        <f>G290/G299</f>
        <v>0.69768431877557779</v>
      </c>
    </row>
    <row r="291" spans="1:26" x14ac:dyDescent="0.25">
      <c r="B291" s="308" t="s">
        <v>168</v>
      </c>
      <c r="C291" s="57" t="str">
        <f>VLOOKUP(B291,Settings!$B$163:D492,3,FALSE)</f>
        <v>D</v>
      </c>
      <c r="D291" s="901"/>
      <c r="E291" s="346">
        <f>SUMIFS(Inventory!$O$9:$O$194,Inventory!$D$9:$D$194,7,Inventory!$G$9:$G$194,C291)</f>
        <v>0</v>
      </c>
      <c r="F291" s="59">
        <f t="shared" si="14"/>
        <v>0</v>
      </c>
      <c r="G291" s="915"/>
      <c r="H291" s="917"/>
    </row>
    <row r="292" spans="1:26" x14ac:dyDescent="0.25">
      <c r="B292" s="308" t="s">
        <v>275</v>
      </c>
      <c r="C292" s="57" t="str">
        <f>VLOOKUP(B292,Settings!$B$163:D493,3,FALSE)</f>
        <v>P</v>
      </c>
      <c r="D292" s="901"/>
      <c r="E292" s="346">
        <f>SUMIFS(Inventory!$O$9:$O$194,Inventory!$D$9:$D$194,7,Inventory!$G$9:$G$194,C292)</f>
        <v>3173.736820206258</v>
      </c>
      <c r="F292" s="59">
        <f t="shared" si="14"/>
        <v>4.2411453111384396E-2</v>
      </c>
      <c r="G292" s="915"/>
      <c r="H292" s="917"/>
    </row>
    <row r="293" spans="1:26" x14ac:dyDescent="0.25">
      <c r="B293" s="308" t="s">
        <v>58</v>
      </c>
      <c r="C293" s="57" t="str">
        <f>VLOOKUP(B293,Settings!$B$163:D494,3,FALSE)</f>
        <v>B</v>
      </c>
      <c r="D293" s="902"/>
      <c r="E293" s="346">
        <f>SUMIFS(Inventory!$O$9:$O$194,Inventory!$D$9:$D$194,7,Inventory!$G$9:$G$194,C293)</f>
        <v>49035.424831559969</v>
      </c>
      <c r="F293" s="59">
        <f t="shared" si="14"/>
        <v>0.6552728656641934</v>
      </c>
      <c r="G293" s="915"/>
      <c r="H293" s="918"/>
    </row>
    <row r="294" spans="1:26" x14ac:dyDescent="0.25">
      <c r="B294" s="308" t="s">
        <v>619</v>
      </c>
      <c r="C294" s="57" t="str">
        <f>VLOOKUP(B294,Settings!$B$163:D495,3,FALSE)</f>
        <v>R</v>
      </c>
      <c r="D294" s="900" t="s">
        <v>709</v>
      </c>
      <c r="E294" s="346">
        <f>SUMIFS(Inventory!$O$9:$O$194,Inventory!$D$9:$D$194,7,Inventory!$G$9:$G$194,C294)</f>
        <v>0</v>
      </c>
      <c r="F294" s="59">
        <f t="shared" si="14"/>
        <v>0</v>
      </c>
      <c r="G294" s="903">
        <f>SUM(E294:E298)</f>
        <v>5986.1019934687438</v>
      </c>
      <c r="H294" s="916">
        <f>G294/G299</f>
        <v>7.9993804905179544E-2</v>
      </c>
    </row>
    <row r="295" spans="1:26" x14ac:dyDescent="0.25">
      <c r="B295" s="302" t="s">
        <v>966</v>
      </c>
      <c r="C295" s="57" t="str">
        <f>VLOOKUP(B295,Settings!$B$163:D496,3,FALSE)</f>
        <v>L</v>
      </c>
      <c r="D295" s="901"/>
      <c r="E295" s="346">
        <f>SUMIFS(Inventory!$O$9:$O$194,Inventory!$D$9:$D$194,7,Inventory!$G$9:$G$194,C295)</f>
        <v>344.38384313053274</v>
      </c>
      <c r="F295" s="59">
        <f t="shared" si="14"/>
        <v>4.6020889704079908E-3</v>
      </c>
      <c r="G295" s="904"/>
      <c r="H295" s="917"/>
    </row>
    <row r="296" spans="1:26" x14ac:dyDescent="0.25">
      <c r="B296" s="302" t="s">
        <v>962</v>
      </c>
      <c r="C296" s="57" t="str">
        <f>VLOOKUP(B296,Settings!$B$163:D497,3,FALSE)</f>
        <v>X</v>
      </c>
      <c r="D296" s="901"/>
      <c r="E296" s="346">
        <f>SUMIFS(Inventory!$O$9:$O$194,Inventory!$D$9:$D$194,7,Inventory!$G$9:$G$194,C296)</f>
        <v>72.53470931330142</v>
      </c>
      <c r="F296" s="59">
        <f t="shared" si="14"/>
        <v>9.6929978673816264E-4</v>
      </c>
      <c r="G296" s="904"/>
      <c r="H296" s="917"/>
    </row>
    <row r="297" spans="1:26" x14ac:dyDescent="0.25">
      <c r="B297" s="344" t="s">
        <v>1434</v>
      </c>
      <c r="C297" s="57" t="str">
        <f>VLOOKUP(B297,Settings!$B$163:D498,3,FALSE)</f>
        <v>Z</v>
      </c>
      <c r="D297" s="901"/>
      <c r="E297" s="346">
        <f>SUMIFS(Inventory!$O$9:$O$194,Inventory!$D$9:$D$194,7,Inventory!$G$9:$G$194,C297)</f>
        <v>0</v>
      </c>
      <c r="F297" s="59">
        <f t="shared" si="14"/>
        <v>0</v>
      </c>
      <c r="G297" s="904"/>
      <c r="H297" s="917"/>
    </row>
    <row r="298" spans="1:26" x14ac:dyDescent="0.25">
      <c r="B298" s="308" t="s">
        <v>59</v>
      </c>
      <c r="C298" s="57" t="str">
        <f>VLOOKUP(B298,Settings!$B$163:D497,3,FALSE)</f>
        <v>N</v>
      </c>
      <c r="D298" s="902"/>
      <c r="E298" s="346">
        <f>SUMIFS(Inventory!$O$9:$O$194,Inventory!$D$9:$D$194,7,Inventory!$G$9:$G$194,C298)</f>
        <v>5569.1834410249094</v>
      </c>
      <c r="F298" s="59">
        <f t="shared" si="14"/>
        <v>7.4422416148033396E-2</v>
      </c>
      <c r="G298" s="905"/>
      <c r="H298" s="918"/>
    </row>
    <row r="299" spans="1:26" ht="16.8" x14ac:dyDescent="0.25">
      <c r="B299" s="142" t="s">
        <v>410</v>
      </c>
      <c r="C299" s="100"/>
      <c r="D299" s="119"/>
      <c r="E299" s="135">
        <f>_xlfn.AGGREGATE(9,6,E283:E298)</f>
        <v>74832.069815460767</v>
      </c>
      <c r="F299" s="360">
        <f>SUM(F283:F298)</f>
        <v>1</v>
      </c>
      <c r="G299" s="135">
        <f>SUM(G283:G298)</f>
        <v>74832.069815460767</v>
      </c>
      <c r="H299" s="347">
        <f>SUM(H283:H298)</f>
        <v>1</v>
      </c>
    </row>
    <row r="304" spans="1:26" ht="22.8" x14ac:dyDescent="0.25">
      <c r="A304" s="158" t="s">
        <v>293</v>
      </c>
      <c r="B304" s="159" t="s">
        <v>510</v>
      </c>
      <c r="C304" s="101"/>
      <c r="D304" s="101"/>
      <c r="E304" s="102"/>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7" spans="2:8" ht="41.4" x14ac:dyDescent="0.25">
      <c r="B307" s="142" t="s">
        <v>568</v>
      </c>
      <c r="C307" s="142" t="s">
        <v>332</v>
      </c>
      <c r="D307" s="173" t="s">
        <v>331</v>
      </c>
      <c r="E307" s="160" t="s">
        <v>587</v>
      </c>
      <c r="F307" s="161" t="s">
        <v>588</v>
      </c>
      <c r="G307" s="161" t="s">
        <v>705</v>
      </c>
      <c r="H307" s="161" t="s">
        <v>900</v>
      </c>
    </row>
    <row r="308" spans="2:8" x14ac:dyDescent="0.25">
      <c r="B308" s="308" t="s">
        <v>47</v>
      </c>
      <c r="C308" s="57" t="str">
        <f>VLOOKUP(B308,Settings!$B$163:D530,3,FALSE)</f>
        <v>C</v>
      </c>
      <c r="D308" s="900" t="s">
        <v>706</v>
      </c>
      <c r="E308" s="346">
        <f>SUMIFS(Inventory!$O$9:$O$194,Inventory!$D$9:$D$194,9,Inventory!$G$9:$G$194,C308)</f>
        <v>90172.753085119271</v>
      </c>
      <c r="F308" s="59">
        <f t="shared" ref="F308:F323" si="15">E308/$E$324</f>
        <v>0.1219440502143163</v>
      </c>
      <c r="G308" s="903">
        <f>SUM(E308:E313)</f>
        <v>123955.49582269133</v>
      </c>
      <c r="H308" s="916">
        <f>G308/G324</f>
        <v>0.16762974057888894</v>
      </c>
    </row>
    <row r="309" spans="2:8" x14ac:dyDescent="0.25">
      <c r="B309" s="308" t="s">
        <v>48</v>
      </c>
      <c r="C309" s="57" t="str">
        <f>VLOOKUP(B309,Settings!$B$163:D530,3,FALSE)</f>
        <v>V</v>
      </c>
      <c r="D309" s="901"/>
      <c r="E309" s="346">
        <f>SUMIFS(Inventory!$O$9:$O$194,Inventory!$D$9:$D$194,9,Inventory!$G$9:$G$194,C309)</f>
        <v>0</v>
      </c>
      <c r="F309" s="59">
        <f t="shared" si="15"/>
        <v>0</v>
      </c>
      <c r="G309" s="904"/>
      <c r="H309" s="917"/>
    </row>
    <row r="310" spans="2:8" x14ac:dyDescent="0.25">
      <c r="B310" s="308" t="s">
        <v>49</v>
      </c>
      <c r="C310" s="57" t="str">
        <f>VLOOKUP(B310,Settings!$B$163:D531,3,FALSE)</f>
        <v>F</v>
      </c>
      <c r="D310" s="901"/>
      <c r="E310" s="346">
        <f>SUMIFS(Inventory!$O$9:$O$194,Inventory!$D$9:$D$194,9,Inventory!$G$9:$G$194,C310)</f>
        <v>72.449275928091893</v>
      </c>
      <c r="F310" s="59">
        <f t="shared" si="15"/>
        <v>9.7975916665497126E-5</v>
      </c>
      <c r="G310" s="904"/>
      <c r="H310" s="917"/>
    </row>
    <row r="311" spans="2:8" x14ac:dyDescent="0.25">
      <c r="B311" s="308" t="s">
        <v>1429</v>
      </c>
      <c r="C311" s="57" t="str">
        <f>VLOOKUP(B311,Settings!$B$163:D532,3,FALSE)</f>
        <v>M</v>
      </c>
      <c r="D311" s="901"/>
      <c r="E311" s="346">
        <f>SUMIFS(Inventory!$O$9:$O$194,Inventory!$D$9:$D$194,9,Inventory!$G$9:$G$194,C311)</f>
        <v>33710.293461643967</v>
      </c>
      <c r="F311" s="59">
        <f t="shared" si="15"/>
        <v>4.5587714447907088E-2</v>
      </c>
      <c r="G311" s="904"/>
      <c r="H311" s="917"/>
    </row>
    <row r="312" spans="2:8" x14ac:dyDescent="0.25">
      <c r="B312" s="308" t="s">
        <v>1433</v>
      </c>
      <c r="C312" s="57" t="str">
        <f>VLOOKUP(B312,Settings!$B$163:D533,3,FALSE)</f>
        <v>W</v>
      </c>
      <c r="D312" s="901"/>
      <c r="E312" s="346">
        <f>SUMIFS(Inventory!$O$9:$O$194,Inventory!$D$9:$D$194,9,Inventory!$G$9:$G$194,C312)</f>
        <v>0</v>
      </c>
      <c r="F312" s="59">
        <f t="shared" si="15"/>
        <v>0</v>
      </c>
      <c r="G312" s="904"/>
      <c r="H312" s="917"/>
    </row>
    <row r="313" spans="2:8" x14ac:dyDescent="0.25">
      <c r="B313" s="308" t="s">
        <v>1123</v>
      </c>
      <c r="C313" s="57" t="str">
        <f>VLOOKUP(B313,Settings!$B$163:D534,3,FALSE)</f>
        <v>Y</v>
      </c>
      <c r="D313" s="902"/>
      <c r="E313" s="346">
        <f>SUMIFS(Inventory!$O$9:$O$194,Inventory!$D$9:$D$194,9,Inventory!$G$9:$G$194,C313)</f>
        <v>0</v>
      </c>
      <c r="F313" s="59">
        <f t="shared" si="15"/>
        <v>0</v>
      </c>
      <c r="G313" s="905"/>
      <c r="H313" s="918"/>
    </row>
    <row r="314" spans="2:8" x14ac:dyDescent="0.25">
      <c r="B314" s="308" t="s">
        <v>50</v>
      </c>
      <c r="C314" s="57" t="str">
        <f>VLOOKUP(B314,Settings!$B$163:D533,3,FALSE)</f>
        <v>E</v>
      </c>
      <c r="D314" s="208" t="s">
        <v>707</v>
      </c>
      <c r="E314" s="346">
        <f>SUMIFS(Inventory!$O$9:$O$194,Inventory!$D$9:$D$194,9,Inventory!$G$9:$G$194,C314)</f>
        <v>1584.5881538918065</v>
      </c>
      <c r="F314" s="59">
        <f t="shared" si="15"/>
        <v>2.1428989444826113E-3</v>
      </c>
      <c r="G314" s="346">
        <f>E314</f>
        <v>1584.5881538918065</v>
      </c>
      <c r="H314" s="366">
        <f>G314/G324</f>
        <v>2.1428989444826122E-3</v>
      </c>
    </row>
    <row r="315" spans="2:8" x14ac:dyDescent="0.25">
      <c r="B315" s="308" t="s">
        <v>167</v>
      </c>
      <c r="C315" s="57" t="str">
        <f>VLOOKUP(B315,Settings!$B$163:D536,3,FALSE)</f>
        <v>T</v>
      </c>
      <c r="D315" s="900" t="s">
        <v>708</v>
      </c>
      <c r="E315" s="346">
        <f>SUMIFS(Inventory!$O$9:$O$194,Inventory!$D$9:$D$194,9,Inventory!$G$9:$G$194,C315)</f>
        <v>0</v>
      </c>
      <c r="F315" s="59">
        <f t="shared" si="15"/>
        <v>0</v>
      </c>
      <c r="G315" s="915">
        <f>SUM(E315:E318)</f>
        <v>569835.28417419095</v>
      </c>
      <c r="H315" s="916">
        <f>G315/G324</f>
        <v>0.77060996952852268</v>
      </c>
    </row>
    <row r="316" spans="2:8" x14ac:dyDescent="0.25">
      <c r="B316" s="308" t="s">
        <v>168</v>
      </c>
      <c r="C316" s="57" t="str">
        <f>VLOOKUP(B316,Settings!$B$163:D537,3,FALSE)</f>
        <v>D</v>
      </c>
      <c r="D316" s="901"/>
      <c r="E316" s="346">
        <f>SUMIFS(Inventory!$O$9:$O$194,Inventory!$D$9:$D$194,9,Inventory!$G$9:$G$194,C316)</f>
        <v>0</v>
      </c>
      <c r="F316" s="59">
        <f t="shared" si="15"/>
        <v>0</v>
      </c>
      <c r="G316" s="915"/>
      <c r="H316" s="917"/>
    </row>
    <row r="317" spans="2:8" x14ac:dyDescent="0.25">
      <c r="B317" s="308" t="s">
        <v>275</v>
      </c>
      <c r="C317" s="57" t="str">
        <f>VLOOKUP(B317,Settings!$B$163:D538,3,FALSE)</f>
        <v>P</v>
      </c>
      <c r="D317" s="901"/>
      <c r="E317" s="346">
        <f>SUMIFS(Inventory!$O$9:$O$194,Inventory!$D$9:$D$194,9,Inventory!$G$9:$G$194,C317)</f>
        <v>16891.090411689416</v>
      </c>
      <c r="F317" s="59">
        <f t="shared" si="15"/>
        <v>2.2842465233298099E-2</v>
      </c>
      <c r="G317" s="915"/>
      <c r="H317" s="917"/>
    </row>
    <row r="318" spans="2:8" x14ac:dyDescent="0.25">
      <c r="B318" s="308" t="s">
        <v>58</v>
      </c>
      <c r="C318" s="57" t="str">
        <f>VLOOKUP(B318,Settings!$B$163:D539,3,FALSE)</f>
        <v>B</v>
      </c>
      <c r="D318" s="902"/>
      <c r="E318" s="346">
        <f>SUMIFS(Inventory!$O$9:$O$194,Inventory!$D$9:$D$194,9,Inventory!$G$9:$G$194,C318)</f>
        <v>552944.19376250159</v>
      </c>
      <c r="F318" s="59">
        <f t="shared" si="15"/>
        <v>0.74776750429522443</v>
      </c>
      <c r="G318" s="915"/>
      <c r="H318" s="918"/>
    </row>
    <row r="319" spans="2:8" x14ac:dyDescent="0.25">
      <c r="B319" s="308" t="s">
        <v>619</v>
      </c>
      <c r="C319" s="57" t="str">
        <f>VLOOKUP(B319,Settings!$B$163:D540,3,FALSE)</f>
        <v>R</v>
      </c>
      <c r="D319" s="900" t="s">
        <v>709</v>
      </c>
      <c r="E319" s="346">
        <f>SUMIFS(Inventory!$O$9:$O$194,Inventory!$D$9:$D$194,9,Inventory!$G$9:$G$194,C319)</f>
        <v>0</v>
      </c>
      <c r="F319" s="59">
        <f t="shared" si="15"/>
        <v>0</v>
      </c>
      <c r="G319" s="903">
        <f>SUM(E319:E323)</f>
        <v>44084.678703835976</v>
      </c>
      <c r="H319" s="916">
        <f>G319/G324</f>
        <v>5.9617390948105885E-2</v>
      </c>
    </row>
    <row r="320" spans="2:8" x14ac:dyDescent="0.25">
      <c r="B320" s="302" t="s">
        <v>966</v>
      </c>
      <c r="C320" s="57" t="str">
        <f>VLOOKUP(B320,Settings!$B$163:D541,3,FALSE)</f>
        <v>L</v>
      </c>
      <c r="D320" s="901"/>
      <c r="E320" s="346">
        <f>SUMIFS(Inventory!$O$9:$O$194,Inventory!$D$9:$D$194,9,Inventory!$G$9:$G$194,C320)</f>
        <v>255.48580509294354</v>
      </c>
      <c r="F320" s="59">
        <f t="shared" si="15"/>
        <v>3.4550319003668386E-4</v>
      </c>
      <c r="G320" s="904"/>
      <c r="H320" s="917"/>
    </row>
    <row r="321" spans="1:26" x14ac:dyDescent="0.25">
      <c r="B321" s="302" t="s">
        <v>962</v>
      </c>
      <c r="C321" s="57" t="str">
        <f>VLOOKUP(B321,Settings!$B$163:D542,3,FALSE)</f>
        <v>X</v>
      </c>
      <c r="D321" s="901"/>
      <c r="E321" s="346">
        <f>SUMIFS(Inventory!$O$9:$O$194,Inventory!$D$9:$D$194,9,Inventory!$G$9:$G$194,C321)</f>
        <v>105.91347289631776</v>
      </c>
      <c r="F321" s="59">
        <f t="shared" si="15"/>
        <v>1.4323082544734437E-4</v>
      </c>
      <c r="G321" s="904"/>
      <c r="H321" s="917"/>
    </row>
    <row r="322" spans="1:26" x14ac:dyDescent="0.25">
      <c r="B322" s="344" t="s">
        <v>1434</v>
      </c>
      <c r="C322" s="57" t="str">
        <f>VLOOKUP(B322,Settings!$B$163:D543,3,FALSE)</f>
        <v>Z</v>
      </c>
      <c r="D322" s="901"/>
      <c r="E322" s="346">
        <f>SUMIFS(Inventory!$O$9:$O$194,Inventory!$D$9:$D$194,9,Inventory!$G$9:$G$194,C322)</f>
        <v>0</v>
      </c>
      <c r="F322" s="59">
        <f t="shared" si="15"/>
        <v>0</v>
      </c>
      <c r="G322" s="904"/>
      <c r="H322" s="917"/>
    </row>
    <row r="323" spans="1:26" x14ac:dyDescent="0.25">
      <c r="B323" s="308" t="s">
        <v>59</v>
      </c>
      <c r="C323" s="57" t="str">
        <f>VLOOKUP(B323,Settings!$B$163:D542,3,FALSE)</f>
        <v>N</v>
      </c>
      <c r="D323" s="902"/>
      <c r="E323" s="346">
        <f>SUMIFS(Inventory!$O$9:$O$194,Inventory!$D$9:$D$194,9,Inventory!$G$9:$G$194,C323)</f>
        <v>43723.279425846718</v>
      </c>
      <c r="F323" s="59">
        <f t="shared" si="15"/>
        <v>5.9128656932621843E-2</v>
      </c>
      <c r="G323" s="905"/>
      <c r="H323" s="918"/>
    </row>
    <row r="324" spans="1:26" ht="16.8" x14ac:dyDescent="0.25">
      <c r="B324" s="142" t="s">
        <v>410</v>
      </c>
      <c r="C324" s="100"/>
      <c r="D324" s="119"/>
      <c r="E324" s="135">
        <f>_xlfn.AGGREGATE(9,6,E308:E323)</f>
        <v>739460.04685461021</v>
      </c>
      <c r="F324" s="360">
        <f>SUM(F308:F323)</f>
        <v>0.99999999999999989</v>
      </c>
      <c r="G324" s="135">
        <f>SUM(G308:G323)</f>
        <v>739460.04685460997</v>
      </c>
      <c r="H324" s="347">
        <f>SUM(H308:H323)</f>
        <v>1</v>
      </c>
    </row>
    <row r="329" spans="1:26" ht="22.8" x14ac:dyDescent="0.25">
      <c r="A329" s="158"/>
      <c r="B329" s="159" t="s">
        <v>344</v>
      </c>
      <c r="C329" s="101"/>
      <c r="D329" s="101"/>
      <c r="E329" s="102"/>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2" spans="1:26" x14ac:dyDescent="0.25">
      <c r="F332" s="924" t="s">
        <v>332</v>
      </c>
      <c r="G332" s="924" t="s">
        <v>568</v>
      </c>
      <c r="H332" s="925" t="s">
        <v>593</v>
      </c>
      <c r="I332" s="926"/>
      <c r="J332" s="926"/>
      <c r="K332" s="926"/>
      <c r="L332" s="926"/>
      <c r="M332" s="926"/>
      <c r="N332" s="926"/>
      <c r="O332" s="927"/>
    </row>
    <row r="333" spans="1:26" x14ac:dyDescent="0.25">
      <c r="F333" s="924"/>
      <c r="G333" s="924"/>
      <c r="H333" s="12">
        <v>1</v>
      </c>
      <c r="I333" s="12">
        <v>2</v>
      </c>
      <c r="J333" s="12">
        <v>3</v>
      </c>
      <c r="K333" s="12">
        <v>4</v>
      </c>
      <c r="L333" s="12">
        <v>5</v>
      </c>
      <c r="M333" s="12">
        <v>6</v>
      </c>
      <c r="N333" s="12">
        <v>7</v>
      </c>
      <c r="O333" s="12">
        <v>9</v>
      </c>
    </row>
    <row r="334" spans="1:26" x14ac:dyDescent="0.25">
      <c r="E334" s="3"/>
      <c r="F334" s="225" t="s">
        <v>34</v>
      </c>
      <c r="G334" s="225" t="s">
        <v>47</v>
      </c>
      <c r="H334" s="179">
        <f t="shared" ref="H334:H348" si="16">E133</f>
        <v>126543.20701439452</v>
      </c>
      <c r="I334" s="179">
        <f t="shared" ref="I334:I348" si="17">E158</f>
        <v>34884.813333527163</v>
      </c>
      <c r="J334" s="179">
        <f t="shared" ref="J334:J348" si="18">E183</f>
        <v>175553.77995167449</v>
      </c>
      <c r="K334" s="179">
        <f t="shared" ref="K334:K348" si="19">E208</f>
        <v>27810.566198456043</v>
      </c>
      <c r="L334" s="179">
        <f t="shared" ref="L334:L348" si="20">E233</f>
        <v>827871.42031364446</v>
      </c>
      <c r="M334" s="179">
        <f t="shared" ref="M334:M348" si="21">E258</f>
        <v>2.3760904780800001</v>
      </c>
      <c r="N334" s="179">
        <f t="shared" ref="N334:N348" si="22">E283</f>
        <v>13908.076867753138</v>
      </c>
      <c r="O334" s="179">
        <f t="shared" ref="O334:O348" si="23">E308</f>
        <v>90172.753085119271</v>
      </c>
    </row>
    <row r="335" spans="1:26" x14ac:dyDescent="0.25">
      <c r="E335" s="3"/>
      <c r="F335" s="225" t="s">
        <v>35</v>
      </c>
      <c r="G335" s="225" t="s">
        <v>48</v>
      </c>
      <c r="H335" s="179">
        <f t="shared" si="16"/>
        <v>3866055.3740399992</v>
      </c>
      <c r="I335" s="179">
        <f t="shared" si="17"/>
        <v>427613.89575666661</v>
      </c>
      <c r="J335" s="179">
        <f t="shared" si="18"/>
        <v>0</v>
      </c>
      <c r="K335" s="179">
        <f t="shared" si="19"/>
        <v>0</v>
      </c>
      <c r="L335" s="179">
        <f t="shared" si="20"/>
        <v>0</v>
      </c>
      <c r="M335" s="179">
        <f t="shared" si="21"/>
        <v>0</v>
      </c>
      <c r="N335" s="179">
        <f t="shared" si="22"/>
        <v>0</v>
      </c>
      <c r="O335" s="179">
        <f t="shared" si="23"/>
        <v>0</v>
      </c>
    </row>
    <row r="336" spans="1:26" x14ac:dyDescent="0.25">
      <c r="E336" s="3"/>
      <c r="F336" s="225" t="s">
        <v>36</v>
      </c>
      <c r="G336" s="225" t="s">
        <v>49</v>
      </c>
      <c r="H336" s="179">
        <f t="shared" si="16"/>
        <v>437.19189324661193</v>
      </c>
      <c r="I336" s="179">
        <f t="shared" si="17"/>
        <v>513.52952713547904</v>
      </c>
      <c r="J336" s="179">
        <f t="shared" si="18"/>
        <v>649.28063533412683</v>
      </c>
      <c r="K336" s="179">
        <f t="shared" si="19"/>
        <v>1338.8900750442276</v>
      </c>
      <c r="L336" s="179">
        <f t="shared" si="20"/>
        <v>10470.410309957553</v>
      </c>
      <c r="M336" s="179">
        <f t="shared" si="21"/>
        <v>31.340777599999999</v>
      </c>
      <c r="N336" s="179">
        <f t="shared" si="22"/>
        <v>105.64033894555989</v>
      </c>
      <c r="O336" s="179">
        <f t="shared" si="23"/>
        <v>72.449275928091893</v>
      </c>
    </row>
    <row r="337" spans="5:15" x14ac:dyDescent="0.25">
      <c r="E337" s="3"/>
      <c r="F337" s="225" t="s">
        <v>46</v>
      </c>
      <c r="G337" s="225" t="s">
        <v>1429</v>
      </c>
      <c r="H337" s="179">
        <f t="shared" si="16"/>
        <v>9022.364854255</v>
      </c>
      <c r="I337" s="179">
        <f t="shared" si="17"/>
        <v>198.70349030000003</v>
      </c>
      <c r="J337" s="179">
        <f t="shared" si="18"/>
        <v>0</v>
      </c>
      <c r="K337" s="179">
        <f t="shared" si="19"/>
        <v>57.874803000000007</v>
      </c>
      <c r="L337" s="179">
        <f t="shared" si="20"/>
        <v>0</v>
      </c>
      <c r="M337" s="179">
        <f t="shared" si="21"/>
        <v>6033.3793141750002</v>
      </c>
      <c r="N337" s="179">
        <f t="shared" si="22"/>
        <v>78.544375500000001</v>
      </c>
      <c r="O337" s="179">
        <f t="shared" si="23"/>
        <v>33710.293461643967</v>
      </c>
    </row>
    <row r="338" spans="5:15" x14ac:dyDescent="0.25">
      <c r="E338" s="3"/>
      <c r="F338" s="225" t="s">
        <v>39</v>
      </c>
      <c r="G338" s="225" t="s">
        <v>1433</v>
      </c>
      <c r="H338" s="179">
        <f t="shared" si="16"/>
        <v>58165.407635859294</v>
      </c>
      <c r="I338" s="179">
        <f t="shared" si="17"/>
        <v>32351.555774124918</v>
      </c>
      <c r="J338" s="179">
        <f t="shared" si="18"/>
        <v>0</v>
      </c>
      <c r="K338" s="179">
        <f t="shared" si="19"/>
        <v>0</v>
      </c>
      <c r="L338" s="179">
        <f t="shared" si="20"/>
        <v>0</v>
      </c>
      <c r="M338" s="179">
        <f t="shared" si="21"/>
        <v>0</v>
      </c>
      <c r="N338" s="179">
        <f t="shared" si="22"/>
        <v>0</v>
      </c>
      <c r="O338" s="179">
        <f t="shared" si="23"/>
        <v>0</v>
      </c>
    </row>
    <row r="339" spans="5:15" x14ac:dyDescent="0.25">
      <c r="E339" s="3"/>
      <c r="F339" s="225" t="s">
        <v>1155</v>
      </c>
      <c r="G339" s="225" t="s">
        <v>1123</v>
      </c>
      <c r="H339" s="179">
        <f t="shared" si="16"/>
        <v>198.48987354762554</v>
      </c>
      <c r="I339" s="179">
        <f t="shared" si="17"/>
        <v>147.38568334928237</v>
      </c>
      <c r="J339" s="179">
        <f t="shared" si="18"/>
        <v>23.050008246227147</v>
      </c>
      <c r="K339" s="179">
        <f t="shared" si="19"/>
        <v>39.070472248149287</v>
      </c>
      <c r="L339" s="179">
        <f t="shared" si="20"/>
        <v>188.89496881790603</v>
      </c>
      <c r="M339" s="179">
        <f t="shared" si="21"/>
        <v>0</v>
      </c>
      <c r="N339" s="179">
        <f t="shared" si="22"/>
        <v>0.54170530501924974</v>
      </c>
      <c r="O339" s="179">
        <f t="shared" si="23"/>
        <v>0</v>
      </c>
    </row>
    <row r="340" spans="5:15" x14ac:dyDescent="0.25">
      <c r="E340" s="3"/>
      <c r="F340" s="225" t="s">
        <v>37</v>
      </c>
      <c r="G340" s="225" t="s">
        <v>50</v>
      </c>
      <c r="H340" s="179">
        <f t="shared" si="16"/>
        <v>604626.01997935446</v>
      </c>
      <c r="I340" s="179">
        <f t="shared" si="17"/>
        <v>3142290.1505207014</v>
      </c>
      <c r="J340" s="179">
        <f t="shared" si="18"/>
        <v>208824.81673062593</v>
      </c>
      <c r="K340" s="179">
        <f t="shared" si="19"/>
        <v>137598.45876356988</v>
      </c>
      <c r="L340" s="179">
        <f t="shared" si="20"/>
        <v>442071.81664662698</v>
      </c>
      <c r="M340" s="179">
        <f t="shared" si="21"/>
        <v>0</v>
      </c>
      <c r="N340" s="179">
        <f t="shared" si="22"/>
        <v>2544.0028827220758</v>
      </c>
      <c r="O340" s="179">
        <f t="shared" si="23"/>
        <v>1584.5881538918065</v>
      </c>
    </row>
    <row r="341" spans="5:15" x14ac:dyDescent="0.25">
      <c r="E341" s="3"/>
      <c r="F341" s="225" t="s">
        <v>38</v>
      </c>
      <c r="G341" s="225" t="s">
        <v>167</v>
      </c>
      <c r="H341" s="179">
        <f t="shared" si="16"/>
        <v>323232.53351730027</v>
      </c>
      <c r="I341" s="179">
        <f t="shared" si="17"/>
        <v>165190.07625286479</v>
      </c>
      <c r="J341" s="179">
        <f t="shared" si="18"/>
        <v>0</v>
      </c>
      <c r="K341" s="179">
        <f t="shared" si="19"/>
        <v>0</v>
      </c>
      <c r="L341" s="179">
        <f t="shared" si="20"/>
        <v>0</v>
      </c>
      <c r="M341" s="179">
        <f t="shared" si="21"/>
        <v>0</v>
      </c>
      <c r="N341" s="179">
        <f t="shared" si="22"/>
        <v>0</v>
      </c>
      <c r="O341" s="179">
        <f t="shared" si="23"/>
        <v>0</v>
      </c>
    </row>
    <row r="342" spans="5:15" x14ac:dyDescent="0.25">
      <c r="E342" s="3"/>
      <c r="F342" s="225" t="s">
        <v>262</v>
      </c>
      <c r="G342" s="225" t="s">
        <v>168</v>
      </c>
      <c r="H342" s="179">
        <f t="shared" si="16"/>
        <v>0</v>
      </c>
      <c r="I342" s="179">
        <f t="shared" si="17"/>
        <v>0</v>
      </c>
      <c r="J342" s="179">
        <f t="shared" si="18"/>
        <v>0</v>
      </c>
      <c r="K342" s="179">
        <f t="shared" si="19"/>
        <v>0</v>
      </c>
      <c r="L342" s="179">
        <f t="shared" si="20"/>
        <v>0</v>
      </c>
      <c r="M342" s="179">
        <f t="shared" si="21"/>
        <v>0</v>
      </c>
      <c r="N342" s="179">
        <f t="shared" si="22"/>
        <v>0</v>
      </c>
      <c r="O342" s="179">
        <f t="shared" si="23"/>
        <v>0</v>
      </c>
    </row>
    <row r="343" spans="5:15" x14ac:dyDescent="0.25">
      <c r="E343" s="3"/>
      <c r="F343" s="225" t="s">
        <v>54</v>
      </c>
      <c r="G343" s="225" t="s">
        <v>275</v>
      </c>
      <c r="H343" s="179">
        <f t="shared" si="16"/>
        <v>1945.0737939041862</v>
      </c>
      <c r="I343" s="179">
        <f t="shared" si="17"/>
        <v>3553.5953791939078</v>
      </c>
      <c r="J343" s="179">
        <f t="shared" si="18"/>
        <v>1589.9617208440709</v>
      </c>
      <c r="K343" s="179">
        <f t="shared" si="19"/>
        <v>2487.0218357171848</v>
      </c>
      <c r="L343" s="179">
        <f t="shared" si="20"/>
        <v>1092.5573537006339</v>
      </c>
      <c r="M343" s="179">
        <f t="shared" si="21"/>
        <v>3173.736820206258</v>
      </c>
      <c r="N343" s="179">
        <f t="shared" si="22"/>
        <v>3173.736820206258</v>
      </c>
      <c r="O343" s="179">
        <f t="shared" si="23"/>
        <v>16891.090411689416</v>
      </c>
    </row>
    <row r="344" spans="5:15" x14ac:dyDescent="0.25">
      <c r="E344" s="3"/>
      <c r="F344" s="225" t="s">
        <v>57</v>
      </c>
      <c r="G344" s="225" t="s">
        <v>58</v>
      </c>
      <c r="H344" s="179">
        <f t="shared" si="16"/>
        <v>22680.584760706595</v>
      </c>
      <c r="I344" s="179">
        <f t="shared" si="17"/>
        <v>10484.585718937531</v>
      </c>
      <c r="J344" s="179">
        <f t="shared" si="18"/>
        <v>3512.179902249542</v>
      </c>
      <c r="K344" s="179">
        <f t="shared" si="19"/>
        <v>38379.932286996125</v>
      </c>
      <c r="L344" s="179">
        <f t="shared" si="20"/>
        <v>10470.765421384871</v>
      </c>
      <c r="M344" s="179">
        <f t="shared" si="21"/>
        <v>17441.830263454423</v>
      </c>
      <c r="N344" s="179">
        <f t="shared" si="22"/>
        <v>49035.424831559969</v>
      </c>
      <c r="O344" s="179">
        <f t="shared" si="23"/>
        <v>552944.19376250159</v>
      </c>
    </row>
    <row r="345" spans="5:15" x14ac:dyDescent="0.25">
      <c r="E345" s="3"/>
      <c r="F345" s="225" t="s">
        <v>52</v>
      </c>
      <c r="G345" s="225" t="s">
        <v>619</v>
      </c>
      <c r="H345" s="179">
        <f t="shared" si="16"/>
        <v>2113407.5449346504</v>
      </c>
      <c r="I345" s="179">
        <f t="shared" si="17"/>
        <v>5466193.5532615464</v>
      </c>
      <c r="J345" s="179">
        <f t="shared" si="18"/>
        <v>57.124732800000004</v>
      </c>
      <c r="K345" s="179">
        <f t="shared" si="19"/>
        <v>24775.5238312808</v>
      </c>
      <c r="L345" s="179">
        <f t="shared" si="20"/>
        <v>0</v>
      </c>
      <c r="M345" s="179">
        <f t="shared" si="21"/>
        <v>0</v>
      </c>
      <c r="N345" s="179">
        <f t="shared" si="22"/>
        <v>0</v>
      </c>
      <c r="O345" s="179">
        <f t="shared" si="23"/>
        <v>0</v>
      </c>
    </row>
    <row r="346" spans="5:15" x14ac:dyDescent="0.25">
      <c r="E346" s="3"/>
      <c r="F346" s="225" t="s">
        <v>965</v>
      </c>
      <c r="G346" s="225" t="s">
        <v>966</v>
      </c>
      <c r="H346" s="179">
        <f t="shared" si="16"/>
        <v>1939.8701799707676</v>
      </c>
      <c r="I346" s="179">
        <f t="shared" si="17"/>
        <v>769.60609712308667</v>
      </c>
      <c r="J346" s="179">
        <f t="shared" si="18"/>
        <v>2775.4875503743638</v>
      </c>
      <c r="K346" s="179">
        <f t="shared" si="19"/>
        <v>16455.576966801338</v>
      </c>
      <c r="L346" s="179">
        <f t="shared" si="20"/>
        <v>3521.9919221481582</v>
      </c>
      <c r="M346" s="179">
        <f t="shared" si="21"/>
        <v>229.77619487020402</v>
      </c>
      <c r="N346" s="179">
        <f t="shared" si="22"/>
        <v>344.38384313053274</v>
      </c>
      <c r="O346" s="179">
        <f t="shared" si="23"/>
        <v>255.48580509294354</v>
      </c>
    </row>
    <row r="347" spans="5:15" x14ac:dyDescent="0.25">
      <c r="E347" s="3"/>
      <c r="F347" s="225" t="s">
        <v>964</v>
      </c>
      <c r="G347" s="225" t="s">
        <v>962</v>
      </c>
      <c r="H347" s="179">
        <f t="shared" si="16"/>
        <v>1884.7867137278188</v>
      </c>
      <c r="I347" s="179">
        <f t="shared" si="17"/>
        <v>3881.4481644172224</v>
      </c>
      <c r="J347" s="179">
        <f t="shared" si="18"/>
        <v>512.41088864838275</v>
      </c>
      <c r="K347" s="179">
        <f t="shared" si="19"/>
        <v>706.48785841488984</v>
      </c>
      <c r="L347" s="179">
        <f t="shared" si="20"/>
        <v>357.98294882292464</v>
      </c>
      <c r="M347" s="179">
        <f t="shared" si="21"/>
        <v>7461.7759618323562</v>
      </c>
      <c r="N347" s="179">
        <f t="shared" si="22"/>
        <v>72.53470931330142</v>
      </c>
      <c r="O347" s="179">
        <f t="shared" si="23"/>
        <v>105.91347289631776</v>
      </c>
    </row>
    <row r="348" spans="5:15" x14ac:dyDescent="0.25">
      <c r="E348" s="3"/>
      <c r="F348" s="225" t="s">
        <v>1430</v>
      </c>
      <c r="G348" s="225" t="s">
        <v>1434</v>
      </c>
      <c r="H348" s="179">
        <f t="shared" si="16"/>
        <v>0</v>
      </c>
      <c r="I348" s="179">
        <f t="shared" si="17"/>
        <v>3747.1915618722205</v>
      </c>
      <c r="J348" s="179">
        <f t="shared" si="18"/>
        <v>87.330930642949994</v>
      </c>
      <c r="K348" s="179">
        <f t="shared" si="19"/>
        <v>9.1486173323500015</v>
      </c>
      <c r="L348" s="179">
        <f t="shared" si="20"/>
        <v>0</v>
      </c>
      <c r="M348" s="179">
        <f t="shared" si="21"/>
        <v>0</v>
      </c>
      <c r="N348" s="179">
        <f t="shared" si="22"/>
        <v>0</v>
      </c>
      <c r="O348" s="179">
        <f t="shared" si="23"/>
        <v>0</v>
      </c>
    </row>
    <row r="349" spans="5:15" x14ac:dyDescent="0.25">
      <c r="E349" s="3"/>
      <c r="F349" s="225" t="s">
        <v>56</v>
      </c>
      <c r="G349" s="225" t="s">
        <v>59</v>
      </c>
      <c r="H349" s="179">
        <f t="shared" ref="H349" si="24">E148</f>
        <v>52597.782305954897</v>
      </c>
      <c r="I349" s="179">
        <f t="shared" ref="I349" si="25">E173</f>
        <v>13929.920340537812</v>
      </c>
      <c r="J349" s="179">
        <f t="shared" ref="J349" si="26">E198</f>
        <v>70127.773806259182</v>
      </c>
      <c r="K349" s="179">
        <f t="shared" ref="K349" si="27">E223</f>
        <v>10991.977736902141</v>
      </c>
      <c r="L349" s="179">
        <f t="shared" ref="L349" si="28">E248</f>
        <v>803532.8575781252</v>
      </c>
      <c r="M349" s="179">
        <f t="shared" ref="M349" si="29">E273</f>
        <v>1371.9119328875299</v>
      </c>
      <c r="N349" s="179">
        <f t="shared" ref="N349" si="30">E298</f>
        <v>5569.1834410249094</v>
      </c>
      <c r="O349" s="179">
        <f t="shared" ref="O349" si="31">E323</f>
        <v>43723.279425846718</v>
      </c>
    </row>
    <row r="350" spans="5:15" x14ac:dyDescent="0.25">
      <c r="E350" s="3"/>
    </row>
    <row r="351" spans="5:15" x14ac:dyDescent="0.25">
      <c r="E351" s="3"/>
    </row>
    <row r="352" spans="5:15" x14ac:dyDescent="0.25">
      <c r="E352" s="3"/>
      <c r="G352" s="101"/>
    </row>
    <row r="411" spans="1:24" ht="27.6" x14ac:dyDescent="0.25">
      <c r="A411" s="104"/>
      <c r="B411" s="103"/>
      <c r="C411" s="101"/>
      <c r="D411" s="101"/>
      <c r="E411" s="102"/>
      <c r="F411" s="101"/>
      <c r="G411" s="101"/>
      <c r="H411" s="101"/>
      <c r="I411" s="101"/>
      <c r="J411" s="101"/>
      <c r="K411" s="101"/>
      <c r="L411" s="101"/>
      <c r="M411" s="101"/>
      <c r="N411" s="101"/>
      <c r="O411" s="101"/>
      <c r="P411" s="101"/>
      <c r="Q411" s="101"/>
      <c r="R411" s="101"/>
      <c r="S411" s="101"/>
      <c r="T411" s="101"/>
      <c r="U411" s="101"/>
      <c r="V411" s="101"/>
      <c r="W411" s="101"/>
      <c r="X411" s="101"/>
    </row>
  </sheetData>
  <dataConsolidate/>
  <mergeCells count="159">
    <mergeCell ref="J118:K118"/>
    <mergeCell ref="J117:U117"/>
    <mergeCell ref="C89:D89"/>
    <mergeCell ref="C90:D90"/>
    <mergeCell ref="C92:D92"/>
    <mergeCell ref="B105:F105"/>
    <mergeCell ref="T118:U118"/>
    <mergeCell ref="B109:D109"/>
    <mergeCell ref="B110:D110"/>
    <mergeCell ref="G118:G124"/>
    <mergeCell ref="C91:D91"/>
    <mergeCell ref="B118:B123"/>
    <mergeCell ref="B106:D106"/>
    <mergeCell ref="B107:D107"/>
    <mergeCell ref="B108:D108"/>
    <mergeCell ref="J119:K119"/>
    <mergeCell ref="L118:M118"/>
    <mergeCell ref="N118:O118"/>
    <mergeCell ref="P118:Q118"/>
    <mergeCell ref="T121:U121"/>
    <mergeCell ref="R118:S118"/>
    <mergeCell ref="R120:S120"/>
    <mergeCell ref="R121:S121"/>
    <mergeCell ref="J121:K121"/>
    <mergeCell ref="C26:D26"/>
    <mergeCell ref="C27:D27"/>
    <mergeCell ref="B68:D68"/>
    <mergeCell ref="C28:D28"/>
    <mergeCell ref="C29:D29"/>
    <mergeCell ref="B69:D69"/>
    <mergeCell ref="B66:F66"/>
    <mergeCell ref="C30:D30"/>
    <mergeCell ref="B67:D67"/>
    <mergeCell ref="B40:F40"/>
    <mergeCell ref="H308:H313"/>
    <mergeCell ref="H233:H238"/>
    <mergeCell ref="H258:H263"/>
    <mergeCell ref="H283:H288"/>
    <mergeCell ref="H294:H298"/>
    <mergeCell ref="Q11:R11"/>
    <mergeCell ref="B7:E11"/>
    <mergeCell ref="B20:F20"/>
    <mergeCell ref="C21:D21"/>
    <mergeCell ref="C22:D22"/>
    <mergeCell ref="Q9:R9"/>
    <mergeCell ref="K11:L11"/>
    <mergeCell ref="N11:O11"/>
    <mergeCell ref="K7:L7"/>
    <mergeCell ref="H7:I7"/>
    <mergeCell ref="H11:I11"/>
    <mergeCell ref="H9:I9"/>
    <mergeCell ref="K9:L9"/>
    <mergeCell ref="N9:O9"/>
    <mergeCell ref="C87:D87"/>
    <mergeCell ref="C88:D88"/>
    <mergeCell ref="C23:D23"/>
    <mergeCell ref="C24:D24"/>
    <mergeCell ref="C25:D25"/>
    <mergeCell ref="G269:G273"/>
    <mergeCell ref="G233:G238"/>
    <mergeCell ref="D258:D263"/>
    <mergeCell ref="G258:G263"/>
    <mergeCell ref="D269:D273"/>
    <mergeCell ref="G215:G218"/>
    <mergeCell ref="G194:G198"/>
    <mergeCell ref="B70:D70"/>
    <mergeCell ref="B71:D71"/>
    <mergeCell ref="B72:D72"/>
    <mergeCell ref="B73:D73"/>
    <mergeCell ref="B86:F86"/>
    <mergeCell ref="B74:D74"/>
    <mergeCell ref="C117:D117"/>
    <mergeCell ref="G140:G143"/>
    <mergeCell ref="G165:G168"/>
    <mergeCell ref="G144:G148"/>
    <mergeCell ref="C118:D123"/>
    <mergeCell ref="F118:F123"/>
    <mergeCell ref="C125:D125"/>
    <mergeCell ref="C124:D124"/>
    <mergeCell ref="G265:G268"/>
    <mergeCell ref="D265:D268"/>
    <mergeCell ref="D215:D218"/>
    <mergeCell ref="D290:D293"/>
    <mergeCell ref="G290:G293"/>
    <mergeCell ref="H219:H223"/>
    <mergeCell ref="H244:H248"/>
    <mergeCell ref="D308:D313"/>
    <mergeCell ref="G332:G333"/>
    <mergeCell ref="G308:G313"/>
    <mergeCell ref="D233:D238"/>
    <mergeCell ref="G319:G323"/>
    <mergeCell ref="F332:F333"/>
    <mergeCell ref="G315:G318"/>
    <mergeCell ref="D315:D318"/>
    <mergeCell ref="D319:D323"/>
    <mergeCell ref="D294:D298"/>
    <mergeCell ref="D240:D243"/>
    <mergeCell ref="D244:D248"/>
    <mergeCell ref="G294:G298"/>
    <mergeCell ref="G283:G288"/>
    <mergeCell ref="D283:D288"/>
    <mergeCell ref="G240:G243"/>
    <mergeCell ref="H332:O332"/>
    <mergeCell ref="H319:H323"/>
    <mergeCell ref="H315:H318"/>
    <mergeCell ref="H265:H268"/>
    <mergeCell ref="H290:H293"/>
    <mergeCell ref="H215:H218"/>
    <mergeCell ref="H240:H243"/>
    <mergeCell ref="H190:H193"/>
    <mergeCell ref="H169:H173"/>
    <mergeCell ref="H194:H198"/>
    <mergeCell ref="H269:H273"/>
    <mergeCell ref="N122:Q122"/>
    <mergeCell ref="R122:S122"/>
    <mergeCell ref="H208:H213"/>
    <mergeCell ref="H183:H188"/>
    <mergeCell ref="J123:K123"/>
    <mergeCell ref="L123:U123"/>
    <mergeCell ref="H165:H168"/>
    <mergeCell ref="H133:H138"/>
    <mergeCell ref="H140:H143"/>
    <mergeCell ref="H144:H148"/>
    <mergeCell ref="H158:H163"/>
    <mergeCell ref="D140:D143"/>
    <mergeCell ref="D158:D163"/>
    <mergeCell ref="D183:D188"/>
    <mergeCell ref="D144:D148"/>
    <mergeCell ref="D133:D138"/>
    <mergeCell ref="D208:D213"/>
    <mergeCell ref="D190:D193"/>
    <mergeCell ref="G169:G173"/>
    <mergeCell ref="D165:D168"/>
    <mergeCell ref="D169:D173"/>
    <mergeCell ref="D194:D198"/>
    <mergeCell ref="D219:D223"/>
    <mergeCell ref="G219:G223"/>
    <mergeCell ref="G244:G248"/>
    <mergeCell ref="J120:K120"/>
    <mergeCell ref="T119:U119"/>
    <mergeCell ref="L120:M120"/>
    <mergeCell ref="L121:M121"/>
    <mergeCell ref="N120:O120"/>
    <mergeCell ref="N119:O119"/>
    <mergeCell ref="P119:Q119"/>
    <mergeCell ref="R119:S119"/>
    <mergeCell ref="L122:M122"/>
    <mergeCell ref="T122:U122"/>
    <mergeCell ref="J122:K122"/>
    <mergeCell ref="L119:M119"/>
    <mergeCell ref="T120:U120"/>
    <mergeCell ref="N121:O121"/>
    <mergeCell ref="P120:Q120"/>
    <mergeCell ref="P121:Q121"/>
    <mergeCell ref="G190:G193"/>
    <mergeCell ref="G133:G138"/>
    <mergeCell ref="G158:G163"/>
    <mergeCell ref="G183:G188"/>
    <mergeCell ref="G208:G213"/>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B392424D-F6B1-4679-9F61-B574EE888FCB}">
          <x14:formula1>
            <xm:f>Settings!$B$163:$B$180</xm:f>
          </x14:formula1>
          <xm:sqref>B158:B173 B258:B273 B183:B198 B283:B298 B42:B57 B233:B248 B133:B148 B208:B223 B308:B323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10091-2DBB-47D5-B3DF-DE429EB55F02}">
  <sheetPr>
    <tabColor rgb="FFFF6699"/>
  </sheetPr>
  <dimension ref="A8:AD212"/>
  <sheetViews>
    <sheetView rightToLeft="1" topLeftCell="N133" zoomScale="40" zoomScaleNormal="40" workbookViewId="0">
      <selection activeCell="A7" sqref="A7:AO208"/>
    </sheetView>
  </sheetViews>
  <sheetFormatPr defaultColWidth="14" defaultRowHeight="13.8" x14ac:dyDescent="0.25"/>
  <cols>
    <col min="1" max="3" width="14" style="24"/>
    <col min="4" max="4" width="11.296875" style="24" customWidth="1"/>
    <col min="5" max="5" width="33.3984375" style="24" customWidth="1"/>
    <col min="6" max="6" width="14.69921875" style="24" customWidth="1"/>
    <col min="7" max="7" width="22.296875" style="24" customWidth="1"/>
    <col min="8" max="8" width="19.59765625" style="24" customWidth="1"/>
    <col min="9" max="10" width="14" style="24"/>
    <col min="11" max="11" width="16.59765625" style="24" customWidth="1"/>
    <col min="12" max="12" width="14.3984375" style="24" customWidth="1"/>
    <col min="13" max="13" width="19" style="24" customWidth="1"/>
    <col min="14" max="15" width="15.3984375" style="24" customWidth="1"/>
    <col min="16" max="16" width="18.796875" style="163" customWidth="1"/>
    <col min="17" max="17" width="16.8984375" style="24" bestFit="1" customWidth="1"/>
    <col min="18" max="18" width="20.796875" style="163" customWidth="1"/>
    <col min="19" max="19" width="16.69921875" style="24" customWidth="1"/>
    <col min="20" max="20" width="22.69921875" style="163" customWidth="1"/>
    <col min="21" max="21" width="14" style="24"/>
    <col min="22" max="22" width="16.8984375" style="163" bestFit="1" customWidth="1"/>
    <col min="23" max="23" width="15.3984375" style="24" bestFit="1" customWidth="1"/>
    <col min="24" max="24" width="14" style="24" customWidth="1"/>
    <col min="25" max="25" width="20" style="24" customWidth="1"/>
    <col min="26" max="26" width="16.3984375" style="24" customWidth="1"/>
    <col min="27" max="27" width="18.3984375" style="24" customWidth="1"/>
    <col min="28" max="28" width="18.59765625" style="24" customWidth="1"/>
    <col min="29" max="29" width="17.19921875" style="24" customWidth="1"/>
    <col min="30" max="30" width="17" style="24" customWidth="1"/>
    <col min="31" max="16384" width="14" style="24"/>
  </cols>
  <sheetData>
    <row r="8" spans="2:30" x14ac:dyDescent="0.25">
      <c r="Y8" s="171" t="s">
        <v>476</v>
      </c>
      <c r="Z8" s="162" t="s">
        <v>370</v>
      </c>
      <c r="AA8" s="171" t="s">
        <v>476</v>
      </c>
      <c r="AB8" s="162" t="s">
        <v>408</v>
      </c>
      <c r="AC8" s="171" t="s">
        <v>1361</v>
      </c>
      <c r="AD8" s="162" t="s">
        <v>606</v>
      </c>
    </row>
    <row r="10" spans="2:30" x14ac:dyDescent="0.25">
      <c r="Y10" s="171" t="s">
        <v>680</v>
      </c>
      <c r="Z10" s="332" t="s">
        <v>370</v>
      </c>
      <c r="AA10" s="171" t="s">
        <v>680</v>
      </c>
      <c r="AB10" s="162" t="s">
        <v>408</v>
      </c>
      <c r="AC10" s="171" t="s">
        <v>1361</v>
      </c>
      <c r="AD10" s="162" t="s">
        <v>606</v>
      </c>
    </row>
    <row r="12" spans="2:30" x14ac:dyDescent="0.25">
      <c r="B12" s="969" t="s">
        <v>488</v>
      </c>
      <c r="C12" s="333"/>
      <c r="D12" s="335" t="s">
        <v>1352</v>
      </c>
      <c r="T12" s="24"/>
      <c r="Y12" s="171" t="s">
        <v>1366</v>
      </c>
      <c r="Z12" s="332" t="s">
        <v>370</v>
      </c>
      <c r="AA12" s="171" t="s">
        <v>1366</v>
      </c>
      <c r="AB12" s="162" t="s">
        <v>408</v>
      </c>
      <c r="AC12" s="171" t="s">
        <v>1362</v>
      </c>
      <c r="AD12" s="162" t="s">
        <v>606</v>
      </c>
    </row>
    <row r="13" spans="2:30" x14ac:dyDescent="0.25">
      <c r="B13" s="969"/>
      <c r="D13" s="335"/>
      <c r="T13" s="24"/>
    </row>
    <row r="14" spans="2:30" s="163" customFormat="1" x14ac:dyDescent="0.25">
      <c r="B14" s="969"/>
      <c r="C14" s="332"/>
      <c r="D14" s="335" t="s">
        <v>1351</v>
      </c>
      <c r="E14" s="24"/>
      <c r="F14" s="24"/>
      <c r="G14" s="24"/>
      <c r="H14" s="24"/>
      <c r="I14" s="24"/>
      <c r="J14" s="24"/>
      <c r="K14" s="24"/>
      <c r="L14" s="24"/>
      <c r="M14" s="24"/>
      <c r="N14" s="24"/>
      <c r="O14" s="24"/>
      <c r="Q14" s="24"/>
      <c r="S14" s="24"/>
      <c r="T14" s="24"/>
      <c r="U14" s="24"/>
      <c r="V14" s="24"/>
      <c r="W14" s="24"/>
      <c r="X14" s="24"/>
      <c r="Y14" s="171" t="s">
        <v>476</v>
      </c>
      <c r="Z14" s="162" t="s">
        <v>370</v>
      </c>
      <c r="AA14" s="171" t="s">
        <v>476</v>
      </c>
      <c r="AB14" s="162" t="s">
        <v>408</v>
      </c>
      <c r="AC14" s="171" t="s">
        <v>1361</v>
      </c>
      <c r="AD14" s="162" t="s">
        <v>606</v>
      </c>
    </row>
    <row r="15" spans="2:30" x14ac:dyDescent="0.25">
      <c r="T15" s="24"/>
      <c r="V15" s="24"/>
      <c r="Y15" s="171"/>
    </row>
    <row r="16" spans="2:30" s="163" customFormat="1" x14ac:dyDescent="0.25">
      <c r="B16" s="24"/>
      <c r="C16" s="24"/>
      <c r="D16" s="24"/>
      <c r="E16" s="24"/>
      <c r="F16" s="24"/>
      <c r="G16" s="24"/>
      <c r="H16" s="24"/>
      <c r="I16" s="24"/>
      <c r="J16" s="24"/>
      <c r="K16" s="24"/>
      <c r="L16" s="24"/>
      <c r="M16" s="24"/>
      <c r="N16" s="24"/>
      <c r="O16" s="24"/>
      <c r="Q16" s="24"/>
      <c r="S16" s="24"/>
      <c r="T16" s="24"/>
      <c r="U16" s="24"/>
      <c r="V16" s="24"/>
      <c r="W16" s="24"/>
      <c r="X16" s="24"/>
      <c r="Y16" s="171" t="s">
        <v>473</v>
      </c>
      <c r="Z16" s="162" t="s">
        <v>370</v>
      </c>
      <c r="AA16" s="171" t="s">
        <v>473</v>
      </c>
      <c r="AB16" s="162" t="s">
        <v>408</v>
      </c>
      <c r="AC16" s="171" t="s">
        <v>1363</v>
      </c>
      <c r="AD16" s="162" t="s">
        <v>606</v>
      </c>
    </row>
    <row r="17" spans="2:30" s="163" customFormat="1" x14ac:dyDescent="0.25">
      <c r="B17" s="24"/>
      <c r="C17" s="24"/>
      <c r="D17" s="24"/>
      <c r="E17" s="24"/>
      <c r="F17" s="24"/>
      <c r="G17" s="24"/>
      <c r="H17" s="24"/>
      <c r="I17" s="24"/>
      <c r="J17" s="24"/>
      <c r="K17" s="24"/>
      <c r="L17" s="24"/>
      <c r="M17" s="24"/>
      <c r="N17" s="24"/>
      <c r="O17" s="24"/>
      <c r="Q17" s="24"/>
      <c r="S17" s="24"/>
      <c r="T17" s="24"/>
      <c r="U17" s="24"/>
      <c r="V17" s="24"/>
      <c r="W17" s="24"/>
      <c r="X17" s="24"/>
      <c r="Y17" s="171"/>
      <c r="Z17" s="24"/>
      <c r="AA17" s="24"/>
      <c r="AB17" s="24"/>
      <c r="AC17" s="24"/>
    </row>
    <row r="18" spans="2:30" s="163" customFormat="1" x14ac:dyDescent="0.25">
      <c r="B18" s="24"/>
      <c r="C18" s="24"/>
      <c r="D18" s="24"/>
      <c r="E18" s="24"/>
      <c r="F18" s="24"/>
      <c r="G18" s="24"/>
      <c r="H18" s="24"/>
      <c r="I18" s="24"/>
      <c r="J18" s="24"/>
      <c r="K18" s="24"/>
      <c r="L18" s="24"/>
      <c r="M18" s="24"/>
      <c r="N18" s="24"/>
      <c r="O18" s="24"/>
      <c r="Q18" s="24"/>
      <c r="S18" s="24"/>
      <c r="T18" s="24"/>
      <c r="U18" s="24"/>
      <c r="V18" s="24"/>
      <c r="W18" s="24"/>
      <c r="X18" s="24"/>
      <c r="Y18" s="171" t="s">
        <v>475</v>
      </c>
      <c r="Z18" s="162" t="s">
        <v>370</v>
      </c>
      <c r="AA18" s="171" t="s">
        <v>475</v>
      </c>
      <c r="AB18" s="162" t="s">
        <v>408</v>
      </c>
      <c r="AC18" s="171" t="s">
        <v>1361</v>
      </c>
      <c r="AD18" s="162" t="s">
        <v>606</v>
      </c>
    </row>
    <row r="19" spans="2:30" s="163" customFormat="1" x14ac:dyDescent="0.25">
      <c r="B19" s="24"/>
      <c r="C19" s="24"/>
      <c r="D19" s="24"/>
      <c r="E19" s="24"/>
      <c r="F19" s="24"/>
      <c r="G19" s="24"/>
      <c r="H19" s="24"/>
      <c r="I19" s="24"/>
      <c r="J19" s="24"/>
      <c r="K19" s="24"/>
      <c r="L19" s="24"/>
      <c r="M19" s="24"/>
      <c r="N19" s="24"/>
      <c r="O19" s="24"/>
      <c r="Q19" s="24"/>
      <c r="S19" s="24"/>
      <c r="T19" s="24"/>
      <c r="U19" s="24"/>
      <c r="V19" s="24"/>
      <c r="W19" s="24"/>
      <c r="X19" s="24"/>
      <c r="Y19" s="171"/>
      <c r="Z19" s="24"/>
      <c r="AA19" s="24"/>
      <c r="AB19" s="24"/>
      <c r="AC19" s="24"/>
    </row>
    <row r="20" spans="2:30" s="163" customFormat="1" x14ac:dyDescent="0.25">
      <c r="B20" s="24"/>
      <c r="C20" s="24"/>
      <c r="D20" s="24"/>
      <c r="E20" s="24"/>
      <c r="F20" s="24"/>
      <c r="G20" s="24"/>
      <c r="H20" s="24"/>
      <c r="I20" s="24"/>
      <c r="J20" s="24"/>
      <c r="K20" s="24"/>
      <c r="L20" s="24"/>
      <c r="M20" s="24"/>
      <c r="N20" s="24"/>
      <c r="O20" s="24"/>
      <c r="Q20" s="24"/>
      <c r="S20" s="24"/>
      <c r="T20" s="24"/>
      <c r="U20" s="24"/>
      <c r="V20" s="24"/>
      <c r="W20" s="24"/>
      <c r="X20" s="24"/>
      <c r="Y20" s="171" t="s">
        <v>474</v>
      </c>
      <c r="Z20" s="162" t="s">
        <v>370</v>
      </c>
      <c r="AA20" s="171" t="s">
        <v>474</v>
      </c>
      <c r="AB20" s="162" t="s">
        <v>408</v>
      </c>
      <c r="AC20" s="171" t="s">
        <v>1361</v>
      </c>
      <c r="AD20" s="162" t="s">
        <v>606</v>
      </c>
    </row>
    <row r="21" spans="2:30" x14ac:dyDescent="0.25">
      <c r="D21" s="335"/>
      <c r="T21" s="24"/>
      <c r="V21" s="24"/>
      <c r="Y21" s="171"/>
    </row>
    <row r="22" spans="2:30" s="163" customFormat="1" x14ac:dyDescent="0.25">
      <c r="B22" s="24"/>
      <c r="C22" s="24"/>
      <c r="D22" s="24"/>
      <c r="E22" s="24"/>
      <c r="F22" s="24"/>
      <c r="G22" s="24"/>
      <c r="H22" s="24"/>
      <c r="I22" s="24"/>
      <c r="J22" s="24"/>
      <c r="K22" s="24"/>
      <c r="L22" s="24"/>
      <c r="M22" s="24"/>
      <c r="N22" s="24"/>
      <c r="O22" s="24"/>
      <c r="Q22" s="24"/>
      <c r="S22" s="24"/>
      <c r="T22" s="24"/>
      <c r="U22" s="24"/>
      <c r="V22" s="24"/>
      <c r="W22" s="24"/>
      <c r="X22" s="24"/>
      <c r="Y22" s="171" t="s">
        <v>1088</v>
      </c>
      <c r="Z22" s="162" t="s">
        <v>370</v>
      </c>
      <c r="AA22" s="171" t="s">
        <v>1088</v>
      </c>
      <c r="AB22" s="162" t="s">
        <v>1364</v>
      </c>
      <c r="AC22" s="171"/>
      <c r="AD22" s="171"/>
    </row>
    <row r="23" spans="2:30" s="163" customFormat="1" ht="16.2" customHeight="1" x14ac:dyDescent="0.25">
      <c r="B23" s="24"/>
      <c r="C23" s="24"/>
      <c r="D23" s="24"/>
      <c r="E23" s="24"/>
      <c r="F23" s="24"/>
      <c r="G23" s="24"/>
      <c r="H23" s="24"/>
      <c r="I23" s="24"/>
      <c r="J23" s="24"/>
      <c r="K23" s="24"/>
      <c r="L23" s="24"/>
      <c r="M23" s="24"/>
      <c r="N23" s="24"/>
      <c r="O23" s="24"/>
      <c r="Q23" s="24"/>
      <c r="S23" s="24"/>
      <c r="T23" s="24"/>
      <c r="U23" s="24"/>
      <c r="V23" s="24"/>
      <c r="W23" s="24"/>
      <c r="X23" s="24"/>
      <c r="Y23" s="171"/>
      <c r="Z23" s="24"/>
      <c r="AA23" s="24"/>
      <c r="AB23" s="24"/>
      <c r="AC23" s="24"/>
    </row>
    <row r="24" spans="2:30" s="163" customFormat="1" ht="16.2" customHeight="1" x14ac:dyDescent="0.25">
      <c r="B24" s="24"/>
      <c r="C24" s="24"/>
      <c r="D24" s="24"/>
      <c r="E24" s="24"/>
      <c r="F24" s="24"/>
      <c r="G24" s="24"/>
      <c r="H24" s="24"/>
      <c r="I24" s="24"/>
      <c r="J24" s="24"/>
      <c r="K24" s="24"/>
      <c r="L24" s="24"/>
      <c r="M24" s="24"/>
      <c r="N24" s="24"/>
      <c r="O24" s="24"/>
      <c r="Q24" s="24"/>
      <c r="S24" s="24"/>
      <c r="T24" s="24"/>
      <c r="U24" s="24"/>
      <c r="V24" s="24"/>
      <c r="W24" s="24"/>
      <c r="X24" s="24"/>
      <c r="Y24" s="171" t="s">
        <v>513</v>
      </c>
      <c r="Z24" s="162" t="s">
        <v>370</v>
      </c>
      <c r="AA24" s="171" t="s">
        <v>513</v>
      </c>
      <c r="AB24" s="162" t="s">
        <v>408</v>
      </c>
      <c r="AC24" s="171" t="s">
        <v>552</v>
      </c>
      <c r="AD24" s="162" t="s">
        <v>606</v>
      </c>
    </row>
    <row r="25" spans="2:30" s="163" customFormat="1" ht="16.2" customHeight="1" x14ac:dyDescent="0.25">
      <c r="B25" s="24"/>
      <c r="C25" s="24"/>
      <c r="D25" s="24"/>
      <c r="E25" s="24"/>
      <c r="F25" s="24"/>
      <c r="G25" s="24"/>
      <c r="H25" s="24"/>
      <c r="I25" s="24"/>
      <c r="J25" s="24"/>
      <c r="K25" s="24"/>
      <c r="L25" s="24"/>
      <c r="M25" s="24"/>
      <c r="N25" s="24"/>
      <c r="O25" s="24"/>
      <c r="Q25" s="336"/>
      <c r="S25" s="24"/>
      <c r="T25" s="24"/>
      <c r="U25" s="24"/>
      <c r="V25" s="24"/>
      <c r="W25" s="24"/>
      <c r="X25" s="24"/>
      <c r="Y25" s="171"/>
      <c r="Z25" s="144"/>
      <c r="AA25" s="24"/>
      <c r="AB25" s="24"/>
      <c r="AC25" s="24"/>
    </row>
    <row r="26" spans="2:30" ht="16.2" customHeight="1" x14ac:dyDescent="0.25">
      <c r="T26" s="24"/>
      <c r="V26" s="24"/>
      <c r="Y26" s="171" t="s">
        <v>1365</v>
      </c>
      <c r="Z26" s="162" t="s">
        <v>370</v>
      </c>
      <c r="AA26" s="171" t="s">
        <v>1365</v>
      </c>
      <c r="AB26" s="162" t="s">
        <v>408</v>
      </c>
      <c r="AC26" s="171" t="s">
        <v>1365</v>
      </c>
      <c r="AD26" s="162" t="s">
        <v>606</v>
      </c>
    </row>
    <row r="27" spans="2:30" ht="16.2" customHeight="1" x14ac:dyDescent="0.25">
      <c r="T27" s="24"/>
      <c r="V27" s="24"/>
      <c r="Y27" s="171"/>
    </row>
    <row r="28" spans="2:30" x14ac:dyDescent="0.25">
      <c r="Q28" s="144"/>
    </row>
    <row r="29" spans="2:30" x14ac:dyDescent="0.25">
      <c r="B29" s="333" t="s">
        <v>439</v>
      </c>
      <c r="J29" s="171" t="s">
        <v>1372</v>
      </c>
      <c r="K29" s="332" t="s">
        <v>603</v>
      </c>
      <c r="Y29" s="171" t="s">
        <v>471</v>
      </c>
      <c r="Z29" s="162" t="s">
        <v>370</v>
      </c>
      <c r="AA29" s="171" t="s">
        <v>471</v>
      </c>
      <c r="AB29" s="162" t="s">
        <v>408</v>
      </c>
      <c r="AC29" s="171" t="s">
        <v>493</v>
      </c>
      <c r="AD29" s="162" t="s">
        <v>606</v>
      </c>
    </row>
    <row r="30" spans="2:30" x14ac:dyDescent="0.25">
      <c r="H30" s="337"/>
      <c r="I30" s="337"/>
      <c r="N30" s="337"/>
      <c r="O30" s="337"/>
      <c r="Q30" s="144"/>
    </row>
    <row r="31" spans="2:30" x14ac:dyDescent="0.25">
      <c r="B31" s="332" t="s">
        <v>441</v>
      </c>
      <c r="D31" s="171" t="s">
        <v>607</v>
      </c>
      <c r="E31" s="332" t="s">
        <v>624</v>
      </c>
      <c r="F31" s="337"/>
      <c r="G31" s="171" t="s">
        <v>2114</v>
      </c>
      <c r="H31" s="332" t="s">
        <v>1369</v>
      </c>
      <c r="J31" s="163"/>
      <c r="K31" s="144"/>
      <c r="M31" s="171" t="s">
        <v>1385</v>
      </c>
      <c r="N31" s="332" t="s">
        <v>627</v>
      </c>
      <c r="P31" s="171" t="s">
        <v>471</v>
      </c>
      <c r="Q31" s="332" t="s">
        <v>621</v>
      </c>
      <c r="Y31" s="171" t="s">
        <v>493</v>
      </c>
      <c r="Z31" s="162" t="s">
        <v>370</v>
      </c>
      <c r="AA31" s="171"/>
      <c r="AC31" s="171" t="s">
        <v>493</v>
      </c>
      <c r="AD31" s="162" t="s">
        <v>606</v>
      </c>
    </row>
    <row r="33" spans="3:30" x14ac:dyDescent="0.25">
      <c r="J33" s="171" t="s">
        <v>1373</v>
      </c>
      <c r="K33" s="332" t="s">
        <v>622</v>
      </c>
      <c r="T33" s="171" t="s">
        <v>473</v>
      </c>
      <c r="U33" s="332" t="s">
        <v>620</v>
      </c>
      <c r="Y33" s="171" t="s">
        <v>1363</v>
      </c>
      <c r="Z33" s="162" t="s">
        <v>370</v>
      </c>
      <c r="AA33" s="171"/>
      <c r="AC33" s="171" t="s">
        <v>1363</v>
      </c>
      <c r="AD33" s="162" t="s">
        <v>606</v>
      </c>
    </row>
    <row r="35" spans="3:30" x14ac:dyDescent="0.25">
      <c r="Q35" s="163"/>
      <c r="Y35" s="171" t="s">
        <v>1367</v>
      </c>
      <c r="Z35" s="162" t="s">
        <v>370</v>
      </c>
      <c r="AA35" s="171" t="s">
        <v>1367</v>
      </c>
      <c r="AB35" s="162" t="s">
        <v>408</v>
      </c>
      <c r="AC35" s="171" t="s">
        <v>1361</v>
      </c>
      <c r="AD35" s="162" t="s">
        <v>606</v>
      </c>
    </row>
    <row r="36" spans="3:30" x14ac:dyDescent="0.25">
      <c r="Q36" s="144"/>
    </row>
    <row r="37" spans="3:30" x14ac:dyDescent="0.25">
      <c r="P37" s="171" t="s">
        <v>680</v>
      </c>
      <c r="Q37" s="332" t="s">
        <v>600</v>
      </c>
      <c r="R37" s="171" t="s">
        <v>1370</v>
      </c>
      <c r="S37" s="332" t="s">
        <v>595</v>
      </c>
      <c r="T37" s="171" t="s">
        <v>1371</v>
      </c>
    </row>
    <row r="38" spans="3:30" x14ac:dyDescent="0.25">
      <c r="L38" s="333" t="s">
        <v>439</v>
      </c>
      <c r="M38" s="24" t="s">
        <v>679</v>
      </c>
    </row>
    <row r="39" spans="3:30" x14ac:dyDescent="0.25">
      <c r="R39" s="171" t="s">
        <v>682</v>
      </c>
      <c r="S39" s="163"/>
    </row>
    <row r="40" spans="3:30" ht="17.399999999999999" customHeight="1" x14ac:dyDescent="0.25">
      <c r="Q40" s="144"/>
    </row>
    <row r="41" spans="3:30" ht="16.2" customHeight="1" x14ac:dyDescent="0.25">
      <c r="C41" s="969"/>
      <c r="D41" s="144"/>
    </row>
    <row r="42" spans="3:30" ht="16.2" customHeight="1" x14ac:dyDescent="0.25">
      <c r="C42" s="969"/>
      <c r="D42" s="144"/>
      <c r="H42" s="333" t="s">
        <v>439</v>
      </c>
    </row>
    <row r="43" spans="3:30" ht="16.2" customHeight="1" x14ac:dyDescent="0.25">
      <c r="C43" s="144"/>
      <c r="D43" s="144"/>
    </row>
    <row r="44" spans="3:30" ht="16.2" customHeight="1" x14ac:dyDescent="0.25">
      <c r="C44" s="144"/>
      <c r="D44" s="144"/>
      <c r="P44" s="171" t="s">
        <v>1366</v>
      </c>
      <c r="Q44" s="332" t="s">
        <v>467</v>
      </c>
      <c r="U44" s="163"/>
      <c r="Y44" s="171" t="s">
        <v>1365</v>
      </c>
      <c r="Z44" s="162" t="s">
        <v>370</v>
      </c>
      <c r="AA44" s="171" t="s">
        <v>1365</v>
      </c>
      <c r="AB44" s="162" t="s">
        <v>408</v>
      </c>
      <c r="AC44" s="171" t="s">
        <v>1365</v>
      </c>
      <c r="AD44" s="162" t="s">
        <v>606</v>
      </c>
    </row>
    <row r="45" spans="3:30" ht="16.2" customHeight="1" x14ac:dyDescent="0.25">
      <c r="C45" s="144"/>
      <c r="D45" s="144"/>
      <c r="I45" s="145" t="s">
        <v>1401</v>
      </c>
      <c r="K45" s="333" t="s">
        <v>439</v>
      </c>
    </row>
    <row r="46" spans="3:30" ht="16.2" customHeight="1" x14ac:dyDescent="0.25">
      <c r="C46" s="144"/>
      <c r="D46" s="144"/>
    </row>
    <row r="47" spans="3:30" ht="16.2" customHeight="1" x14ac:dyDescent="0.25">
      <c r="C47" s="144"/>
      <c r="D47" s="144"/>
    </row>
    <row r="48" spans="3:30" ht="16.2" customHeight="1" x14ac:dyDescent="0.25">
      <c r="C48" s="144"/>
      <c r="D48" s="144"/>
      <c r="E48" s="332" t="s">
        <v>636</v>
      </c>
      <c r="F48" s="145" t="s">
        <v>1390</v>
      </c>
      <c r="H48" s="332" t="s">
        <v>1374</v>
      </c>
      <c r="I48" s="145" t="s">
        <v>1408</v>
      </c>
      <c r="K48" s="333" t="s">
        <v>439</v>
      </c>
      <c r="Y48" s="171" t="s">
        <v>472</v>
      </c>
      <c r="Z48" s="162" t="s">
        <v>370</v>
      </c>
      <c r="AA48" s="171" t="s">
        <v>472</v>
      </c>
      <c r="AB48" s="162" t="s">
        <v>408</v>
      </c>
      <c r="AC48" s="171" t="s">
        <v>1361</v>
      </c>
      <c r="AD48" s="162" t="s">
        <v>606</v>
      </c>
    </row>
    <row r="49" spans="2:30" ht="16.2" customHeight="1" x14ac:dyDescent="0.25">
      <c r="C49" s="144"/>
      <c r="D49" s="144"/>
      <c r="R49" s="171" t="s">
        <v>469</v>
      </c>
      <c r="S49" s="332" t="s">
        <v>598</v>
      </c>
    </row>
    <row r="50" spans="2:30" ht="16.2" customHeight="1" x14ac:dyDescent="0.25">
      <c r="C50" s="144"/>
      <c r="D50" s="144"/>
      <c r="U50" s="171" t="s">
        <v>468</v>
      </c>
      <c r="W50" s="163"/>
      <c r="Y50" s="171" t="s">
        <v>468</v>
      </c>
      <c r="Z50" s="332" t="s">
        <v>370</v>
      </c>
      <c r="AA50" s="171" t="s">
        <v>468</v>
      </c>
      <c r="AB50" s="162" t="s">
        <v>408</v>
      </c>
      <c r="AC50" s="171" t="s">
        <v>1362</v>
      </c>
      <c r="AD50" s="162" t="s">
        <v>606</v>
      </c>
    </row>
    <row r="51" spans="2:30" ht="16.2" customHeight="1" x14ac:dyDescent="0.25">
      <c r="C51" s="144"/>
      <c r="D51" s="144"/>
      <c r="H51" s="332" t="s">
        <v>1375</v>
      </c>
      <c r="I51" s="145" t="s">
        <v>1407</v>
      </c>
      <c r="K51" s="333" t="s">
        <v>439</v>
      </c>
      <c r="W51" s="163"/>
    </row>
    <row r="52" spans="2:30" s="163" customFormat="1" ht="16.8" customHeight="1" x14ac:dyDescent="0.25">
      <c r="B52" s="24"/>
      <c r="C52" s="24"/>
      <c r="D52" s="24"/>
      <c r="E52" s="24"/>
      <c r="F52" s="24"/>
      <c r="G52" s="24"/>
      <c r="H52" s="24"/>
      <c r="I52" s="24"/>
      <c r="J52" s="24"/>
      <c r="K52" s="24"/>
      <c r="L52" s="24"/>
      <c r="M52" s="24"/>
      <c r="N52" s="24"/>
      <c r="O52" s="24"/>
      <c r="Q52" s="24"/>
      <c r="S52" s="24"/>
      <c r="X52" s="24"/>
      <c r="Y52" s="171"/>
      <c r="AA52" s="171"/>
      <c r="AC52" s="24"/>
      <c r="AD52" s="24"/>
    </row>
    <row r="53" spans="2:30" s="163" customFormat="1" ht="16.2" customHeight="1" x14ac:dyDescent="0.25">
      <c r="B53" s="24"/>
      <c r="C53" s="24"/>
      <c r="D53" s="24"/>
      <c r="E53" s="24"/>
      <c r="F53" s="24"/>
      <c r="G53" s="24"/>
      <c r="H53" s="24"/>
      <c r="I53" s="24"/>
      <c r="J53" s="24"/>
      <c r="K53" s="24"/>
      <c r="L53" s="24"/>
      <c r="M53" s="24"/>
      <c r="N53" s="24"/>
      <c r="O53" s="24"/>
      <c r="Q53" s="24"/>
      <c r="U53" s="171" t="s">
        <v>469</v>
      </c>
      <c r="V53" s="332" t="s">
        <v>594</v>
      </c>
      <c r="X53" s="24"/>
      <c r="Y53" s="171" t="s">
        <v>469</v>
      </c>
      <c r="Z53" s="332" t="s">
        <v>370</v>
      </c>
      <c r="AA53" s="171" t="s">
        <v>469</v>
      </c>
      <c r="AB53" s="162" t="s">
        <v>408</v>
      </c>
      <c r="AC53" s="171" t="s">
        <v>1362</v>
      </c>
      <c r="AD53" s="162" t="s">
        <v>606</v>
      </c>
    </row>
    <row r="54" spans="2:30" s="163" customFormat="1" ht="16.8" customHeight="1" x14ac:dyDescent="0.25">
      <c r="B54" s="24"/>
      <c r="C54" s="24"/>
      <c r="D54" s="24"/>
      <c r="E54" s="24"/>
      <c r="F54" s="24"/>
      <c r="G54" s="24"/>
      <c r="H54" s="332" t="s">
        <v>1376</v>
      </c>
      <c r="I54" s="145" t="s">
        <v>1406</v>
      </c>
      <c r="J54" s="24"/>
      <c r="K54" s="333" t="s">
        <v>439</v>
      </c>
      <c r="L54" s="24"/>
      <c r="M54" s="24"/>
      <c r="N54" s="24"/>
      <c r="O54" s="24"/>
      <c r="Q54" s="24"/>
      <c r="S54" s="24"/>
      <c r="U54" s="24"/>
      <c r="X54" s="24"/>
      <c r="Y54" s="171"/>
      <c r="AA54" s="24"/>
      <c r="AB54" s="24"/>
      <c r="AC54" s="24"/>
    </row>
    <row r="56" spans="2:30" x14ac:dyDescent="0.25">
      <c r="V56" s="24"/>
    </row>
    <row r="57" spans="2:30" x14ac:dyDescent="0.25">
      <c r="H57" s="332" t="s">
        <v>641</v>
      </c>
      <c r="I57" s="145" t="s">
        <v>1402</v>
      </c>
      <c r="K57" s="333" t="s">
        <v>439</v>
      </c>
    </row>
    <row r="68" spans="11:30" x14ac:dyDescent="0.25">
      <c r="K68" s="333" t="s">
        <v>439</v>
      </c>
      <c r="N68" s="333" t="s">
        <v>439</v>
      </c>
      <c r="Q68" s="333" t="s">
        <v>439</v>
      </c>
      <c r="S68" s="333" t="s">
        <v>439</v>
      </c>
      <c r="U68" s="333" t="s">
        <v>439</v>
      </c>
    </row>
    <row r="74" spans="11:30" x14ac:dyDescent="0.25">
      <c r="R74" s="171" t="s">
        <v>1412</v>
      </c>
      <c r="V74" s="171" t="s">
        <v>1410</v>
      </c>
    </row>
    <row r="75" spans="11:30" x14ac:dyDescent="0.25">
      <c r="R75" s="171"/>
      <c r="V75" s="171"/>
    </row>
    <row r="76" spans="11:30" x14ac:dyDescent="0.25">
      <c r="L76" s="171" t="s">
        <v>1400</v>
      </c>
      <c r="M76" s="332" t="s">
        <v>647</v>
      </c>
      <c r="O76" s="171" t="s">
        <v>1399</v>
      </c>
      <c r="P76" s="332" t="s">
        <v>646</v>
      </c>
      <c r="R76" s="171" t="s">
        <v>1411</v>
      </c>
      <c r="S76" s="332" t="s">
        <v>654</v>
      </c>
      <c r="V76" s="171" t="s">
        <v>1409</v>
      </c>
      <c r="W76" s="332" t="s">
        <v>1377</v>
      </c>
      <c r="Y76" s="171" t="s">
        <v>1368</v>
      </c>
      <c r="Z76" s="162" t="s">
        <v>370</v>
      </c>
      <c r="AA76" s="171" t="s">
        <v>1368</v>
      </c>
      <c r="AB76" s="162" t="s">
        <v>408</v>
      </c>
      <c r="AC76" s="171" t="s">
        <v>1361</v>
      </c>
      <c r="AD76" s="162" t="s">
        <v>606</v>
      </c>
    </row>
    <row r="77" spans="11:30" x14ac:dyDescent="0.25">
      <c r="P77" s="24"/>
    </row>
    <row r="78" spans="11:30" x14ac:dyDescent="0.25">
      <c r="Y78" s="171" t="s">
        <v>1191</v>
      </c>
      <c r="Z78" s="162" t="s">
        <v>370</v>
      </c>
      <c r="AA78" s="171" t="s">
        <v>1191</v>
      </c>
      <c r="AB78" s="162" t="s">
        <v>408</v>
      </c>
      <c r="AC78" s="171" t="s">
        <v>1361</v>
      </c>
      <c r="AD78" s="162" t="s">
        <v>606</v>
      </c>
    </row>
    <row r="80" spans="11:30" x14ac:dyDescent="0.25">
      <c r="Y80" s="171" t="s">
        <v>1175</v>
      </c>
      <c r="Z80" s="162" t="s">
        <v>370</v>
      </c>
      <c r="AA80" s="171" t="s">
        <v>1175</v>
      </c>
      <c r="AB80" s="162" t="s">
        <v>408</v>
      </c>
      <c r="AC80" s="171" t="s">
        <v>1361</v>
      </c>
      <c r="AD80" s="162" t="s">
        <v>606</v>
      </c>
    </row>
    <row r="81" spans="1:30" x14ac:dyDescent="0.25">
      <c r="B81" s="333" t="s">
        <v>439</v>
      </c>
      <c r="F81" s="171" t="s">
        <v>1395</v>
      </c>
      <c r="G81" s="332" t="s">
        <v>1382</v>
      </c>
      <c r="O81" s="171" t="s">
        <v>1419</v>
      </c>
      <c r="P81" s="332" t="s">
        <v>642</v>
      </c>
    </row>
    <row r="82" spans="1:30" ht="16.8" customHeight="1" x14ac:dyDescent="0.25">
      <c r="J82" s="171" t="s">
        <v>1393</v>
      </c>
      <c r="P82" s="24"/>
    </row>
    <row r="85" spans="1:30" x14ac:dyDescent="0.25">
      <c r="B85" s="333" t="s">
        <v>439</v>
      </c>
      <c r="F85" s="171" t="s">
        <v>1416</v>
      </c>
      <c r="G85" s="332" t="s">
        <v>1383</v>
      </c>
      <c r="J85" s="171" t="s">
        <v>1415</v>
      </c>
      <c r="K85" s="332" t="s">
        <v>1380</v>
      </c>
      <c r="O85" s="171" t="s">
        <v>1420</v>
      </c>
      <c r="P85" s="332" t="s">
        <v>644</v>
      </c>
    </row>
    <row r="86" spans="1:30" s="163" customFormat="1" x14ac:dyDescent="0.25">
      <c r="A86" s="24"/>
      <c r="B86" s="24"/>
      <c r="C86" s="24"/>
      <c r="D86" s="24"/>
      <c r="E86" s="24"/>
      <c r="F86" s="24"/>
      <c r="G86" s="24"/>
      <c r="H86" s="24"/>
      <c r="I86" s="24"/>
      <c r="J86" s="24"/>
      <c r="K86" s="24"/>
      <c r="L86" s="24"/>
      <c r="M86" s="24"/>
      <c r="N86" s="24"/>
      <c r="O86" s="24"/>
      <c r="P86" s="24"/>
      <c r="Q86" s="24"/>
      <c r="S86" s="24"/>
      <c r="U86" s="24"/>
      <c r="W86" s="24"/>
      <c r="X86" s="24"/>
      <c r="Y86" s="24"/>
      <c r="Z86" s="24"/>
      <c r="AA86" s="24"/>
      <c r="AB86" s="24"/>
      <c r="AC86" s="24"/>
      <c r="AD86" s="24"/>
    </row>
    <row r="89" spans="1:30" s="163" customFormat="1" x14ac:dyDescent="0.25">
      <c r="A89" s="24"/>
      <c r="B89" s="333" t="s">
        <v>439</v>
      </c>
      <c r="C89" s="24"/>
      <c r="D89" s="24"/>
      <c r="E89" s="24"/>
      <c r="F89" s="171" t="s">
        <v>1417</v>
      </c>
      <c r="G89" s="332" t="s">
        <v>1376</v>
      </c>
      <c r="H89" s="24"/>
      <c r="I89" s="24"/>
      <c r="J89" s="24"/>
      <c r="K89" s="24"/>
      <c r="L89" s="171" t="s">
        <v>1422</v>
      </c>
      <c r="M89" s="332" t="s">
        <v>643</v>
      </c>
      <c r="N89" s="24"/>
      <c r="O89" s="171" t="s">
        <v>1421</v>
      </c>
      <c r="P89" s="332" t="s">
        <v>1379</v>
      </c>
      <c r="Q89" s="24"/>
      <c r="S89" s="24"/>
      <c r="U89" s="24"/>
      <c r="W89" s="24"/>
      <c r="X89" s="24"/>
      <c r="Y89" s="24"/>
      <c r="Z89" s="24"/>
      <c r="AA89" s="24"/>
      <c r="AB89" s="24"/>
      <c r="AC89" s="24"/>
      <c r="AD89" s="24"/>
    </row>
    <row r="90" spans="1:30" s="163" customFormat="1" x14ac:dyDescent="0.25">
      <c r="A90" s="24"/>
      <c r="B90" s="24"/>
      <c r="C90" s="24"/>
      <c r="D90" s="24"/>
      <c r="E90" s="24"/>
      <c r="F90" s="24"/>
      <c r="G90" s="24"/>
      <c r="H90" s="24"/>
      <c r="I90" s="24"/>
      <c r="J90" s="24"/>
      <c r="K90" s="24"/>
      <c r="L90" s="24"/>
      <c r="M90" s="24"/>
      <c r="N90" s="24"/>
      <c r="O90" s="24"/>
      <c r="P90" s="24"/>
      <c r="Q90" s="24"/>
      <c r="S90" s="24"/>
      <c r="U90" s="24"/>
      <c r="W90" s="24"/>
      <c r="X90" s="24"/>
      <c r="Y90" s="24"/>
      <c r="Z90" s="24"/>
      <c r="AA90" s="24"/>
      <c r="AB90" s="24"/>
      <c r="AC90" s="24"/>
      <c r="AD90" s="24"/>
    </row>
    <row r="91" spans="1:30" s="163" customFormat="1" x14ac:dyDescent="0.25">
      <c r="A91" s="24"/>
      <c r="B91" s="24"/>
      <c r="C91" s="24"/>
      <c r="D91" s="24"/>
      <c r="E91" s="24"/>
      <c r="F91" s="24"/>
      <c r="G91" s="24"/>
      <c r="H91" s="24"/>
      <c r="I91" s="24"/>
      <c r="J91" s="24"/>
      <c r="K91" s="24"/>
      <c r="L91" s="24"/>
      <c r="M91" s="24"/>
      <c r="N91" s="24"/>
      <c r="O91" s="24"/>
      <c r="P91" s="24"/>
      <c r="Q91" s="24"/>
      <c r="S91" s="24"/>
      <c r="U91" s="24"/>
      <c r="W91" s="24"/>
      <c r="X91" s="24"/>
      <c r="Y91" s="24"/>
      <c r="Z91" s="24"/>
      <c r="AA91" s="24"/>
      <c r="AB91" s="24"/>
      <c r="AC91" s="24"/>
      <c r="AD91" s="24"/>
    </row>
    <row r="93" spans="1:30" s="163" customFormat="1" x14ac:dyDescent="0.25">
      <c r="A93" s="24"/>
      <c r="B93" s="333" t="s">
        <v>439</v>
      </c>
      <c r="C93" s="24"/>
      <c r="D93" s="24"/>
      <c r="E93" s="24"/>
      <c r="F93" s="24"/>
      <c r="G93" s="24"/>
      <c r="H93" s="24"/>
      <c r="I93" s="171" t="s">
        <v>1394</v>
      </c>
      <c r="J93" s="332" t="s">
        <v>1381</v>
      </c>
      <c r="K93" s="24"/>
      <c r="L93" s="171" t="s">
        <v>1423</v>
      </c>
      <c r="M93" s="24"/>
      <c r="N93" s="24"/>
      <c r="O93" s="24"/>
      <c r="Q93" s="24"/>
      <c r="R93" s="171" t="s">
        <v>1413</v>
      </c>
      <c r="S93" s="332" t="s">
        <v>1378</v>
      </c>
      <c r="U93" s="24"/>
      <c r="W93" s="24"/>
      <c r="X93" s="24"/>
      <c r="Y93" s="24"/>
      <c r="Z93" s="24"/>
      <c r="AA93" s="24"/>
      <c r="AB93" s="24"/>
      <c r="AC93" s="24"/>
      <c r="AD93" s="24"/>
    </row>
    <row r="97" spans="1:30" s="163" customFormat="1" x14ac:dyDescent="0.25">
      <c r="A97" s="24"/>
      <c r="B97" s="333" t="s">
        <v>439</v>
      </c>
      <c r="C97" s="24"/>
      <c r="D97" s="24"/>
      <c r="E97" s="24"/>
      <c r="F97" s="24"/>
      <c r="G97" s="24"/>
      <c r="H97" s="24"/>
      <c r="I97" s="24"/>
      <c r="J97" s="24"/>
      <c r="K97" s="24"/>
      <c r="L97" s="24"/>
      <c r="M97" s="24"/>
      <c r="N97" s="24"/>
      <c r="O97" s="24"/>
      <c r="Q97" s="24"/>
      <c r="R97" s="171" t="s">
        <v>1414</v>
      </c>
      <c r="S97" s="24"/>
      <c r="U97" s="24"/>
      <c r="W97" s="24"/>
      <c r="X97" s="24"/>
      <c r="Y97" s="24"/>
      <c r="Z97" s="24"/>
      <c r="AA97" s="24"/>
      <c r="AB97" s="24"/>
      <c r="AC97" s="24"/>
      <c r="AD97" s="24"/>
    </row>
    <row r="98" spans="1:30" s="163" customFormat="1" x14ac:dyDescent="0.25">
      <c r="A98" s="24"/>
      <c r="B98" s="24"/>
      <c r="C98" s="24"/>
      <c r="D98" s="24"/>
      <c r="E98" s="24"/>
      <c r="F98" s="24"/>
      <c r="G98" s="24"/>
      <c r="H98" s="24"/>
      <c r="J98" s="24"/>
      <c r="K98" s="24"/>
      <c r="L98" s="24"/>
      <c r="M98" s="24"/>
      <c r="N98" s="24"/>
      <c r="O98" s="24"/>
      <c r="Q98" s="24"/>
      <c r="S98" s="24"/>
      <c r="U98" s="24"/>
      <c r="W98" s="24"/>
      <c r="X98" s="24"/>
      <c r="Y98" s="24"/>
      <c r="Z98" s="24"/>
      <c r="AA98" s="24"/>
      <c r="AB98" s="24"/>
      <c r="AC98" s="24"/>
      <c r="AD98" s="24"/>
    </row>
    <row r="101" spans="1:30" s="163" customFormat="1" x14ac:dyDescent="0.25">
      <c r="A101" s="24"/>
      <c r="B101" s="333" t="s">
        <v>439</v>
      </c>
      <c r="C101" s="24"/>
      <c r="D101" s="24"/>
      <c r="E101" s="24"/>
      <c r="F101" s="171" t="s">
        <v>1397</v>
      </c>
      <c r="G101" s="332" t="s">
        <v>645</v>
      </c>
      <c r="H101" s="24"/>
      <c r="I101" s="171" t="s">
        <v>1418</v>
      </c>
      <c r="J101" s="24"/>
      <c r="K101" s="24"/>
      <c r="L101" s="24"/>
      <c r="M101" s="24"/>
      <c r="N101" s="24"/>
      <c r="O101" s="24"/>
      <c r="Q101" s="24"/>
      <c r="S101" s="24"/>
      <c r="U101" s="24"/>
      <c r="W101" s="24"/>
      <c r="X101" s="24"/>
      <c r="Y101" s="24"/>
      <c r="Z101" s="24"/>
      <c r="AA101" s="24"/>
      <c r="AB101" s="24"/>
      <c r="AC101" s="24"/>
      <c r="AD101" s="24"/>
    </row>
    <row r="104" spans="1:30" x14ac:dyDescent="0.25">
      <c r="Y104" s="171" t="s">
        <v>1190</v>
      </c>
      <c r="Z104" s="162" t="s">
        <v>370</v>
      </c>
      <c r="AA104" s="171" t="s">
        <v>1190</v>
      </c>
      <c r="AB104" s="162" t="s">
        <v>408</v>
      </c>
      <c r="AC104" s="171" t="s">
        <v>1361</v>
      </c>
      <c r="AD104" s="162" t="s">
        <v>606</v>
      </c>
    </row>
    <row r="105" spans="1:30" x14ac:dyDescent="0.25">
      <c r="B105" s="333" t="s">
        <v>439</v>
      </c>
      <c r="D105" s="171" t="s">
        <v>1398</v>
      </c>
      <c r="E105" s="332" t="s">
        <v>1384</v>
      </c>
    </row>
    <row r="117" spans="15:30" x14ac:dyDescent="0.25">
      <c r="O117" s="163"/>
      <c r="P117" s="24"/>
      <c r="Q117" s="163"/>
      <c r="R117" s="24"/>
      <c r="S117" s="163"/>
      <c r="T117" s="24"/>
      <c r="U117" s="163"/>
      <c r="V117" s="24"/>
    </row>
    <row r="118" spans="15:30" x14ac:dyDescent="0.25">
      <c r="O118" s="163"/>
      <c r="P118" s="24"/>
      <c r="Q118" s="163"/>
      <c r="R118" s="24"/>
      <c r="S118" s="163"/>
      <c r="T118" s="24"/>
      <c r="U118" s="163"/>
      <c r="V118" s="24"/>
    </row>
    <row r="119" spans="15:30" x14ac:dyDescent="0.25">
      <c r="O119" s="163"/>
      <c r="P119" s="24"/>
      <c r="Q119" s="163"/>
      <c r="R119" s="24"/>
      <c r="S119" s="163"/>
      <c r="T119" s="24"/>
      <c r="U119" s="163"/>
      <c r="V119" s="24"/>
    </row>
    <row r="120" spans="15:30" x14ac:dyDescent="0.25">
      <c r="O120" s="163"/>
      <c r="P120" s="24"/>
      <c r="Q120" s="163"/>
      <c r="R120" s="24"/>
      <c r="S120" s="163"/>
      <c r="T120" s="24"/>
      <c r="U120" s="163"/>
      <c r="V120" s="24"/>
      <c r="Y120" s="171" t="s">
        <v>1365</v>
      </c>
      <c r="Z120" s="162" t="s">
        <v>370</v>
      </c>
      <c r="AA120" s="171" t="s">
        <v>1365</v>
      </c>
      <c r="AB120" s="162" t="s">
        <v>408</v>
      </c>
      <c r="AC120" s="171" t="s">
        <v>1365</v>
      </c>
      <c r="AD120" s="162" t="s">
        <v>606</v>
      </c>
    </row>
    <row r="121" spans="15:30" x14ac:dyDescent="0.25">
      <c r="O121" s="163"/>
      <c r="P121" s="24"/>
      <c r="Q121" s="163"/>
      <c r="R121" s="24"/>
      <c r="S121" s="163"/>
      <c r="T121" s="24"/>
      <c r="U121" s="163"/>
      <c r="V121" s="24"/>
    </row>
    <row r="122" spans="15:30" x14ac:dyDescent="0.25">
      <c r="O122" s="163"/>
      <c r="P122" s="171"/>
      <c r="Q122" s="163"/>
      <c r="R122" s="24"/>
      <c r="S122" s="163"/>
      <c r="T122" s="24"/>
      <c r="U122" s="163"/>
      <c r="V122" s="24"/>
    </row>
    <row r="123" spans="15:30" x14ac:dyDescent="0.25">
      <c r="O123" s="163"/>
      <c r="P123" s="24"/>
      <c r="Q123" s="163"/>
      <c r="R123" s="24"/>
      <c r="S123" s="163"/>
      <c r="T123" s="24"/>
      <c r="U123" s="163"/>
      <c r="V123" s="24"/>
    </row>
    <row r="124" spans="15:30" x14ac:dyDescent="0.25">
      <c r="O124" s="163"/>
      <c r="P124" s="24"/>
      <c r="Q124" s="163"/>
      <c r="R124" s="24"/>
      <c r="S124" s="163"/>
      <c r="T124" s="24"/>
      <c r="U124" s="163"/>
      <c r="V124" s="24"/>
    </row>
    <row r="125" spans="15:30" x14ac:dyDescent="0.25">
      <c r="V125" s="171" t="s">
        <v>2071</v>
      </c>
      <c r="W125" s="332" t="s">
        <v>2097</v>
      </c>
    </row>
    <row r="130" spans="7:30" ht="14.4" customHeight="1" x14ac:dyDescent="0.25">
      <c r="V130" s="171" t="s">
        <v>2095</v>
      </c>
      <c r="Y130" s="171" t="s">
        <v>50</v>
      </c>
      <c r="Z130" s="162" t="s">
        <v>2098</v>
      </c>
      <c r="AA130" s="171" t="s">
        <v>50</v>
      </c>
      <c r="AB130" s="162" t="s">
        <v>408</v>
      </c>
      <c r="AC130" s="171" t="s">
        <v>2099</v>
      </c>
      <c r="AD130" s="162" t="s">
        <v>606</v>
      </c>
    </row>
    <row r="131" spans="7:30" ht="14.4" customHeight="1" x14ac:dyDescent="0.25">
      <c r="K131" s="967" t="s">
        <v>2100</v>
      </c>
      <c r="L131" s="968"/>
      <c r="N131" s="171" t="s">
        <v>368</v>
      </c>
      <c r="O131" s="970" t="s">
        <v>668</v>
      </c>
      <c r="P131" s="971"/>
      <c r="V131" s="171"/>
    </row>
    <row r="132" spans="7:30" x14ac:dyDescent="0.25">
      <c r="S132" s="163"/>
    </row>
    <row r="135" spans="7:30" x14ac:dyDescent="0.25">
      <c r="V135" s="171" t="s">
        <v>2096</v>
      </c>
      <c r="Y135" s="171" t="s">
        <v>50</v>
      </c>
      <c r="Z135" s="162" t="s">
        <v>2098</v>
      </c>
      <c r="AA135" s="171" t="s">
        <v>50</v>
      </c>
      <c r="AB135" s="162" t="s">
        <v>408</v>
      </c>
      <c r="AC135" s="171" t="s">
        <v>465</v>
      </c>
      <c r="AD135" s="162" t="s">
        <v>606</v>
      </c>
    </row>
    <row r="137" spans="7:30" ht="13.8" customHeight="1" x14ac:dyDescent="0.25"/>
    <row r="138" spans="7:30" x14ac:dyDescent="0.25">
      <c r="G138" s="171"/>
      <c r="K138" s="967" t="s">
        <v>2105</v>
      </c>
      <c r="L138" s="968"/>
      <c r="N138" s="171" t="s">
        <v>2101</v>
      </c>
      <c r="O138" s="967" t="s">
        <v>649</v>
      </c>
      <c r="P138" s="968"/>
    </row>
    <row r="139" spans="7:30" x14ac:dyDescent="0.25">
      <c r="G139" s="171"/>
      <c r="N139" s="171"/>
    </row>
    <row r="140" spans="7:30" ht="14.4" customHeight="1" x14ac:dyDescent="0.25">
      <c r="G140" s="171"/>
      <c r="K140" s="967" t="s">
        <v>2106</v>
      </c>
      <c r="L140" s="968"/>
      <c r="N140" s="171" t="s">
        <v>366</v>
      </c>
    </row>
    <row r="141" spans="7:30" x14ac:dyDescent="0.25">
      <c r="G141" s="171"/>
      <c r="N141" s="171"/>
      <c r="V141" s="171" t="s">
        <v>1701</v>
      </c>
      <c r="W141" s="332" t="s">
        <v>1698</v>
      </c>
      <c r="Y141" s="171" t="s">
        <v>1365</v>
      </c>
      <c r="Z141" s="162" t="s">
        <v>370</v>
      </c>
      <c r="AA141" s="171" t="s">
        <v>1365</v>
      </c>
      <c r="AB141" s="162" t="s">
        <v>408</v>
      </c>
      <c r="AC141" s="171" t="s">
        <v>1365</v>
      </c>
      <c r="AD141" s="162" t="s">
        <v>606</v>
      </c>
    </row>
    <row r="142" spans="7:30" x14ac:dyDescent="0.25">
      <c r="G142" s="171"/>
      <c r="K142" s="967" t="s">
        <v>2100</v>
      </c>
      <c r="L142" s="968"/>
      <c r="N142" s="171" t="s">
        <v>364</v>
      </c>
    </row>
    <row r="143" spans="7:30" x14ac:dyDescent="0.25">
      <c r="G143" s="171"/>
      <c r="N143" s="171"/>
    </row>
    <row r="144" spans="7:30" x14ac:dyDescent="0.25">
      <c r="G144" s="171"/>
      <c r="K144" s="967" t="s">
        <v>2100</v>
      </c>
      <c r="L144" s="968"/>
      <c r="N144" s="171" t="s">
        <v>365</v>
      </c>
      <c r="V144" s="171"/>
    </row>
    <row r="145" spans="11:30" x14ac:dyDescent="0.25">
      <c r="V145" s="171"/>
    </row>
    <row r="146" spans="11:30" x14ac:dyDescent="0.25">
      <c r="V146" s="171" t="s">
        <v>499</v>
      </c>
      <c r="W146" s="332" t="s">
        <v>1699</v>
      </c>
      <c r="Y146" s="171" t="s">
        <v>1365</v>
      </c>
      <c r="Z146" s="162" t="s">
        <v>370</v>
      </c>
      <c r="AA146" s="171" t="s">
        <v>1365</v>
      </c>
      <c r="AB146" s="162" t="s">
        <v>408</v>
      </c>
      <c r="AC146" s="171" t="s">
        <v>1365</v>
      </c>
      <c r="AD146" s="162" t="s">
        <v>606</v>
      </c>
    </row>
    <row r="148" spans="11:30" x14ac:dyDescent="0.25">
      <c r="V148" s="171"/>
    </row>
    <row r="149" spans="11:30" x14ac:dyDescent="0.25">
      <c r="V149" s="171"/>
    </row>
    <row r="150" spans="11:30" x14ac:dyDescent="0.25">
      <c r="V150" s="171"/>
    </row>
    <row r="151" spans="11:30" ht="14.4" customHeight="1" x14ac:dyDescent="0.25">
      <c r="K151" s="967" t="s">
        <v>2100</v>
      </c>
      <c r="L151" s="968"/>
      <c r="N151" s="171" t="s">
        <v>395</v>
      </c>
      <c r="O151" s="967" t="s">
        <v>663</v>
      </c>
      <c r="P151" s="968"/>
      <c r="V151" s="171" t="s">
        <v>498</v>
      </c>
      <c r="W151" s="332" t="s">
        <v>1697</v>
      </c>
    </row>
    <row r="152" spans="11:30" x14ac:dyDescent="0.25">
      <c r="V152" s="171"/>
    </row>
    <row r="168" spans="11:30" ht="14.4" customHeight="1" x14ac:dyDescent="0.25">
      <c r="K168" s="967" t="s">
        <v>338</v>
      </c>
      <c r="L168" s="968"/>
      <c r="U168" s="171" t="s">
        <v>458</v>
      </c>
      <c r="V168" s="967" t="s">
        <v>648</v>
      </c>
      <c r="W168" s="968"/>
      <c r="Y168" s="171" t="s">
        <v>1365</v>
      </c>
      <c r="Z168" s="162" t="s">
        <v>370</v>
      </c>
      <c r="AA168" s="171" t="s">
        <v>1365</v>
      </c>
      <c r="AB168" s="162" t="s">
        <v>408</v>
      </c>
      <c r="AC168" s="171" t="s">
        <v>1365</v>
      </c>
      <c r="AD168" s="162" t="s">
        <v>606</v>
      </c>
    </row>
    <row r="170" spans="11:30" ht="14.4" customHeight="1" x14ac:dyDescent="0.25"/>
    <row r="171" spans="11:30" x14ac:dyDescent="0.25">
      <c r="Y171" s="171" t="s">
        <v>513</v>
      </c>
      <c r="Z171" s="162" t="s">
        <v>370</v>
      </c>
      <c r="AA171" s="171" t="s">
        <v>513</v>
      </c>
      <c r="AB171" s="162" t="s">
        <v>408</v>
      </c>
      <c r="AC171" s="171" t="s">
        <v>552</v>
      </c>
      <c r="AD171" s="162" t="s">
        <v>606</v>
      </c>
    </row>
    <row r="175" spans="11:30" ht="14.4" customHeight="1" x14ac:dyDescent="0.25">
      <c r="U175" s="171" t="s">
        <v>462</v>
      </c>
      <c r="V175" s="967" t="s">
        <v>662</v>
      </c>
      <c r="W175" s="968"/>
    </row>
    <row r="180" spans="11:30" ht="14.4" customHeight="1" x14ac:dyDescent="0.25">
      <c r="U180" s="171" t="s">
        <v>502</v>
      </c>
      <c r="V180" s="967" t="s">
        <v>1262</v>
      </c>
      <c r="W180" s="968"/>
      <c r="Y180" s="171" t="s">
        <v>1365</v>
      </c>
      <c r="Z180" s="162" t="s">
        <v>370</v>
      </c>
      <c r="AA180" s="171" t="s">
        <v>1365</v>
      </c>
      <c r="AB180" s="162" t="s">
        <v>408</v>
      </c>
      <c r="AC180" s="171" t="s">
        <v>1365</v>
      </c>
      <c r="AD180" s="162" t="s">
        <v>606</v>
      </c>
    </row>
    <row r="182" spans="11:30" x14ac:dyDescent="0.25">
      <c r="K182" s="967" t="s">
        <v>2105</v>
      </c>
      <c r="L182" s="968"/>
      <c r="N182" s="24" t="s">
        <v>459</v>
      </c>
      <c r="O182" s="967" t="s">
        <v>676</v>
      </c>
      <c r="P182" s="968"/>
    </row>
    <row r="185" spans="11:30" x14ac:dyDescent="0.25">
      <c r="U185" s="171" t="s">
        <v>503</v>
      </c>
      <c r="V185" s="967" t="s">
        <v>2103</v>
      </c>
      <c r="W185" s="968"/>
      <c r="Y185" s="171" t="s">
        <v>1365</v>
      </c>
      <c r="Z185" s="162" t="s">
        <v>370</v>
      </c>
      <c r="AA185" s="171" t="s">
        <v>1365</v>
      </c>
      <c r="AB185" s="162" t="s">
        <v>408</v>
      </c>
      <c r="AC185" s="171" t="s">
        <v>1365</v>
      </c>
      <c r="AD185" s="162" t="s">
        <v>606</v>
      </c>
    </row>
    <row r="187" spans="11:30" x14ac:dyDescent="0.25">
      <c r="U187" s="171" t="s">
        <v>505</v>
      </c>
    </row>
    <row r="190" spans="11:30" x14ac:dyDescent="0.25">
      <c r="U190" s="171" t="s">
        <v>501</v>
      </c>
      <c r="V190" s="967" t="s">
        <v>2102</v>
      </c>
      <c r="W190" s="968"/>
      <c r="Y190" s="171" t="s">
        <v>1365</v>
      </c>
      <c r="Z190" s="162" t="s">
        <v>370</v>
      </c>
      <c r="AA190" s="171" t="s">
        <v>1365</v>
      </c>
      <c r="AB190" s="162" t="s">
        <v>408</v>
      </c>
      <c r="AC190" s="171" t="s">
        <v>1365</v>
      </c>
      <c r="AD190" s="162" t="s">
        <v>606</v>
      </c>
    </row>
    <row r="192" spans="11:30" x14ac:dyDescent="0.25">
      <c r="K192" s="967" t="s">
        <v>2100</v>
      </c>
      <c r="L192" s="968"/>
      <c r="N192" s="171" t="s">
        <v>461</v>
      </c>
      <c r="O192" s="967" t="s">
        <v>666</v>
      </c>
      <c r="P192" s="968"/>
      <c r="U192" s="171" t="s">
        <v>506</v>
      </c>
    </row>
    <row r="193" spans="11:30" ht="14.4" customHeight="1" x14ac:dyDescent="0.25"/>
    <row r="195" spans="11:30" x14ac:dyDescent="0.25">
      <c r="U195" s="171" t="s">
        <v>504</v>
      </c>
      <c r="V195" s="967" t="s">
        <v>2104</v>
      </c>
      <c r="W195" s="968"/>
    </row>
    <row r="202" spans="11:30" ht="14.4" customHeight="1" x14ac:dyDescent="0.25">
      <c r="U202" s="171" t="s">
        <v>507</v>
      </c>
      <c r="V202" s="967" t="s">
        <v>651</v>
      </c>
      <c r="W202" s="968"/>
      <c r="Y202" s="171" t="s">
        <v>2072</v>
      </c>
      <c r="Z202" s="162" t="s">
        <v>370</v>
      </c>
      <c r="AA202" s="171" t="s">
        <v>2072</v>
      </c>
      <c r="AB202" s="162" t="s">
        <v>2107</v>
      </c>
      <c r="AC202" s="171" t="s">
        <v>367</v>
      </c>
      <c r="AD202" s="162" t="s">
        <v>606</v>
      </c>
    </row>
    <row r="204" spans="11:30" x14ac:dyDescent="0.25">
      <c r="S204" s="332" t="s">
        <v>2110</v>
      </c>
      <c r="U204" s="171" t="s">
        <v>2072</v>
      </c>
    </row>
    <row r="205" spans="11:30" x14ac:dyDescent="0.25">
      <c r="Y205" s="171" t="s">
        <v>2108</v>
      </c>
      <c r="Z205" s="162" t="s">
        <v>370</v>
      </c>
      <c r="AC205" s="171" t="s">
        <v>367</v>
      </c>
      <c r="AD205" s="162" t="s">
        <v>2109</v>
      </c>
    </row>
    <row r="206" spans="11:30" ht="14.4" customHeight="1" x14ac:dyDescent="0.25">
      <c r="K206" s="967" t="s">
        <v>2100</v>
      </c>
      <c r="L206" s="968"/>
      <c r="N206" s="171" t="s">
        <v>2113</v>
      </c>
      <c r="O206" s="967" t="s">
        <v>664</v>
      </c>
      <c r="P206" s="968"/>
    </row>
    <row r="209" spans="21:26" ht="14.4" customHeight="1" x14ac:dyDescent="0.25">
      <c r="U209" s="171" t="s">
        <v>508</v>
      </c>
      <c r="V209" s="967" t="s">
        <v>665</v>
      </c>
      <c r="W209" s="968"/>
      <c r="Y209" s="171" t="s">
        <v>2111</v>
      </c>
      <c r="Z209" s="332" t="s">
        <v>634</v>
      </c>
    </row>
    <row r="212" spans="21:26" x14ac:dyDescent="0.25">
      <c r="Y212" s="171" t="s">
        <v>2112</v>
      </c>
      <c r="Z212" s="332" t="s">
        <v>634</v>
      </c>
    </row>
  </sheetData>
  <mergeCells count="26">
    <mergeCell ref="C41:C42"/>
    <mergeCell ref="B12:B14"/>
    <mergeCell ref="V180:W180"/>
    <mergeCell ref="V185:W185"/>
    <mergeCell ref="V175:W175"/>
    <mergeCell ref="K131:L131"/>
    <mergeCell ref="V168:W168"/>
    <mergeCell ref="O131:P131"/>
    <mergeCell ref="O138:P138"/>
    <mergeCell ref="K138:L138"/>
    <mergeCell ref="K140:L140"/>
    <mergeCell ref="K142:L142"/>
    <mergeCell ref="K144:L144"/>
    <mergeCell ref="O151:P151"/>
    <mergeCell ref="K151:L151"/>
    <mergeCell ref="O182:P182"/>
    <mergeCell ref="K182:L182"/>
    <mergeCell ref="O192:P192"/>
    <mergeCell ref="K192:L192"/>
    <mergeCell ref="K168:L168"/>
    <mergeCell ref="V202:W202"/>
    <mergeCell ref="V209:W209"/>
    <mergeCell ref="O206:P206"/>
    <mergeCell ref="K206:L206"/>
    <mergeCell ref="V190:W190"/>
    <mergeCell ref="V195:W19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1AFCA-E64A-49FE-BD44-93A962237418}">
  <sheetPr>
    <tabColor rgb="FFFF6699"/>
  </sheetPr>
  <dimension ref="A4:AL1019"/>
  <sheetViews>
    <sheetView showGridLines="0" rightToLeft="1" tabSelected="1" topLeftCell="A28" zoomScale="55" zoomScaleNormal="55" workbookViewId="0">
      <selection activeCell="U4" sqref="U4"/>
    </sheetView>
  </sheetViews>
  <sheetFormatPr defaultColWidth="14" defaultRowHeight="16.8" x14ac:dyDescent="0.25"/>
  <cols>
    <col min="1" max="1" width="14" style="367"/>
    <col min="2" max="2" width="18" style="367" customWidth="1"/>
    <col min="3" max="3" width="18.3984375" style="367" customWidth="1"/>
    <col min="4" max="5" width="28.09765625" style="367" customWidth="1"/>
    <col min="6" max="6" width="14.69921875" style="367" customWidth="1"/>
    <col min="7" max="7" width="14" style="367" customWidth="1"/>
    <col min="8" max="8" width="14.796875" style="367" customWidth="1"/>
    <col min="9" max="9" width="14" style="367"/>
    <col min="10" max="12" width="15" style="367" customWidth="1"/>
    <col min="13" max="13" width="16.3984375" style="367" bestFit="1" customWidth="1"/>
    <col min="14" max="14" width="15.3984375" style="367" customWidth="1"/>
    <col min="15" max="15" width="14" style="367" customWidth="1"/>
    <col min="16" max="16" width="17.296875" style="544" customWidth="1"/>
    <col min="17" max="17" width="16.8984375" style="367" bestFit="1" customWidth="1"/>
    <col min="18" max="18" width="16.69921875" style="544" customWidth="1"/>
    <col min="19" max="19" width="14.3984375" style="367" customWidth="1"/>
    <col min="20" max="20" width="18.69921875" style="544" customWidth="1"/>
    <col min="21" max="21" width="17.69921875" style="367" bestFit="1" customWidth="1"/>
    <col min="22" max="22" width="18.19921875" style="544" customWidth="1"/>
    <col min="23" max="16384" width="14" style="367"/>
  </cols>
  <sheetData>
    <row r="4" spans="1:38" s="529" customFormat="1" x14ac:dyDescent="0.25">
      <c r="P4" s="530"/>
      <c r="R4" s="530"/>
      <c r="T4" s="530"/>
      <c r="V4" s="530"/>
    </row>
    <row r="5" spans="1:38" ht="16.2" x14ac:dyDescent="0.25">
      <c r="P5" s="367"/>
      <c r="R5" s="367"/>
      <c r="T5" s="367"/>
      <c r="V5" s="367"/>
    </row>
    <row r="6" spans="1:38" thickBot="1" x14ac:dyDescent="0.3">
      <c r="P6" s="367"/>
      <c r="R6" s="367"/>
      <c r="T6" s="367"/>
      <c r="V6" s="367"/>
    </row>
    <row r="7" spans="1:38" thickBot="1" x14ac:dyDescent="0.3">
      <c r="B7" s="994" t="s">
        <v>1356</v>
      </c>
      <c r="C7" s="995"/>
      <c r="D7" s="995"/>
      <c r="E7" s="995"/>
      <c r="F7" s="996"/>
      <c r="I7" s="988" t="s">
        <v>607</v>
      </c>
      <c r="J7" s="989"/>
      <c r="K7" s="358"/>
      <c r="L7" s="988" t="s">
        <v>1402</v>
      </c>
      <c r="M7" s="989"/>
      <c r="N7" s="358"/>
      <c r="O7" s="988" t="s">
        <v>1394</v>
      </c>
      <c r="P7" s="989"/>
      <c r="Q7" s="358"/>
      <c r="R7" s="988" t="s">
        <v>1398</v>
      </c>
      <c r="S7" s="989"/>
      <c r="T7" s="367"/>
      <c r="V7" s="367"/>
    </row>
    <row r="8" spans="1:38" ht="16.8" customHeight="1" thickBot="1" x14ac:dyDescent="0.3">
      <c r="B8" s="997"/>
      <c r="C8" s="998"/>
      <c r="D8" s="998"/>
      <c r="E8" s="998"/>
      <c r="F8" s="999"/>
      <c r="I8" s="358"/>
      <c r="J8" s="358"/>
      <c r="K8" s="358"/>
      <c r="L8" s="358"/>
      <c r="M8" s="358"/>
      <c r="N8" s="358"/>
      <c r="O8" s="358"/>
      <c r="P8" s="553"/>
      <c r="Q8" s="358"/>
      <c r="R8" s="553"/>
      <c r="S8" s="358"/>
      <c r="T8" s="367"/>
      <c r="V8" s="367"/>
    </row>
    <row r="9" spans="1:38" thickBot="1" x14ac:dyDescent="0.3">
      <c r="B9" s="997"/>
      <c r="C9" s="998"/>
      <c r="D9" s="998"/>
      <c r="E9" s="998"/>
      <c r="F9" s="999"/>
      <c r="I9" s="988" t="s">
        <v>1390</v>
      </c>
      <c r="J9" s="989"/>
      <c r="K9" s="358"/>
      <c r="L9" s="988" t="s">
        <v>1409</v>
      </c>
      <c r="M9" s="989"/>
      <c r="N9" s="358"/>
      <c r="O9" s="988" t="s">
        <v>1395</v>
      </c>
      <c r="P9" s="989"/>
      <c r="Q9" s="358"/>
      <c r="R9" s="988" t="s">
        <v>1399</v>
      </c>
      <c r="S9" s="989"/>
      <c r="T9" s="367"/>
      <c r="V9" s="367"/>
    </row>
    <row r="10" spans="1:38" ht="16.8" customHeight="1" thickBot="1" x14ac:dyDescent="0.3">
      <c r="B10" s="997"/>
      <c r="C10" s="998"/>
      <c r="D10" s="998"/>
      <c r="E10" s="998"/>
      <c r="F10" s="999"/>
      <c r="I10" s="358"/>
      <c r="J10" s="358"/>
      <c r="K10" s="358"/>
      <c r="L10" s="358"/>
      <c r="M10" s="358"/>
      <c r="N10" s="358"/>
      <c r="O10" s="358"/>
      <c r="P10" s="553"/>
      <c r="Q10" s="358"/>
      <c r="R10" s="553"/>
      <c r="S10" s="358"/>
      <c r="T10" s="367"/>
      <c r="V10" s="367"/>
    </row>
    <row r="11" spans="1:38" thickBot="1" x14ac:dyDescent="0.3">
      <c r="B11" s="997"/>
      <c r="C11" s="998"/>
      <c r="D11" s="998"/>
      <c r="E11" s="998"/>
      <c r="F11" s="999"/>
      <c r="I11" s="988" t="s">
        <v>1401</v>
      </c>
      <c r="J11" s="989"/>
      <c r="K11" s="358"/>
      <c r="L11" s="988" t="s">
        <v>1392</v>
      </c>
      <c r="M11" s="989"/>
      <c r="N11" s="358"/>
      <c r="O11" s="988" t="s">
        <v>1396</v>
      </c>
      <c r="P11" s="989"/>
      <c r="Q11" s="358"/>
      <c r="R11" s="988" t="s">
        <v>1400</v>
      </c>
      <c r="S11" s="989"/>
      <c r="T11" s="367"/>
      <c r="V11" s="367"/>
    </row>
    <row r="12" spans="1:38" thickBot="1" x14ac:dyDescent="0.3">
      <c r="B12" s="997"/>
      <c r="C12" s="998"/>
      <c r="D12" s="998"/>
      <c r="E12" s="998"/>
      <c r="F12" s="999"/>
      <c r="I12" s="358"/>
      <c r="J12" s="358"/>
      <c r="K12" s="358"/>
      <c r="L12" s="358"/>
      <c r="M12" s="358"/>
      <c r="N12" s="358"/>
      <c r="O12" s="358"/>
      <c r="P12" s="553"/>
      <c r="Q12" s="358"/>
      <c r="R12" s="553"/>
      <c r="S12" s="358"/>
      <c r="T12" s="367"/>
      <c r="V12" s="367"/>
    </row>
    <row r="13" spans="1:38" thickBot="1" x14ac:dyDescent="0.3">
      <c r="B13" s="1000"/>
      <c r="C13" s="1001"/>
      <c r="D13" s="1001"/>
      <c r="E13" s="1001"/>
      <c r="F13" s="1002"/>
      <c r="I13" s="988" t="s">
        <v>1391</v>
      </c>
      <c r="J13" s="989"/>
      <c r="K13" s="358"/>
      <c r="L13" s="988" t="s">
        <v>1393</v>
      </c>
      <c r="M13" s="989"/>
      <c r="N13" s="358"/>
      <c r="O13" s="988" t="s">
        <v>1397</v>
      </c>
      <c r="P13" s="989"/>
      <c r="Q13" s="358"/>
      <c r="R13" s="988" t="s">
        <v>1357</v>
      </c>
      <c r="S13" s="989"/>
      <c r="T13" s="367"/>
      <c r="V13" s="367"/>
    </row>
    <row r="14" spans="1:38" ht="16.2" customHeight="1" x14ac:dyDescent="0.25">
      <c r="P14" s="367"/>
      <c r="R14" s="367"/>
      <c r="T14" s="367"/>
      <c r="V14" s="367"/>
    </row>
    <row r="15" spans="1:38" ht="16.2" customHeight="1" x14ac:dyDescent="0.25">
      <c r="P15" s="367"/>
      <c r="R15" s="367"/>
      <c r="T15" s="367"/>
      <c r="V15" s="367"/>
    </row>
    <row r="16" spans="1:38" ht="27.6" x14ac:dyDescent="0.25">
      <c r="A16" s="531"/>
      <c r="B16" s="532" t="s">
        <v>1357</v>
      </c>
      <c r="C16" s="533"/>
      <c r="D16" s="534" t="s">
        <v>1480</v>
      </c>
      <c r="E16" s="534"/>
      <c r="F16" s="535"/>
      <c r="G16" s="533"/>
      <c r="H16" s="533"/>
      <c r="I16" s="533"/>
      <c r="J16" s="533"/>
      <c r="K16" s="533"/>
      <c r="L16" s="533"/>
      <c r="M16" s="533"/>
      <c r="N16" s="533"/>
      <c r="O16" s="533"/>
      <c r="P16" s="533"/>
      <c r="Q16" s="533"/>
      <c r="R16" s="533"/>
      <c r="S16" s="533"/>
      <c r="T16" s="533"/>
      <c r="U16" s="533"/>
      <c r="V16" s="533"/>
      <c r="W16" s="533"/>
      <c r="X16" s="533"/>
      <c r="Y16" s="533"/>
      <c r="Z16" s="533"/>
      <c r="AA16" s="533"/>
      <c r="AB16" s="533"/>
      <c r="AC16" s="533"/>
      <c r="AD16" s="533"/>
      <c r="AE16" s="533"/>
      <c r="AF16" s="533"/>
      <c r="AG16" s="533"/>
      <c r="AH16" s="533"/>
      <c r="AI16" s="533"/>
      <c r="AJ16" s="533"/>
      <c r="AK16" s="533"/>
      <c r="AL16" s="533"/>
    </row>
    <row r="17" spans="2:22" ht="16.2" customHeight="1" x14ac:dyDescent="0.25">
      <c r="P17" s="367"/>
      <c r="R17" s="367"/>
      <c r="T17" s="367"/>
      <c r="V17" s="367"/>
    </row>
    <row r="18" spans="2:22" ht="16.2" customHeight="1" x14ac:dyDescent="0.25">
      <c r="P18" s="367"/>
      <c r="R18" s="367"/>
      <c r="T18" s="367"/>
      <c r="V18" s="367"/>
    </row>
    <row r="19" spans="2:22" ht="16.2" x14ac:dyDescent="0.25">
      <c r="P19" s="367"/>
      <c r="R19" s="367"/>
      <c r="T19" s="367"/>
      <c r="V19" s="367"/>
    </row>
    <row r="20" spans="2:22" ht="37.200000000000003" x14ac:dyDescent="0.25">
      <c r="B20" s="528" t="s">
        <v>1481</v>
      </c>
      <c r="C20" s="528" t="s">
        <v>336</v>
      </c>
      <c r="D20" s="528" t="s">
        <v>425</v>
      </c>
      <c r="E20" s="528" t="s">
        <v>425</v>
      </c>
      <c r="F20" s="536" t="s">
        <v>1359</v>
      </c>
      <c r="P20" s="367"/>
      <c r="R20" s="367"/>
      <c r="T20" s="367"/>
      <c r="V20" s="367"/>
    </row>
    <row r="21" spans="2:22" ht="16.2" customHeight="1" x14ac:dyDescent="0.25">
      <c r="B21" s="993" t="s">
        <v>16</v>
      </c>
      <c r="C21" s="537">
        <v>1</v>
      </c>
      <c r="D21" s="538" t="s">
        <v>1342</v>
      </c>
      <c r="E21" s="539" t="s">
        <v>607</v>
      </c>
      <c r="F21" s="368">
        <f ca="1">VLOOKUP(E21,'Units CF'!$C$90:$E$136,3,FALSE)</f>
        <v>2.330168172395239</v>
      </c>
      <c r="P21" s="367"/>
      <c r="R21" s="367"/>
      <c r="T21" s="367"/>
      <c r="V21" s="367"/>
    </row>
    <row r="22" spans="2:22" ht="16.2" customHeight="1" x14ac:dyDescent="0.25">
      <c r="B22" s="993"/>
      <c r="C22" s="537">
        <v>2</v>
      </c>
      <c r="D22" s="540" t="s">
        <v>1344</v>
      </c>
      <c r="E22" s="539" t="s">
        <v>1390</v>
      </c>
      <c r="F22" s="368">
        <f ca="1">VLOOKUP(E22,'Units CF'!$C$90:$E$136,3,FALSE)</f>
        <v>2.4846049455949877</v>
      </c>
      <c r="P22" s="367"/>
      <c r="R22" s="367"/>
      <c r="T22" s="367"/>
      <c r="V22" s="367"/>
    </row>
    <row r="23" spans="2:22" ht="16.2" customHeight="1" x14ac:dyDescent="0.25">
      <c r="B23" s="993"/>
      <c r="C23" s="537">
        <v>3</v>
      </c>
      <c r="D23" s="540" t="s">
        <v>1343</v>
      </c>
      <c r="E23" s="539" t="s">
        <v>1401</v>
      </c>
      <c r="F23" s="368">
        <f ca="1">VLOOKUP(E23,'Units CF'!$C$90:$E$136,3,FALSE)</f>
        <v>2.8950543793369636</v>
      </c>
      <c r="P23" s="367"/>
      <c r="R23" s="367"/>
      <c r="T23" s="367"/>
      <c r="V23" s="367"/>
    </row>
    <row r="24" spans="2:22" ht="16.2" customHeight="1" x14ac:dyDescent="0.25">
      <c r="B24" s="993"/>
      <c r="C24" s="537">
        <v>4</v>
      </c>
      <c r="D24" s="540" t="s">
        <v>1354</v>
      </c>
      <c r="E24" s="539" t="s">
        <v>1391</v>
      </c>
      <c r="F24" s="368">
        <f ca="1">VLOOKUP(E24,'Units CF'!$C$90:$E$136,3,FALSE)</f>
        <v>2.7318011840822933</v>
      </c>
      <c r="P24" s="367"/>
      <c r="R24" s="367"/>
      <c r="T24" s="367"/>
      <c r="V24" s="367"/>
    </row>
    <row r="25" spans="2:22" ht="16.2" customHeight="1" x14ac:dyDescent="0.25">
      <c r="B25" s="993"/>
      <c r="C25" s="537">
        <v>5</v>
      </c>
      <c r="D25" s="538" t="s">
        <v>1345</v>
      </c>
      <c r="E25" s="537" t="s">
        <v>1402</v>
      </c>
      <c r="F25" s="368">
        <f ca="1">VLOOKUP(E25,'Units CF'!$C$90:$E$136,3,FALSE)</f>
        <v>2.5594019337317184</v>
      </c>
      <c r="P25" s="367"/>
      <c r="R25" s="367"/>
      <c r="T25" s="367"/>
      <c r="V25" s="367"/>
    </row>
    <row r="26" spans="2:22" ht="16.2" customHeight="1" x14ac:dyDescent="0.25">
      <c r="B26" s="993"/>
      <c r="C26" s="537">
        <v>6</v>
      </c>
      <c r="D26" s="538" t="s">
        <v>1347</v>
      </c>
      <c r="E26" s="537" t="s">
        <v>1409</v>
      </c>
      <c r="F26" s="368">
        <f ca="1">VLOOKUP(E26,'Units CF'!$C$90:$E$136,3,FALSE)</f>
        <v>2.6163427228653235</v>
      </c>
      <c r="P26" s="367"/>
      <c r="R26" s="367"/>
      <c r="T26" s="367"/>
      <c r="V26" s="367"/>
    </row>
    <row r="27" spans="2:22" ht="16.2" customHeight="1" x14ac:dyDescent="0.25">
      <c r="B27" s="993"/>
      <c r="C27" s="537">
        <v>7</v>
      </c>
      <c r="D27" s="538" t="s">
        <v>1353</v>
      </c>
      <c r="E27" s="537" t="s">
        <v>1392</v>
      </c>
      <c r="F27" s="368">
        <f ca="1">VLOOKUP(E27,'Units CF'!$C$90:$E$136,3,FALSE)</f>
        <v>2.7418556575778874</v>
      </c>
      <c r="P27" s="367"/>
      <c r="R27" s="367"/>
      <c r="T27" s="367"/>
      <c r="V27" s="367"/>
    </row>
    <row r="28" spans="2:22" ht="16.2" customHeight="1" x14ac:dyDescent="0.25">
      <c r="B28" s="993"/>
      <c r="C28" s="537">
        <v>8</v>
      </c>
      <c r="D28" s="538" t="s">
        <v>1349</v>
      </c>
      <c r="E28" s="537" t="s">
        <v>1393</v>
      </c>
      <c r="F28" s="368">
        <f ca="1">VLOOKUP(E28,'Units CF'!$C$90:$E$136,3,FALSE)</f>
        <v>2.8652755767830036</v>
      </c>
      <c r="P28" s="367"/>
      <c r="R28" s="367"/>
      <c r="T28" s="367"/>
      <c r="V28" s="367"/>
    </row>
    <row r="29" spans="2:22" ht="16.2" customHeight="1" x14ac:dyDescent="0.25">
      <c r="B29" s="993"/>
      <c r="C29" s="537">
        <v>9</v>
      </c>
      <c r="D29" s="538" t="s">
        <v>1350</v>
      </c>
      <c r="E29" s="537" t="s">
        <v>1394</v>
      </c>
      <c r="F29" s="368">
        <f ca="1">VLOOKUP(E29,'Units CF'!$C$90:$E$136,3,FALSE)</f>
        <v>3.2725870660044847</v>
      </c>
      <c r="P29" s="367"/>
      <c r="R29" s="367"/>
      <c r="T29" s="367"/>
      <c r="V29" s="367"/>
    </row>
    <row r="30" spans="2:22" ht="16.2" customHeight="1" x14ac:dyDescent="0.25">
      <c r="B30" s="993"/>
      <c r="C30" s="537">
        <v>10</v>
      </c>
      <c r="D30" s="538" t="s">
        <v>1348</v>
      </c>
      <c r="E30" s="539" t="s">
        <v>1395</v>
      </c>
      <c r="F30" s="368">
        <f ca="1">VLOOKUP(E30,'Units CF'!$C$90:$E$136,3,FALSE)</f>
        <v>2.9579955683589745</v>
      </c>
      <c r="P30" s="367"/>
      <c r="R30" s="367"/>
      <c r="T30" s="367"/>
      <c r="V30" s="367"/>
    </row>
    <row r="31" spans="2:22" ht="16.2" customHeight="1" x14ac:dyDescent="0.25">
      <c r="B31" s="993"/>
      <c r="C31" s="537">
        <v>11</v>
      </c>
      <c r="D31" s="541" t="s">
        <v>1358</v>
      </c>
      <c r="E31" s="539" t="s">
        <v>1396</v>
      </c>
      <c r="F31" s="368">
        <f ca="1">VLOOKUP(E31,'Units CF'!$C$90:$E$136,3,FALSE)</f>
        <v>2.9709919594576948</v>
      </c>
      <c r="P31" s="367"/>
      <c r="R31" s="367"/>
      <c r="T31" s="367"/>
      <c r="V31" s="367"/>
    </row>
    <row r="32" spans="2:22" ht="16.2" customHeight="1" x14ac:dyDescent="0.25">
      <c r="B32" s="993"/>
      <c r="C32" s="537">
        <v>12</v>
      </c>
      <c r="D32" s="538" t="s">
        <v>178</v>
      </c>
      <c r="E32" s="537" t="s">
        <v>1397</v>
      </c>
      <c r="F32" s="368">
        <f ca="1">VLOOKUP(E32,'Units CF'!$C$90:$E$136,3,FALSE)</f>
        <v>3.5098788288460518</v>
      </c>
      <c r="P32" s="367"/>
      <c r="R32" s="367"/>
      <c r="T32" s="367"/>
      <c r="V32" s="367"/>
    </row>
    <row r="33" spans="1:38" ht="16.2" customHeight="1" x14ac:dyDescent="0.25">
      <c r="B33" s="993"/>
      <c r="C33" s="537">
        <v>13</v>
      </c>
      <c r="D33" s="541" t="s">
        <v>179</v>
      </c>
      <c r="E33" s="537" t="s">
        <v>1398</v>
      </c>
      <c r="F33" s="368">
        <f ca="1">VLOOKUP(E33,'Units CF'!$C$90:$E$136,3,FALSE)</f>
        <v>3.5975775733838038</v>
      </c>
      <c r="P33" s="367"/>
      <c r="R33" s="367"/>
      <c r="T33" s="367"/>
      <c r="V33" s="367"/>
    </row>
    <row r="34" spans="1:38" ht="16.2" customHeight="1" x14ac:dyDescent="0.25">
      <c r="B34" s="993"/>
      <c r="C34" s="537">
        <v>14</v>
      </c>
      <c r="D34" s="538" t="s">
        <v>1346</v>
      </c>
      <c r="E34" s="537" t="s">
        <v>1399</v>
      </c>
      <c r="F34" s="368">
        <f ca="1">VLOOKUP(E34,'Units CF'!$C$90:$E$136,3,FALSE)</f>
        <v>2.8867988601632728</v>
      </c>
      <c r="P34" s="367"/>
      <c r="R34" s="367"/>
      <c r="T34" s="367"/>
      <c r="V34" s="367"/>
    </row>
    <row r="35" spans="1:38" ht="17.399999999999999" customHeight="1" x14ac:dyDescent="0.25">
      <c r="B35" s="993"/>
      <c r="C35" s="537">
        <v>15</v>
      </c>
      <c r="D35" s="538" t="s">
        <v>175</v>
      </c>
      <c r="E35" s="537" t="s">
        <v>1400</v>
      </c>
      <c r="F35" s="368">
        <f ca="1">VLOOKUP(E35,'Units CF'!$C$90:$E$136,3,FALSE)</f>
        <v>3.1282025311272124</v>
      </c>
      <c r="P35" s="367"/>
      <c r="R35" s="367"/>
      <c r="T35" s="367"/>
      <c r="V35" s="367"/>
    </row>
    <row r="36" spans="1:38" ht="16.2" customHeight="1" x14ac:dyDescent="0.25">
      <c r="P36" s="367"/>
      <c r="R36" s="367"/>
      <c r="T36" s="367"/>
      <c r="V36" s="367"/>
    </row>
    <row r="37" spans="1:38" ht="16.2" customHeight="1" x14ac:dyDescent="0.25">
      <c r="P37" s="367"/>
      <c r="R37" s="367"/>
      <c r="T37" s="367"/>
      <c r="V37" s="367"/>
    </row>
    <row r="38" spans="1:38" ht="16.2" customHeight="1" x14ac:dyDescent="0.25">
      <c r="B38" s="542" t="s">
        <v>1489</v>
      </c>
      <c r="P38" s="367"/>
      <c r="R38" s="367"/>
      <c r="T38" s="367"/>
      <c r="V38" s="367"/>
    </row>
    <row r="39" spans="1:38" ht="16.2" customHeight="1" x14ac:dyDescent="0.25">
      <c r="B39" s="542" t="s">
        <v>1490</v>
      </c>
      <c r="P39" s="367"/>
      <c r="R39" s="367"/>
      <c r="T39" s="367"/>
      <c r="V39" s="367"/>
    </row>
    <row r="40" spans="1:38" ht="16.2" customHeight="1" x14ac:dyDescent="0.25">
      <c r="B40" s="542" t="s">
        <v>1491</v>
      </c>
      <c r="P40" s="367"/>
      <c r="R40" s="367"/>
      <c r="T40" s="367"/>
      <c r="V40" s="367"/>
    </row>
    <row r="41" spans="1:38" ht="16.2" customHeight="1" x14ac:dyDescent="0.25">
      <c r="P41" s="367"/>
      <c r="R41" s="367"/>
      <c r="T41" s="367"/>
      <c r="V41" s="367"/>
    </row>
    <row r="42" spans="1:38" ht="16.2" customHeight="1" x14ac:dyDescent="0.25">
      <c r="P42" s="367"/>
      <c r="R42" s="367"/>
      <c r="T42" s="367"/>
      <c r="V42" s="367"/>
    </row>
    <row r="43" spans="1:38" ht="16.2" customHeight="1" x14ac:dyDescent="0.25">
      <c r="P43" s="367"/>
      <c r="R43" s="367"/>
      <c r="T43" s="367"/>
      <c r="V43" s="367"/>
    </row>
    <row r="44" spans="1:38" ht="27.6" x14ac:dyDescent="0.25">
      <c r="A44" s="531"/>
      <c r="B44" s="532" t="s">
        <v>607</v>
      </c>
      <c r="C44" s="533"/>
      <c r="D44" s="534" t="s">
        <v>1342</v>
      </c>
      <c r="E44" s="534"/>
      <c r="F44" s="535"/>
      <c r="G44" s="533"/>
      <c r="H44" s="533"/>
      <c r="I44" s="533"/>
      <c r="J44" s="533"/>
      <c r="K44" s="533"/>
      <c r="L44" s="533"/>
      <c r="M44" s="533"/>
      <c r="N44" s="533"/>
      <c r="O44" s="533"/>
      <c r="P44" s="533"/>
      <c r="Q44" s="533"/>
      <c r="R44" s="533"/>
      <c r="S44" s="533"/>
      <c r="T44" s="533"/>
      <c r="U44" s="533"/>
      <c r="V44" s="533"/>
      <c r="W44" s="533"/>
      <c r="X44" s="533"/>
      <c r="Y44" s="533"/>
      <c r="Z44" s="533"/>
      <c r="AA44" s="533"/>
      <c r="AB44" s="533"/>
      <c r="AC44" s="533"/>
      <c r="AD44" s="533"/>
      <c r="AE44" s="533"/>
      <c r="AF44" s="533"/>
      <c r="AG44" s="533"/>
      <c r="AH44" s="533"/>
      <c r="AI44" s="533"/>
      <c r="AJ44" s="533"/>
      <c r="AK44" s="533"/>
      <c r="AL44" s="533"/>
    </row>
    <row r="45" spans="1:38" ht="16.2" customHeight="1" x14ac:dyDescent="0.25">
      <c r="B45" s="543"/>
      <c r="C45" s="543"/>
      <c r="N45" s="529"/>
      <c r="O45" s="529"/>
      <c r="Q45" s="529"/>
      <c r="R45" s="545"/>
      <c r="T45" s="545"/>
      <c r="U45" s="544"/>
    </row>
    <row r="46" spans="1:38" ht="16.2" customHeight="1" x14ac:dyDescent="0.25">
      <c r="B46" s="543"/>
      <c r="C46" s="543"/>
      <c r="N46" s="529"/>
      <c r="O46" s="529"/>
      <c r="Q46" s="529"/>
    </row>
    <row r="47" spans="1:38" ht="16.2" customHeight="1" x14ac:dyDescent="0.25">
      <c r="B47" s="543"/>
      <c r="C47" s="543"/>
      <c r="N47" s="529"/>
      <c r="O47" s="529"/>
      <c r="Q47" s="529"/>
    </row>
    <row r="48" spans="1:38" ht="27.6" x14ac:dyDescent="0.25">
      <c r="B48" s="976" t="s">
        <v>425</v>
      </c>
      <c r="C48" s="523" t="s">
        <v>408</v>
      </c>
      <c r="D48" s="976" t="s">
        <v>411</v>
      </c>
      <c r="E48" s="976" t="s">
        <v>411</v>
      </c>
      <c r="F48" s="522" t="s">
        <v>479</v>
      </c>
      <c r="G48" s="522" t="s">
        <v>480</v>
      </c>
      <c r="H48" s="522" t="s">
        <v>481</v>
      </c>
      <c r="I48" s="522" t="s">
        <v>482</v>
      </c>
      <c r="J48" s="546" t="s">
        <v>484</v>
      </c>
      <c r="K48" s="546" t="s">
        <v>483</v>
      </c>
      <c r="L48" s="546" t="s">
        <v>485</v>
      </c>
      <c r="M48" s="522" t="s">
        <v>486</v>
      </c>
      <c r="N48" s="523" t="s">
        <v>487</v>
      </c>
      <c r="O48" s="529"/>
      <c r="Q48" s="529"/>
    </row>
    <row r="49" spans="2:17" ht="16.2" customHeight="1" x14ac:dyDescent="0.25">
      <c r="B49" s="976"/>
      <c r="C49" s="523" t="s">
        <v>477</v>
      </c>
      <c r="D49" s="976"/>
      <c r="E49" s="976"/>
      <c r="F49" s="523" t="s">
        <v>308</v>
      </c>
      <c r="G49" s="523" t="s">
        <v>308</v>
      </c>
      <c r="H49" s="523" t="s">
        <v>308</v>
      </c>
      <c r="I49" s="523" t="s">
        <v>308</v>
      </c>
      <c r="J49" s="547" t="s">
        <v>310</v>
      </c>
      <c r="K49" s="547" t="s">
        <v>310</v>
      </c>
      <c r="L49" s="547" t="s">
        <v>310</v>
      </c>
      <c r="M49" s="523" t="s">
        <v>310</v>
      </c>
      <c r="N49" s="523" t="s">
        <v>309</v>
      </c>
      <c r="O49" s="529"/>
      <c r="Q49" s="529"/>
    </row>
    <row r="50" spans="2:17" ht="16.2" customHeight="1" x14ac:dyDescent="0.25">
      <c r="B50" s="990" t="s">
        <v>607</v>
      </c>
      <c r="C50" s="980">
        <f>SUM('Units CF'!F32:F34)</f>
        <v>7299999.8660000004</v>
      </c>
      <c r="D50" s="388" t="s">
        <v>229</v>
      </c>
      <c r="E50" s="548" t="s">
        <v>594</v>
      </c>
      <c r="F50" s="115">
        <f>SUM('Units CF'!O13:U14)*(1-'Units CF'!I28)</f>
        <v>310622.43807151425</v>
      </c>
      <c r="G50" s="115">
        <f ca="1">SUM('Units CF'!V13:AA14)*(1-'Units CF'!I28)</f>
        <v>6405.1040637713386</v>
      </c>
      <c r="H50" s="115">
        <f>SUM('Units CF'!AB13:AH14)*(1-'Units CF'!I28)</f>
        <v>44047.499506709144</v>
      </c>
      <c r="I50" s="115">
        <f ca="1">SUM(F50:H50)</f>
        <v>361075.04164199473</v>
      </c>
      <c r="J50" s="137">
        <f>F50/$C$50</f>
        <v>4.2551019694979569E-2</v>
      </c>
      <c r="K50" s="137">
        <f ca="1">G50/$C$50</f>
        <v>8.7741153169102512E-4</v>
      </c>
      <c r="L50" s="137">
        <f>H50/$C$50</f>
        <v>6.0339041527742877E-3</v>
      </c>
      <c r="M50" s="298">
        <f ca="1">SUM(J50:L50)</f>
        <v>4.9462335379444881E-2</v>
      </c>
      <c r="N50" s="369">
        <f ca="1">M50/$M$62</f>
        <v>2.1226938023362191E-2</v>
      </c>
      <c r="O50" s="529"/>
      <c r="Q50" s="529"/>
    </row>
    <row r="51" spans="2:17" ht="16.2" customHeight="1" x14ac:dyDescent="0.25">
      <c r="B51" s="991"/>
      <c r="C51" s="981"/>
      <c r="D51" s="388" t="s">
        <v>1445</v>
      </c>
      <c r="E51" s="548" t="s">
        <v>597</v>
      </c>
      <c r="F51" s="115">
        <f>SUM('Units CF'!O15:U16)*('Units CF'!I15+'Units CF'!I16*('Units CF'!I17))*(1-'Units CF'!I28)</f>
        <v>270063.69108601299</v>
      </c>
      <c r="G51" s="115">
        <f ca="1">SUM('Units CF'!V15:AA16)*('Units CF'!I15+'Units CF'!I16*('Units CF'!I17))*(1-'Units CF'!I28)</f>
        <v>216678.00042702057</v>
      </c>
      <c r="H51" s="115">
        <f>SUM('Units CF'!AB15:AH16)*('Units CF'!I15+'Units CF'!I16*('Units CF'!I17))*(1-'Units CF'!I28)</f>
        <v>12138.086371999352</v>
      </c>
      <c r="I51" s="115">
        <f t="shared" ref="I51:I61" ca="1" si="0">SUM(F51:H51)</f>
        <v>498879.77788503293</v>
      </c>
      <c r="J51" s="137">
        <f t="shared" ref="J51:J61" si="1">F51/$C$50</f>
        <v>3.6995026855252952E-2</v>
      </c>
      <c r="K51" s="137">
        <f t="shared" ref="K51:K61" ca="1" si="2">G51/$C$50</f>
        <v>2.9681918411561318E-2</v>
      </c>
      <c r="L51" s="137">
        <f t="shared" ref="L51:L61" si="3">H51/$C$50</f>
        <v>1.6627515883298719E-3</v>
      </c>
      <c r="M51" s="298">
        <f t="shared" ref="M51:M61" ca="1" si="4">SUM(J51:L51)</f>
        <v>6.8339696855144141E-2</v>
      </c>
      <c r="N51" s="369">
        <f t="shared" ref="N51:N61" ca="1" si="5">M51/$M$62</f>
        <v>2.9328225174793301E-2</v>
      </c>
      <c r="O51" s="529"/>
      <c r="Q51" s="529"/>
    </row>
    <row r="52" spans="2:17" ht="16.2" customHeight="1" x14ac:dyDescent="0.25">
      <c r="B52" s="991"/>
      <c r="C52" s="981"/>
      <c r="D52" s="388" t="s">
        <v>1446</v>
      </c>
      <c r="E52" s="548" t="s">
        <v>595</v>
      </c>
      <c r="F52" s="115">
        <f>SUM('Units CF'!O17:U20)*('Units CF'!I17)*(1-'Units CF'!I28)</f>
        <v>1.3632129973140921</v>
      </c>
      <c r="G52" s="115">
        <f ca="1">SUM('Units CF'!V17:AA20)*('Units CF'!I17)*(1-'Units CF'!I28)</f>
        <v>90.924523639104422</v>
      </c>
      <c r="H52" s="115">
        <f>SUM('Units CF'!AB17:AH20)*('Units CF'!I17)*(1-'Units CF'!I28)</f>
        <v>852.19467262887792</v>
      </c>
      <c r="I52" s="115">
        <f t="shared" ca="1" si="0"/>
        <v>944.48240926529638</v>
      </c>
      <c r="J52" s="137">
        <f t="shared" si="1"/>
        <v>1.8674150990924033E-7</v>
      </c>
      <c r="K52" s="137">
        <f t="shared" ca="1" si="2"/>
        <v>1.2455414425771226E-5</v>
      </c>
      <c r="L52" s="137">
        <f t="shared" si="3"/>
        <v>1.1673899839341146E-4</v>
      </c>
      <c r="M52" s="298">
        <f t="shared" ca="1" si="4"/>
        <v>1.2938115432909193E-4</v>
      </c>
      <c r="N52" s="369">
        <f t="shared" ca="1" si="5"/>
        <v>5.5524384832746967E-5</v>
      </c>
      <c r="O52" s="529"/>
      <c r="Q52" s="529"/>
    </row>
    <row r="53" spans="2:17" ht="16.2" customHeight="1" x14ac:dyDescent="0.25">
      <c r="B53" s="991"/>
      <c r="C53" s="981"/>
      <c r="D53" s="388" t="s">
        <v>1447</v>
      </c>
      <c r="E53" s="548" t="s">
        <v>596</v>
      </c>
      <c r="F53" s="115">
        <f>SUM('Units CF'!O21:U21)*(1-'Units CF'!I28)</f>
        <v>12240.599539034356</v>
      </c>
      <c r="G53" s="115">
        <f ca="1">SUM('Units CF'!V21:AA21)*(1-'Units CF'!I28)</f>
        <v>118434.92707928548</v>
      </c>
      <c r="H53" s="115">
        <f>SUM('Units CF'!AB21:AH21)*(1-'Units CF'!I28)</f>
        <v>6272.2992794342572</v>
      </c>
      <c r="I53" s="115">
        <f t="shared" ca="1" si="0"/>
        <v>136947.82589775411</v>
      </c>
      <c r="J53" s="137">
        <f t="shared" si="1"/>
        <v>1.6767944881814817E-3</v>
      </c>
      <c r="K53" s="137">
        <f t="shared" ca="1" si="2"/>
        <v>1.622396291141048E-2</v>
      </c>
      <c r="L53" s="137">
        <f t="shared" si="3"/>
        <v>8.5921909514652265E-4</v>
      </c>
      <c r="M53" s="298">
        <f t="shared" ca="1" si="4"/>
        <v>1.8759976494738484E-2</v>
      </c>
      <c r="N53" s="369">
        <f t="shared" ca="1" si="5"/>
        <v>8.050910967277794E-3</v>
      </c>
      <c r="O53" s="529"/>
      <c r="Q53" s="529"/>
    </row>
    <row r="54" spans="2:17" ht="16.2" customHeight="1" x14ac:dyDescent="0.25">
      <c r="B54" s="991"/>
      <c r="C54" s="981"/>
      <c r="D54" s="388" t="s">
        <v>1448</v>
      </c>
      <c r="E54" s="548" t="s">
        <v>598</v>
      </c>
      <c r="F54" s="115">
        <f>SUM('Units CF'!O22:U22)*(1-'Units CF'!I28)</f>
        <v>375799.34252507018</v>
      </c>
      <c r="G54" s="115">
        <f ca="1">SUM('Units CF'!V22:AA22)*(1-'Units CF'!I28)</f>
        <v>91439.217820334336</v>
      </c>
      <c r="H54" s="115">
        <f>SUM('Units CF'!AB22:AH22)*(1-'Units CF'!I28)</f>
        <v>136627.87824032916</v>
      </c>
      <c r="I54" s="115">
        <f t="shared" ca="1" si="0"/>
        <v>603866.43858573376</v>
      </c>
      <c r="J54" s="137">
        <f t="shared" si="1"/>
        <v>5.1479362934699284E-2</v>
      </c>
      <c r="K54" s="137">
        <f t="shared" ca="1" si="2"/>
        <v>1.2525920479288723E-2</v>
      </c>
      <c r="L54" s="137">
        <f t="shared" si="3"/>
        <v>1.8716148047711368E-2</v>
      </c>
      <c r="M54" s="298">
        <f t="shared" ca="1" si="4"/>
        <v>8.2721431461699371E-2</v>
      </c>
      <c r="N54" s="369">
        <f t="shared" ca="1" si="5"/>
        <v>3.550019798642598E-2</v>
      </c>
      <c r="O54" s="529"/>
      <c r="Q54" s="529"/>
    </row>
    <row r="55" spans="2:17" ht="16.2" customHeight="1" x14ac:dyDescent="0.25">
      <c r="B55" s="991"/>
      <c r="C55" s="981"/>
      <c r="D55" s="388" t="s">
        <v>1449</v>
      </c>
      <c r="E55" s="548" t="s">
        <v>599</v>
      </c>
      <c r="F55" s="115">
        <f>SUM('Units CF'!O23:U24)*(1-'Units CF'!I28)</f>
        <v>766883.57670360303</v>
      </c>
      <c r="G55" s="115">
        <f ca="1">SUM('Units CF'!V23:AA24)*(1-'Units CF'!I28)</f>
        <v>3441657.0974460975</v>
      </c>
      <c r="H55" s="115">
        <f>SUM('Units CF'!AB23:AH24)*(1-'Units CF'!I28)</f>
        <v>651988.70516864944</v>
      </c>
      <c r="I55" s="115">
        <f t="shared" ca="1" si="0"/>
        <v>4860529.37931835</v>
      </c>
      <c r="J55" s="137">
        <f t="shared" si="1"/>
        <v>0.10505254668228003</v>
      </c>
      <c r="K55" s="137">
        <f t="shared" ca="1" si="2"/>
        <v>0.47145988501667424</v>
      </c>
      <c r="L55" s="137">
        <f t="shared" si="3"/>
        <v>8.9313522895433081E-2</v>
      </c>
      <c r="M55" s="298">
        <f t="shared" ca="1" si="4"/>
        <v>0.66582595459438731</v>
      </c>
      <c r="N55" s="369">
        <f t="shared" ca="1" si="5"/>
        <v>0.28574158830346047</v>
      </c>
      <c r="O55" s="529"/>
      <c r="Q55" s="529"/>
    </row>
    <row r="56" spans="2:17" ht="16.2" customHeight="1" x14ac:dyDescent="0.25">
      <c r="B56" s="991"/>
      <c r="C56" s="981"/>
      <c r="D56" s="388" t="s">
        <v>1450</v>
      </c>
      <c r="E56" s="548" t="s">
        <v>600</v>
      </c>
      <c r="F56" s="115">
        <f>SUM('Units CF'!O25:U25)*(1-'Units CF'!I28)</f>
        <v>628859.53381085116</v>
      </c>
      <c r="G56" s="115">
        <f ca="1">SUM('Units CF'!V25:AA25)*(1-'Units CF'!I28)</f>
        <v>28.920230846245328</v>
      </c>
      <c r="H56" s="115">
        <f>SUM('Units CF'!AB25:AH25)*(1-'Units CF'!I28)</f>
        <v>7399.2998091738464</v>
      </c>
      <c r="I56" s="115">
        <f t="shared" ca="1" si="0"/>
        <v>636287.75385087123</v>
      </c>
      <c r="J56" s="137">
        <f t="shared" si="1"/>
        <v>8.6145143199219218E-2</v>
      </c>
      <c r="K56" s="137">
        <f t="shared" ca="1" si="2"/>
        <v>3.9616755311109384E-6</v>
      </c>
      <c r="L56" s="137">
        <f t="shared" si="3"/>
        <v>1.0136027321913166E-3</v>
      </c>
      <c r="M56" s="298">
        <f t="shared" ca="1" si="4"/>
        <v>8.7162707606941642E-2</v>
      </c>
      <c r="N56" s="369">
        <f t="shared" ca="1" si="5"/>
        <v>3.7406187518793925E-2</v>
      </c>
      <c r="O56" s="529"/>
      <c r="Q56" s="529"/>
    </row>
    <row r="57" spans="2:17" ht="16.2" customHeight="1" x14ac:dyDescent="0.25">
      <c r="B57" s="991"/>
      <c r="C57" s="981"/>
      <c r="D57" s="388" t="s">
        <v>1451</v>
      </c>
      <c r="E57" s="548" t="s">
        <v>601</v>
      </c>
      <c r="F57" s="115">
        <f>SUM('Units CF'!O26:U28)*(1-'Units CF'!I28)</f>
        <v>5206838.4444746291</v>
      </c>
      <c r="G57" s="115">
        <f ca="1">SUM('Units CF'!V26:AA28)*(1-'Units CF'!I28)</f>
        <v>440642.71269398706</v>
      </c>
      <c r="H57" s="115">
        <f>SUM('Units CF'!AB26:AH28)*(1-'Units CF'!I28)</f>
        <v>3717721.1192603405</v>
      </c>
      <c r="I57" s="115">
        <f t="shared" ca="1" si="0"/>
        <v>9365202.2764289565</v>
      </c>
      <c r="J57" s="137">
        <f t="shared" si="1"/>
        <v>0.71326555343180997</v>
      </c>
      <c r="K57" s="137">
        <f t="shared" ca="1" si="2"/>
        <v>6.036201654554757E-2</v>
      </c>
      <c r="L57" s="137">
        <f t="shared" si="3"/>
        <v>0.50927687500047147</v>
      </c>
      <c r="M57" s="298">
        <f t="shared" ca="1" si="4"/>
        <v>1.2829044449778291</v>
      </c>
      <c r="N57" s="369">
        <f t="shared" ca="1" si="5"/>
        <v>0.55056302810071389</v>
      </c>
      <c r="O57" s="529"/>
      <c r="Q57" s="529"/>
    </row>
    <row r="58" spans="2:17" ht="16.2" customHeight="1" x14ac:dyDescent="0.25">
      <c r="B58" s="991"/>
      <c r="C58" s="981"/>
      <c r="D58" s="388" t="s">
        <v>1452</v>
      </c>
      <c r="E58" s="548" t="s">
        <v>602</v>
      </c>
      <c r="F58" s="115">
        <f>SUM('Units CF'!O29:U29)</f>
        <v>11812.106159936096</v>
      </c>
      <c r="G58" s="115">
        <f ca="1">SUM('Units CF'!V29:AA29)</f>
        <v>2453.3686314382494</v>
      </c>
      <c r="H58" s="115">
        <f>SUM('Units CF'!AB29:AH29)</f>
        <v>24466.651117782905</v>
      </c>
      <c r="I58" s="115">
        <f t="shared" ca="1" si="0"/>
        <v>38732.12590915725</v>
      </c>
      <c r="J58" s="137">
        <f t="shared" si="1"/>
        <v>1.6180967639398715E-3</v>
      </c>
      <c r="K58" s="137">
        <f t="shared" ca="1" si="2"/>
        <v>3.3607790088666957E-4</v>
      </c>
      <c r="L58" s="137">
        <f t="shared" si="3"/>
        <v>3.3515961050543538E-3</v>
      </c>
      <c r="M58" s="298">
        <f t="shared" ca="1" si="4"/>
        <v>5.3057707698808947E-3</v>
      </c>
      <c r="N58" s="369">
        <f t="shared" ca="1" si="5"/>
        <v>2.2769904905305433E-3</v>
      </c>
      <c r="O58" s="549"/>
      <c r="Q58" s="529"/>
    </row>
    <row r="59" spans="2:17" ht="16.2" customHeight="1" x14ac:dyDescent="0.25">
      <c r="B59" s="991"/>
      <c r="C59" s="981"/>
      <c r="D59" s="388" t="s">
        <v>19</v>
      </c>
      <c r="E59" s="548" t="s">
        <v>603</v>
      </c>
      <c r="F59" s="115">
        <f>SUM('Units CF'!O30:U30)</f>
        <v>186580.02020817364</v>
      </c>
      <c r="G59" s="115">
        <f ca="1">SUM('Units CF'!V30:AA30)</f>
        <v>13086.121045553695</v>
      </c>
      <c r="H59" s="115">
        <f>SUM('Units CF'!AB30:AH30)</f>
        <v>154343.19937308945</v>
      </c>
      <c r="I59" s="115">
        <f t="shared" ca="1" si="0"/>
        <v>354009.34062681679</v>
      </c>
      <c r="J59" s="137">
        <f t="shared" si="1"/>
        <v>2.5558907346995507E-2</v>
      </c>
      <c r="K59" s="137">
        <f t="shared" ca="1" si="2"/>
        <v>1.7926193542143407E-3</v>
      </c>
      <c r="L59" s="137">
        <f t="shared" si="3"/>
        <v>2.1142904411813511E-2</v>
      </c>
      <c r="M59" s="298">
        <f t="shared" ca="1" si="4"/>
        <v>4.8494431113023359E-2</v>
      </c>
      <c r="N59" s="369">
        <f t="shared" ca="1" si="5"/>
        <v>2.0811558447807098E-2</v>
      </c>
      <c r="O59" s="529"/>
      <c r="Q59" s="529"/>
    </row>
    <row r="60" spans="2:17" ht="16.2" customHeight="1" x14ac:dyDescent="0.25">
      <c r="B60" s="991"/>
      <c r="C60" s="981"/>
      <c r="D60" s="388" t="s">
        <v>1453</v>
      </c>
      <c r="E60" s="548" t="s">
        <v>604</v>
      </c>
      <c r="F60" s="115">
        <f>SUM('Units CF'!O31:U31)</f>
        <v>6449.8678187533196</v>
      </c>
      <c r="G60" s="115">
        <f ca="1">SUM('Units CF'!V31:AA31)</f>
        <v>16327.933371490641</v>
      </c>
      <c r="H60" s="115">
        <f>SUM('Units CF'!AB31:AH31)</f>
        <v>90348.612625687121</v>
      </c>
      <c r="I60" s="115">
        <f t="shared" ca="1" si="0"/>
        <v>113126.41381593108</v>
      </c>
      <c r="J60" s="137">
        <f t="shared" si="1"/>
        <v>8.8354355303399391E-4</v>
      </c>
      <c r="K60" s="137">
        <f t="shared" ca="1" si="2"/>
        <v>2.2367032426313526E-3</v>
      </c>
      <c r="L60" s="137">
        <f t="shared" si="3"/>
        <v>1.2376522504676867E-2</v>
      </c>
      <c r="M60" s="298">
        <f t="shared" ca="1" si="4"/>
        <v>1.5496769300342213E-2</v>
      </c>
      <c r="N60" s="369">
        <f t="shared" ca="1" si="5"/>
        <v>6.6504939359860417E-3</v>
      </c>
      <c r="O60" s="529"/>
      <c r="Q60" s="529"/>
    </row>
    <row r="61" spans="2:17" ht="16.2" customHeight="1" x14ac:dyDescent="0.25">
      <c r="B61" s="991"/>
      <c r="C61" s="981"/>
      <c r="D61" s="388" t="s">
        <v>1454</v>
      </c>
      <c r="E61" s="548" t="s">
        <v>605</v>
      </c>
      <c r="F61" s="115">
        <f>SUM('Units CF'!O32:U34)</f>
        <v>2058.4995658272119</v>
      </c>
      <c r="G61" s="115">
        <f ca="1">SUM('Units CF'!V32:AA34)</f>
        <v>2936.0987491781948</v>
      </c>
      <c r="H61" s="115">
        <f>SUM('Units CF'!AB32:AH34)</f>
        <v>35631.891557841656</v>
      </c>
      <c r="I61" s="115">
        <f t="shared" ca="1" si="0"/>
        <v>40626.489872847065</v>
      </c>
      <c r="J61" s="137">
        <f t="shared" si="1"/>
        <v>2.8198624707032451E-4</v>
      </c>
      <c r="K61" s="137">
        <f t="shared" ca="1" si="2"/>
        <v>4.0220531548954892E-4</v>
      </c>
      <c r="L61" s="137">
        <f t="shared" si="3"/>
        <v>4.8810811249187019E-3</v>
      </c>
      <c r="M61" s="298">
        <f t="shared" ca="1" si="4"/>
        <v>5.5652726874785754E-3</v>
      </c>
      <c r="N61" s="369">
        <f t="shared" ca="1" si="5"/>
        <v>2.3883566660160369E-3</v>
      </c>
      <c r="O61" s="529"/>
      <c r="Q61" s="529"/>
    </row>
    <row r="62" spans="2:17" ht="16.2" customHeight="1" x14ac:dyDescent="0.25">
      <c r="B62" s="991"/>
      <c r="C62" s="981"/>
      <c r="D62" s="524"/>
      <c r="E62" s="523" t="s">
        <v>410</v>
      </c>
      <c r="F62" s="135">
        <f>SUM(F50:F61)</f>
        <v>7778209.4831764027</v>
      </c>
      <c r="G62" s="135">
        <f t="shared" ref="G62:H62" ca="1" si="6">SUM(G50:G61)</f>
        <v>4350180.4260826437</v>
      </c>
      <c r="H62" s="135">
        <f t="shared" si="6"/>
        <v>4881837.4369836664</v>
      </c>
      <c r="I62" s="135">
        <f t="shared" ref="I62" ca="1" si="7">SUM(I50:I61)</f>
        <v>17010227.346242711</v>
      </c>
      <c r="J62" s="136">
        <f t="shared" ref="J62" si="8">SUM(J50:J61)</f>
        <v>1.0655081679389722</v>
      </c>
      <c r="K62" s="136">
        <f t="shared" ref="K62" ca="1" si="9">SUM(K50:K61)</f>
        <v>0.59591513779935201</v>
      </c>
      <c r="L62" s="136">
        <f t="shared" ref="L62" si="10">SUM(L50:L61)</f>
        <v>0.66874486665691479</v>
      </c>
      <c r="M62" s="986">
        <f t="shared" ref="M62" ca="1" si="11">SUM(M50:M61)</f>
        <v>2.330168172395239</v>
      </c>
      <c r="N62" s="987">
        <f t="shared" ref="N62" ca="1" si="12">SUM(N50:N61)</f>
        <v>1</v>
      </c>
      <c r="O62" s="529"/>
      <c r="Q62" s="529"/>
    </row>
    <row r="63" spans="2:17" ht="16.2" customHeight="1" x14ac:dyDescent="0.25">
      <c r="B63" s="992"/>
      <c r="C63" s="982"/>
      <c r="D63" s="525"/>
      <c r="E63" s="523" t="s">
        <v>309</v>
      </c>
      <c r="F63" s="135"/>
      <c r="G63" s="135"/>
      <c r="H63" s="135"/>
      <c r="I63" s="135"/>
      <c r="J63" s="360">
        <f ca="1">J62/M62</f>
        <v>0.45726663876097379</v>
      </c>
      <c r="K63" s="360">
        <f ca="1">K62/M62</f>
        <v>0.25573911139074385</v>
      </c>
      <c r="L63" s="360">
        <f ca="1">L62/M62</f>
        <v>0.28699424984828242</v>
      </c>
      <c r="M63" s="986"/>
      <c r="N63" s="987"/>
      <c r="O63" s="529"/>
      <c r="Q63" s="529"/>
    </row>
    <row r="64" spans="2:17" ht="16.2" customHeight="1" x14ac:dyDescent="0.25">
      <c r="B64" s="543"/>
      <c r="C64" s="543"/>
      <c r="N64" s="529"/>
      <c r="O64" s="529"/>
      <c r="Q64" s="529"/>
    </row>
    <row r="65" spans="8:28" x14ac:dyDescent="0.25">
      <c r="N65" s="529"/>
      <c r="O65" s="529"/>
      <c r="Q65" s="529"/>
    </row>
    <row r="66" spans="8:28" x14ac:dyDescent="0.25">
      <c r="N66" s="529"/>
      <c r="O66" s="529"/>
      <c r="Q66" s="529"/>
    </row>
    <row r="67" spans="8:28" ht="21.6" customHeight="1" x14ac:dyDescent="0.25">
      <c r="N67" s="529"/>
      <c r="O67" s="529"/>
    </row>
    <row r="68" spans="8:28" ht="16.8" customHeight="1" x14ac:dyDescent="0.25">
      <c r="H68" s="529"/>
      <c r="I68" s="529"/>
    </row>
    <row r="69" spans="8:28" x14ac:dyDescent="0.25">
      <c r="H69" s="529"/>
      <c r="I69" s="529"/>
      <c r="J69" s="529"/>
      <c r="K69" s="529"/>
      <c r="L69" s="529"/>
      <c r="M69" s="529"/>
      <c r="N69" s="529"/>
      <c r="O69" s="529"/>
      <c r="Q69" s="529"/>
      <c r="S69" s="529"/>
      <c r="U69" s="529"/>
      <c r="W69" s="529"/>
      <c r="X69" s="529"/>
      <c r="Y69" s="529"/>
      <c r="Z69" s="529"/>
      <c r="AA69" s="529"/>
      <c r="AB69" s="529"/>
    </row>
    <row r="70" spans="8:28" x14ac:dyDescent="0.25">
      <c r="H70" s="529"/>
      <c r="I70" s="529"/>
      <c r="J70" s="529"/>
      <c r="K70" s="529"/>
      <c r="L70" s="529"/>
      <c r="M70" s="529"/>
      <c r="N70" s="529"/>
      <c r="O70" s="529"/>
      <c r="Q70" s="529"/>
      <c r="S70" s="529"/>
      <c r="U70" s="529"/>
      <c r="W70" s="529"/>
      <c r="X70" s="529"/>
      <c r="Y70" s="529"/>
      <c r="Z70" s="529"/>
      <c r="AA70" s="529"/>
      <c r="AB70" s="529"/>
    </row>
    <row r="71" spans="8:28" x14ac:dyDescent="0.25">
      <c r="H71" s="529"/>
      <c r="I71" s="529"/>
      <c r="J71" s="529"/>
      <c r="K71" s="529"/>
      <c r="L71" s="529"/>
      <c r="M71" s="529"/>
      <c r="N71" s="529"/>
      <c r="O71" s="529"/>
      <c r="Q71" s="529"/>
      <c r="S71" s="529"/>
      <c r="U71" s="529"/>
      <c r="W71" s="529"/>
      <c r="X71" s="529"/>
      <c r="Y71" s="529"/>
      <c r="Z71" s="529"/>
      <c r="AA71" s="529"/>
      <c r="AB71" s="529"/>
    </row>
    <row r="72" spans="8:28" x14ac:dyDescent="0.25">
      <c r="H72" s="529"/>
      <c r="I72" s="529"/>
      <c r="J72" s="529"/>
      <c r="K72" s="529"/>
      <c r="L72" s="529"/>
      <c r="M72" s="529"/>
      <c r="N72" s="529"/>
      <c r="O72" s="529"/>
      <c r="Q72" s="529"/>
      <c r="S72" s="529"/>
      <c r="U72" s="529"/>
      <c r="W72" s="529"/>
      <c r="X72" s="529"/>
      <c r="Y72" s="529"/>
      <c r="Z72" s="529"/>
      <c r="AA72" s="529"/>
      <c r="AB72" s="529"/>
    </row>
    <row r="73" spans="8:28" x14ac:dyDescent="0.25">
      <c r="H73" s="529"/>
      <c r="I73" s="529"/>
      <c r="J73" s="529"/>
      <c r="K73" s="529"/>
      <c r="L73" s="529"/>
      <c r="M73" s="529"/>
      <c r="N73" s="529"/>
      <c r="O73" s="529"/>
      <c r="Q73" s="529"/>
      <c r="S73" s="529"/>
      <c r="U73" s="529"/>
      <c r="W73" s="529"/>
      <c r="X73" s="529"/>
      <c r="Y73" s="529"/>
      <c r="Z73" s="529"/>
      <c r="AA73" s="529"/>
      <c r="AB73" s="529"/>
    </row>
    <row r="74" spans="8:28" x14ac:dyDescent="0.25">
      <c r="H74" s="529"/>
      <c r="I74" s="529"/>
      <c r="J74" s="529"/>
      <c r="K74" s="529"/>
      <c r="L74" s="529"/>
      <c r="M74" s="529"/>
      <c r="N74" s="529"/>
      <c r="O74" s="529"/>
      <c r="Q74" s="529"/>
      <c r="S74" s="529"/>
      <c r="U74" s="529"/>
      <c r="W74" s="529"/>
      <c r="X74" s="529"/>
      <c r="Y74" s="529"/>
      <c r="Z74" s="529"/>
      <c r="AA74" s="529"/>
      <c r="AB74" s="529"/>
    </row>
    <row r="75" spans="8:28" x14ac:dyDescent="0.25">
      <c r="H75" s="529"/>
      <c r="I75" s="529"/>
      <c r="J75" s="529"/>
      <c r="K75" s="529"/>
      <c r="L75" s="529"/>
      <c r="M75" s="529"/>
      <c r="N75" s="529"/>
      <c r="O75" s="529"/>
      <c r="Q75" s="529"/>
      <c r="S75" s="529"/>
      <c r="U75" s="529"/>
      <c r="W75" s="529"/>
      <c r="X75" s="529"/>
      <c r="Y75" s="529"/>
      <c r="Z75" s="529"/>
      <c r="AA75" s="529"/>
      <c r="AB75" s="529"/>
    </row>
    <row r="76" spans="8:28" x14ac:dyDescent="0.25">
      <c r="H76" s="529"/>
      <c r="I76" s="529"/>
      <c r="J76" s="529"/>
      <c r="K76" s="529"/>
      <c r="L76" s="529"/>
      <c r="M76" s="529"/>
      <c r="N76" s="529"/>
      <c r="O76" s="529"/>
      <c r="Q76" s="529"/>
      <c r="S76" s="529"/>
      <c r="U76" s="529"/>
      <c r="W76" s="529"/>
      <c r="X76" s="529"/>
      <c r="Y76" s="529"/>
      <c r="Z76" s="529"/>
      <c r="AA76" s="529"/>
      <c r="AB76" s="529"/>
    </row>
    <row r="77" spans="8:28" x14ac:dyDescent="0.25">
      <c r="H77" s="529"/>
      <c r="I77" s="529"/>
      <c r="J77" s="529"/>
      <c r="K77" s="529"/>
      <c r="L77" s="529"/>
      <c r="M77" s="529"/>
      <c r="N77" s="529"/>
      <c r="O77" s="529"/>
      <c r="Q77" s="529"/>
      <c r="S77" s="529"/>
      <c r="U77" s="529"/>
      <c r="W77" s="529"/>
      <c r="X77" s="529"/>
      <c r="Y77" s="529"/>
      <c r="Z77" s="529"/>
      <c r="AA77" s="529"/>
      <c r="AB77" s="529"/>
    </row>
    <row r="78" spans="8:28" x14ac:dyDescent="0.25">
      <c r="J78" s="529"/>
      <c r="K78" s="529"/>
      <c r="L78" s="529"/>
      <c r="M78" s="529"/>
      <c r="N78" s="529"/>
      <c r="O78" s="529"/>
      <c r="Q78" s="529"/>
      <c r="S78" s="529"/>
      <c r="U78" s="529"/>
      <c r="W78" s="529"/>
      <c r="X78" s="529"/>
      <c r="Y78" s="529"/>
      <c r="Z78" s="529"/>
      <c r="AA78" s="529"/>
      <c r="AB78" s="529"/>
    </row>
    <row r="79" spans="8:28" x14ac:dyDescent="0.25">
      <c r="J79" s="529"/>
      <c r="K79" s="529"/>
      <c r="L79" s="529"/>
      <c r="M79" s="529"/>
      <c r="N79" s="529"/>
      <c r="O79" s="529"/>
      <c r="Q79" s="529"/>
      <c r="S79" s="529"/>
      <c r="U79" s="529"/>
      <c r="W79" s="529"/>
      <c r="X79" s="529"/>
      <c r="Y79" s="529"/>
      <c r="Z79" s="529"/>
      <c r="AA79" s="529"/>
      <c r="AB79" s="529"/>
    </row>
    <row r="98" spans="1:38" ht="27.6" x14ac:dyDescent="0.25">
      <c r="A98" s="531"/>
      <c r="B98" s="532" t="s">
        <v>1390</v>
      </c>
      <c r="C98" s="533"/>
      <c r="D98" s="534" t="s">
        <v>1344</v>
      </c>
      <c r="E98" s="534"/>
      <c r="F98" s="535"/>
      <c r="G98" s="533"/>
      <c r="H98" s="533"/>
      <c r="I98" s="533"/>
      <c r="J98" s="533"/>
      <c r="K98" s="533"/>
      <c r="L98" s="533"/>
      <c r="M98" s="533"/>
      <c r="N98" s="533"/>
      <c r="O98" s="533"/>
      <c r="P98" s="533"/>
      <c r="Q98" s="533"/>
      <c r="R98" s="533"/>
      <c r="S98" s="533"/>
      <c r="T98" s="533"/>
      <c r="U98" s="533"/>
      <c r="V98" s="533"/>
      <c r="W98" s="533"/>
      <c r="X98" s="533"/>
      <c r="Y98" s="533"/>
      <c r="Z98" s="533"/>
      <c r="AA98" s="533"/>
      <c r="AB98" s="533"/>
      <c r="AC98" s="533"/>
      <c r="AD98" s="533"/>
      <c r="AE98" s="533"/>
      <c r="AF98" s="533"/>
      <c r="AG98" s="533"/>
      <c r="AH98" s="533"/>
      <c r="AI98" s="533"/>
      <c r="AJ98" s="533"/>
      <c r="AK98" s="533"/>
      <c r="AL98" s="533"/>
    </row>
    <row r="101" spans="1:38" ht="27.6" x14ac:dyDescent="0.25">
      <c r="B101" s="976" t="s">
        <v>425</v>
      </c>
      <c r="C101" s="523" t="s">
        <v>408</v>
      </c>
      <c r="D101" s="976" t="s">
        <v>411</v>
      </c>
      <c r="E101" s="976" t="s">
        <v>411</v>
      </c>
      <c r="F101" s="522" t="s">
        <v>479</v>
      </c>
      <c r="G101" s="522" t="s">
        <v>480</v>
      </c>
      <c r="H101" s="522" t="s">
        <v>481</v>
      </c>
      <c r="I101" s="522" t="s">
        <v>482</v>
      </c>
      <c r="J101" s="546" t="s">
        <v>484</v>
      </c>
      <c r="K101" s="546" t="s">
        <v>483</v>
      </c>
      <c r="L101" s="546" t="s">
        <v>485</v>
      </c>
      <c r="M101" s="522" t="s">
        <v>486</v>
      </c>
      <c r="N101" s="523" t="s">
        <v>487</v>
      </c>
    </row>
    <row r="102" spans="1:38" x14ac:dyDescent="0.25">
      <c r="B102" s="976"/>
      <c r="C102" s="523" t="s">
        <v>477</v>
      </c>
      <c r="D102" s="976"/>
      <c r="E102" s="976"/>
      <c r="F102" s="523" t="s">
        <v>308</v>
      </c>
      <c r="G102" s="523" t="s">
        <v>308</v>
      </c>
      <c r="H102" s="523" t="s">
        <v>308</v>
      </c>
      <c r="I102" s="523" t="s">
        <v>308</v>
      </c>
      <c r="J102" s="547" t="s">
        <v>310</v>
      </c>
      <c r="K102" s="547" t="s">
        <v>310</v>
      </c>
      <c r="L102" s="547" t="s">
        <v>310</v>
      </c>
      <c r="M102" s="523" t="s">
        <v>310</v>
      </c>
      <c r="N102" s="523" t="s">
        <v>309</v>
      </c>
    </row>
    <row r="103" spans="1:38" x14ac:dyDescent="0.25">
      <c r="B103" s="977" t="s">
        <v>1390</v>
      </c>
      <c r="C103" s="980">
        <f>'Units CF'!F40</f>
        <v>2750925.4609999992</v>
      </c>
      <c r="D103" s="388" t="s">
        <v>229</v>
      </c>
      <c r="E103" s="548" t="s">
        <v>594</v>
      </c>
      <c r="F103" s="115">
        <f>F50*'Units CF'!$I$32*'Units CF'!$I$40</f>
        <v>120318.89980943096</v>
      </c>
      <c r="G103" s="115">
        <f ca="1">G50*'Units CF'!$I$32*'Units CF'!$I$40</f>
        <v>2481.0025924156057</v>
      </c>
      <c r="H103" s="115">
        <f>H50*'Units CF'!$I$32*'Units CF'!$I$40</f>
        <v>17061.699447428658</v>
      </c>
      <c r="I103" s="115">
        <f ca="1">SUM(F103:H103)</f>
        <v>139861.60184927523</v>
      </c>
      <c r="J103" s="521">
        <f>F103/$C$103</f>
        <v>4.3737608130499248E-2</v>
      </c>
      <c r="K103" s="521">
        <f ca="1">G103/$C$103</f>
        <v>9.0187925030645044E-4</v>
      </c>
      <c r="L103" s="521">
        <f>H103/$C$103</f>
        <v>6.2021671213245075E-3</v>
      </c>
      <c r="M103" s="298">
        <f ca="1">SUM(J103:L103)</f>
        <v>5.0841654502130205E-2</v>
      </c>
      <c r="N103" s="369">
        <f ca="1">M103/$M$116</f>
        <v>2.0462671376497311E-2</v>
      </c>
    </row>
    <row r="104" spans="1:38" x14ac:dyDescent="0.25">
      <c r="B104" s="978"/>
      <c r="C104" s="981"/>
      <c r="D104" s="388" t="s">
        <v>1445</v>
      </c>
      <c r="E104" s="548" t="s">
        <v>597</v>
      </c>
      <c r="F104" s="115">
        <f>F51*'Units CF'!$I$32*'Units CF'!$I$40</f>
        <v>104608.56077133137</v>
      </c>
      <c r="G104" s="115">
        <f ca="1">G51*'Units CF'!$I$32*'Units CF'!$I$40</f>
        <v>83929.734072476611</v>
      </c>
      <c r="H104" s="115">
        <f>H51*'Units CF'!$I$32*'Units CF'!$I$40</f>
        <v>4701.6603408881037</v>
      </c>
      <c r="I104" s="115">
        <f t="shared" ref="I104:I115" ca="1" si="13">SUM(F104:H104)</f>
        <v>193239.9551846961</v>
      </c>
      <c r="J104" s="521">
        <f t="shared" ref="J104:J115" si="14">F104/$C$103</f>
        <v>3.8026679477278426E-2</v>
      </c>
      <c r="K104" s="521">
        <f t="shared" ref="K104:K115" ca="1" si="15">G104/$C$103</f>
        <v>3.0509635852498527E-2</v>
      </c>
      <c r="L104" s="521">
        <f t="shared" ref="L104:L115" si="16">H104/$C$103</f>
        <v>1.7091194972542025E-3</v>
      </c>
      <c r="M104" s="298">
        <f t="shared" ref="M104:M115" ca="1" si="17">SUM(J104:L104)</f>
        <v>7.0245434827031161E-2</v>
      </c>
      <c r="N104" s="369">
        <f t="shared" ref="N104:N115" ca="1" si="18">M104/$M$116</f>
        <v>2.827227521685928E-2</v>
      </c>
    </row>
    <row r="105" spans="1:38" x14ac:dyDescent="0.25">
      <c r="B105" s="978"/>
      <c r="C105" s="981"/>
      <c r="D105" s="388" t="s">
        <v>1446</v>
      </c>
      <c r="E105" s="548" t="s">
        <v>595</v>
      </c>
      <c r="F105" s="115">
        <f>F52*'Units CF'!$I$32*'Units CF'!$I$40</f>
        <v>0.52803747553158453</v>
      </c>
      <c r="G105" s="115">
        <f ca="1">G52*'Units CF'!$I$32*'Units CF'!$I$40</f>
        <v>35.219408867800311</v>
      </c>
      <c r="H105" s="115">
        <f>H52*'Units CF'!$I$32*'Units CF'!$I$40</f>
        <v>330.09568166018403</v>
      </c>
      <c r="I105" s="115">
        <f t="shared" ca="1" si="13"/>
        <v>365.84312800351591</v>
      </c>
      <c r="J105" s="521">
        <f t="shared" si="14"/>
        <v>1.9194903061445935E-7</v>
      </c>
      <c r="K105" s="521">
        <f t="shared" ca="1" si="15"/>
        <v>1.280274924461151E-5</v>
      </c>
      <c r="L105" s="521">
        <f t="shared" si="16"/>
        <v>1.199944114589676E-4</v>
      </c>
      <c r="M105" s="298">
        <f t="shared" ca="1" si="17"/>
        <v>1.3298910973419357E-4</v>
      </c>
      <c r="N105" s="369">
        <f t="shared" ca="1" si="18"/>
        <v>5.3525253569978193E-5</v>
      </c>
    </row>
    <row r="106" spans="1:38" x14ac:dyDescent="0.25">
      <c r="B106" s="978"/>
      <c r="C106" s="981"/>
      <c r="D106" s="388" t="s">
        <v>1447</v>
      </c>
      <c r="E106" s="548" t="s">
        <v>596</v>
      </c>
      <c r="F106" s="115">
        <f>F53*'Units CF'!$I$32*'Units CF'!$I$40</f>
        <v>4741.3685846009821</v>
      </c>
      <c r="G106" s="115">
        <f ca="1">G53*'Units CF'!$I$32*'Units CF'!$I$40</f>
        <v>45875.501504849628</v>
      </c>
      <c r="H106" s="115">
        <f>H53*'Units CF'!$I$32*'Units CF'!$I$40</f>
        <v>2429.5609591579737</v>
      </c>
      <c r="I106" s="115">
        <f t="shared" ca="1" si="13"/>
        <v>53046.431048608581</v>
      </c>
      <c r="J106" s="521">
        <f t="shared" si="14"/>
        <v>1.7235540009424427E-3</v>
      </c>
      <c r="K106" s="521">
        <f t="shared" ca="1" si="15"/>
        <v>1.667638842099824E-2</v>
      </c>
      <c r="L106" s="521">
        <f t="shared" si="16"/>
        <v>8.8317949490161578E-4</v>
      </c>
      <c r="M106" s="298">
        <f t="shared" ca="1" si="17"/>
        <v>1.9283121916842297E-2</v>
      </c>
      <c r="N106" s="369">
        <f t="shared" ca="1" si="18"/>
        <v>7.7610414287509902E-3</v>
      </c>
    </row>
    <row r="107" spans="1:38" x14ac:dyDescent="0.25">
      <c r="B107" s="978"/>
      <c r="C107" s="981"/>
      <c r="D107" s="388" t="s">
        <v>1448</v>
      </c>
      <c r="E107" s="548" t="s">
        <v>598</v>
      </c>
      <c r="F107" s="115">
        <f>F54*'Units CF'!$I$32*'Units CF'!$I$40</f>
        <v>145565.02653975686</v>
      </c>
      <c r="G107" s="115">
        <f ca="1">G54*'Units CF'!$I$32*'Units CF'!$I$40</f>
        <v>35418.774496401951</v>
      </c>
      <c r="H107" s="115">
        <f>H54*'Units CF'!$I$32*'Units CF'!$I$40</f>
        <v>52922.500046144713</v>
      </c>
      <c r="I107" s="115">
        <f t="shared" ca="1" si="13"/>
        <v>233906.30108230351</v>
      </c>
      <c r="J107" s="521">
        <f t="shared" si="14"/>
        <v>5.2914929395012383E-2</v>
      </c>
      <c r="K107" s="521">
        <f t="shared" ca="1" si="15"/>
        <v>1.2875221447667557E-2</v>
      </c>
      <c r="L107" s="521">
        <f t="shared" si="16"/>
        <v>1.923807125871984E-2</v>
      </c>
      <c r="M107" s="298">
        <f t="shared" ca="1" si="17"/>
        <v>8.5028222101399792E-2</v>
      </c>
      <c r="N107" s="369">
        <f t="shared" ca="1" si="18"/>
        <v>3.4222028838889765E-2</v>
      </c>
    </row>
    <row r="108" spans="1:38" x14ac:dyDescent="0.25">
      <c r="B108" s="978"/>
      <c r="C108" s="981"/>
      <c r="D108" s="388" t="s">
        <v>1449</v>
      </c>
      <c r="E108" s="548" t="s">
        <v>599</v>
      </c>
      <c r="F108" s="115">
        <f>F55*'Units CF'!$I$32*'Units CF'!$I$40</f>
        <v>297050.62133874418</v>
      </c>
      <c r="G108" s="115">
        <f ca="1">G55*'Units CF'!$I$32*'Units CF'!$I$40</f>
        <v>1333118.1033055219</v>
      </c>
      <c r="H108" s="115">
        <f>H55*'Units CF'!$I$32*'Units CF'!$I$40</f>
        <v>252546.35235335669</v>
      </c>
      <c r="I108" s="115">
        <f t="shared" ca="1" si="13"/>
        <v>1882715.0769976228</v>
      </c>
      <c r="J108" s="521">
        <f t="shared" si="14"/>
        <v>0.1079820684166274</v>
      </c>
      <c r="K108" s="521">
        <f t="shared" ca="1" si="15"/>
        <v>0.4846071339282727</v>
      </c>
      <c r="L108" s="521">
        <f t="shared" si="16"/>
        <v>9.18041422545679E-2</v>
      </c>
      <c r="M108" s="298">
        <f t="shared" ca="1" si="17"/>
        <v>0.68439334459946799</v>
      </c>
      <c r="N108" s="369">
        <f t="shared" ca="1" si="18"/>
        <v>0.2754535870230978</v>
      </c>
    </row>
    <row r="109" spans="1:38" x14ac:dyDescent="0.25">
      <c r="B109" s="978"/>
      <c r="C109" s="981"/>
      <c r="D109" s="388" t="s">
        <v>1450</v>
      </c>
      <c r="E109" s="548" t="s">
        <v>600</v>
      </c>
      <c r="F109" s="115">
        <f>F56*'Units CF'!$I$32*'Units CF'!$I$40</f>
        <v>243587.32006788673</v>
      </c>
      <c r="G109" s="115">
        <f ca="1">G56*'Units CF'!$I$32*'Units CF'!$I$40</f>
        <v>11.202186098526116</v>
      </c>
      <c r="H109" s="115">
        <f>H56*'Units CF'!$I$32*'Units CF'!$I$40</f>
        <v>2866.1020688884118</v>
      </c>
      <c r="I109" s="115">
        <f t="shared" ca="1" si="13"/>
        <v>246464.62432287366</v>
      </c>
      <c r="J109" s="521">
        <f t="shared" si="14"/>
        <v>8.8547408325392929E-2</v>
      </c>
      <c r="K109" s="521">
        <f t="shared" ca="1" si="15"/>
        <v>4.0721518112140947E-6</v>
      </c>
      <c r="L109" s="521">
        <f t="shared" si="16"/>
        <v>1.041868312871896E-3</v>
      </c>
      <c r="M109" s="298">
        <f t="shared" ca="1" si="17"/>
        <v>8.9593348790076036E-2</v>
      </c>
      <c r="N109" s="369">
        <f t="shared" ca="1" si="18"/>
        <v>3.6059394049310786E-2</v>
      </c>
    </row>
    <row r="110" spans="1:38" x14ac:dyDescent="0.25">
      <c r="B110" s="978"/>
      <c r="C110" s="981"/>
      <c r="D110" s="388" t="s">
        <v>1451</v>
      </c>
      <c r="E110" s="548" t="s">
        <v>601</v>
      </c>
      <c r="F110" s="115">
        <f>F57*'Units CF'!$I$32*'Units CF'!$I$40</f>
        <v>2016857.1112058628</v>
      </c>
      <c r="G110" s="115">
        <f ca="1">G57*'Units CF'!$I$32*'Units CF'!$I$40</f>
        <v>170681.95951825447</v>
      </c>
      <c r="H110" s="115">
        <f>H57*'Units CF'!$I$32*'Units CF'!$I$40</f>
        <v>1440050.8786319755</v>
      </c>
      <c r="I110" s="115">
        <f t="shared" ca="1" si="13"/>
        <v>3627589.9493560926</v>
      </c>
      <c r="J110" s="521">
        <f t="shared" si="14"/>
        <v>0.73315585601970745</v>
      </c>
      <c r="K110" s="521">
        <f t="shared" ca="1" si="15"/>
        <v>6.2045286918173799E-2</v>
      </c>
      <c r="L110" s="521">
        <f t="shared" si="16"/>
        <v>0.52347869800459701</v>
      </c>
      <c r="M110" s="298">
        <f t="shared" ca="1" si="17"/>
        <v>1.3186798409424783</v>
      </c>
      <c r="N110" s="369">
        <f t="shared" ca="1" si="18"/>
        <v>0.53074024636407324</v>
      </c>
    </row>
    <row r="111" spans="1:38" x14ac:dyDescent="0.25">
      <c r="B111" s="978"/>
      <c r="C111" s="981"/>
      <c r="D111" s="388" t="s">
        <v>1452</v>
      </c>
      <c r="E111" s="548" t="s">
        <v>602</v>
      </c>
      <c r="F111" s="115">
        <f>F58*'Units CF'!$I$32*'Units CF'!$I$40</f>
        <v>4575.3926420103226</v>
      </c>
      <c r="G111" s="115">
        <f ca="1">G58*'Units CF'!$I$32*'Units CF'!$I$40</f>
        <v>950.30679816394661</v>
      </c>
      <c r="H111" s="115">
        <f>H58*'Units CF'!$I$32*'Units CF'!$I$40</f>
        <v>9477.1020496435467</v>
      </c>
      <c r="I111" s="115">
        <f t="shared" ca="1" si="13"/>
        <v>15002.801489817815</v>
      </c>
      <c r="J111" s="521">
        <f t="shared" si="14"/>
        <v>1.6632194172019131E-3</v>
      </c>
      <c r="K111" s="521">
        <f t="shared" ca="1" si="15"/>
        <v>3.4544985374430941E-4</v>
      </c>
      <c r="L111" s="521">
        <f t="shared" si="16"/>
        <v>3.4450595568658155E-3</v>
      </c>
      <c r="M111" s="298">
        <f t="shared" ca="1" si="17"/>
        <v>5.4537288278120374E-3</v>
      </c>
      <c r="N111" s="369">
        <f t="shared" ca="1" si="18"/>
        <v>2.1950084408714865E-3</v>
      </c>
    </row>
    <row r="112" spans="1:38" x14ac:dyDescent="0.25">
      <c r="B112" s="978"/>
      <c r="C112" s="981"/>
      <c r="D112" s="388" t="s">
        <v>19</v>
      </c>
      <c r="E112" s="548" t="s">
        <v>603</v>
      </c>
      <c r="F112" s="115">
        <f>F59*'Units CF'!$I$32*'Units CF'!$I$40</f>
        <v>72271.349414559736</v>
      </c>
      <c r="G112" s="115">
        <f ca="1">G59*'Units CF'!$I$32*'Units CF'!$I$40</f>
        <v>5068.8794304407711</v>
      </c>
      <c r="H112" s="115">
        <f>H59*'Units CF'!$I$32*'Units CF'!$I$40</f>
        <v>59784.489674768229</v>
      </c>
      <c r="I112" s="115">
        <f t="shared" ca="1" si="13"/>
        <v>137124.71851976874</v>
      </c>
      <c r="J112" s="521">
        <f t="shared" si="14"/>
        <v>2.627164946457259E-2</v>
      </c>
      <c r="K112" s="521">
        <f t="shared" ca="1" si="15"/>
        <v>1.842608788315974E-3</v>
      </c>
      <c r="L112" s="521">
        <f t="shared" si="16"/>
        <v>2.1732500761047793E-2</v>
      </c>
      <c r="M112" s="298">
        <f t="shared" ca="1" si="17"/>
        <v>4.9846759013936356E-2</v>
      </c>
      <c r="N112" s="369">
        <f t="shared" ca="1" si="18"/>
        <v>2.0062247361420902E-2</v>
      </c>
    </row>
    <row r="113" spans="2:14" x14ac:dyDescent="0.25">
      <c r="B113" s="978"/>
      <c r="C113" s="981"/>
      <c r="D113" s="388" t="s">
        <v>1453</v>
      </c>
      <c r="E113" s="548" t="s">
        <v>604</v>
      </c>
      <c r="F113" s="115">
        <f>F60*'Units CF'!$I$32*'Units CF'!$I$40</f>
        <v>2498.3417318036331</v>
      </c>
      <c r="G113" s="115">
        <f ca="1">G60*'Units CF'!$I$32*'Units CF'!$I$40</f>
        <v>6324.5881128753126</v>
      </c>
      <c r="H113" s="115">
        <f>H60*'Units CF'!$I$32*'Units CF'!$I$40</f>
        <v>34996.331037516364</v>
      </c>
      <c r="I113" s="115">
        <f t="shared" ca="1" si="13"/>
        <v>43819.260882195311</v>
      </c>
      <c r="J113" s="521">
        <f t="shared" si="14"/>
        <v>9.0818227073860872E-4</v>
      </c>
      <c r="K113" s="521">
        <f t="shared" ca="1" si="15"/>
        <v>2.2990765117191646E-3</v>
      </c>
      <c r="L113" s="521">
        <f t="shared" si="16"/>
        <v>1.2721657323566563E-2</v>
      </c>
      <c r="M113" s="298">
        <f t="shared" ca="1" si="17"/>
        <v>1.5928916106024336E-2</v>
      </c>
      <c r="N113" s="369">
        <f t="shared" ca="1" si="18"/>
        <v>6.4110458019755109E-3</v>
      </c>
    </row>
    <row r="114" spans="2:14" x14ac:dyDescent="0.25">
      <c r="B114" s="978"/>
      <c r="C114" s="981"/>
      <c r="D114" s="388" t="s">
        <v>1454</v>
      </c>
      <c r="E114" s="548" t="s">
        <v>605</v>
      </c>
      <c r="F114" s="115">
        <f>F61*'Units CF'!$I$32*'Units CF'!$I$40</f>
        <v>797.35515745806879</v>
      </c>
      <c r="G114" s="115">
        <f ca="1">G61*'Units CF'!$I$32*'Units CF'!$I$40</f>
        <v>1137.2912189673634</v>
      </c>
      <c r="H114" s="115">
        <f>H61*'Units CF'!$I$32*'Units CF'!$I$40</f>
        <v>13801.932716082232</v>
      </c>
      <c r="I114" s="115">
        <f t="shared" ca="1" si="13"/>
        <v>15736.579092507665</v>
      </c>
      <c r="J114" s="521">
        <f t="shared" si="14"/>
        <v>2.8984978646721282E-4</v>
      </c>
      <c r="K114" s="521">
        <f t="shared" ca="1" si="15"/>
        <v>4.1342131405986641E-4</v>
      </c>
      <c r="L114" s="521">
        <f t="shared" si="16"/>
        <v>5.01719618061372E-3</v>
      </c>
      <c r="M114" s="298">
        <f t="shared" ca="1" si="17"/>
        <v>5.7204672811407989E-3</v>
      </c>
      <c r="N114" s="369">
        <f t="shared" ca="1" si="18"/>
        <v>2.302364925773309E-3</v>
      </c>
    </row>
    <row r="115" spans="2:14" x14ac:dyDescent="0.25">
      <c r="B115" s="978"/>
      <c r="C115" s="981"/>
      <c r="D115" s="388" t="s">
        <v>1455</v>
      </c>
      <c r="E115" s="548" t="s">
        <v>636</v>
      </c>
      <c r="F115" s="115">
        <f>'Units CF'!L35*'Units CF'!I40</f>
        <v>31447.693377173407</v>
      </c>
      <c r="G115" s="115">
        <f ca="1">'Units CF'!M35*'Units CF'!I40</f>
        <v>89091.071699408916</v>
      </c>
      <c r="H115" s="115">
        <f>'Units CF'!N35*'Units CF'!I40</f>
        <v>125551.09733342068</v>
      </c>
      <c r="I115" s="115">
        <f t="shared" ca="1" si="13"/>
        <v>246089.862410003</v>
      </c>
      <c r="J115" s="521">
        <f t="shared" si="14"/>
        <v>1.1431677747364968E-2</v>
      </c>
      <c r="K115" s="521">
        <f t="shared" ca="1" si="15"/>
        <v>3.2385854492408925E-2</v>
      </c>
      <c r="L115" s="521">
        <f t="shared" si="16"/>
        <v>4.5639585337140007E-2</v>
      </c>
      <c r="M115" s="298">
        <f t="shared" ca="1" si="17"/>
        <v>8.9457117576913908E-2</v>
      </c>
      <c r="N115" s="369">
        <f t="shared" ca="1" si="18"/>
        <v>3.6004563918909716E-2</v>
      </c>
    </row>
    <row r="116" spans="2:14" x14ac:dyDescent="0.25">
      <c r="B116" s="978"/>
      <c r="C116" s="981"/>
      <c r="D116" s="524"/>
      <c r="E116" s="523" t="s">
        <v>410</v>
      </c>
      <c r="F116" s="135">
        <f>SUM(F103:F115)</f>
        <v>3044319.5686780945</v>
      </c>
      <c r="G116" s="135">
        <f t="shared" ref="G116:N116" ca="1" si="19">SUM(G103:G115)</f>
        <v>1774123.6343447429</v>
      </c>
      <c r="H116" s="135">
        <f t="shared" si="19"/>
        <v>2016519.8023409315</v>
      </c>
      <c r="I116" s="135">
        <f t="shared" ca="1" si="19"/>
        <v>6834963.0053637689</v>
      </c>
      <c r="J116" s="526">
        <f t="shared" si="19"/>
        <v>1.1066528744008359</v>
      </c>
      <c r="K116" s="526">
        <f t="shared" ca="1" si="19"/>
        <v>0.64491883167922126</v>
      </c>
      <c r="L116" s="526">
        <f t="shared" si="19"/>
        <v>0.73303323951492982</v>
      </c>
      <c r="M116" s="974">
        <f t="shared" ca="1" si="19"/>
        <v>2.4846049455949872</v>
      </c>
      <c r="N116" s="972">
        <f t="shared" ca="1" si="19"/>
        <v>1</v>
      </c>
    </row>
    <row r="117" spans="2:14" x14ac:dyDescent="0.25">
      <c r="B117" s="979"/>
      <c r="C117" s="982"/>
      <c r="D117" s="525"/>
      <c r="E117" s="523" t="s">
        <v>309</v>
      </c>
      <c r="F117" s="135"/>
      <c r="G117" s="135"/>
      <c r="H117" s="135"/>
      <c r="I117" s="135"/>
      <c r="J117" s="527">
        <f ca="1">J116/M116</f>
        <v>0.44540395702055008</v>
      </c>
      <c r="K117" s="527">
        <f ca="1">K116/M116</f>
        <v>0.25956594541221234</v>
      </c>
      <c r="L117" s="527">
        <f ca="1">L116/M116</f>
        <v>0.29503009756723747</v>
      </c>
      <c r="M117" s="975"/>
      <c r="N117" s="973"/>
    </row>
    <row r="152" spans="1:38" ht="27.6" x14ac:dyDescent="0.25">
      <c r="A152" s="531"/>
      <c r="B152" s="532" t="s">
        <v>1401</v>
      </c>
      <c r="C152" s="533"/>
      <c r="D152" s="534" t="s">
        <v>1343</v>
      </c>
      <c r="E152" s="534"/>
      <c r="F152" s="535"/>
      <c r="G152" s="533"/>
      <c r="H152" s="533"/>
      <c r="I152" s="533"/>
      <c r="J152" s="533"/>
      <c r="K152" s="533"/>
      <c r="L152" s="533"/>
      <c r="M152" s="533"/>
      <c r="N152" s="533"/>
      <c r="O152" s="533"/>
      <c r="P152" s="533"/>
      <c r="Q152" s="533"/>
      <c r="R152" s="533"/>
      <c r="S152" s="533"/>
      <c r="T152" s="533"/>
      <c r="U152" s="533"/>
      <c r="V152" s="533"/>
      <c r="W152" s="533"/>
      <c r="X152" s="533"/>
      <c r="Y152" s="533"/>
      <c r="Z152" s="533"/>
      <c r="AA152" s="533"/>
      <c r="AB152" s="533"/>
      <c r="AC152" s="533"/>
      <c r="AD152" s="533"/>
      <c r="AE152" s="533"/>
      <c r="AF152" s="533"/>
      <c r="AG152" s="533"/>
      <c r="AH152" s="533"/>
      <c r="AI152" s="533"/>
      <c r="AJ152" s="533"/>
      <c r="AK152" s="533"/>
      <c r="AL152" s="533"/>
    </row>
    <row r="155" spans="1:38" ht="27.6" x14ac:dyDescent="0.25">
      <c r="B155" s="976" t="s">
        <v>425</v>
      </c>
      <c r="C155" s="523" t="s">
        <v>408</v>
      </c>
      <c r="D155" s="976" t="s">
        <v>411</v>
      </c>
      <c r="E155" s="976" t="s">
        <v>411</v>
      </c>
      <c r="F155" s="522" t="s">
        <v>479</v>
      </c>
      <c r="G155" s="522" t="s">
        <v>480</v>
      </c>
      <c r="H155" s="522" t="s">
        <v>481</v>
      </c>
      <c r="I155" s="522" t="s">
        <v>482</v>
      </c>
      <c r="J155" s="546" t="s">
        <v>484</v>
      </c>
      <c r="K155" s="546" t="s">
        <v>483</v>
      </c>
      <c r="L155" s="546" t="s">
        <v>485</v>
      </c>
      <c r="M155" s="522" t="s">
        <v>486</v>
      </c>
      <c r="N155" s="523" t="s">
        <v>487</v>
      </c>
    </row>
    <row r="156" spans="1:38" x14ac:dyDescent="0.25">
      <c r="B156" s="976"/>
      <c r="C156" s="523" t="s">
        <v>477</v>
      </c>
      <c r="D156" s="976"/>
      <c r="E156" s="976"/>
      <c r="F156" s="523" t="s">
        <v>308</v>
      </c>
      <c r="G156" s="523" t="s">
        <v>308</v>
      </c>
      <c r="H156" s="523" t="s">
        <v>308</v>
      </c>
      <c r="I156" s="523" t="s">
        <v>308</v>
      </c>
      <c r="J156" s="547" t="s">
        <v>310</v>
      </c>
      <c r="K156" s="547" t="s">
        <v>310</v>
      </c>
      <c r="L156" s="547" t="s">
        <v>310</v>
      </c>
      <c r="M156" s="523" t="s">
        <v>310</v>
      </c>
      <c r="N156" s="523" t="s">
        <v>309</v>
      </c>
    </row>
    <row r="157" spans="1:38" x14ac:dyDescent="0.25">
      <c r="B157" s="977" t="s">
        <v>1401</v>
      </c>
      <c r="C157" s="980">
        <f>'Units CF'!F42</f>
        <v>13211</v>
      </c>
      <c r="D157" s="388" t="s">
        <v>229</v>
      </c>
      <c r="E157" s="548" t="s">
        <v>594</v>
      </c>
      <c r="F157" s="115">
        <f>F50*'Units CF'!$I$32*'Units CF'!$I$35*'Units CF'!$I$42</f>
        <v>636.19587305613902</v>
      </c>
      <c r="G157" s="115">
        <f ca="1">G50*'Units CF'!$I$32*'Units CF'!$I$35*'Units CF'!$I$42</f>
        <v>13.118501023832252</v>
      </c>
      <c r="H157" s="115">
        <f>H50*'Units CF'!$I$32*'Units CF'!$I$35*'Units CF'!$I$42</f>
        <v>90.215109953386602</v>
      </c>
      <c r="I157" s="115">
        <f ca="1">SUM(F157:H157)</f>
        <v>739.52948403335779</v>
      </c>
      <c r="J157" s="521">
        <f>F157/$C$157</f>
        <v>4.8156526610865114E-2</v>
      </c>
      <c r="K157" s="521">
        <f ca="1">G157/$C$157</f>
        <v>9.9299833652503606E-4</v>
      </c>
      <c r="L157" s="521">
        <f>H157/$C$157</f>
        <v>6.8287873706295212E-3</v>
      </c>
      <c r="M157" s="298">
        <f ca="1">SUM(J157:L157)</f>
        <v>5.5978312318019675E-2</v>
      </c>
      <c r="N157" s="369">
        <f ca="1">M157/$M$171</f>
        <v>1.9335841398198553E-2</v>
      </c>
    </row>
    <row r="158" spans="1:38" x14ac:dyDescent="0.25">
      <c r="B158" s="978"/>
      <c r="C158" s="981"/>
      <c r="D158" s="388" t="s">
        <v>1445</v>
      </c>
      <c r="E158" s="548" t="s">
        <v>597</v>
      </c>
      <c r="F158" s="115">
        <f>F51*'Units CF'!$I$32*'Units CF'!$I$35*'Units CF'!$I$42</f>
        <v>553.12619010373317</v>
      </c>
      <c r="G158" s="115">
        <f ca="1">G51*'Units CF'!$I$32*'Units CF'!$I$35*'Units CF'!$I$42</f>
        <v>443.78522849012552</v>
      </c>
      <c r="H158" s="115">
        <f>H51*'Units CF'!$I$32*'Units CF'!$I$35*'Units CF'!$I$42</f>
        <v>24.860407717510341</v>
      </c>
      <c r="I158" s="115">
        <f t="shared" ref="I158:I170" ca="1" si="20">SUM(F158:H158)</f>
        <v>1021.7718263113691</v>
      </c>
      <c r="J158" s="521">
        <f t="shared" ref="J158:J170" si="21">F158/$C$157</f>
        <v>4.1868608742996985E-2</v>
      </c>
      <c r="K158" s="521">
        <f t="shared" ref="K158:K170" ca="1" si="22">G158/$C$157</f>
        <v>3.3592099651057868E-2</v>
      </c>
      <c r="L158" s="521">
        <f t="shared" ref="L158:L170" si="23">H158/$C$157</f>
        <v>1.8817960576421422E-3</v>
      </c>
      <c r="M158" s="298">
        <f t="shared" ref="M158:M170" ca="1" si="24">SUM(J158:L158)</f>
        <v>7.7342504451697006E-2</v>
      </c>
      <c r="N158" s="369">
        <f t="shared" ref="N158:N170" ca="1" si="25">M158/$M$171</f>
        <v>2.6715389183608457E-2</v>
      </c>
    </row>
    <row r="159" spans="1:38" x14ac:dyDescent="0.25">
      <c r="B159" s="978"/>
      <c r="C159" s="981"/>
      <c r="D159" s="388" t="s">
        <v>1446</v>
      </c>
      <c r="E159" s="548" t="s">
        <v>595</v>
      </c>
      <c r="F159" s="115">
        <f>F52*'Units CF'!$I$32*'Units CF'!$I$35*'Units CF'!$I$42</f>
        <v>2.792040679263628E-3</v>
      </c>
      <c r="G159" s="115">
        <f ca="1">G52*'Units CF'!$I$32*'Units CF'!$I$35*'Units CF'!$I$42</f>
        <v>0.18622546090980013</v>
      </c>
      <c r="H159" s="115">
        <f>H52*'Units CF'!$I$32*'Units CF'!$I$35*'Units CF'!$I$42</f>
        <v>1.7454075022168811</v>
      </c>
      <c r="I159" s="115">
        <f t="shared" ca="1" si="20"/>
        <v>1.934425003805945</v>
      </c>
      <c r="J159" s="521">
        <f t="shared" si="21"/>
        <v>2.1134211484850716E-7</v>
      </c>
      <c r="K159" s="521">
        <f t="shared" ca="1" si="22"/>
        <v>1.4096242594035284E-5</v>
      </c>
      <c r="L159" s="521">
        <f t="shared" si="23"/>
        <v>1.3211774295790487E-4</v>
      </c>
      <c r="M159" s="298">
        <f t="shared" ca="1" si="24"/>
        <v>1.4642532766678866E-4</v>
      </c>
      <c r="N159" s="369">
        <f t="shared" ca="1" si="25"/>
        <v>5.0577746902399664E-5</v>
      </c>
    </row>
    <row r="160" spans="1:38" x14ac:dyDescent="0.25">
      <c r="B160" s="978"/>
      <c r="C160" s="981"/>
      <c r="D160" s="388" t="s">
        <v>1447</v>
      </c>
      <c r="E160" s="548" t="s">
        <v>596</v>
      </c>
      <c r="F160" s="115">
        <f>F53*'Units CF'!$I$32*'Units CF'!$I$35*'Units CF'!$I$42</f>
        <v>25.070368254187894</v>
      </c>
      <c r="G160" s="115">
        <f ca="1">G53*'Units CF'!$I$32*'Units CF'!$I$35*'Units CF'!$I$42</f>
        <v>242.57040895480625</v>
      </c>
      <c r="H160" s="115">
        <f>H53*'Units CF'!$I$32*'Units CF'!$I$35*'Units CF'!$I$42</f>
        <v>12.846499244946243</v>
      </c>
      <c r="I160" s="115">
        <f t="shared" ca="1" si="20"/>
        <v>280.48727645394041</v>
      </c>
      <c r="J160" s="521">
        <f t="shared" si="21"/>
        <v>1.8976889148579134E-3</v>
      </c>
      <c r="K160" s="521">
        <f t="shared" ca="1" si="22"/>
        <v>1.8361245095360402E-2</v>
      </c>
      <c r="L160" s="521">
        <f t="shared" si="23"/>
        <v>9.7240929868641602E-4</v>
      </c>
      <c r="M160" s="298">
        <f t="shared" ca="1" si="24"/>
        <v>2.1231343308904731E-2</v>
      </c>
      <c r="N160" s="369">
        <f t="shared" ca="1" si="25"/>
        <v>7.3336595887249683E-3</v>
      </c>
    </row>
    <row r="161" spans="2:14" x14ac:dyDescent="0.25">
      <c r="B161" s="978"/>
      <c r="C161" s="981"/>
      <c r="D161" s="388" t="s">
        <v>1448</v>
      </c>
      <c r="E161" s="548" t="s">
        <v>598</v>
      </c>
      <c r="F161" s="115">
        <f>F54*'Units CF'!$I$32*'Units CF'!$I$35*'Units CF'!$I$42</f>
        <v>769.68680143002575</v>
      </c>
      <c r="G161" s="115">
        <f ca="1">G54*'Units CF'!$I$32*'Units CF'!$I$35*'Units CF'!$I$42</f>
        <v>187.27962272765663</v>
      </c>
      <c r="H161" s="115">
        <f>H54*'Units CF'!$I$32*'Units CF'!$I$35*'Units CF'!$I$42</f>
        <v>279.83198129718522</v>
      </c>
      <c r="I161" s="115">
        <f t="shared" ca="1" si="20"/>
        <v>1236.7984054548676</v>
      </c>
      <c r="J161" s="521">
        <f t="shared" si="21"/>
        <v>5.8261055289533403E-2</v>
      </c>
      <c r="K161" s="521">
        <f t="shared" ca="1" si="22"/>
        <v>1.417603684260515E-2</v>
      </c>
      <c r="L161" s="521">
        <f t="shared" si="23"/>
        <v>2.1181741071621015E-2</v>
      </c>
      <c r="M161" s="298">
        <f t="shared" ca="1" si="24"/>
        <v>9.3618833203759577E-2</v>
      </c>
      <c r="N161" s="369">
        <f t="shared" ca="1" si="25"/>
        <v>3.2337504218211105E-2</v>
      </c>
    </row>
    <row r="162" spans="2:14" x14ac:dyDescent="0.25">
      <c r="B162" s="978"/>
      <c r="C162" s="981"/>
      <c r="D162" s="388" t="s">
        <v>1449</v>
      </c>
      <c r="E162" s="548" t="s">
        <v>599</v>
      </c>
      <c r="F162" s="115">
        <f>F55*'Units CF'!$I$32*'Units CF'!$I$35*'Units CF'!$I$42</f>
        <v>1570.6790843649144</v>
      </c>
      <c r="G162" s="115">
        <f ca="1">G55*'Units CF'!$I$32*'Units CF'!$I$35*'Units CF'!$I$42</f>
        <v>7048.9693386717781</v>
      </c>
      <c r="H162" s="115">
        <f>H55*'Units CF'!$I$32*'Units CF'!$I$35*'Units CF'!$I$42</f>
        <v>1335.3591777938891</v>
      </c>
      <c r="I162" s="115">
        <f t="shared" ca="1" si="20"/>
        <v>9955.0076008305823</v>
      </c>
      <c r="J162" s="521">
        <f t="shared" si="21"/>
        <v>0.11889176325523536</v>
      </c>
      <c r="K162" s="521">
        <f t="shared" ca="1" si="22"/>
        <v>0.53356818853014742</v>
      </c>
      <c r="L162" s="521">
        <f t="shared" si="23"/>
        <v>0.10107934129088555</v>
      </c>
      <c r="M162" s="298">
        <f t="shared" ca="1" si="24"/>
        <v>0.75353929307626832</v>
      </c>
      <c r="N162" s="369">
        <f t="shared" ca="1" si="25"/>
        <v>0.26028502208958398</v>
      </c>
    </row>
    <row r="163" spans="2:14" x14ac:dyDescent="0.25">
      <c r="B163" s="978"/>
      <c r="C163" s="981"/>
      <c r="D163" s="388" t="s">
        <v>1450</v>
      </c>
      <c r="E163" s="548" t="s">
        <v>600</v>
      </c>
      <c r="F163" s="115">
        <f>F56*'Units CF'!$I$32*'Units CF'!$I$35*'Units CF'!$I$42</f>
        <v>1287.9875730366959</v>
      </c>
      <c r="G163" s="115">
        <f ca="1">G56*'Units CF'!$I$32*'Units CF'!$I$35*'Units CF'!$I$42</f>
        <v>5.9232461204158614E-2</v>
      </c>
      <c r="H163" s="115">
        <f>H56*'Units CF'!$I$32*'Units CF'!$I$35*'Units CF'!$I$42</f>
        <v>15.154745521048602</v>
      </c>
      <c r="I163" s="115">
        <f t="shared" ca="1" si="20"/>
        <v>1303.2015510189487</v>
      </c>
      <c r="J163" s="521">
        <f t="shared" si="21"/>
        <v>9.7493571496230114E-2</v>
      </c>
      <c r="K163" s="521">
        <f t="shared" ca="1" si="22"/>
        <v>4.4835713575171152E-6</v>
      </c>
      <c r="L163" s="521">
        <f t="shared" si="23"/>
        <v>1.1471308395313452E-3</v>
      </c>
      <c r="M163" s="298">
        <f t="shared" ca="1" si="24"/>
        <v>9.8645185907118974E-2</v>
      </c>
      <c r="N163" s="369">
        <f t="shared" ca="1" si="25"/>
        <v>3.4073690156283379E-2</v>
      </c>
    </row>
    <row r="164" spans="2:14" x14ac:dyDescent="0.25">
      <c r="B164" s="978"/>
      <c r="C164" s="981"/>
      <c r="D164" s="388" t="s">
        <v>1451</v>
      </c>
      <c r="E164" s="548" t="s">
        <v>601</v>
      </c>
      <c r="F164" s="115">
        <f>F57*'Units CF'!$I$32*'Units CF'!$I$35*'Units CF'!$I$42</f>
        <v>10664.29441031609</v>
      </c>
      <c r="G164" s="115">
        <f ca="1">G57*'Units CF'!$I$32*'Units CF'!$I$35*'Units CF'!$I$42</f>
        <v>902.4946074360389</v>
      </c>
      <c r="H164" s="115">
        <f>H57*'Units CF'!$I$32*'Units CF'!$I$35*'Units CF'!$I$42</f>
        <v>7614.3850004246688</v>
      </c>
      <c r="I164" s="115">
        <f t="shared" ca="1" si="20"/>
        <v>19181.174018176796</v>
      </c>
      <c r="J164" s="521">
        <f t="shared" si="21"/>
        <v>0.80722840135614937</v>
      </c>
      <c r="K164" s="521">
        <f t="shared" ca="1" si="22"/>
        <v>6.8313875364169163E-2</v>
      </c>
      <c r="L164" s="521">
        <f t="shared" si="23"/>
        <v>0.57636704264814687</v>
      </c>
      <c r="M164" s="298">
        <f t="shared" ca="1" si="24"/>
        <v>1.4519093193684653</v>
      </c>
      <c r="N164" s="369">
        <f t="shared" ca="1" si="25"/>
        <v>0.50151366058311742</v>
      </c>
    </row>
    <row r="165" spans="2:14" x14ac:dyDescent="0.25">
      <c r="B165" s="978"/>
      <c r="C165" s="981"/>
      <c r="D165" s="388" t="s">
        <v>1452</v>
      </c>
      <c r="E165" s="548" t="s">
        <v>602</v>
      </c>
      <c r="F165" s="115">
        <f>F58*'Units CF'!$I$32*'Units CF'!$I$35*'Units CF'!$I$42</f>
        <v>24.192757090272451</v>
      </c>
      <c r="G165" s="115">
        <f ca="1">G58*'Units CF'!$I$32*'Units CF'!$I$35*'Units CF'!$I$42</f>
        <v>5.024823731655391</v>
      </c>
      <c r="H165" s="115">
        <f>H58*'Units CF'!$I$32*'Units CF'!$I$35*'Units CF'!$I$42</f>
        <v>50.110940359866106</v>
      </c>
      <c r="I165" s="115">
        <f t="shared" ca="1" si="20"/>
        <v>79.328521181793946</v>
      </c>
      <c r="J165" s="521">
        <f t="shared" si="21"/>
        <v>1.8312585792349143E-3</v>
      </c>
      <c r="K165" s="521">
        <f t="shared" ca="1" si="22"/>
        <v>3.8035150493190457E-4</v>
      </c>
      <c r="L165" s="521">
        <f t="shared" si="23"/>
        <v>3.7931224252415493E-3</v>
      </c>
      <c r="M165" s="298">
        <f t="shared" ca="1" si="24"/>
        <v>6.0047325094083684E-3</v>
      </c>
      <c r="N165" s="369">
        <f t="shared" ca="1" si="25"/>
        <v>2.0741346180805061E-3</v>
      </c>
    </row>
    <row r="166" spans="2:14" x14ac:dyDescent="0.25">
      <c r="B166" s="978"/>
      <c r="C166" s="981"/>
      <c r="D166" s="388" t="s">
        <v>19</v>
      </c>
      <c r="E166" s="548" t="s">
        <v>603</v>
      </c>
      <c r="F166" s="115">
        <f>F59*'Units CF'!$I$32*'Units CF'!$I$35*'Units CF'!$I$42</f>
        <v>382.14058066160237</v>
      </c>
      <c r="G166" s="115">
        <f ca="1">G59*'Units CF'!$I$32*'Units CF'!$I$35*'Units CF'!$I$42</f>
        <v>26.802108228825421</v>
      </c>
      <c r="H166" s="115">
        <f>H59*'Units CF'!$I$32*'Units CF'!$I$35*'Units CF'!$I$42</f>
        <v>316.11530411345757</v>
      </c>
      <c r="I166" s="115">
        <f t="shared" ca="1" si="20"/>
        <v>725.05799300388537</v>
      </c>
      <c r="J166" s="521">
        <f t="shared" si="21"/>
        <v>2.8925939040315068E-2</v>
      </c>
      <c r="K166" s="521">
        <f t="shared" ca="1" si="22"/>
        <v>2.0287721011903277E-3</v>
      </c>
      <c r="L166" s="521">
        <f t="shared" si="23"/>
        <v>2.3928188942052651E-2</v>
      </c>
      <c r="M166" s="298">
        <f t="shared" ca="1" si="24"/>
        <v>5.4882900083558048E-2</v>
      </c>
      <c r="N166" s="369">
        <f t="shared" ca="1" si="25"/>
        <v>1.895746776823154E-2</v>
      </c>
    </row>
    <row r="167" spans="2:14" x14ac:dyDescent="0.25">
      <c r="B167" s="978"/>
      <c r="C167" s="981"/>
      <c r="D167" s="388" t="s">
        <v>1453</v>
      </c>
      <c r="E167" s="548" t="s">
        <v>604</v>
      </c>
      <c r="F167" s="115">
        <f>F60*'Units CF'!$I$32*'Units CF'!$I$35*'Units CF'!$I$42</f>
        <v>13.210183119816175</v>
      </c>
      <c r="G167" s="115">
        <f ca="1">G60*'Units CF'!$I$32*'Units CF'!$I$35*'Units CF'!$I$42</f>
        <v>33.441769020196773</v>
      </c>
      <c r="H167" s="115">
        <f>H60*'Units CF'!$I$32*'Units CF'!$I$35*'Units CF'!$I$42</f>
        <v>185.04591891580122</v>
      </c>
      <c r="I167" s="115">
        <f t="shared" ca="1" si="20"/>
        <v>231.69787105581418</v>
      </c>
      <c r="J167" s="521">
        <f t="shared" si="21"/>
        <v>9.9993816666536783E-4</v>
      </c>
      <c r="K167" s="521">
        <f t="shared" ca="1" si="22"/>
        <v>2.5313578851106481E-3</v>
      </c>
      <c r="L167" s="521">
        <f t="shared" si="23"/>
        <v>1.4006957756097284E-2</v>
      </c>
      <c r="M167" s="298">
        <f t="shared" ca="1" si="24"/>
        <v>1.75382538078733E-2</v>
      </c>
      <c r="N167" s="369">
        <f t="shared" ca="1" si="25"/>
        <v>6.0580049663488461E-3</v>
      </c>
    </row>
    <row r="168" spans="2:14" x14ac:dyDescent="0.25">
      <c r="B168" s="978"/>
      <c r="C168" s="981"/>
      <c r="D168" s="388" t="s">
        <v>1454</v>
      </c>
      <c r="E168" s="548" t="s">
        <v>605</v>
      </c>
      <c r="F168" s="115">
        <f>F61*'Units CF'!$I$32*'Units CF'!$I$35*'Units CF'!$I$42</f>
        <v>4.2160796129145579</v>
      </c>
      <c r="G168" s="115">
        <f ca="1">G61*'Units CF'!$I$32*'Units CF'!$I$35*'Units CF'!$I$42</f>
        <v>6.0135189161138678</v>
      </c>
      <c r="H168" s="115">
        <f>H61*'Units CF'!$I$32*'Units CF'!$I$35*'Units CF'!$I$42</f>
        <v>72.978830824396908</v>
      </c>
      <c r="I168" s="115">
        <f t="shared" ca="1" si="20"/>
        <v>83.208429353425331</v>
      </c>
      <c r="J168" s="521">
        <f t="shared" si="21"/>
        <v>3.1913402565396701E-4</v>
      </c>
      <c r="K168" s="521">
        <f t="shared" ca="1" si="22"/>
        <v>4.551902896157647E-4</v>
      </c>
      <c r="L168" s="521">
        <f t="shared" si="23"/>
        <v>5.5240958916355238E-3</v>
      </c>
      <c r="M168" s="298">
        <f t="shared" ca="1" si="24"/>
        <v>6.2984202069052558E-3</v>
      </c>
      <c r="N168" s="369">
        <f t="shared" ca="1" si="25"/>
        <v>2.175579240189521E-3</v>
      </c>
    </row>
    <row r="169" spans="2:14" x14ac:dyDescent="0.25">
      <c r="B169" s="978"/>
      <c r="C169" s="981"/>
      <c r="D169" s="388" t="s">
        <v>1455</v>
      </c>
      <c r="E169" s="548" t="s">
        <v>636</v>
      </c>
      <c r="F169" s="115">
        <f>'Units CF'!L35*'Units CF'!I35*'Units CF'!I42</f>
        <v>166.28221148448696</v>
      </c>
      <c r="G169" s="115">
        <f ca="1">'Units CF'!M35*'Units CF'!I35*'Units CF'!I42</f>
        <v>471.07621687935205</v>
      </c>
      <c r="H169" s="115">
        <f>'Units CF'!N35*'Units CF'!I35*'Units CF'!I42</f>
        <v>663.86153885801241</v>
      </c>
      <c r="I169" s="115">
        <f t="shared" ca="1" si="20"/>
        <v>1301.2199672218514</v>
      </c>
      <c r="J169" s="521">
        <f t="shared" si="21"/>
        <v>1.2586648360039889E-2</v>
      </c>
      <c r="K169" s="521">
        <f t="shared" ca="1" si="22"/>
        <v>3.5657877290087958E-2</v>
      </c>
      <c r="L169" s="521">
        <f t="shared" si="23"/>
        <v>5.0250665268186542E-2</v>
      </c>
      <c r="M169" s="298">
        <f t="shared" ca="1" si="24"/>
        <v>9.8495190918314393E-2</v>
      </c>
      <c r="N169" s="369">
        <f t="shared" ca="1" si="25"/>
        <v>3.4021879388970978E-2</v>
      </c>
    </row>
    <row r="170" spans="2:14" x14ac:dyDescent="0.25">
      <c r="B170" s="978"/>
      <c r="C170" s="981"/>
      <c r="D170" s="388" t="s">
        <v>1456</v>
      </c>
      <c r="E170" s="548" t="s">
        <v>638</v>
      </c>
      <c r="F170" s="115">
        <f>'Units CF'!L41*'Units CF'!I42</f>
        <v>128.48975863805171</v>
      </c>
      <c r="G170" s="115">
        <f ca="1">'Units CF'!M41*'Units CF'!I42</f>
        <v>361.92465077313432</v>
      </c>
      <c r="H170" s="115">
        <f>'Units CF'!N41*'Units CF'!I42</f>
        <v>1615.7316269089988</v>
      </c>
      <c r="I170" s="115">
        <f t="shared" ca="1" si="20"/>
        <v>2106.146036320185</v>
      </c>
      <c r="J170" s="521">
        <f t="shared" si="21"/>
        <v>9.7259676510522836E-3</v>
      </c>
      <c r="K170" s="521">
        <f t="shared" ca="1" si="22"/>
        <v>2.7395704395816692E-2</v>
      </c>
      <c r="L170" s="521">
        <f t="shared" si="23"/>
        <v>0.1223019928021345</v>
      </c>
      <c r="M170" s="298">
        <f t="shared" ca="1" si="24"/>
        <v>0.15942366484900347</v>
      </c>
      <c r="N170" s="369">
        <f t="shared" ca="1" si="25"/>
        <v>5.5067589053548388E-2</v>
      </c>
    </row>
    <row r="171" spans="2:14" x14ac:dyDescent="0.25">
      <c r="B171" s="978"/>
      <c r="C171" s="981"/>
      <c r="D171" s="524"/>
      <c r="E171" s="523" t="s">
        <v>410</v>
      </c>
      <c r="F171" s="135">
        <f>SUM(F157:F170)</f>
        <v>16225.574663209609</v>
      </c>
      <c r="G171" s="135">
        <f t="shared" ref="G171:L171" ca="1" si="26">SUM(G157:G170)</f>
        <v>9742.7462527756306</v>
      </c>
      <c r="H171" s="135">
        <f t="shared" si="26"/>
        <v>12278.242489435386</v>
      </c>
      <c r="I171" s="135">
        <f t="shared" ca="1" si="26"/>
        <v>38246.563405420631</v>
      </c>
      <c r="J171" s="526">
        <f t="shared" si="26"/>
        <v>1.2281867128309447</v>
      </c>
      <c r="K171" s="526">
        <f t="shared" ca="1" si="26"/>
        <v>0.73747227710056984</v>
      </c>
      <c r="L171" s="526">
        <f t="shared" si="26"/>
        <v>0.92939538940544875</v>
      </c>
      <c r="M171" s="974">
        <f ca="1">SUM(M157:M170)</f>
        <v>2.8950543793369632</v>
      </c>
      <c r="N171" s="972">
        <f ca="1">SUM(N157:N170)</f>
        <v>0.99999999999999989</v>
      </c>
    </row>
    <row r="172" spans="2:14" x14ac:dyDescent="0.25">
      <c r="B172" s="979"/>
      <c r="C172" s="982"/>
      <c r="D172" s="525"/>
      <c r="E172" s="523" t="s">
        <v>309</v>
      </c>
      <c r="F172" s="135"/>
      <c r="G172" s="135"/>
      <c r="H172" s="135"/>
      <c r="I172" s="135"/>
      <c r="J172" s="527">
        <f ca="1">J171/M171</f>
        <v>0.42423614616601052</v>
      </c>
      <c r="K172" s="527">
        <f ca="1">K171/M171</f>
        <v>0.25473520717405962</v>
      </c>
      <c r="L172" s="527">
        <f ca="1">L171/M171</f>
        <v>0.32102864665992992</v>
      </c>
      <c r="M172" s="975"/>
      <c r="N172" s="973"/>
    </row>
    <row r="206" spans="1:38" ht="27.6" x14ac:dyDescent="0.25">
      <c r="A206" s="531"/>
      <c r="B206" s="532" t="s">
        <v>1391</v>
      </c>
      <c r="C206" s="533"/>
      <c r="D206" s="534" t="s">
        <v>1458</v>
      </c>
      <c r="E206" s="534"/>
      <c r="F206" s="535"/>
      <c r="G206" s="533"/>
      <c r="H206" s="533"/>
      <c r="I206" s="533"/>
      <c r="J206" s="533"/>
      <c r="K206" s="533"/>
      <c r="L206" s="533"/>
      <c r="M206" s="533"/>
      <c r="N206" s="533"/>
      <c r="O206" s="533"/>
      <c r="P206" s="533"/>
      <c r="Q206" s="533"/>
      <c r="R206" s="533"/>
      <c r="S206" s="533"/>
      <c r="T206" s="533"/>
      <c r="U206" s="533"/>
      <c r="V206" s="533"/>
      <c r="W206" s="533"/>
      <c r="X206" s="533"/>
      <c r="Y206" s="533"/>
      <c r="Z206" s="533"/>
      <c r="AA206" s="533"/>
      <c r="AB206" s="533"/>
      <c r="AC206" s="533"/>
      <c r="AD206" s="533"/>
      <c r="AE206" s="533"/>
      <c r="AF206" s="533"/>
      <c r="AG206" s="533"/>
      <c r="AH206" s="533"/>
      <c r="AI206" s="533"/>
      <c r="AJ206" s="533"/>
      <c r="AK206" s="533"/>
      <c r="AL206" s="533"/>
    </row>
    <row r="209" spans="2:14" ht="27.6" x14ac:dyDescent="0.25">
      <c r="B209" s="976" t="s">
        <v>425</v>
      </c>
      <c r="C209" s="523" t="s">
        <v>408</v>
      </c>
      <c r="D209" s="976" t="s">
        <v>411</v>
      </c>
      <c r="E209" s="976" t="s">
        <v>411</v>
      </c>
      <c r="F209" s="522" t="s">
        <v>479</v>
      </c>
      <c r="G209" s="522" t="s">
        <v>480</v>
      </c>
      <c r="H209" s="522" t="s">
        <v>481</v>
      </c>
      <c r="I209" s="522" t="s">
        <v>482</v>
      </c>
      <c r="J209" s="546" t="s">
        <v>484</v>
      </c>
      <c r="K209" s="546" t="s">
        <v>483</v>
      </c>
      <c r="L209" s="546" t="s">
        <v>485</v>
      </c>
      <c r="M209" s="522" t="s">
        <v>486</v>
      </c>
      <c r="N209" s="523" t="s">
        <v>487</v>
      </c>
    </row>
    <row r="210" spans="2:14" x14ac:dyDescent="0.25">
      <c r="B210" s="976"/>
      <c r="C210" s="523" t="s">
        <v>477</v>
      </c>
      <c r="D210" s="976"/>
      <c r="E210" s="976"/>
      <c r="F210" s="523" t="s">
        <v>308</v>
      </c>
      <c r="G210" s="523" t="s">
        <v>308</v>
      </c>
      <c r="H210" s="523" t="s">
        <v>308</v>
      </c>
      <c r="I210" s="523" t="s">
        <v>308</v>
      </c>
      <c r="J210" s="547" t="s">
        <v>310</v>
      </c>
      <c r="K210" s="547" t="s">
        <v>310</v>
      </c>
      <c r="L210" s="547" t="s">
        <v>310</v>
      </c>
      <c r="M210" s="523" t="s">
        <v>310</v>
      </c>
      <c r="N210" s="523" t="s">
        <v>309</v>
      </c>
    </row>
    <row r="211" spans="2:14" x14ac:dyDescent="0.25">
      <c r="B211" s="977" t="s">
        <v>1408</v>
      </c>
      <c r="C211" s="980">
        <f>'Units CF'!F41</f>
        <v>108972</v>
      </c>
      <c r="D211" s="388" t="s">
        <v>229</v>
      </c>
      <c r="E211" s="548" t="s">
        <v>594</v>
      </c>
      <c r="F211" s="115">
        <f>F50*'Units CF'!$I$32*'Units CF'!$I$35*'Units CF'!$I$41</f>
        <v>5247.7130178391926</v>
      </c>
      <c r="G211" s="115">
        <f ca="1">G50*'Units CF'!$I$32*'Units CF'!$I$35*'Units CF'!$I$41</f>
        <v>108.20901472780623</v>
      </c>
      <c r="H211" s="115">
        <f>H50*'Units CF'!$I$32*'Units CF'!$I$35*'Units CF'!$I$41</f>
        <v>744.14661735224013</v>
      </c>
      <c r="I211" s="115">
        <f ca="1">SUM(F211:H211)</f>
        <v>6100.0686499192389</v>
      </c>
      <c r="J211" s="521">
        <f>F211/$C$211</f>
        <v>4.8156526610865107E-2</v>
      </c>
      <c r="K211" s="521">
        <f ca="1">G211/$C$211</f>
        <v>9.9299833652503606E-4</v>
      </c>
      <c r="L211" s="521">
        <f>H211/$C$211</f>
        <v>6.8287873706295204E-3</v>
      </c>
      <c r="M211" s="521">
        <f ca="1">SUM(J211:L211)</f>
        <v>5.5978312318019668E-2</v>
      </c>
      <c r="N211" s="550">
        <f ca="1">M211/$M$225</f>
        <v>1.933584139819855E-2</v>
      </c>
    </row>
    <row r="212" spans="2:14" x14ac:dyDescent="0.25">
      <c r="B212" s="978"/>
      <c r="C212" s="981"/>
      <c r="D212" s="388" t="s">
        <v>1445</v>
      </c>
      <c r="E212" s="548" t="s">
        <v>597</v>
      </c>
      <c r="F212" s="115">
        <f>F51*'Units CF'!$I$32*'Units CF'!$I$35*'Units CF'!$I$41</f>
        <v>4562.5060319418671</v>
      </c>
      <c r="G212" s="115">
        <f ca="1">G51*'Units CF'!$I$32*'Units CF'!$I$35*'Units CF'!$I$41</f>
        <v>3660.598283175078</v>
      </c>
      <c r="H212" s="115">
        <f>H51*'Units CF'!$I$32*'Units CF'!$I$35*'Units CF'!$I$41</f>
        <v>205.06307999337955</v>
      </c>
      <c r="I212" s="115">
        <f t="shared" ref="I212:I224" ca="1" si="27">SUM(F212:H212)</f>
        <v>8428.1673951103239</v>
      </c>
      <c r="J212" s="521">
        <f t="shared" ref="J212:J224" si="28">F212/$C$211</f>
        <v>4.1868608742996985E-2</v>
      </c>
      <c r="K212" s="521">
        <f t="shared" ref="K212:K224" ca="1" si="29">G212/$C$211</f>
        <v>3.3592099651057868E-2</v>
      </c>
      <c r="L212" s="521">
        <f t="shared" ref="L212:L224" si="30">H212/$C$211</f>
        <v>1.8817960576421424E-3</v>
      </c>
      <c r="M212" s="521">
        <f t="shared" ref="M212:M224" ca="1" si="31">SUM(J212:L212)</f>
        <v>7.7342504451697006E-2</v>
      </c>
      <c r="N212" s="550">
        <f t="shared" ref="N212:N224" ca="1" si="32">M212/$M$225</f>
        <v>2.6715389183608454E-2</v>
      </c>
    </row>
    <row r="213" spans="2:14" x14ac:dyDescent="0.25">
      <c r="B213" s="978"/>
      <c r="C213" s="981"/>
      <c r="D213" s="388" t="s">
        <v>1446</v>
      </c>
      <c r="E213" s="548" t="s">
        <v>595</v>
      </c>
      <c r="F213" s="115">
        <f>F52*'Units CF'!$I$32*'Units CF'!$I$35*'Units CF'!$I$41</f>
        <v>2.3030372939271522E-2</v>
      </c>
      <c r="G213" s="115">
        <f ca="1">G52*'Units CF'!$I$32*'Units CF'!$I$35*'Units CF'!$I$41</f>
        <v>1.5360957479572128</v>
      </c>
      <c r="H213" s="115">
        <f>H52*'Units CF'!$I$32*'Units CF'!$I$35*'Units CF'!$I$41</f>
        <v>14.397134685608808</v>
      </c>
      <c r="I213" s="115">
        <f t="shared" ca="1" si="27"/>
        <v>15.956260806505293</v>
      </c>
      <c r="J213" s="521">
        <f t="shared" si="28"/>
        <v>2.1134211484850716E-7</v>
      </c>
      <c r="K213" s="521">
        <f t="shared" ca="1" si="29"/>
        <v>1.4096242594035282E-5</v>
      </c>
      <c r="L213" s="521">
        <f t="shared" si="30"/>
        <v>1.3211774295790487E-4</v>
      </c>
      <c r="M213" s="521">
        <f t="shared" ca="1" si="31"/>
        <v>1.4642532766678866E-4</v>
      </c>
      <c r="N213" s="550">
        <f t="shared" ca="1" si="32"/>
        <v>5.057774690239965E-5</v>
      </c>
    </row>
    <row r="214" spans="2:14" x14ac:dyDescent="0.25">
      <c r="B214" s="978"/>
      <c r="C214" s="981"/>
      <c r="D214" s="388" t="s">
        <v>1447</v>
      </c>
      <c r="E214" s="548" t="s">
        <v>596</v>
      </c>
      <c r="F214" s="115">
        <f>F53*'Units CF'!$I$32*'Units CF'!$I$35*'Units CF'!$I$41</f>
        <v>206.79495642989653</v>
      </c>
      <c r="G214" s="115">
        <f ca="1">G53*'Units CF'!$I$32*'Units CF'!$I$35*'Units CF'!$I$41</f>
        <v>2000.8616005316135</v>
      </c>
      <c r="H214" s="115">
        <f>H53*'Units CF'!$I$32*'Units CF'!$I$35*'Units CF'!$I$41</f>
        <v>105.96538609645613</v>
      </c>
      <c r="I214" s="115">
        <f t="shared" ca="1" si="27"/>
        <v>2313.6219430579663</v>
      </c>
      <c r="J214" s="521">
        <f t="shared" si="28"/>
        <v>1.8976889148579134E-3</v>
      </c>
      <c r="K214" s="521">
        <f t="shared" ca="1" si="29"/>
        <v>1.8361245095360398E-2</v>
      </c>
      <c r="L214" s="521">
        <f t="shared" si="30"/>
        <v>9.7240929868641602E-4</v>
      </c>
      <c r="M214" s="521">
        <f t="shared" ca="1" si="31"/>
        <v>2.1231343308904728E-2</v>
      </c>
      <c r="N214" s="550">
        <f t="shared" ca="1" si="32"/>
        <v>7.3336595887249657E-3</v>
      </c>
    </row>
    <row r="215" spans="2:14" x14ac:dyDescent="0.25">
      <c r="B215" s="978"/>
      <c r="C215" s="981"/>
      <c r="D215" s="388" t="s">
        <v>1448</v>
      </c>
      <c r="E215" s="548" t="s">
        <v>598</v>
      </c>
      <c r="F215" s="115">
        <f>F54*'Units CF'!$I$32*'Units CF'!$I$35*'Units CF'!$I$41</f>
        <v>6348.8237170110342</v>
      </c>
      <c r="G215" s="115">
        <f ca="1">G54*'Units CF'!$I$32*'Units CF'!$I$35*'Units CF'!$I$41</f>
        <v>1544.7910868123683</v>
      </c>
      <c r="H215" s="115">
        <f>H54*'Units CF'!$I$32*'Units CF'!$I$35*'Units CF'!$I$41</f>
        <v>2308.2166880566851</v>
      </c>
      <c r="I215" s="115">
        <f t="shared" ca="1" si="27"/>
        <v>10201.831491880088</v>
      </c>
      <c r="J215" s="521">
        <f t="shared" si="28"/>
        <v>5.8261055289533403E-2</v>
      </c>
      <c r="K215" s="521">
        <f t="shared" ca="1" si="29"/>
        <v>1.417603684260515E-2</v>
      </c>
      <c r="L215" s="521">
        <f t="shared" si="30"/>
        <v>2.1181741071621015E-2</v>
      </c>
      <c r="M215" s="521">
        <f t="shared" ca="1" si="31"/>
        <v>9.3618833203759577E-2</v>
      </c>
      <c r="N215" s="550">
        <f t="shared" ca="1" si="32"/>
        <v>3.2337504218211098E-2</v>
      </c>
    </row>
    <row r="216" spans="2:14" x14ac:dyDescent="0.25">
      <c r="B216" s="978"/>
      <c r="C216" s="981"/>
      <c r="D216" s="388" t="s">
        <v>1449</v>
      </c>
      <c r="E216" s="548" t="s">
        <v>599</v>
      </c>
      <c r="F216" s="115">
        <f>F55*'Units CF'!$I$32*'Units CF'!$I$35*'Units CF'!$I$41</f>
        <v>12955.873225449508</v>
      </c>
      <c r="G216" s="115">
        <f ca="1">G55*'Units CF'!$I$32*'Units CF'!$I$35*'Units CF'!$I$41</f>
        <v>58143.992640507226</v>
      </c>
      <c r="H216" s="115">
        <f>H55*'Units CF'!$I$32*'Units CF'!$I$35*'Units CF'!$I$41</f>
        <v>11014.817979150381</v>
      </c>
      <c r="I216" s="115">
        <f t="shared" ca="1" si="27"/>
        <v>82114.683845107109</v>
      </c>
      <c r="J216" s="521">
        <f t="shared" si="28"/>
        <v>0.11889176325523536</v>
      </c>
      <c r="K216" s="521">
        <f t="shared" ca="1" si="29"/>
        <v>0.53356818853014742</v>
      </c>
      <c r="L216" s="521">
        <f t="shared" si="30"/>
        <v>0.10107934129088555</v>
      </c>
      <c r="M216" s="521">
        <f t="shared" ca="1" si="31"/>
        <v>0.75353929307626832</v>
      </c>
      <c r="N216" s="550">
        <f t="shared" ca="1" si="32"/>
        <v>0.26028502208958393</v>
      </c>
    </row>
    <row r="217" spans="2:14" x14ac:dyDescent="0.25">
      <c r="B217" s="978"/>
      <c r="C217" s="981"/>
      <c r="D217" s="388" t="s">
        <v>1450</v>
      </c>
      <c r="E217" s="548" t="s">
        <v>600</v>
      </c>
      <c r="F217" s="115">
        <f>F56*'Units CF'!$I$32*'Units CF'!$I$35*'Units CF'!$I$41</f>
        <v>10624.069473087187</v>
      </c>
      <c r="G217" s="115">
        <f ca="1">G56*'Units CF'!$I$32*'Units CF'!$I$35*'Units CF'!$I$41</f>
        <v>0.48858373797135513</v>
      </c>
      <c r="H217" s="115">
        <f>H56*'Units CF'!$I$32*'Units CF'!$I$35*'Units CF'!$I$41</f>
        <v>125.00514184540975</v>
      </c>
      <c r="I217" s="115">
        <f t="shared" ca="1" si="27"/>
        <v>10749.563198670568</v>
      </c>
      <c r="J217" s="521">
        <f t="shared" si="28"/>
        <v>9.7493571496230114E-2</v>
      </c>
      <c r="K217" s="521">
        <f t="shared" ca="1" si="29"/>
        <v>4.4835713575171161E-6</v>
      </c>
      <c r="L217" s="521">
        <f t="shared" si="30"/>
        <v>1.1471308395313452E-3</v>
      </c>
      <c r="M217" s="521">
        <f t="shared" ca="1" si="31"/>
        <v>9.8645185907118974E-2</v>
      </c>
      <c r="N217" s="550">
        <f t="shared" ca="1" si="32"/>
        <v>3.4073690156283372E-2</v>
      </c>
    </row>
    <row r="218" spans="2:14" x14ac:dyDescent="0.25">
      <c r="B218" s="978"/>
      <c r="C218" s="981"/>
      <c r="D218" s="388" t="s">
        <v>1451</v>
      </c>
      <c r="E218" s="548" t="s">
        <v>601</v>
      </c>
      <c r="F218" s="115">
        <f>F57*'Units CF'!$I$32*'Units CF'!$I$35*'Units CF'!$I$41</f>
        <v>87965.293352582317</v>
      </c>
      <c r="G218" s="115">
        <f ca="1">G57*'Units CF'!$I$32*'Units CF'!$I$35*'Units CF'!$I$41</f>
        <v>7444.2996261842427</v>
      </c>
      <c r="H218" s="115">
        <f>H57*'Units CF'!$I$32*'Units CF'!$I$35*'Units CF'!$I$41</f>
        <v>62807.869371453868</v>
      </c>
      <c r="I218" s="115">
        <f t="shared" ca="1" si="27"/>
        <v>158217.46235022042</v>
      </c>
      <c r="J218" s="521">
        <f t="shared" si="28"/>
        <v>0.80722840135614948</v>
      </c>
      <c r="K218" s="521">
        <f t="shared" ca="1" si="29"/>
        <v>6.8313875364169163E-2</v>
      </c>
      <c r="L218" s="521">
        <f t="shared" si="30"/>
        <v>0.57636704264814698</v>
      </c>
      <c r="M218" s="521">
        <f t="shared" ca="1" si="31"/>
        <v>1.4519093193684656</v>
      </c>
      <c r="N218" s="550">
        <f t="shared" ca="1" si="32"/>
        <v>0.50151366058311742</v>
      </c>
    </row>
    <row r="219" spans="2:14" x14ac:dyDescent="0.25">
      <c r="B219" s="978"/>
      <c r="C219" s="981"/>
      <c r="D219" s="388" t="s">
        <v>1452</v>
      </c>
      <c r="E219" s="548" t="s">
        <v>602</v>
      </c>
      <c r="F219" s="115">
        <f>F58*'Units CF'!$I$32*'Units CF'!$I$35*'Units CF'!$I$41</f>
        <v>199.55590989638708</v>
      </c>
      <c r="G219" s="115">
        <f ca="1">G58*'Units CF'!$I$32*'Units CF'!$I$35*'Units CF'!$I$41</f>
        <v>41.447664195439508</v>
      </c>
      <c r="H219" s="115">
        <f>H58*'Units CF'!$I$32*'Units CF'!$I$35*'Units CF'!$I$41</f>
        <v>413.34413692342207</v>
      </c>
      <c r="I219" s="115">
        <f t="shared" ca="1" si="27"/>
        <v>654.34771101524871</v>
      </c>
      <c r="J219" s="521">
        <f t="shared" si="28"/>
        <v>1.8312585792349143E-3</v>
      </c>
      <c r="K219" s="521">
        <f t="shared" ca="1" si="29"/>
        <v>3.8035150493190457E-4</v>
      </c>
      <c r="L219" s="521">
        <f t="shared" si="30"/>
        <v>3.7931224252415489E-3</v>
      </c>
      <c r="M219" s="521">
        <f t="shared" ca="1" si="31"/>
        <v>6.0047325094083675E-3</v>
      </c>
      <c r="N219" s="550">
        <f t="shared" ca="1" si="32"/>
        <v>2.0741346180805052E-3</v>
      </c>
    </row>
    <row r="220" spans="2:14" x14ac:dyDescent="0.25">
      <c r="B220" s="978"/>
      <c r="C220" s="981"/>
      <c r="D220" s="388" t="s">
        <v>19</v>
      </c>
      <c r="E220" s="548" t="s">
        <v>603</v>
      </c>
      <c r="F220" s="115">
        <f>F59*'Units CF'!$I$32*'Units CF'!$I$35*'Units CF'!$I$41</f>
        <v>3152.1174291012139</v>
      </c>
      <c r="G220" s="115">
        <f ca="1">G59*'Units CF'!$I$32*'Units CF'!$I$35*'Units CF'!$I$41</f>
        <v>221.07935341091243</v>
      </c>
      <c r="H220" s="115">
        <f>H59*'Units CF'!$I$32*'Units CF'!$I$35*'Units CF'!$I$41</f>
        <v>2607.5026053933616</v>
      </c>
      <c r="I220" s="115">
        <f t="shared" ca="1" si="27"/>
        <v>5980.699387905488</v>
      </c>
      <c r="J220" s="521">
        <f t="shared" si="28"/>
        <v>2.8925939040315072E-2</v>
      </c>
      <c r="K220" s="521">
        <f t="shared" ca="1" si="29"/>
        <v>2.0287721011903281E-3</v>
      </c>
      <c r="L220" s="521">
        <f t="shared" si="30"/>
        <v>2.3928188942052651E-2</v>
      </c>
      <c r="M220" s="521">
        <f t="shared" ca="1" si="31"/>
        <v>5.4882900083558048E-2</v>
      </c>
      <c r="N220" s="550">
        <f t="shared" ca="1" si="32"/>
        <v>1.8957467768231536E-2</v>
      </c>
    </row>
    <row r="221" spans="2:14" x14ac:dyDescent="0.25">
      <c r="B221" s="978"/>
      <c r="C221" s="981"/>
      <c r="D221" s="388" t="s">
        <v>1453</v>
      </c>
      <c r="E221" s="548" t="s">
        <v>604</v>
      </c>
      <c r="F221" s="115">
        <f>F60*'Units CF'!$I$32*'Units CF'!$I$35*'Units CF'!$I$41</f>
        <v>108.96526189785847</v>
      </c>
      <c r="G221" s="115">
        <f ca="1">G60*'Units CF'!$I$32*'Units CF'!$I$35*'Units CF'!$I$41</f>
        <v>275.84713145627757</v>
      </c>
      <c r="H221" s="115">
        <f>H60*'Units CF'!$I$32*'Units CF'!$I$35*'Units CF'!$I$41</f>
        <v>1526.3662005974334</v>
      </c>
      <c r="I221" s="115">
        <f t="shared" ca="1" si="27"/>
        <v>1911.1785939515694</v>
      </c>
      <c r="J221" s="521">
        <f t="shared" si="28"/>
        <v>9.9993816666536783E-4</v>
      </c>
      <c r="K221" s="521">
        <f t="shared" ca="1" si="29"/>
        <v>2.5313578851106481E-3</v>
      </c>
      <c r="L221" s="521">
        <f t="shared" si="30"/>
        <v>1.4006957756097286E-2</v>
      </c>
      <c r="M221" s="521">
        <f t="shared" ca="1" si="31"/>
        <v>1.7538253807873303E-2</v>
      </c>
      <c r="N221" s="550">
        <f t="shared" ca="1" si="32"/>
        <v>6.0580049663488469E-3</v>
      </c>
    </row>
    <row r="222" spans="2:14" x14ac:dyDescent="0.25">
      <c r="B222" s="978"/>
      <c r="C222" s="981"/>
      <c r="D222" s="388" t="s">
        <v>1454</v>
      </c>
      <c r="E222" s="548" t="s">
        <v>605</v>
      </c>
      <c r="F222" s="115">
        <f>F61*'Units CF'!$I$32*'Units CF'!$I$35*'Units CF'!$I$41</f>
        <v>34.776673043564095</v>
      </c>
      <c r="G222" s="115">
        <f ca="1">G61*'Units CF'!$I$32*'Units CF'!$I$35*'Units CF'!$I$41</f>
        <v>49.602996240009112</v>
      </c>
      <c r="H222" s="115">
        <f>H61*'Units CF'!$I$32*'Units CF'!$I$35*'Units CF'!$I$41</f>
        <v>601.97177750330627</v>
      </c>
      <c r="I222" s="115">
        <f t="shared" ca="1" si="27"/>
        <v>686.35144678687948</v>
      </c>
      <c r="J222" s="521">
        <f t="shared" si="28"/>
        <v>3.1913402565396701E-4</v>
      </c>
      <c r="K222" s="521">
        <f t="shared" ca="1" si="29"/>
        <v>4.551902896157647E-4</v>
      </c>
      <c r="L222" s="521">
        <f t="shared" si="30"/>
        <v>5.5240958916355238E-3</v>
      </c>
      <c r="M222" s="521">
        <f t="shared" ca="1" si="31"/>
        <v>6.2984202069052558E-3</v>
      </c>
      <c r="N222" s="550">
        <f t="shared" ca="1" si="32"/>
        <v>2.1755792401895206E-3</v>
      </c>
    </row>
    <row r="223" spans="2:14" x14ac:dyDescent="0.25">
      <c r="B223" s="978"/>
      <c r="C223" s="981"/>
      <c r="D223" s="388" t="s">
        <v>1455</v>
      </c>
      <c r="E223" s="548" t="s">
        <v>636</v>
      </c>
      <c r="F223" s="115">
        <f>'Units CF'!L35*'Units CF'!I35*'Units CF'!I41</f>
        <v>1371.5922450902667</v>
      </c>
      <c r="G223" s="115">
        <f ca="1">'Units CF'!M35*'Units CF'!I35*'Units CF'!I41</f>
        <v>3885.7102040554655</v>
      </c>
      <c r="H223" s="115">
        <f>'Units CF'!N35*'Units CF'!I35*'Units CF'!I41</f>
        <v>5475.9154956048242</v>
      </c>
      <c r="I223" s="115">
        <f t="shared" ca="1" si="27"/>
        <v>10733.217944750557</v>
      </c>
      <c r="J223" s="521">
        <f t="shared" si="28"/>
        <v>1.2586648360039889E-2</v>
      </c>
      <c r="K223" s="521">
        <f t="shared" ca="1" si="29"/>
        <v>3.5657877290087965E-2</v>
      </c>
      <c r="L223" s="521">
        <f t="shared" si="30"/>
        <v>5.0250665268186542E-2</v>
      </c>
      <c r="M223" s="521">
        <f t="shared" ca="1" si="31"/>
        <v>9.8495190918314393E-2</v>
      </c>
      <c r="N223" s="550">
        <f t="shared" ca="1" si="32"/>
        <v>3.4021879388970971E-2</v>
      </c>
    </row>
    <row r="224" spans="2:14" x14ac:dyDescent="0.25">
      <c r="B224" s="978"/>
      <c r="C224" s="981"/>
      <c r="D224" s="388" t="s">
        <v>21</v>
      </c>
      <c r="E224" s="548" t="s">
        <v>638</v>
      </c>
      <c r="F224" s="115">
        <f>'Units CF'!L41*'Units CF'!I41</f>
        <v>1059.8581468704695</v>
      </c>
      <c r="G224" s="115">
        <f ca="1">'Units CF'!M41*'Units CF'!I41</f>
        <v>2985.3646994209366</v>
      </c>
      <c r="H224" s="115">
        <f>'Units CF'!N41*'Units CF'!I41</f>
        <v>13327.4927596342</v>
      </c>
      <c r="I224" s="115">
        <f t="shared" ca="1" si="27"/>
        <v>17372.715605925609</v>
      </c>
      <c r="J224" s="521">
        <f t="shared" si="28"/>
        <v>9.7259676510522836E-3</v>
      </c>
      <c r="K224" s="521">
        <f t="shared" ca="1" si="29"/>
        <v>2.7395704395816692E-2</v>
      </c>
      <c r="L224" s="521">
        <f t="shared" si="30"/>
        <v>0.1223019928021345</v>
      </c>
      <c r="M224" s="521">
        <f t="shared" ca="1" si="31"/>
        <v>0.15942366484900347</v>
      </c>
      <c r="N224" s="550">
        <f t="shared" ca="1" si="32"/>
        <v>5.5067589053548381E-2</v>
      </c>
    </row>
    <row r="225" spans="2:14" x14ac:dyDescent="0.25">
      <c r="B225" s="978"/>
      <c r="C225" s="981"/>
      <c r="D225" s="524"/>
      <c r="E225" s="523" t="s">
        <v>410</v>
      </c>
      <c r="F225" s="135">
        <f>SUM(F211:F224)</f>
        <v>133837.96247061368</v>
      </c>
      <c r="G225" s="135">
        <f t="shared" ref="G225:N225" ca="1" si="33">SUM(G211:G224)</f>
        <v>80363.828980203296</v>
      </c>
      <c r="H225" s="135">
        <f t="shared" si="33"/>
        <v>101278.07437429059</v>
      </c>
      <c r="I225" s="135">
        <f t="shared" ca="1" si="33"/>
        <v>315479.86582510761</v>
      </c>
      <c r="J225" s="526">
        <f t="shared" si="33"/>
        <v>1.2281867128309447</v>
      </c>
      <c r="K225" s="526">
        <f t="shared" ca="1" si="33"/>
        <v>0.73747227710056984</v>
      </c>
      <c r="L225" s="526">
        <f t="shared" si="33"/>
        <v>0.92939538940544886</v>
      </c>
      <c r="M225" s="974">
        <f t="shared" ca="1" si="33"/>
        <v>2.8950543793369636</v>
      </c>
      <c r="N225" s="972">
        <f t="shared" ca="1" si="33"/>
        <v>0.99999999999999989</v>
      </c>
    </row>
    <row r="226" spans="2:14" x14ac:dyDescent="0.25">
      <c r="B226" s="979"/>
      <c r="C226" s="982"/>
      <c r="D226" s="525"/>
      <c r="E226" s="523" t="s">
        <v>309</v>
      </c>
      <c r="F226" s="135"/>
      <c r="G226" s="135"/>
      <c r="H226" s="135"/>
      <c r="I226" s="135"/>
      <c r="J226" s="527">
        <f ca="1">J225/M225</f>
        <v>0.42423614616601041</v>
      </c>
      <c r="K226" s="527">
        <f ca="1">K225/M225</f>
        <v>0.25473520717405956</v>
      </c>
      <c r="L226" s="527">
        <f ca="1">L225/M225</f>
        <v>0.32102864665992992</v>
      </c>
      <c r="M226" s="975"/>
      <c r="N226" s="973"/>
    </row>
    <row r="230" spans="2:14" ht="27.6" x14ac:dyDescent="0.25">
      <c r="B230" s="976" t="s">
        <v>425</v>
      </c>
      <c r="C230" s="523" t="s">
        <v>408</v>
      </c>
      <c r="D230" s="976" t="s">
        <v>411</v>
      </c>
      <c r="E230" s="976" t="s">
        <v>411</v>
      </c>
      <c r="F230" s="522" t="s">
        <v>479</v>
      </c>
      <c r="G230" s="522" t="s">
        <v>480</v>
      </c>
      <c r="H230" s="522" t="s">
        <v>481</v>
      </c>
      <c r="I230" s="522" t="s">
        <v>482</v>
      </c>
      <c r="J230" s="546" t="s">
        <v>484</v>
      </c>
      <c r="K230" s="546" t="s">
        <v>483</v>
      </c>
      <c r="L230" s="546" t="s">
        <v>485</v>
      </c>
      <c r="M230" s="522" t="s">
        <v>486</v>
      </c>
      <c r="N230" s="523" t="s">
        <v>487</v>
      </c>
    </row>
    <row r="231" spans="2:14" x14ac:dyDescent="0.25">
      <c r="B231" s="976"/>
      <c r="C231" s="523" t="s">
        <v>477</v>
      </c>
      <c r="D231" s="976"/>
      <c r="E231" s="976"/>
      <c r="F231" s="523" t="s">
        <v>308</v>
      </c>
      <c r="G231" s="523" t="s">
        <v>308</v>
      </c>
      <c r="H231" s="523" t="s">
        <v>308</v>
      </c>
      <c r="I231" s="523" t="s">
        <v>308</v>
      </c>
      <c r="J231" s="547" t="s">
        <v>310</v>
      </c>
      <c r="K231" s="547" t="s">
        <v>310</v>
      </c>
      <c r="L231" s="547" t="s">
        <v>310</v>
      </c>
      <c r="M231" s="523" t="s">
        <v>310</v>
      </c>
      <c r="N231" s="523" t="s">
        <v>309</v>
      </c>
    </row>
    <row r="232" spans="2:14" x14ac:dyDescent="0.25">
      <c r="B232" s="977" t="s">
        <v>1407</v>
      </c>
      <c r="C232" s="980">
        <f>'Units CF'!F43</f>
        <v>68614</v>
      </c>
      <c r="D232" s="388" t="s">
        <v>229</v>
      </c>
      <c r="E232" s="548" t="s">
        <v>594</v>
      </c>
      <c r="F232" s="115">
        <f>F50*'Units CF'!$I$32*'Units CF'!$I$36</f>
        <v>3077.9725896316372</v>
      </c>
      <c r="G232" s="115">
        <f ca="1">G50*'Units CF'!$I$32*'Units CF'!$I$36</f>
        <v>63.468482394332014</v>
      </c>
      <c r="H232" s="115">
        <f>H50*'Units CF'!$I$32*'Units CF'!$I$36</f>
        <v>436.46877851190538</v>
      </c>
      <c r="I232" s="115">
        <f ca="1">SUM(F232:H232)</f>
        <v>3577.9098505378747</v>
      </c>
      <c r="J232" s="521">
        <f>F232/$C$232</f>
        <v>4.4859250147661373E-2</v>
      </c>
      <c r="K232" s="521">
        <f ca="1">G232/$C$232</f>
        <v>9.2500775926679705E-4</v>
      </c>
      <c r="L232" s="521">
        <f>H232/$C$232</f>
        <v>6.3612204289489813E-3</v>
      </c>
      <c r="M232" s="521">
        <f ca="1">SUM(J232:L232)</f>
        <v>5.2145478335877148E-2</v>
      </c>
      <c r="N232" s="550">
        <f ca="1">M232/$M$246</f>
        <v>1.9380771955231166E-2</v>
      </c>
    </row>
    <row r="233" spans="2:14" x14ac:dyDescent="0.25">
      <c r="B233" s="978"/>
      <c r="C233" s="981"/>
      <c r="D233" s="388" t="s">
        <v>1445</v>
      </c>
      <c r="E233" s="548" t="s">
        <v>597</v>
      </c>
      <c r="F233" s="115">
        <f>F51*'Units CF'!$I$32*'Units CF'!$I$36</f>
        <v>2676.0740266487655</v>
      </c>
      <c r="G233" s="115">
        <f ca="1">G51*'Units CF'!$I$32*'Units CF'!$I$36</f>
        <v>2147.0726655523035</v>
      </c>
      <c r="H233" s="115">
        <f>H51*'Units CF'!$I$32*'Units CF'!$I$36</f>
        <v>120.27687817901236</v>
      </c>
      <c r="I233" s="115">
        <f t="shared" ref="I233:I244" ca="1" si="34">SUM(F233:H233)</f>
        <v>4943.4235703800823</v>
      </c>
      <c r="J233" s="521">
        <f t="shared" ref="J233:J245" si="35">F233/$C$232</f>
        <v>3.9001865896883516E-2</v>
      </c>
      <c r="K233" s="521">
        <f t="shared" ref="K233:K245" ca="1" si="36">G233/$C$232</f>
        <v>3.1292049225410318E-2</v>
      </c>
      <c r="L233" s="521">
        <f t="shared" ref="L233:L245" si="37">H233/$C$232</f>
        <v>1.7529495172852823E-3</v>
      </c>
      <c r="M233" s="521">
        <f t="shared" ref="M233:M245" ca="1" si="38">SUM(J233:L233)</f>
        <v>7.2046864639579114E-2</v>
      </c>
      <c r="N233" s="550">
        <f t="shared" ref="N233:N245" ca="1" si="39">M233/$M$246</f>
        <v>2.6777467543305511E-2</v>
      </c>
    </row>
    <row r="234" spans="2:14" x14ac:dyDescent="0.25">
      <c r="B234" s="978"/>
      <c r="C234" s="981"/>
      <c r="D234" s="388" t="s">
        <v>1446</v>
      </c>
      <c r="E234" s="548" t="s">
        <v>595</v>
      </c>
      <c r="F234" s="115">
        <f>F52*'Units CF'!$I$32*'Units CF'!$I$36</f>
        <v>1.3508142765257471E-2</v>
      </c>
      <c r="G234" s="115">
        <f ca="1">G52*'Units CF'!$I$32*'Units CF'!$I$36</f>
        <v>0.90097545181859873</v>
      </c>
      <c r="H234" s="115">
        <f>H52*'Units CF'!$I$32*'Units CF'!$I$36</f>
        <v>8.4444377542935101</v>
      </c>
      <c r="I234" s="115">
        <f t="shared" ca="1" si="34"/>
        <v>9.3589213488773666</v>
      </c>
      <c r="J234" s="521">
        <f t="shared" si="35"/>
        <v>1.9687152425536292E-7</v>
      </c>
      <c r="K234" s="521">
        <f t="shared" ca="1" si="36"/>
        <v>1.3131073131118996E-5</v>
      </c>
      <c r="L234" s="521">
        <f t="shared" si="37"/>
        <v>1.2307164360470909E-4</v>
      </c>
      <c r="M234" s="521">
        <f t="shared" ca="1" si="38"/>
        <v>1.3639958826008346E-4</v>
      </c>
      <c r="N234" s="550">
        <f t="shared" ca="1" si="39"/>
        <v>5.0695274052885659E-5</v>
      </c>
    </row>
    <row r="235" spans="2:14" x14ac:dyDescent="0.25">
      <c r="B235" s="978"/>
      <c r="C235" s="981"/>
      <c r="D235" s="388" t="s">
        <v>1447</v>
      </c>
      <c r="E235" s="548" t="s">
        <v>596</v>
      </c>
      <c r="F235" s="115">
        <f>F53*'Units CF'!$I$32*'Units CF'!$I$36</f>
        <v>121.29268605229107</v>
      </c>
      <c r="G235" s="115">
        <f ca="1">G53*'Units CF'!$I$32*'Units CF'!$I$36</f>
        <v>1173.5773547728543</v>
      </c>
      <c r="H235" s="115">
        <f>H53*'Units CF'!$I$32*'Units CF'!$I$36</f>
        <v>62.152513436972384</v>
      </c>
      <c r="I235" s="115">
        <f t="shared" ca="1" si="34"/>
        <v>1357.0225542621179</v>
      </c>
      <c r="J235" s="521">
        <f t="shared" si="35"/>
        <v>1.7677541908690804E-3</v>
      </c>
      <c r="K235" s="521">
        <f t="shared" ca="1" si="36"/>
        <v>1.7104050992113189E-2</v>
      </c>
      <c r="L235" s="521">
        <f t="shared" si="37"/>
        <v>9.0582845245827941E-4</v>
      </c>
      <c r="M235" s="521">
        <f t="shared" ca="1" si="38"/>
        <v>1.977763363544055E-2</v>
      </c>
      <c r="N235" s="550">
        <f t="shared" ca="1" si="39"/>
        <v>7.3507007613133864E-3</v>
      </c>
    </row>
    <row r="236" spans="2:14" x14ac:dyDescent="0.25">
      <c r="B236" s="978"/>
      <c r="C236" s="981"/>
      <c r="D236" s="388" t="s">
        <v>1448</v>
      </c>
      <c r="E236" s="548" t="s">
        <v>598</v>
      </c>
      <c r="F236" s="115">
        <f>F54*'Units CF'!$I$32*'Units CF'!$I$36</f>
        <v>3723.8136519534087</v>
      </c>
      <c r="G236" s="115">
        <f ca="1">G54*'Units CF'!$I$32*'Units CF'!$I$36</f>
        <v>906.07558106780596</v>
      </c>
      <c r="H236" s="115">
        <f>H54*'Units CF'!$I$32*'Units CF'!$I$36</f>
        <v>1353.8521776280766</v>
      </c>
      <c r="I236" s="115">
        <f t="shared" ca="1" si="34"/>
        <v>5983.7414106492915</v>
      </c>
      <c r="J236" s="521">
        <f t="shared" si="35"/>
        <v>5.4271921939449803E-2</v>
      </c>
      <c r="K236" s="521">
        <f t="shared" ca="1" si="36"/>
        <v>1.3205403869003497E-2</v>
      </c>
      <c r="L236" s="521">
        <f t="shared" si="37"/>
        <v>1.9731427662402375E-2</v>
      </c>
      <c r="M236" s="521">
        <f t="shared" ca="1" si="38"/>
        <v>8.7208753470855674E-2</v>
      </c>
      <c r="N236" s="550">
        <f t="shared" ca="1" si="39"/>
        <v>3.2412646646598216E-2</v>
      </c>
    </row>
    <row r="237" spans="2:14" x14ac:dyDescent="0.25">
      <c r="B237" s="978"/>
      <c r="C237" s="981"/>
      <c r="D237" s="388" t="s">
        <v>1449</v>
      </c>
      <c r="E237" s="548" t="s">
        <v>599</v>
      </c>
      <c r="F237" s="115">
        <f>F55*'Units CF'!$I$32*'Units CF'!$I$36</f>
        <v>7599.0860260678219</v>
      </c>
      <c r="G237" s="115">
        <f ca="1">G55*'Units CF'!$I$32*'Units CF'!$I$36</f>
        <v>34103.54472335762</v>
      </c>
      <c r="H237" s="115">
        <f>H55*'Units CF'!$I$32*'Units CF'!$I$36</f>
        <v>6460.5872509329211</v>
      </c>
      <c r="I237" s="115">
        <f t="shared" ca="1" si="34"/>
        <v>48163.218000358363</v>
      </c>
      <c r="J237" s="521">
        <f t="shared" si="35"/>
        <v>0.1107512464812986</v>
      </c>
      <c r="K237" s="521">
        <f t="shared" ca="1" si="36"/>
        <v>0.49703478478674351</v>
      </c>
      <c r="L237" s="521">
        <f t="shared" si="37"/>
        <v>9.415844071083046E-2</v>
      </c>
      <c r="M237" s="521">
        <f t="shared" ca="1" si="38"/>
        <v>0.70194447197887255</v>
      </c>
      <c r="N237" s="550">
        <f t="shared" ca="1" si="39"/>
        <v>0.26088984454281439</v>
      </c>
    </row>
    <row r="238" spans="2:14" x14ac:dyDescent="0.25">
      <c r="B238" s="978"/>
      <c r="C238" s="981"/>
      <c r="D238" s="388" t="s">
        <v>1450</v>
      </c>
      <c r="E238" s="548" t="s">
        <v>600</v>
      </c>
      <c r="F238" s="115">
        <f>F56*'Units CF'!$I$32*'Units CF'!$I$36</f>
        <v>6231.3991861486065</v>
      </c>
      <c r="G238" s="115">
        <f ca="1">G56*'Units CF'!$I$32*'Units CF'!$I$36</f>
        <v>0.28657195012444175</v>
      </c>
      <c r="H238" s="115">
        <f>H56*'Units CF'!$I$32*'Units CF'!$I$36</f>
        <v>73.320015567775158</v>
      </c>
      <c r="I238" s="115">
        <f t="shared" ca="1" si="34"/>
        <v>6305.0057736665058</v>
      </c>
      <c r="J238" s="521">
        <f t="shared" si="35"/>
        <v>9.0818188505969719E-2</v>
      </c>
      <c r="K238" s="521">
        <f t="shared" ca="1" si="36"/>
        <v>4.1765813117503971E-6</v>
      </c>
      <c r="L238" s="521">
        <f t="shared" si="37"/>
        <v>1.0685868127171593E-3</v>
      </c>
      <c r="M238" s="521">
        <f t="shared" ca="1" si="38"/>
        <v>9.189095189999863E-2</v>
      </c>
      <c r="N238" s="550">
        <f t="shared" ca="1" si="39"/>
        <v>3.4152866947577354E-2</v>
      </c>
    </row>
    <row r="239" spans="2:14" x14ac:dyDescent="0.25">
      <c r="B239" s="978"/>
      <c r="C239" s="981"/>
      <c r="D239" s="388" t="s">
        <v>1451</v>
      </c>
      <c r="E239" s="548" t="s">
        <v>601</v>
      </c>
      <c r="F239" s="115">
        <f>F57*'Units CF'!$I$32*'Units CF'!$I$36</f>
        <v>51594.81108394164</v>
      </c>
      <c r="G239" s="115">
        <f ca="1">G57*'Units CF'!$I$32*'Units CF'!$I$36</f>
        <v>4366.3497071025004</v>
      </c>
      <c r="H239" s="115">
        <f>H57*'Units CF'!$I$32*'Units CF'!$I$36</f>
        <v>36839.076314066726</v>
      </c>
      <c r="I239" s="115">
        <f t="shared" ca="1" si="34"/>
        <v>92800.237105110864</v>
      </c>
      <c r="J239" s="521">
        <f t="shared" si="35"/>
        <v>0.75195748803366136</v>
      </c>
      <c r="K239" s="521">
        <f t="shared" ca="1" si="36"/>
        <v>6.3636425614342559E-2</v>
      </c>
      <c r="L239" s="521">
        <f t="shared" si="37"/>
        <v>0.53690320217545584</v>
      </c>
      <c r="M239" s="521">
        <f t="shared" ca="1" si="38"/>
        <v>1.3524971158234598</v>
      </c>
      <c r="N239" s="550">
        <f t="shared" ca="1" si="39"/>
        <v>0.50267902430665135</v>
      </c>
    </row>
    <row r="240" spans="2:14" x14ac:dyDescent="0.25">
      <c r="B240" s="978"/>
      <c r="C240" s="981"/>
      <c r="D240" s="388" t="s">
        <v>1452</v>
      </c>
      <c r="E240" s="548" t="s">
        <v>602</v>
      </c>
      <c r="F240" s="115">
        <f>F58*'Units CF'!$I$32*'Units CF'!$I$36</f>
        <v>117.04672467264521</v>
      </c>
      <c r="G240" s="115">
        <f ca="1">G58*'Units CF'!$I$32*'Units CF'!$I$36</f>
        <v>24.310547063861701</v>
      </c>
      <c r="H240" s="115">
        <f>H58*'Units CF'!$I$32*'Units CF'!$I$36</f>
        <v>242.4412156705757</v>
      </c>
      <c r="I240" s="115">
        <f t="shared" ca="1" si="34"/>
        <v>383.79848740708258</v>
      </c>
      <c r="J240" s="521">
        <f t="shared" si="35"/>
        <v>1.7058723390655727E-3</v>
      </c>
      <c r="K240" s="521">
        <f t="shared" ca="1" si="36"/>
        <v>3.5430884460695632E-4</v>
      </c>
      <c r="L240" s="521">
        <f t="shared" si="37"/>
        <v>3.533407404765437E-3</v>
      </c>
      <c r="M240" s="521">
        <f t="shared" ca="1" si="38"/>
        <v>5.5935885884379659E-3</v>
      </c>
      <c r="N240" s="550">
        <f t="shared" ca="1" si="39"/>
        <v>2.0789542699297223E-3</v>
      </c>
    </row>
    <row r="241" spans="2:14" x14ac:dyDescent="0.25">
      <c r="B241" s="978"/>
      <c r="C241" s="981"/>
      <c r="D241" s="388" t="s">
        <v>19</v>
      </c>
      <c r="E241" s="548" t="s">
        <v>603</v>
      </c>
      <c r="F241" s="115">
        <f>F59*'Units CF'!$I$32*'Units CF'!$I$36</f>
        <v>1848.8303405868501</v>
      </c>
      <c r="G241" s="115">
        <f ca="1">G59*'Units CF'!$I$32*'Units CF'!$I$36</f>
        <v>129.67099908456274</v>
      </c>
      <c r="H241" s="115">
        <f>H59*'Units CF'!$I$32*'Units CF'!$I$36</f>
        <v>1529.3941416976668</v>
      </c>
      <c r="I241" s="115">
        <f t="shared" ca="1" si="34"/>
        <v>3507.8954813690798</v>
      </c>
      <c r="J241" s="521">
        <f t="shared" si="35"/>
        <v>2.6945380543137699E-2</v>
      </c>
      <c r="K241" s="521">
        <f t="shared" ca="1" si="36"/>
        <v>1.8898621139208142E-3</v>
      </c>
      <c r="L241" s="521">
        <f t="shared" si="37"/>
        <v>2.2289826299263515E-2</v>
      </c>
      <c r="M241" s="521">
        <f t="shared" ca="1" si="38"/>
        <v>5.1125068956322031E-2</v>
      </c>
      <c r="N241" s="550">
        <f t="shared" ca="1" si="39"/>
        <v>1.9001519101153306E-2</v>
      </c>
    </row>
    <row r="242" spans="2:14" x14ac:dyDescent="0.25">
      <c r="B242" s="978"/>
      <c r="C242" s="981"/>
      <c r="D242" s="388" t="s">
        <v>1453</v>
      </c>
      <c r="E242" s="548" t="s">
        <v>604</v>
      </c>
      <c r="F242" s="115">
        <f>F60*'Units CF'!$I$32*'Units CF'!$I$36</f>
        <v>63.912048582592384</v>
      </c>
      <c r="G242" s="115">
        <f ca="1">G60*'Units CF'!$I$32*'Units CF'!$I$36</f>
        <v>161.79427241250769</v>
      </c>
      <c r="H242" s="115">
        <f>H60*'Units CF'!$I$32*'Units CF'!$I$36</f>
        <v>895.26872205248526</v>
      </c>
      <c r="I242" s="115">
        <f t="shared" ca="1" si="34"/>
        <v>1120.9750430475854</v>
      </c>
      <c r="J242" s="521">
        <f t="shared" si="35"/>
        <v>9.314724193691139E-4</v>
      </c>
      <c r="K242" s="521">
        <f t="shared" ca="1" si="36"/>
        <v>2.3580358587534278E-3</v>
      </c>
      <c r="L242" s="521">
        <f t="shared" si="37"/>
        <v>1.3047901624340299E-2</v>
      </c>
      <c r="M242" s="521">
        <f t="shared" ca="1" si="38"/>
        <v>1.6337409902462841E-2</v>
      </c>
      <c r="N242" s="550">
        <f t="shared" ca="1" si="39"/>
        <v>6.0720819093708234E-3</v>
      </c>
    </row>
    <row r="243" spans="2:14" x14ac:dyDescent="0.25">
      <c r="B243" s="978"/>
      <c r="C243" s="981"/>
      <c r="D243" s="388" t="s">
        <v>1454</v>
      </c>
      <c r="E243" s="548" t="s">
        <v>605</v>
      </c>
      <c r="F243" s="115">
        <f>F61*'Units CF'!$I$32*'Units CF'!$I$36</f>
        <v>20.397770614130756</v>
      </c>
      <c r="G243" s="115">
        <f ca="1">G61*'Units CF'!$I$32*'Units CF'!$I$36</f>
        <v>29.093942879752905</v>
      </c>
      <c r="H243" s="115">
        <f>H61*'Units CF'!$I$32*'Units CF'!$I$36</f>
        <v>353.0781169984682</v>
      </c>
      <c r="I243" s="115">
        <f t="shared" ca="1" si="34"/>
        <v>402.56983049235185</v>
      </c>
      <c r="J243" s="521">
        <f t="shared" si="35"/>
        <v>2.9728292497348583E-4</v>
      </c>
      <c r="K243" s="521">
        <f t="shared" ca="1" si="36"/>
        <v>4.240234191236906E-4</v>
      </c>
      <c r="L243" s="521">
        <f t="shared" si="37"/>
        <v>5.145861150763229E-3</v>
      </c>
      <c r="M243" s="521">
        <f t="shared" ca="1" si="38"/>
        <v>5.8671674948604056E-3</v>
      </c>
      <c r="N243" s="550">
        <f t="shared" ca="1" si="39"/>
        <v>2.180634618185092E-3</v>
      </c>
    </row>
    <row r="244" spans="2:14" x14ac:dyDescent="0.25">
      <c r="B244" s="978"/>
      <c r="C244" s="981"/>
      <c r="D244" s="388" t="s">
        <v>1455</v>
      </c>
      <c r="E244" s="548" t="s">
        <v>636</v>
      </c>
      <c r="F244" s="115">
        <f>'Units CF'!L35*'Units CF'!I36</f>
        <v>804.48822566854142</v>
      </c>
      <c r="G244" s="115">
        <f ca="1">'Units CF'!M35*'Units CF'!I36</f>
        <v>2279.108910620153</v>
      </c>
      <c r="H244" s="115">
        <f>'Units CF'!N35*'Units CF'!I36</f>
        <v>3211.8215575650734</v>
      </c>
      <c r="I244" s="115">
        <f t="shared" ca="1" si="34"/>
        <v>6295.4186938537678</v>
      </c>
      <c r="J244" s="521">
        <f t="shared" si="35"/>
        <v>1.1724840785678453E-2</v>
      </c>
      <c r="K244" s="521">
        <f t="shared" ca="1" si="36"/>
        <v>3.3216383108697248E-2</v>
      </c>
      <c r="L244" s="521">
        <f t="shared" si="37"/>
        <v>4.6810003170855416E-2</v>
      </c>
      <c r="M244" s="521">
        <f t="shared" ca="1" si="38"/>
        <v>9.1751227065231117E-2</v>
      </c>
      <c r="N244" s="550">
        <f t="shared" ca="1" si="39"/>
        <v>3.4100935787953715E-2</v>
      </c>
    </row>
    <row r="245" spans="2:14" x14ac:dyDescent="0.25">
      <c r="B245" s="978"/>
      <c r="C245" s="981"/>
      <c r="D245" s="388" t="s">
        <v>22</v>
      </c>
      <c r="E245" s="548" t="s">
        <v>639</v>
      </c>
      <c r="F245" s="115">
        <f>'Units CF'!L43</f>
        <v>214.29237454296018</v>
      </c>
      <c r="G245" s="115">
        <f ca="1">'Units CF'!M43</f>
        <v>533.78361522816988</v>
      </c>
      <c r="H245" s="115">
        <f>'Units CF'!N43</f>
        <v>9012.6670826557747</v>
      </c>
      <c r="I245" s="115">
        <f t="shared" ref="I245" ca="1" si="40">SUM(F245:H245)</f>
        <v>9760.7430724269052</v>
      </c>
      <c r="J245" s="521">
        <f t="shared" si="35"/>
        <v>3.1231581680555014E-3</v>
      </c>
      <c r="K245" s="521">
        <f t="shared" ca="1" si="36"/>
        <v>7.7795146067591147E-3</v>
      </c>
      <c r="L245" s="521">
        <f t="shared" si="37"/>
        <v>0.13135317985623596</v>
      </c>
      <c r="M245" s="521">
        <f t="shared" ca="1" si="38"/>
        <v>0.14225585263105056</v>
      </c>
      <c r="N245" s="550">
        <f t="shared" ca="1" si="39"/>
        <v>5.2871856335863186E-2</v>
      </c>
    </row>
    <row r="246" spans="2:14" x14ac:dyDescent="0.25">
      <c r="B246" s="978"/>
      <c r="C246" s="981"/>
      <c r="D246" s="524"/>
      <c r="E246" s="523" t="s">
        <v>410</v>
      </c>
      <c r="F246" s="135">
        <f>SUM(F232:F245)</f>
        <v>78093.430243254668</v>
      </c>
      <c r="G246" s="135">
        <f t="shared" ref="G246:N246" ca="1" si="41">SUM(G232:G245)</f>
        <v>45919.038348938368</v>
      </c>
      <c r="H246" s="135">
        <f t="shared" si="41"/>
        <v>60598.849202717727</v>
      </c>
      <c r="I246" s="135">
        <f t="shared" ca="1" si="41"/>
        <v>184611.31779491075</v>
      </c>
      <c r="J246" s="526">
        <f t="shared" si="41"/>
        <v>1.1381559192475976</v>
      </c>
      <c r="K246" s="526">
        <f t="shared" ca="1" si="41"/>
        <v>0.66923715785318405</v>
      </c>
      <c r="L246" s="526">
        <f t="shared" si="41"/>
        <v>0.88318490690992701</v>
      </c>
      <c r="M246" s="974">
        <f t="shared" ca="1" si="41"/>
        <v>2.6905779840107082</v>
      </c>
      <c r="N246" s="972">
        <f t="shared" ca="1" si="41"/>
        <v>1.0000000000000002</v>
      </c>
    </row>
    <row r="247" spans="2:14" x14ac:dyDescent="0.25">
      <c r="B247" s="979"/>
      <c r="C247" s="982"/>
      <c r="D247" s="525"/>
      <c r="E247" s="523" t="s">
        <v>309</v>
      </c>
      <c r="F247" s="135"/>
      <c r="G247" s="135"/>
      <c r="H247" s="135"/>
      <c r="I247" s="135"/>
      <c r="J247" s="527">
        <f ca="1">J246/M246</f>
        <v>0.42301539892592382</v>
      </c>
      <c r="K247" s="527">
        <f ca="1">K246/M246</f>
        <v>0.24873360364585537</v>
      </c>
      <c r="L247" s="527">
        <f ca="1">L246/M246</f>
        <v>0.328250997428221</v>
      </c>
      <c r="M247" s="975"/>
      <c r="N247" s="973"/>
    </row>
    <row r="251" spans="2:14" ht="27.6" x14ac:dyDescent="0.25">
      <c r="B251" s="976" t="s">
        <v>425</v>
      </c>
      <c r="C251" s="523" t="s">
        <v>408</v>
      </c>
      <c r="D251" s="976" t="s">
        <v>411</v>
      </c>
      <c r="E251" s="976" t="s">
        <v>411</v>
      </c>
      <c r="F251" s="522" t="s">
        <v>479</v>
      </c>
      <c r="G251" s="522" t="s">
        <v>480</v>
      </c>
      <c r="H251" s="522" t="s">
        <v>481</v>
      </c>
      <c r="I251" s="522" t="s">
        <v>482</v>
      </c>
      <c r="J251" s="546" t="s">
        <v>484</v>
      </c>
      <c r="K251" s="546" t="s">
        <v>483</v>
      </c>
      <c r="L251" s="546" t="s">
        <v>485</v>
      </c>
      <c r="M251" s="522" t="s">
        <v>486</v>
      </c>
      <c r="N251" s="523" t="s">
        <v>487</v>
      </c>
    </row>
    <row r="252" spans="2:14" x14ac:dyDescent="0.25">
      <c r="B252" s="976"/>
      <c r="C252" s="523" t="s">
        <v>477</v>
      </c>
      <c r="D252" s="976"/>
      <c r="E252" s="976"/>
      <c r="F252" s="523" t="s">
        <v>308</v>
      </c>
      <c r="G252" s="523" t="s">
        <v>308</v>
      </c>
      <c r="H252" s="523" t="s">
        <v>308</v>
      </c>
      <c r="I252" s="523" t="s">
        <v>308</v>
      </c>
      <c r="J252" s="547" t="s">
        <v>310</v>
      </c>
      <c r="K252" s="547" t="s">
        <v>310</v>
      </c>
      <c r="L252" s="547" t="s">
        <v>310</v>
      </c>
      <c r="M252" s="523" t="s">
        <v>310</v>
      </c>
      <c r="N252" s="523" t="s">
        <v>309</v>
      </c>
    </row>
    <row r="253" spans="2:14" x14ac:dyDescent="0.25">
      <c r="B253" s="977" t="s">
        <v>1406</v>
      </c>
      <c r="C253" s="980">
        <f>'Units CF'!F44</f>
        <v>176922</v>
      </c>
      <c r="D253" s="388" t="s">
        <v>229</v>
      </c>
      <c r="E253" s="548" t="s">
        <v>594</v>
      </c>
      <c r="F253" s="115">
        <f>F50*'Units CF'!$I$32*'Units CF'!$I$38</f>
        <v>7993.5387530247863</v>
      </c>
      <c r="G253" s="115">
        <f ca="1">G50*'Units CF'!$I$32*'Units CF'!$I$38</f>
        <v>164.82855478432998</v>
      </c>
      <c r="H253" s="115">
        <f>H50*'Units CF'!$I$32*'Units CF'!$I$38</f>
        <v>1133.5156483436563</v>
      </c>
      <c r="I253" s="115">
        <f ca="1">SUM(F253:H253)</f>
        <v>9291.8829561527727</v>
      </c>
      <c r="J253" s="521">
        <f>F253/$C$253</f>
        <v>4.5181146228421488E-2</v>
      </c>
      <c r="K253" s="521">
        <f ca="1">G253/$C$253</f>
        <v>9.3164532836125511E-4</v>
      </c>
      <c r="L253" s="521">
        <f>H253/$C$253</f>
        <v>6.4068665759128667E-3</v>
      </c>
      <c r="M253" s="521">
        <f ca="1">SUM(J253:L253)</f>
        <v>5.2519658132695615E-2</v>
      </c>
      <c r="N253" s="550">
        <f ca="1">M253/$M$267</f>
        <v>1.9839435930546497E-2</v>
      </c>
    </row>
    <row r="254" spans="2:14" x14ac:dyDescent="0.25">
      <c r="B254" s="978"/>
      <c r="C254" s="981"/>
      <c r="D254" s="388" t="s">
        <v>1445</v>
      </c>
      <c r="E254" s="548" t="s">
        <v>597</v>
      </c>
      <c r="F254" s="115">
        <f>F51*'Units CF'!$I$32*'Units CF'!$I$38</f>
        <v>6949.8024478964062</v>
      </c>
      <c r="G254" s="115">
        <f ca="1">G51*'Units CF'!$I$32*'Units CF'!$I$38</f>
        <v>5575.9783616872783</v>
      </c>
      <c r="H254" s="115">
        <f>H51*'Units CF'!$I$32*'Units CF'!$I$38</f>
        <v>312.36076957132315</v>
      </c>
      <c r="I254" s="115">
        <f t="shared" ref="I254:I266" ca="1" si="42">SUM(F254:H254)</f>
        <v>12838.141579155008</v>
      </c>
      <c r="J254" s="521">
        <f t="shared" ref="J254:J266" si="43">F254/$C$253</f>
        <v>3.9281731202995704E-2</v>
      </c>
      <c r="K254" s="521">
        <f t="shared" ref="K254:K266" ca="1" si="44">G254/$C$253</f>
        <v>3.1516591275744556E-2</v>
      </c>
      <c r="L254" s="521">
        <f t="shared" ref="L254:L266" si="45">H254/$C$253</f>
        <v>1.7655281399222434E-3</v>
      </c>
      <c r="M254" s="521">
        <f t="shared" ref="M254:M266" ca="1" si="46">SUM(J254:L254)</f>
        <v>7.2563850618662509E-2</v>
      </c>
      <c r="N254" s="550">
        <f t="shared" ref="N254:N266" ca="1" si="47">M254/$M$267</f>
        <v>2.741118119210445E-2</v>
      </c>
    </row>
    <row r="255" spans="2:14" x14ac:dyDescent="0.25">
      <c r="B255" s="978"/>
      <c r="C255" s="981"/>
      <c r="D255" s="388" t="s">
        <v>1446</v>
      </c>
      <c r="E255" s="548" t="s">
        <v>595</v>
      </c>
      <c r="F255" s="115">
        <f>F52*'Units CF'!$I$32*'Units CF'!$I$38</f>
        <v>3.5080839588763027E-2</v>
      </c>
      <c r="G255" s="115">
        <f ca="1">G52*'Units CF'!$I$32*'Units CF'!$I$38</f>
        <v>2.3398461097075258</v>
      </c>
      <c r="H255" s="115">
        <f>H52*'Units CF'!$I$32*'Units CF'!$I$38</f>
        <v>21.930325391406132</v>
      </c>
      <c r="I255" s="115">
        <f t="shared" ca="1" si="42"/>
        <v>24.30525234070242</v>
      </c>
      <c r="J255" s="521">
        <f t="shared" si="43"/>
        <v>1.982842133186547E-7</v>
      </c>
      <c r="K255" s="521">
        <f t="shared" ca="1" si="44"/>
        <v>1.3225297643636889E-5</v>
      </c>
      <c r="L255" s="521">
        <f t="shared" si="45"/>
        <v>1.2395476758914173E-4</v>
      </c>
      <c r="M255" s="521">
        <f t="shared" ca="1" si="46"/>
        <v>1.3737834944609729E-4</v>
      </c>
      <c r="N255" s="550">
        <f t="shared" ca="1" si="47"/>
        <v>5.1895024815162217E-5</v>
      </c>
    </row>
    <row r="256" spans="2:14" x14ac:dyDescent="0.25">
      <c r="B256" s="978"/>
      <c r="C256" s="981"/>
      <c r="D256" s="388" t="s">
        <v>1447</v>
      </c>
      <c r="E256" s="548" t="s">
        <v>596</v>
      </c>
      <c r="F256" s="115">
        <f>F53*'Units CF'!$I$32*'Units CF'!$I$38</f>
        <v>314.99883711878391</v>
      </c>
      <c r="G256" s="115">
        <f ca="1">G53*'Units CF'!$I$32*'Units CF'!$I$38</f>
        <v>3047.7971430446769</v>
      </c>
      <c r="H256" s="115">
        <f>H53*'Units CF'!$I$32*'Units CF'!$I$38</f>
        <v>161.41096461674155</v>
      </c>
      <c r="I256" s="115">
        <f t="shared" ca="1" si="42"/>
        <v>3524.2069447802023</v>
      </c>
      <c r="J256" s="521">
        <f t="shared" si="43"/>
        <v>1.7804390472568924E-3</v>
      </c>
      <c r="K256" s="521">
        <f t="shared" ca="1" si="44"/>
        <v>1.7226784362852993E-2</v>
      </c>
      <c r="L256" s="521">
        <f t="shared" si="45"/>
        <v>9.1232839678921532E-4</v>
      </c>
      <c r="M256" s="521">
        <f t="shared" ca="1" si="46"/>
        <v>1.99195518068991E-2</v>
      </c>
      <c r="N256" s="550">
        <f t="shared" ca="1" si="47"/>
        <v>7.5246619244871468E-3</v>
      </c>
    </row>
    <row r="257" spans="2:14" x14ac:dyDescent="0.25">
      <c r="B257" s="978"/>
      <c r="C257" s="981"/>
      <c r="D257" s="388" t="s">
        <v>1448</v>
      </c>
      <c r="E257" s="548" t="s">
        <v>598</v>
      </c>
      <c r="F257" s="115">
        <f>F54*'Units CF'!$I$32*'Units CF'!$I$38</f>
        <v>9670.7972111911131</v>
      </c>
      <c r="G257" s="115">
        <f ca="1">G54*'Units CF'!$I$32*'Units CF'!$I$38</f>
        <v>2353.091218171553</v>
      </c>
      <c r="H257" s="115">
        <f>H54*'Units CF'!$I$32*'Units CF'!$I$38</f>
        <v>3515.9734314047873</v>
      </c>
      <c r="I257" s="115">
        <f t="shared" ca="1" si="42"/>
        <v>15539.861860767453</v>
      </c>
      <c r="J257" s="521">
        <f t="shared" si="43"/>
        <v>5.4661360436752425E-2</v>
      </c>
      <c r="K257" s="521">
        <f t="shared" ca="1" si="44"/>
        <v>1.3300161755867292E-2</v>
      </c>
      <c r="L257" s="521">
        <f t="shared" si="45"/>
        <v>1.9873014274113945E-2</v>
      </c>
      <c r="M257" s="521">
        <f t="shared" ca="1" si="46"/>
        <v>8.783453646673367E-2</v>
      </c>
      <c r="N257" s="550">
        <f t="shared" ca="1" si="47"/>
        <v>3.3179722044614397E-2</v>
      </c>
    </row>
    <row r="258" spans="2:14" x14ac:dyDescent="0.25">
      <c r="B258" s="978"/>
      <c r="C258" s="981"/>
      <c r="D258" s="388" t="s">
        <v>1449</v>
      </c>
      <c r="E258" s="548" t="s">
        <v>599</v>
      </c>
      <c r="F258" s="115">
        <f>F55*'Units CF'!$I$32*'Units CF'!$I$38</f>
        <v>19734.934885892493</v>
      </c>
      <c r="G258" s="115">
        <f ca="1">G55*'Units CF'!$I$32*'Units CF'!$I$38</f>
        <v>88567.392471255895</v>
      </c>
      <c r="H258" s="115">
        <f>H55*'Units CF'!$I$32*'Units CF'!$I$38</f>
        <v>16778.237314910806</v>
      </c>
      <c r="I258" s="115">
        <f t="shared" ca="1" si="42"/>
        <v>125080.56467205919</v>
      </c>
      <c r="J258" s="521">
        <f t="shared" si="43"/>
        <v>0.11154596311308086</v>
      </c>
      <c r="K258" s="521">
        <f t="shared" ca="1" si="44"/>
        <v>0.5006013524109828</v>
      </c>
      <c r="L258" s="521">
        <f t="shared" si="45"/>
        <v>9.4834092509189394E-2</v>
      </c>
      <c r="M258" s="521">
        <f t="shared" ca="1" si="46"/>
        <v>0.70698140803325304</v>
      </c>
      <c r="N258" s="550">
        <f t="shared" ca="1" si="47"/>
        <v>0.26706404511097631</v>
      </c>
    </row>
    <row r="259" spans="2:14" x14ac:dyDescent="0.25">
      <c r="B259" s="978"/>
      <c r="C259" s="981"/>
      <c r="D259" s="388" t="s">
        <v>1450</v>
      </c>
      <c r="E259" s="548" t="s">
        <v>600</v>
      </c>
      <c r="F259" s="115">
        <f>F56*'Units CF'!$I$32*'Units CF'!$I$38</f>
        <v>16183.032639029196</v>
      </c>
      <c r="G259" s="115">
        <f ca="1">G56*'Units CF'!$I$32*'Units CF'!$I$38</f>
        <v>0.74423144525915308</v>
      </c>
      <c r="H259" s="115">
        <f>H56*'Units CF'!$I$32*'Units CF'!$I$38</f>
        <v>190.41312706541436</v>
      </c>
      <c r="I259" s="115">
        <f t="shared" ca="1" si="42"/>
        <v>16374.189997539868</v>
      </c>
      <c r="J259" s="521">
        <f t="shared" si="43"/>
        <v>9.1469871689384002E-2</v>
      </c>
      <c r="K259" s="521">
        <f t="shared" ca="1" si="44"/>
        <v>4.2065511652544795E-6</v>
      </c>
      <c r="L259" s="521">
        <f t="shared" si="45"/>
        <v>1.0762546606154935E-3</v>
      </c>
      <c r="M259" s="521">
        <f t="shared" ca="1" si="46"/>
        <v>9.2550332901164753E-2</v>
      </c>
      <c r="N259" s="550">
        <f t="shared" ca="1" si="47"/>
        <v>3.4961126275883582E-2</v>
      </c>
    </row>
    <row r="260" spans="2:14" x14ac:dyDescent="0.25">
      <c r="B260" s="978"/>
      <c r="C260" s="981"/>
      <c r="D260" s="388" t="s">
        <v>1451</v>
      </c>
      <c r="E260" s="548" t="s">
        <v>601</v>
      </c>
      <c r="F260" s="115">
        <f>F57*'Units CF'!$I$32*'Units CF'!$I$38</f>
        <v>133992.46089577363</v>
      </c>
      <c r="G260" s="115">
        <f ca="1">G57*'Units CF'!$I$32*'Units CF'!$I$38</f>
        <v>11339.472518551343</v>
      </c>
      <c r="H260" s="115">
        <f>H57*'Units CF'!$I$32*'Units CF'!$I$38</f>
        <v>95671.607061767805</v>
      </c>
      <c r="I260" s="115">
        <f t="shared" ca="1" si="42"/>
        <v>241003.54047609278</v>
      </c>
      <c r="J260" s="521">
        <f t="shared" si="43"/>
        <v>0.75735330199621098</v>
      </c>
      <c r="K260" s="521">
        <f t="shared" ca="1" si="44"/>
        <v>6.4093060888704312E-2</v>
      </c>
      <c r="L260" s="521">
        <f t="shared" si="45"/>
        <v>0.54075585321083752</v>
      </c>
      <c r="M260" s="521">
        <f t="shared" ca="1" si="46"/>
        <v>1.3622022160957528</v>
      </c>
      <c r="N260" s="550">
        <f t="shared" ca="1" si="47"/>
        <v>0.51457539046423806</v>
      </c>
    </row>
    <row r="261" spans="2:14" x14ac:dyDescent="0.25">
      <c r="B261" s="978"/>
      <c r="C261" s="981"/>
      <c r="D261" s="388" t="s">
        <v>1452</v>
      </c>
      <c r="E261" s="548" t="s">
        <v>602</v>
      </c>
      <c r="F261" s="115">
        <f>F58*'Units CF'!$I$32*'Units CF'!$I$38</f>
        <v>303.97201480516884</v>
      </c>
      <c r="G261" s="115">
        <f ca="1">G58*'Units CF'!$I$32*'Units CF'!$I$38</f>
        <v>63.134837755481115</v>
      </c>
      <c r="H261" s="115">
        <f>H58*'Units CF'!$I$32*'Units CF'!$I$38</f>
        <v>629.62329792063451</v>
      </c>
      <c r="I261" s="115">
        <f t="shared" ca="1" si="42"/>
        <v>996.73015048128445</v>
      </c>
      <c r="J261" s="521">
        <f t="shared" si="43"/>
        <v>1.7181131504570876E-3</v>
      </c>
      <c r="K261" s="521">
        <f t="shared" ca="1" si="44"/>
        <v>3.5685125510383735E-4</v>
      </c>
      <c r="L261" s="521">
        <f t="shared" si="45"/>
        <v>3.5587620415812307E-3</v>
      </c>
      <c r="M261" s="521">
        <f t="shared" ca="1" si="46"/>
        <v>5.6337264471421553E-3</v>
      </c>
      <c r="N261" s="550">
        <f t="shared" ca="1" si="47"/>
        <v>2.1281546543183002E-3</v>
      </c>
    </row>
    <row r="262" spans="2:14" x14ac:dyDescent="0.25">
      <c r="B262" s="978"/>
      <c r="C262" s="981"/>
      <c r="D262" s="388" t="s">
        <v>19</v>
      </c>
      <c r="E262" s="548" t="s">
        <v>603</v>
      </c>
      <c r="F262" s="115">
        <f>F59*'Units CF'!$I$32*'Units CF'!$I$38</f>
        <v>4801.4387863725815</v>
      </c>
      <c r="G262" s="115">
        <f ca="1">G59*'Units CF'!$I$32*'Units CF'!$I$38</f>
        <v>336.75743566317556</v>
      </c>
      <c r="H262" s="115">
        <f>H59*'Units CF'!$I$32*'Units CF'!$I$38</f>
        <v>3971.8584179375252</v>
      </c>
      <c r="I262" s="115">
        <f t="shared" ca="1" si="42"/>
        <v>9110.054639973283</v>
      </c>
      <c r="J262" s="521">
        <f t="shared" si="43"/>
        <v>2.7138732245693478E-2</v>
      </c>
      <c r="K262" s="521">
        <f t="shared" ca="1" si="44"/>
        <v>1.9034231789329509E-3</v>
      </c>
      <c r="L262" s="521">
        <f t="shared" si="45"/>
        <v>2.2449771186949758E-2</v>
      </c>
      <c r="M262" s="521">
        <f t="shared" ca="1" si="46"/>
        <v>5.1491926611576186E-2</v>
      </c>
      <c r="N262" s="550">
        <f t="shared" ca="1" si="47"/>
        <v>1.9451207705306801E-2</v>
      </c>
    </row>
    <row r="263" spans="2:14" x14ac:dyDescent="0.25">
      <c r="B263" s="978"/>
      <c r="C263" s="981"/>
      <c r="D263" s="388" t="s">
        <v>1453</v>
      </c>
      <c r="E263" s="548" t="s">
        <v>604</v>
      </c>
      <c r="F263" s="115">
        <f>F60*'Units CF'!$I$32*'Units CF'!$I$38</f>
        <v>165.98050250710523</v>
      </c>
      <c r="G263" s="115">
        <f ca="1">G60*'Units CF'!$I$32*'Units CF'!$I$38</f>
        <v>420.18203505236829</v>
      </c>
      <c r="H263" s="115">
        <f>H60*'Units CF'!$I$32*'Units CF'!$I$38</f>
        <v>2325.0256510419313</v>
      </c>
      <c r="I263" s="115">
        <f t="shared" ca="1" si="42"/>
        <v>2911.1881886014048</v>
      </c>
      <c r="J263" s="521">
        <f t="shared" si="43"/>
        <v>9.3815637686158436E-4</v>
      </c>
      <c r="K263" s="521">
        <f t="shared" ca="1" si="44"/>
        <v>2.3749563935088246E-3</v>
      </c>
      <c r="L263" s="521">
        <f t="shared" si="45"/>
        <v>1.3141529323893756E-2</v>
      </c>
      <c r="M263" s="521">
        <f t="shared" ca="1" si="46"/>
        <v>1.6454642094264164E-2</v>
      </c>
      <c r="N263" s="550">
        <f t="shared" ca="1" si="47"/>
        <v>6.2157833694275032E-3</v>
      </c>
    </row>
    <row r="264" spans="2:14" x14ac:dyDescent="0.25">
      <c r="B264" s="978"/>
      <c r="C264" s="981"/>
      <c r="D264" s="388" t="s">
        <v>1454</v>
      </c>
      <c r="E264" s="548" t="s">
        <v>605</v>
      </c>
      <c r="F264" s="115">
        <f>F61*'Units CF'!$I$32*'Units CF'!$I$38</f>
        <v>52.973301461036662</v>
      </c>
      <c r="G264" s="115">
        <f ca="1">G61*'Units CF'!$I$32*'Units CF'!$I$38</f>
        <v>75.557384971848279</v>
      </c>
      <c r="H264" s="115">
        <f>H61*'Units CF'!$I$32*'Units CF'!$I$38</f>
        <v>916.94890999989218</v>
      </c>
      <c r="I264" s="115">
        <f t="shared" ca="1" si="42"/>
        <v>1045.479596432777</v>
      </c>
      <c r="J264" s="521">
        <f t="shared" si="43"/>
        <v>2.9941613513885588E-4</v>
      </c>
      <c r="K264" s="521">
        <f t="shared" ca="1" si="44"/>
        <v>4.2706607980832388E-4</v>
      </c>
      <c r="L264" s="521">
        <f t="shared" si="45"/>
        <v>5.1827862560896451E-3</v>
      </c>
      <c r="M264" s="521">
        <f t="shared" ca="1" si="46"/>
        <v>5.9092684710368246E-3</v>
      </c>
      <c r="N264" s="550">
        <f t="shared" ca="1" si="47"/>
        <v>2.2322413624880212E-3</v>
      </c>
    </row>
    <row r="265" spans="2:14" x14ac:dyDescent="0.25">
      <c r="B265" s="978"/>
      <c r="C265" s="981"/>
      <c r="D265" s="388" t="s">
        <v>1455</v>
      </c>
      <c r="E265" s="548" t="s">
        <v>636</v>
      </c>
      <c r="F265" s="115">
        <f>'Units CF'!L35*'Units CF'!I38</f>
        <v>2089.2674060503064</v>
      </c>
      <c r="G265" s="115">
        <f ca="1">'Units CF'!M35*'Units CF'!I38</f>
        <v>5918.8783749326994</v>
      </c>
      <c r="H265" s="115">
        <f>'Units CF'!N35*'Units CF'!I38</f>
        <v>8341.1464334285756</v>
      </c>
      <c r="I265" s="115">
        <f t="shared" ca="1" si="42"/>
        <v>16349.292214411582</v>
      </c>
      <c r="J265" s="521">
        <f t="shared" si="43"/>
        <v>1.1808974610564578E-2</v>
      </c>
      <c r="K265" s="521">
        <f t="shared" ca="1" si="44"/>
        <v>3.3454733582780546E-2</v>
      </c>
      <c r="L265" s="521">
        <f t="shared" si="45"/>
        <v>4.7145897250927389E-2</v>
      </c>
      <c r="M265" s="521">
        <f t="shared" ca="1" si="46"/>
        <v>9.2409605444272513E-2</v>
      </c>
      <c r="N265" s="550">
        <f t="shared" ca="1" si="47"/>
        <v>3.4907966117117349E-2</v>
      </c>
    </row>
    <row r="266" spans="2:14" x14ac:dyDescent="0.25">
      <c r="B266" s="978"/>
      <c r="C266" s="981"/>
      <c r="D266" s="388" t="s">
        <v>1457</v>
      </c>
      <c r="E266" s="548" t="s">
        <v>640</v>
      </c>
      <c r="F266" s="115">
        <f>'Units CF'!L44</f>
        <v>272.8329404699378</v>
      </c>
      <c r="G266" s="115">
        <f ca="1">'Units CF'!M44</f>
        <v>545.34396496001398</v>
      </c>
      <c r="H266" s="115">
        <f>'Units CF'!N44</f>
        <v>13446.575112408924</v>
      </c>
      <c r="I266" s="115">
        <f t="shared" ca="1" si="42"/>
        <v>14264.752017838875</v>
      </c>
      <c r="J266" s="521">
        <f t="shared" si="43"/>
        <v>1.5421086154912211E-3</v>
      </c>
      <c r="K266" s="521">
        <f t="shared" ca="1" si="44"/>
        <v>3.0823976948034385E-3</v>
      </c>
      <c r="L266" s="521">
        <f t="shared" si="45"/>
        <v>7.6002843696142505E-2</v>
      </c>
      <c r="M266" s="521">
        <f t="shared" ca="1" si="46"/>
        <v>8.0627350006437171E-2</v>
      </c>
      <c r="N266" s="550">
        <f t="shared" ca="1" si="47"/>
        <v>3.0457188823676699E-2</v>
      </c>
    </row>
    <row r="267" spans="2:14" x14ac:dyDescent="0.25">
      <c r="B267" s="978"/>
      <c r="C267" s="981"/>
      <c r="D267" s="524"/>
      <c r="E267" s="523" t="s">
        <v>410</v>
      </c>
      <c r="F267" s="135">
        <f>SUM(F253:F266)</f>
        <v>202526.0657024321</v>
      </c>
      <c r="G267" s="135">
        <f t="shared" ref="G267:N267" ca="1" si="48">SUM(G253:G266)</f>
        <v>118411.49837838563</v>
      </c>
      <c r="H267" s="135">
        <f t="shared" si="48"/>
        <v>147416.62646580944</v>
      </c>
      <c r="I267" s="135">
        <f t="shared" ca="1" si="48"/>
        <v>468354.19054662716</v>
      </c>
      <c r="J267" s="526">
        <f t="shared" si="48"/>
        <v>1.1447195131325225</v>
      </c>
      <c r="K267" s="526">
        <f t="shared" ca="1" si="48"/>
        <v>0.66928645605626025</v>
      </c>
      <c r="L267" s="526">
        <f t="shared" si="48"/>
        <v>0.83322948229055427</v>
      </c>
      <c r="M267" s="974">
        <f t="shared" ca="1" si="48"/>
        <v>2.6472354514793359</v>
      </c>
      <c r="N267" s="972">
        <f t="shared" ca="1" si="48"/>
        <v>1.0000000000000002</v>
      </c>
    </row>
    <row r="268" spans="2:14" x14ac:dyDescent="0.25">
      <c r="B268" s="979"/>
      <c r="C268" s="982"/>
      <c r="D268" s="525"/>
      <c r="E268" s="523" t="s">
        <v>309</v>
      </c>
      <c r="F268" s="135"/>
      <c r="G268" s="135"/>
      <c r="H268" s="135"/>
      <c r="I268" s="135"/>
      <c r="J268" s="527">
        <f ca="1">J267/M267</f>
        <v>0.43242074009428477</v>
      </c>
      <c r="K268" s="527">
        <f ca="1">K267/M267</f>
        <v>0.25282468005716968</v>
      </c>
      <c r="L268" s="527">
        <f ca="1">L267/M267</f>
        <v>0.31475457984854599</v>
      </c>
      <c r="M268" s="975"/>
      <c r="N268" s="973"/>
    </row>
    <row r="273" spans="2:14" ht="27.6" x14ac:dyDescent="0.25">
      <c r="B273" s="976" t="s">
        <v>425</v>
      </c>
      <c r="C273" s="523" t="s">
        <v>408</v>
      </c>
      <c r="D273" s="976" t="s">
        <v>411</v>
      </c>
      <c r="E273" s="976" t="s">
        <v>411</v>
      </c>
      <c r="F273" s="522" t="s">
        <v>479</v>
      </c>
      <c r="G273" s="522" t="s">
        <v>480</v>
      </c>
      <c r="H273" s="522" t="s">
        <v>481</v>
      </c>
      <c r="I273" s="522" t="s">
        <v>482</v>
      </c>
      <c r="J273" s="546" t="s">
        <v>484</v>
      </c>
      <c r="K273" s="546" t="s">
        <v>483</v>
      </c>
      <c r="L273" s="546" t="s">
        <v>485</v>
      </c>
      <c r="M273" s="522" t="s">
        <v>486</v>
      </c>
      <c r="N273" s="523" t="s">
        <v>487</v>
      </c>
    </row>
    <row r="274" spans="2:14" x14ac:dyDescent="0.25">
      <c r="B274" s="976"/>
      <c r="C274" s="523" t="s">
        <v>477</v>
      </c>
      <c r="D274" s="976"/>
      <c r="E274" s="976"/>
      <c r="F274" s="523" t="s">
        <v>308</v>
      </c>
      <c r="G274" s="523" t="s">
        <v>308</v>
      </c>
      <c r="H274" s="523" t="s">
        <v>308</v>
      </c>
      <c r="I274" s="523" t="s">
        <v>308</v>
      </c>
      <c r="J274" s="547" t="s">
        <v>310</v>
      </c>
      <c r="K274" s="547" t="s">
        <v>310</v>
      </c>
      <c r="L274" s="547" t="s">
        <v>310</v>
      </c>
      <c r="M274" s="523" t="s">
        <v>310</v>
      </c>
      <c r="N274" s="523" t="s">
        <v>309</v>
      </c>
    </row>
    <row r="275" spans="2:14" x14ac:dyDescent="0.25">
      <c r="B275" s="977" t="s">
        <v>1488</v>
      </c>
      <c r="C275" s="980">
        <f>C211+C232+C253</f>
        <v>354508</v>
      </c>
      <c r="D275" s="388" t="s">
        <v>229</v>
      </c>
      <c r="E275" s="548" t="s">
        <v>594</v>
      </c>
      <c r="F275" s="115">
        <f>F211+F232+F253</f>
        <v>16319.224360495617</v>
      </c>
      <c r="G275" s="115">
        <f ca="1">G211+G232+G253</f>
        <v>336.5060519064682</v>
      </c>
      <c r="H275" s="115">
        <f>H211+H232+H253</f>
        <v>2314.131044207802</v>
      </c>
      <c r="I275" s="115">
        <f ca="1">SUM(F275:H275)</f>
        <v>18969.861456609888</v>
      </c>
      <c r="J275" s="521">
        <f>F275/$C$275</f>
        <v>4.6033444549899064E-2</v>
      </c>
      <c r="K275" s="521">
        <f ca="1">G275/$C$275</f>
        <v>9.4921991014721308E-4</v>
      </c>
      <c r="L275" s="521">
        <f>H275/$C$275</f>
        <v>6.5277258741912791E-3</v>
      </c>
      <c r="M275" s="298">
        <f ca="1">SUM(J275:L275)</f>
        <v>5.3510390334237559E-2</v>
      </c>
      <c r="N275" s="369">
        <f ca="1">M275/$M$291</f>
        <v>1.9587951951274062E-2</v>
      </c>
    </row>
    <row r="276" spans="2:14" x14ac:dyDescent="0.25">
      <c r="B276" s="978"/>
      <c r="C276" s="981"/>
      <c r="D276" s="388" t="s">
        <v>1445</v>
      </c>
      <c r="E276" s="548" t="s">
        <v>597</v>
      </c>
      <c r="F276" s="115">
        <f t="shared" ref="F276:H287" si="49">F212+F233+F254</f>
        <v>14188.38250648704</v>
      </c>
      <c r="G276" s="115">
        <f t="shared" ca="1" si="49"/>
        <v>11383.649310414661</v>
      </c>
      <c r="H276" s="115">
        <f t="shared" si="49"/>
        <v>637.70072774371511</v>
      </c>
      <c r="I276" s="115">
        <f t="shared" ref="I276:I290" ca="1" si="50">SUM(F276:H276)</f>
        <v>26209.732544645416</v>
      </c>
      <c r="J276" s="521">
        <f t="shared" ref="J276:J290" si="51">F276/$C$275</f>
        <v>4.0022742805485463E-2</v>
      </c>
      <c r="K276" s="521">
        <f t="shared" ref="K276:K290" ca="1" si="52">G276/$C$275</f>
        <v>3.2111121076011433E-2</v>
      </c>
      <c r="L276" s="521">
        <f t="shared" ref="L276:L290" si="53">H276/$C$275</f>
        <v>1.7988331088260776E-3</v>
      </c>
      <c r="M276" s="298">
        <f t="shared" ref="M276:M290" ca="1" si="54">SUM(J276:L276)</f>
        <v>7.3932696990322969E-2</v>
      </c>
      <c r="N276" s="369">
        <f t="shared" ref="N276:N290" ca="1" si="55">M276/$M$291</f>
        <v>2.7063718041091454E-2</v>
      </c>
    </row>
    <row r="277" spans="2:14" x14ac:dyDescent="0.25">
      <c r="B277" s="978"/>
      <c r="C277" s="981"/>
      <c r="D277" s="388" t="s">
        <v>1446</v>
      </c>
      <c r="E277" s="548" t="s">
        <v>595</v>
      </c>
      <c r="F277" s="115">
        <f t="shared" si="49"/>
        <v>7.1619355293292025E-2</v>
      </c>
      <c r="G277" s="115">
        <f t="shared" ca="1" si="49"/>
        <v>4.7769173094833377</v>
      </c>
      <c r="H277" s="115">
        <f t="shared" si="49"/>
        <v>44.771897831308451</v>
      </c>
      <c r="I277" s="115">
        <f t="shared" ca="1" si="50"/>
        <v>49.620434496085082</v>
      </c>
      <c r="J277" s="521">
        <f t="shared" si="51"/>
        <v>2.0202465189302365E-7</v>
      </c>
      <c r="K277" s="521">
        <f t="shared" ca="1" si="52"/>
        <v>1.347478000350722E-5</v>
      </c>
      <c r="L277" s="521">
        <f t="shared" si="53"/>
        <v>1.26293053559605E-4</v>
      </c>
      <c r="M277" s="298">
        <f t="shared" ca="1" si="54"/>
        <v>1.3996985821500523E-4</v>
      </c>
      <c r="N277" s="369">
        <f t="shared" ca="1" si="55"/>
        <v>5.1237205339313862E-5</v>
      </c>
    </row>
    <row r="278" spans="2:14" x14ac:dyDescent="0.25">
      <c r="B278" s="978"/>
      <c r="C278" s="981"/>
      <c r="D278" s="388" t="s">
        <v>1447</v>
      </c>
      <c r="E278" s="548" t="s">
        <v>596</v>
      </c>
      <c r="F278" s="115">
        <f t="shared" si="49"/>
        <v>643.08647960097153</v>
      </c>
      <c r="G278" s="115">
        <f t="shared" ca="1" si="49"/>
        <v>6222.2360983491444</v>
      </c>
      <c r="H278" s="115">
        <f t="shared" si="49"/>
        <v>329.52886415017008</v>
      </c>
      <c r="I278" s="115">
        <f t="shared" ca="1" si="50"/>
        <v>7194.8514421002865</v>
      </c>
      <c r="J278" s="521">
        <f t="shared" si="51"/>
        <v>1.8140252959057948E-3</v>
      </c>
      <c r="K278" s="521">
        <f t="shared" ca="1" si="52"/>
        <v>1.7551750872615412E-2</v>
      </c>
      <c r="L278" s="521">
        <f t="shared" si="53"/>
        <v>9.2953858347391333E-4</v>
      </c>
      <c r="M278" s="298">
        <f t="shared" ca="1" si="54"/>
        <v>2.0295314751995117E-2</v>
      </c>
      <c r="N278" s="369">
        <f t="shared" ca="1" si="55"/>
        <v>7.4292795794409228E-3</v>
      </c>
    </row>
    <row r="279" spans="2:14" x14ac:dyDescent="0.25">
      <c r="B279" s="978"/>
      <c r="C279" s="981"/>
      <c r="D279" s="388" t="s">
        <v>1448</v>
      </c>
      <c r="E279" s="548" t="s">
        <v>598</v>
      </c>
      <c r="F279" s="115">
        <f t="shared" si="49"/>
        <v>19743.434580155554</v>
      </c>
      <c r="G279" s="115">
        <f t="shared" ca="1" si="49"/>
        <v>4803.9578860517267</v>
      </c>
      <c r="H279" s="115">
        <f t="shared" si="49"/>
        <v>7178.0422970895488</v>
      </c>
      <c r="I279" s="115">
        <f t="shared" ca="1" si="50"/>
        <v>31725.434763296831</v>
      </c>
      <c r="J279" s="521">
        <f t="shared" si="51"/>
        <v>5.5692493766446888E-2</v>
      </c>
      <c r="K279" s="521">
        <f t="shared" ca="1" si="52"/>
        <v>1.355105635430435E-2</v>
      </c>
      <c r="L279" s="521">
        <f t="shared" si="53"/>
        <v>2.0247899333977085E-2</v>
      </c>
      <c r="M279" s="298">
        <f t="shared" ca="1" si="54"/>
        <v>8.9491449454728325E-2</v>
      </c>
      <c r="N279" s="369">
        <f t="shared" ca="1" si="55"/>
        <v>3.2759137076365089E-2</v>
      </c>
    </row>
    <row r="280" spans="2:14" x14ac:dyDescent="0.25">
      <c r="B280" s="978"/>
      <c r="C280" s="981"/>
      <c r="D280" s="388" t="s">
        <v>1449</v>
      </c>
      <c r="E280" s="548" t="s">
        <v>599</v>
      </c>
      <c r="F280" s="115">
        <f t="shared" si="49"/>
        <v>40289.894137409821</v>
      </c>
      <c r="G280" s="115">
        <f t="shared" ca="1" si="49"/>
        <v>180814.92983512074</v>
      </c>
      <c r="H280" s="115">
        <f t="shared" si="49"/>
        <v>34253.642544994109</v>
      </c>
      <c r="I280" s="115">
        <f t="shared" ca="1" si="50"/>
        <v>255358.46651752465</v>
      </c>
      <c r="J280" s="521">
        <f t="shared" si="51"/>
        <v>0.11365016907209378</v>
      </c>
      <c r="K280" s="521">
        <f t="shared" ca="1" si="52"/>
        <v>0.51004470938630653</v>
      </c>
      <c r="L280" s="521">
        <f t="shared" si="53"/>
        <v>9.662304530502587E-2</v>
      </c>
      <c r="M280" s="298">
        <f t="shared" ca="1" si="54"/>
        <v>0.72031792376342618</v>
      </c>
      <c r="N280" s="369">
        <f t="shared" ca="1" si="55"/>
        <v>0.26367875084050296</v>
      </c>
    </row>
    <row r="281" spans="2:14" x14ac:dyDescent="0.25">
      <c r="B281" s="978"/>
      <c r="C281" s="981"/>
      <c r="D281" s="388" t="s">
        <v>1450</v>
      </c>
      <c r="E281" s="548" t="s">
        <v>600</v>
      </c>
      <c r="F281" s="115">
        <f t="shared" si="49"/>
        <v>33038.501298264993</v>
      </c>
      <c r="G281" s="115">
        <f t="shared" ca="1" si="49"/>
        <v>1.5193871333549498</v>
      </c>
      <c r="H281" s="115">
        <f t="shared" si="49"/>
        <v>388.73828447859927</v>
      </c>
      <c r="I281" s="115">
        <f t="shared" ca="1" si="50"/>
        <v>33428.758969876944</v>
      </c>
      <c r="J281" s="521">
        <f t="shared" si="51"/>
        <v>9.3195361735884649E-2</v>
      </c>
      <c r="K281" s="521">
        <f t="shared" ca="1" si="52"/>
        <v>4.2859036562078988E-6</v>
      </c>
      <c r="L281" s="521">
        <f t="shared" si="53"/>
        <v>1.0965571566187485E-3</v>
      </c>
      <c r="M281" s="298">
        <f t="shared" ca="1" si="54"/>
        <v>9.4296204796159605E-2</v>
      </c>
      <c r="N281" s="369">
        <f t="shared" ca="1" si="55"/>
        <v>3.4517960291402743E-2</v>
      </c>
    </row>
    <row r="282" spans="2:14" x14ac:dyDescent="0.25">
      <c r="B282" s="978"/>
      <c r="C282" s="981"/>
      <c r="D282" s="388" t="s">
        <v>1451</v>
      </c>
      <c r="E282" s="548" t="s">
        <v>601</v>
      </c>
      <c r="F282" s="115">
        <f t="shared" si="49"/>
        <v>273552.56533229758</v>
      </c>
      <c r="G282" s="115">
        <f t="shared" ca="1" si="49"/>
        <v>23150.121851838085</v>
      </c>
      <c r="H282" s="115">
        <f t="shared" si="49"/>
        <v>195318.5527472884</v>
      </c>
      <c r="I282" s="115">
        <f t="shared" ca="1" si="50"/>
        <v>492021.23993142403</v>
      </c>
      <c r="J282" s="521">
        <f t="shared" si="51"/>
        <v>0.77164003444858109</v>
      </c>
      <c r="K282" s="521">
        <f t="shared" ca="1" si="52"/>
        <v>6.530211406184934E-2</v>
      </c>
      <c r="L282" s="521">
        <f t="shared" si="53"/>
        <v>0.55095668573710155</v>
      </c>
      <c r="M282" s="298">
        <f t="shared" ca="1" si="54"/>
        <v>1.387898834247532</v>
      </c>
      <c r="N282" s="369">
        <f t="shared" ca="1" si="55"/>
        <v>0.50805265124510701</v>
      </c>
    </row>
    <row r="283" spans="2:14" x14ac:dyDescent="0.25">
      <c r="B283" s="978"/>
      <c r="C283" s="981"/>
      <c r="D283" s="388" t="s">
        <v>1452</v>
      </c>
      <c r="E283" s="548" t="s">
        <v>602</v>
      </c>
      <c r="F283" s="115">
        <f t="shared" si="49"/>
        <v>620.57464937420104</v>
      </c>
      <c r="G283" s="115">
        <f t="shared" ca="1" si="49"/>
        <v>128.89304901478232</v>
      </c>
      <c r="H283" s="115">
        <f t="shared" si="49"/>
        <v>1285.4086505146324</v>
      </c>
      <c r="I283" s="115">
        <f t="shared" ca="1" si="50"/>
        <v>2034.8763489036157</v>
      </c>
      <c r="J283" s="521">
        <f t="shared" si="51"/>
        <v>1.7505236817623327E-3</v>
      </c>
      <c r="K283" s="521">
        <f t="shared" ca="1" si="52"/>
        <v>3.6358290649232829E-4</v>
      </c>
      <c r="L283" s="521">
        <f t="shared" si="53"/>
        <v>3.6258946216012966E-3</v>
      </c>
      <c r="M283" s="298">
        <f t="shared" ca="1" si="54"/>
        <v>5.740001209855957E-3</v>
      </c>
      <c r="N283" s="369">
        <f t="shared" ca="1" si="55"/>
        <v>2.1011782421436432E-3</v>
      </c>
    </row>
    <row r="284" spans="2:14" x14ac:dyDescent="0.25">
      <c r="B284" s="978"/>
      <c r="C284" s="981"/>
      <c r="D284" s="388" t="s">
        <v>19</v>
      </c>
      <c r="E284" s="548" t="s">
        <v>603</v>
      </c>
      <c r="F284" s="115">
        <f t="shared" si="49"/>
        <v>9802.3865560606464</v>
      </c>
      <c r="G284" s="115">
        <f t="shared" ca="1" si="49"/>
        <v>687.50778815865078</v>
      </c>
      <c r="H284" s="115">
        <f t="shared" si="49"/>
        <v>8108.7551650285532</v>
      </c>
      <c r="I284" s="115">
        <f t="shared" ca="1" si="50"/>
        <v>18598.649509247851</v>
      </c>
      <c r="J284" s="521">
        <f t="shared" si="51"/>
        <v>2.7650677998975047E-2</v>
      </c>
      <c r="K284" s="521">
        <f t="shared" ca="1" si="52"/>
        <v>1.9393294034511233E-3</v>
      </c>
      <c r="L284" s="521">
        <f t="shared" si="53"/>
        <v>2.2873264256458397E-2</v>
      </c>
      <c r="M284" s="298">
        <f t="shared" ca="1" si="54"/>
        <v>5.2463271658884564E-2</v>
      </c>
      <c r="N284" s="369">
        <f t="shared" ca="1" si="55"/>
        <v>1.9204644893112448E-2</v>
      </c>
    </row>
    <row r="285" spans="2:14" x14ac:dyDescent="0.25">
      <c r="B285" s="978"/>
      <c r="C285" s="981"/>
      <c r="D285" s="388" t="s">
        <v>1453</v>
      </c>
      <c r="E285" s="548" t="s">
        <v>604</v>
      </c>
      <c r="F285" s="115">
        <f t="shared" si="49"/>
        <v>338.85781298755609</v>
      </c>
      <c r="G285" s="115">
        <f t="shared" ca="1" si="49"/>
        <v>857.82343892115352</v>
      </c>
      <c r="H285" s="115">
        <f t="shared" si="49"/>
        <v>4746.66057369185</v>
      </c>
      <c r="I285" s="115">
        <f t="shared" ca="1" si="50"/>
        <v>5943.3418256005598</v>
      </c>
      <c r="J285" s="521">
        <f t="shared" si="51"/>
        <v>9.5585378323636162E-4</v>
      </c>
      <c r="K285" s="521">
        <f t="shared" ca="1" si="52"/>
        <v>2.4197576328916512E-3</v>
      </c>
      <c r="L285" s="521">
        <f t="shared" si="53"/>
        <v>1.3389431475994477E-2</v>
      </c>
      <c r="M285" s="298">
        <f t="shared" ca="1" si="54"/>
        <v>1.6765042892122488E-2</v>
      </c>
      <c r="N285" s="369">
        <f t="shared" ca="1" si="55"/>
        <v>6.1369923220655036E-3</v>
      </c>
    </row>
    <row r="286" spans="2:14" x14ac:dyDescent="0.25">
      <c r="B286" s="978"/>
      <c r="C286" s="981"/>
      <c r="D286" s="388" t="s">
        <v>1454</v>
      </c>
      <c r="E286" s="548" t="s">
        <v>605</v>
      </c>
      <c r="F286" s="115">
        <f t="shared" si="49"/>
        <v>108.14774511873151</v>
      </c>
      <c r="G286" s="115">
        <f t="shared" ca="1" si="49"/>
        <v>154.2543240916103</v>
      </c>
      <c r="H286" s="115">
        <f t="shared" si="49"/>
        <v>1871.9988045016667</v>
      </c>
      <c r="I286" s="115">
        <f t="shared" ca="1" si="50"/>
        <v>2134.4008737120084</v>
      </c>
      <c r="J286" s="521">
        <f t="shared" si="51"/>
        <v>3.0506432892552919E-4</v>
      </c>
      <c r="K286" s="521">
        <f t="shared" ca="1" si="52"/>
        <v>4.3512226548233129E-4</v>
      </c>
      <c r="L286" s="521">
        <f t="shared" si="53"/>
        <v>5.2805544712719223E-3</v>
      </c>
      <c r="M286" s="298">
        <f t="shared" ca="1" si="54"/>
        <v>6.0207410656797824E-3</v>
      </c>
      <c r="N286" s="369">
        <f t="shared" ca="1" si="55"/>
        <v>2.2039455509286474E-3</v>
      </c>
    </row>
    <row r="287" spans="2:14" x14ac:dyDescent="0.25">
      <c r="B287" s="978"/>
      <c r="C287" s="981"/>
      <c r="D287" s="388" t="s">
        <v>1455</v>
      </c>
      <c r="E287" s="548" t="s">
        <v>636</v>
      </c>
      <c r="F287" s="115">
        <f t="shared" si="49"/>
        <v>4265.3478768091145</v>
      </c>
      <c r="G287" s="115">
        <f t="shared" ca="1" si="49"/>
        <v>12083.697489608317</v>
      </c>
      <c r="H287" s="115">
        <f t="shared" si="49"/>
        <v>17028.883486598475</v>
      </c>
      <c r="I287" s="115">
        <f t="shared" ca="1" si="50"/>
        <v>33377.92885301591</v>
      </c>
      <c r="J287" s="521">
        <f t="shared" si="51"/>
        <v>1.2031739415779374E-2</v>
      </c>
      <c r="K287" s="521">
        <f t="shared" ca="1" si="52"/>
        <v>3.4085824550104137E-2</v>
      </c>
      <c r="L287" s="521">
        <f t="shared" si="53"/>
        <v>4.8035258686964684E-2</v>
      </c>
      <c r="M287" s="298">
        <f t="shared" ca="1" si="54"/>
        <v>9.4152822652848189E-2</v>
      </c>
      <c r="N287" s="369">
        <f t="shared" ca="1" si="55"/>
        <v>3.4465473988905003E-2</v>
      </c>
    </row>
    <row r="288" spans="2:14" x14ac:dyDescent="0.25">
      <c r="B288" s="978"/>
      <c r="C288" s="981"/>
      <c r="D288" s="388" t="s">
        <v>21</v>
      </c>
      <c r="E288" s="548" t="s">
        <v>638</v>
      </c>
      <c r="F288" s="115">
        <f>F224</f>
        <v>1059.8581468704695</v>
      </c>
      <c r="G288" s="115">
        <f t="shared" ref="G288:H288" ca="1" si="56">G224</f>
        <v>2985.3646994209366</v>
      </c>
      <c r="H288" s="115">
        <f t="shared" si="56"/>
        <v>13327.4927596342</v>
      </c>
      <c r="I288" s="115">
        <f t="shared" ca="1" si="50"/>
        <v>17372.715605925609</v>
      </c>
      <c r="J288" s="521">
        <f t="shared" si="51"/>
        <v>2.9896593218501966E-3</v>
      </c>
      <c r="K288" s="521">
        <f t="shared" ca="1" si="52"/>
        <v>8.4211490274434895E-3</v>
      </c>
      <c r="L288" s="521">
        <f t="shared" si="53"/>
        <v>3.7594335698021487E-2</v>
      </c>
      <c r="M288" s="298">
        <f t="shared" ca="1" si="54"/>
        <v>4.9005144047315173E-2</v>
      </c>
      <c r="N288" s="369">
        <f t="shared" ca="1" si="55"/>
        <v>1.7938766676308362E-2</v>
      </c>
    </row>
    <row r="289" spans="2:14" x14ac:dyDescent="0.25">
      <c r="B289" s="978"/>
      <c r="C289" s="981"/>
      <c r="D289" s="388" t="s">
        <v>22</v>
      </c>
      <c r="E289" s="548" t="s">
        <v>639</v>
      </c>
      <c r="F289" s="115">
        <f>F245</f>
        <v>214.29237454296018</v>
      </c>
      <c r="G289" s="115">
        <f t="shared" ref="G289:H289" ca="1" si="57">G245</f>
        <v>533.78361522816988</v>
      </c>
      <c r="H289" s="115">
        <f t="shared" si="57"/>
        <v>9012.6670826557747</v>
      </c>
      <c r="I289" s="115">
        <f t="shared" ca="1" si="50"/>
        <v>9760.7430724269052</v>
      </c>
      <c r="J289" s="521">
        <f t="shared" si="51"/>
        <v>6.0447824743859141E-4</v>
      </c>
      <c r="K289" s="521">
        <f t="shared" ca="1" si="52"/>
        <v>1.5057025940970862E-3</v>
      </c>
      <c r="L289" s="521">
        <f t="shared" si="53"/>
        <v>2.5423028768478496E-2</v>
      </c>
      <c r="M289" s="298">
        <f t="shared" ca="1" si="54"/>
        <v>2.7533209610014174E-2</v>
      </c>
      <c r="N289" s="369">
        <f t="shared" ca="1" si="55"/>
        <v>1.007877504792265E-2</v>
      </c>
    </row>
    <row r="290" spans="2:14" x14ac:dyDescent="0.25">
      <c r="B290" s="978"/>
      <c r="C290" s="981"/>
      <c r="D290" s="388" t="s">
        <v>1457</v>
      </c>
      <c r="E290" s="548" t="s">
        <v>640</v>
      </c>
      <c r="F290" s="115">
        <f>F266</f>
        <v>272.8329404699378</v>
      </c>
      <c r="G290" s="115">
        <f t="shared" ref="G290:H290" ca="1" si="58">G266</f>
        <v>545.34396496001398</v>
      </c>
      <c r="H290" s="115">
        <f t="shared" si="58"/>
        <v>13446.575112408924</v>
      </c>
      <c r="I290" s="115">
        <f t="shared" ca="1" si="50"/>
        <v>14264.752017838875</v>
      </c>
      <c r="J290" s="521">
        <f t="shared" si="51"/>
        <v>7.696101088549138E-4</v>
      </c>
      <c r="K290" s="521">
        <f t="shared" ca="1" si="52"/>
        <v>1.5383121536326795E-3</v>
      </c>
      <c r="L290" s="521">
        <f t="shared" si="53"/>
        <v>3.7930244486468354E-2</v>
      </c>
      <c r="M290" s="298">
        <f t="shared" ca="1" si="54"/>
        <v>4.0238166748955945E-2</v>
      </c>
      <c r="N290" s="369">
        <f t="shared" ca="1" si="55"/>
        <v>1.4729537048089878E-2</v>
      </c>
    </row>
    <row r="291" spans="2:14" x14ac:dyDescent="0.25">
      <c r="B291" s="978"/>
      <c r="C291" s="981"/>
      <c r="D291" s="524"/>
      <c r="E291" s="523" t="s">
        <v>410</v>
      </c>
      <c r="F291" s="135">
        <f>SUM(F275:F290)</f>
        <v>414457.45841630048</v>
      </c>
      <c r="G291" s="135">
        <f t="shared" ref="G291:L291" ca="1" si="59">SUM(G275:G290)</f>
        <v>244694.36570752729</v>
      </c>
      <c r="H291" s="135">
        <f t="shared" si="59"/>
        <v>309293.55004281772</v>
      </c>
      <c r="I291" s="135">
        <f t="shared" ca="1" si="59"/>
        <v>968445.37416664558</v>
      </c>
      <c r="J291" s="526">
        <f t="shared" si="59"/>
        <v>1.1691060805857711</v>
      </c>
      <c r="K291" s="526">
        <f t="shared" ca="1" si="59"/>
        <v>0.69023651287848886</v>
      </c>
      <c r="L291" s="526">
        <f t="shared" si="59"/>
        <v>0.87245859061803333</v>
      </c>
      <c r="M291" s="974">
        <f ca="1">SUM(M275:M290)</f>
        <v>2.7318011840822938</v>
      </c>
      <c r="N291" s="972">
        <f t="shared" ref="N291" ca="1" si="60">SUM(N275:N290)</f>
        <v>0.99999999999999967</v>
      </c>
    </row>
    <row r="292" spans="2:14" x14ac:dyDescent="0.25">
      <c r="B292" s="979"/>
      <c r="C292" s="982"/>
      <c r="D292" s="525"/>
      <c r="E292" s="523" t="s">
        <v>309</v>
      </c>
      <c r="F292" s="135"/>
      <c r="G292" s="135"/>
      <c r="H292" s="135"/>
      <c r="I292" s="135"/>
      <c r="J292" s="527">
        <f ca="1">J291/M291</f>
        <v>0.42796162744124228</v>
      </c>
      <c r="K292" s="527">
        <f ca="1">K291/M291</f>
        <v>0.2526671841641957</v>
      </c>
      <c r="L292" s="527">
        <f ca="1">L291/M291</f>
        <v>0.31937118839456186</v>
      </c>
      <c r="M292" s="975"/>
      <c r="N292" s="973"/>
    </row>
    <row r="294" spans="2:14" x14ac:dyDescent="0.25">
      <c r="B294" s="551" t="s">
        <v>1486</v>
      </c>
    </row>
    <row r="295" spans="2:14" x14ac:dyDescent="0.25">
      <c r="B295" s="560" t="s">
        <v>1487</v>
      </c>
    </row>
    <row r="323" spans="1:38" ht="27.6" x14ac:dyDescent="0.25">
      <c r="A323" s="531"/>
      <c r="B323" s="532" t="s">
        <v>1402</v>
      </c>
      <c r="C323" s="533"/>
      <c r="D323" s="534" t="s">
        <v>1475</v>
      </c>
      <c r="E323" s="534"/>
      <c r="F323" s="535"/>
      <c r="G323" s="533"/>
      <c r="H323" s="533"/>
      <c r="I323" s="533"/>
      <c r="J323" s="533"/>
      <c r="K323" s="533"/>
      <c r="L323" s="533"/>
      <c r="M323" s="533"/>
      <c r="N323" s="533"/>
      <c r="O323" s="533"/>
      <c r="P323" s="533"/>
      <c r="Q323" s="533"/>
      <c r="R323" s="533"/>
      <c r="S323" s="533"/>
      <c r="T323" s="533"/>
      <c r="U323" s="533"/>
      <c r="V323" s="533"/>
      <c r="W323" s="533"/>
      <c r="X323" s="533"/>
      <c r="Y323" s="533"/>
      <c r="Z323" s="533"/>
      <c r="AA323" s="533"/>
      <c r="AB323" s="533"/>
      <c r="AC323" s="533"/>
      <c r="AD323" s="533"/>
      <c r="AE323" s="533"/>
      <c r="AF323" s="533"/>
      <c r="AG323" s="533"/>
      <c r="AH323" s="533"/>
      <c r="AI323" s="533"/>
      <c r="AJ323" s="533"/>
      <c r="AK323" s="533"/>
      <c r="AL323" s="533"/>
    </row>
    <row r="326" spans="1:38" ht="27.6" x14ac:dyDescent="0.25">
      <c r="B326" s="976" t="s">
        <v>425</v>
      </c>
      <c r="C326" s="523" t="s">
        <v>408</v>
      </c>
      <c r="D326" s="976" t="s">
        <v>411</v>
      </c>
      <c r="E326" s="976" t="s">
        <v>411</v>
      </c>
      <c r="F326" s="522" t="s">
        <v>479</v>
      </c>
      <c r="G326" s="522" t="s">
        <v>480</v>
      </c>
      <c r="H326" s="522" t="s">
        <v>481</v>
      </c>
      <c r="I326" s="522" t="s">
        <v>482</v>
      </c>
      <c r="J326" s="546" t="s">
        <v>484</v>
      </c>
      <c r="K326" s="546" t="s">
        <v>483</v>
      </c>
      <c r="L326" s="546" t="s">
        <v>485</v>
      </c>
      <c r="M326" s="522" t="s">
        <v>486</v>
      </c>
      <c r="N326" s="523" t="s">
        <v>487</v>
      </c>
    </row>
    <row r="327" spans="1:38" x14ac:dyDescent="0.25">
      <c r="B327" s="976"/>
      <c r="C327" s="523" t="s">
        <v>477</v>
      </c>
      <c r="D327" s="976"/>
      <c r="E327" s="976"/>
      <c r="F327" s="523" t="s">
        <v>308</v>
      </c>
      <c r="G327" s="523" t="s">
        <v>308</v>
      </c>
      <c r="H327" s="523" t="s">
        <v>308</v>
      </c>
      <c r="I327" s="523" t="s">
        <v>308</v>
      </c>
      <c r="J327" s="547" t="s">
        <v>310</v>
      </c>
      <c r="K327" s="547" t="s">
        <v>310</v>
      </c>
      <c r="L327" s="547" t="s">
        <v>310</v>
      </c>
      <c r="M327" s="523" t="s">
        <v>310</v>
      </c>
      <c r="N327" s="523" t="s">
        <v>309</v>
      </c>
    </row>
    <row r="328" spans="1:38" x14ac:dyDescent="0.25">
      <c r="B328" s="977" t="s">
        <v>1402</v>
      </c>
      <c r="C328" s="980">
        <f>'Units CF'!F45</f>
        <v>279016</v>
      </c>
      <c r="D328" s="388" t="s">
        <v>229</v>
      </c>
      <c r="E328" s="548" t="s">
        <v>594</v>
      </c>
      <c r="F328" s="115">
        <f>F50*'Units CF'!$I$32*'Units CF'!$I$39*'Units CF'!$I$45</f>
        <v>12427.488116421937</v>
      </c>
      <c r="G328" s="115">
        <f ca="1">G50*'Units CF'!$I$32*'Units CF'!$I$39*'Units CF'!$I$45</f>
        <v>256.2575811688082</v>
      </c>
      <c r="H328" s="115">
        <f>H50*'Units CF'!$I$32*'Units CF'!$I$39*'Units CF'!$I$45</f>
        <v>1762.2673367585307</v>
      </c>
      <c r="I328" s="115">
        <f ca="1">SUM(F328:H328)</f>
        <v>14446.013034349275</v>
      </c>
      <c r="J328" s="521">
        <f>F328/$C$328</f>
        <v>4.4540413870250942E-2</v>
      </c>
      <c r="K328" s="521">
        <f ca="1">G328/$C$328</f>
        <v>9.1843328400094686E-4</v>
      </c>
      <c r="L328" s="521">
        <f>H328/$C$328</f>
        <v>6.3160081742929825E-3</v>
      </c>
      <c r="M328" s="298">
        <f ca="1">SUM(J328:L328)</f>
        <v>5.1774855328544866E-2</v>
      </c>
      <c r="N328" s="369">
        <f ca="1">M328/$M$342</f>
        <v>2.0229278819468146E-2</v>
      </c>
    </row>
    <row r="329" spans="1:38" x14ac:dyDescent="0.25">
      <c r="B329" s="978"/>
      <c r="C329" s="981"/>
      <c r="D329" s="388" t="s">
        <v>1445</v>
      </c>
      <c r="E329" s="548" t="s">
        <v>597</v>
      </c>
      <c r="F329" s="115">
        <f>F51*'Units CF'!$I$32*'Units CF'!$I$39*'Units CF'!$I$45</f>
        <v>10804.799976735017</v>
      </c>
      <c r="G329" s="115">
        <f ca="1">G51*'Units CF'!$I$32*'Units CF'!$I$39*'Units CF'!$I$45</f>
        <v>8668.9271132979575</v>
      </c>
      <c r="H329" s="115">
        <f>H51*'Units CF'!$I$32*'Units CF'!$I$39*'Units CF'!$I$45</f>
        <v>485.62468661518886</v>
      </c>
      <c r="I329" s="115">
        <f t="shared" ref="I329:I341" ca="1" si="61">SUM(F329:H329)</f>
        <v>19959.351776648164</v>
      </c>
      <c r="J329" s="521">
        <f t="shared" ref="J329:J341" si="62">F329/$C$328</f>
        <v>3.8724660867961037E-2</v>
      </c>
      <c r="K329" s="521">
        <f t="shared" ref="K329:K341" ca="1" si="63">G329/$C$328</f>
        <v>3.1069641573594195E-2</v>
      </c>
      <c r="L329" s="521">
        <f t="shared" ref="L329:L341" si="64">H329/$C$328</f>
        <v>1.7404904615333488E-3</v>
      </c>
      <c r="M329" s="298">
        <f t="shared" ref="M329:M341" ca="1" si="65">SUM(J329:L329)</f>
        <v>7.153479290308859E-2</v>
      </c>
      <c r="N329" s="369">
        <f t="shared" ref="N329:N341" ca="1" si="66">M329/$M$342</f>
        <v>2.7949808101765311E-2</v>
      </c>
    </row>
    <row r="330" spans="1:38" x14ac:dyDescent="0.25">
      <c r="B330" s="978"/>
      <c r="C330" s="981"/>
      <c r="D330" s="388" t="s">
        <v>1446</v>
      </c>
      <c r="E330" s="548" t="s">
        <v>595</v>
      </c>
      <c r="F330" s="115">
        <f>F52*'Units CF'!$I$32*'Units CF'!$I$39*'Units CF'!$I$45</f>
        <v>5.4539889099616268E-2</v>
      </c>
      <c r="G330" s="115">
        <f ca="1">G52*'Units CF'!$I$32*'Units CF'!$I$39*'Units CF'!$I$45</f>
        <v>3.6377392568020008</v>
      </c>
      <c r="H330" s="115">
        <f>H52*'Units CF'!$I$32*'Units CF'!$I$39*'Units CF'!$I$45</f>
        <v>34.094894215385672</v>
      </c>
      <c r="I330" s="115">
        <f t="shared" ca="1" si="61"/>
        <v>37.787173361287287</v>
      </c>
      <c r="J330" s="521">
        <f t="shared" si="62"/>
        <v>1.9547226359641119E-7</v>
      </c>
      <c r="K330" s="521">
        <f t="shared" ca="1" si="63"/>
        <v>1.3037744275604269E-5</v>
      </c>
      <c r="L330" s="521">
        <f t="shared" si="64"/>
        <v>1.2219691421060322E-4</v>
      </c>
      <c r="M330" s="298">
        <f t="shared" ca="1" si="65"/>
        <v>1.3543013074980391E-4</v>
      </c>
      <c r="N330" s="369">
        <f t="shared" ca="1" si="66"/>
        <v>5.2914756750355714E-5</v>
      </c>
    </row>
    <row r="331" spans="1:38" x14ac:dyDescent="0.25">
      <c r="B331" s="978"/>
      <c r="C331" s="981"/>
      <c r="D331" s="388" t="s">
        <v>1447</v>
      </c>
      <c r="E331" s="548" t="s">
        <v>596</v>
      </c>
      <c r="F331" s="115">
        <f>F53*'Units CF'!$I$32*'Units CF'!$I$39*'Units CF'!$I$45</f>
        <v>489.72606825720339</v>
      </c>
      <c r="G331" s="115">
        <f ca="1">G53*'Units CF'!$I$32*'Units CF'!$I$39*'Units CF'!$I$45</f>
        <v>4738.3848313889584</v>
      </c>
      <c r="H331" s="115">
        <f>H53*'Units CF'!$I$32*'Units CF'!$I$39*'Units CF'!$I$45</f>
        <v>250.94428220238561</v>
      </c>
      <c r="I331" s="115">
        <f t="shared" ca="1" si="61"/>
        <v>5479.0551818485474</v>
      </c>
      <c r="J331" s="521">
        <f t="shared" si="62"/>
        <v>1.7551899111778657E-3</v>
      </c>
      <c r="K331" s="521">
        <f t="shared" ca="1" si="63"/>
        <v>1.6982484271113336E-2</v>
      </c>
      <c r="L331" s="521">
        <f t="shared" si="64"/>
        <v>8.9939029375514523E-4</v>
      </c>
      <c r="M331" s="298">
        <f t="shared" ca="1" si="65"/>
        <v>1.9637064476046347E-2</v>
      </c>
      <c r="N331" s="369">
        <f t="shared" ca="1" si="66"/>
        <v>7.6725207624636976E-3</v>
      </c>
    </row>
    <row r="332" spans="1:38" x14ac:dyDescent="0.25">
      <c r="B332" s="978"/>
      <c r="C332" s="981"/>
      <c r="D332" s="388" t="s">
        <v>1448</v>
      </c>
      <c r="E332" s="548" t="s">
        <v>598</v>
      </c>
      <c r="F332" s="115">
        <f>F54*'Units CF'!$I$32*'Units CF'!$I$39*'Units CF'!$I$45</f>
        <v>15035.107870456746</v>
      </c>
      <c r="G332" s="115">
        <f ca="1">G54*'Units CF'!$I$32*'Units CF'!$I$39*'Units CF'!$I$45</f>
        <v>3658.3313166046919</v>
      </c>
      <c r="H332" s="115">
        <f>H54*'Units CF'!$I$32*'Units CF'!$I$39*'Units CF'!$I$45</f>
        <v>5466.254607185585</v>
      </c>
      <c r="I332" s="115">
        <f t="shared" ca="1" si="61"/>
        <v>24159.693794247025</v>
      </c>
      <c r="J332" s="521">
        <f t="shared" si="62"/>
        <v>5.3886185274166165E-2</v>
      </c>
      <c r="K332" s="521">
        <f t="shared" ca="1" si="63"/>
        <v>1.3111546709166111E-2</v>
      </c>
      <c r="L332" s="521">
        <f t="shared" si="64"/>
        <v>1.9591186911093218E-2</v>
      </c>
      <c r="M332" s="298">
        <f t="shared" ca="1" si="65"/>
        <v>8.6588918894425493E-2</v>
      </c>
      <c r="N332" s="369">
        <f t="shared" ca="1" si="66"/>
        <v>3.3831700192620828E-2</v>
      </c>
    </row>
    <row r="333" spans="1:38" x14ac:dyDescent="0.25">
      <c r="B333" s="978"/>
      <c r="C333" s="981"/>
      <c r="D333" s="388" t="s">
        <v>1449</v>
      </c>
      <c r="E333" s="548" t="s">
        <v>599</v>
      </c>
      <c r="F333" s="115">
        <f>F55*'Units CF'!$I$32*'Units CF'!$I$39*'Units CF'!$I$45</f>
        <v>30681.738883167855</v>
      </c>
      <c r="G333" s="115">
        <f ca="1">G55*'Units CF'!$I$32*'Units CF'!$I$39*'Units CF'!$I$45</f>
        <v>137694.98734493688</v>
      </c>
      <c r="H333" s="115">
        <f>H55*'Units CF'!$I$32*'Units CF'!$I$39*'Units CF'!$I$45</f>
        <v>26084.985797643083</v>
      </c>
      <c r="I333" s="115">
        <f t="shared" ca="1" si="61"/>
        <v>194461.71202574781</v>
      </c>
      <c r="J333" s="521">
        <f t="shared" si="62"/>
        <v>0.10996408407821721</v>
      </c>
      <c r="K333" s="521">
        <f t="shared" ca="1" si="63"/>
        <v>0.49350211939436045</v>
      </c>
      <c r="L333" s="521">
        <f t="shared" si="64"/>
        <v>9.3489211362943636E-2</v>
      </c>
      <c r="M333" s="298">
        <f t="shared" ca="1" si="65"/>
        <v>0.69695541483552126</v>
      </c>
      <c r="N333" s="369">
        <f t="shared" ca="1" si="66"/>
        <v>0.27231182630987943</v>
      </c>
    </row>
    <row r="334" spans="1:38" x14ac:dyDescent="0.25">
      <c r="B334" s="978"/>
      <c r="C334" s="981"/>
      <c r="D334" s="388" t="s">
        <v>1450</v>
      </c>
      <c r="E334" s="548" t="s">
        <v>600</v>
      </c>
      <c r="F334" s="115">
        <f>F56*'Units CF'!$I$32*'Units CF'!$I$39*'Units CF'!$I$45</f>
        <v>25159.626045861249</v>
      </c>
      <c r="G334" s="115">
        <f ca="1">G56*'Units CF'!$I$32*'Units CF'!$I$39*'Units CF'!$I$45</f>
        <v>1.1570504288011136</v>
      </c>
      <c r="H334" s="115">
        <f>H56*'Units CF'!$I$32*'Units CF'!$I$39*'Units CF'!$I$45</f>
        <v>296.0337025851959</v>
      </c>
      <c r="I334" s="115">
        <f t="shared" ca="1" si="61"/>
        <v>25456.816798875247</v>
      </c>
      <c r="J334" s="521">
        <f t="shared" si="62"/>
        <v>9.0172699937857495E-2</v>
      </c>
      <c r="K334" s="521">
        <f t="shared" ca="1" si="63"/>
        <v>4.146896338565221E-6</v>
      </c>
      <c r="L334" s="521">
        <f t="shared" si="64"/>
        <v>1.0609918520271091E-3</v>
      </c>
      <c r="M334" s="298">
        <f t="shared" ca="1" si="65"/>
        <v>9.1237838686223177E-2</v>
      </c>
      <c r="N334" s="369">
        <f t="shared" ca="1" si="66"/>
        <v>3.5648108835017747E-2</v>
      </c>
    </row>
    <row r="335" spans="1:38" x14ac:dyDescent="0.25">
      <c r="B335" s="978"/>
      <c r="C335" s="981"/>
      <c r="D335" s="388" t="s">
        <v>1451</v>
      </c>
      <c r="E335" s="548" t="s">
        <v>601</v>
      </c>
      <c r="F335" s="115">
        <f>F57*'Units CF'!$I$32*'Units CF'!$I$39*'Units CF'!$I$45</f>
        <v>208316.96285230917</v>
      </c>
      <c r="G335" s="115">
        <f ca="1">G57*'Units CF'!$I$32*'Units CF'!$I$39*'Units CF'!$I$45</f>
        <v>17629.383471427449</v>
      </c>
      <c r="H335" s="115">
        <f>H57*'Units CF'!$I$32*'Units CF'!$I$39*'Units CF'!$I$45</f>
        <v>148739.85059360627</v>
      </c>
      <c r="I335" s="115">
        <f t="shared" ca="1" si="61"/>
        <v>374686.1969173429</v>
      </c>
      <c r="J335" s="521">
        <f t="shared" si="62"/>
        <v>0.74661296431856661</v>
      </c>
      <c r="K335" s="521">
        <f t="shared" ca="1" si="63"/>
        <v>6.3184130915171346E-2</v>
      </c>
      <c r="L335" s="521">
        <f t="shared" si="64"/>
        <v>0.53308717275570672</v>
      </c>
      <c r="M335" s="298">
        <f t="shared" ca="1" si="65"/>
        <v>1.3428842679894446</v>
      </c>
      <c r="N335" s="369">
        <f t="shared" ca="1" si="66"/>
        <v>0.52468674430962137</v>
      </c>
    </row>
    <row r="336" spans="1:38" x14ac:dyDescent="0.25">
      <c r="B336" s="978"/>
      <c r="C336" s="981"/>
      <c r="D336" s="388" t="s">
        <v>1452</v>
      </c>
      <c r="E336" s="548" t="s">
        <v>602</v>
      </c>
      <c r="F336" s="115">
        <f>F58*'Units CF'!$I$32*'Units CF'!$I$39*'Units CF'!$I$45</f>
        <v>472.58275945514214</v>
      </c>
      <c r="G336" s="115">
        <f ca="1">G58*'Units CF'!$I$32*'Units CF'!$I$39*'Units CF'!$I$45</f>
        <v>98.155206371091907</v>
      </c>
      <c r="H336" s="115">
        <f>H58*'Units CF'!$I$32*'Units CF'!$I$39*'Units CF'!$I$45</f>
        <v>978.87009677287188</v>
      </c>
      <c r="I336" s="115">
        <f t="shared" ca="1" si="61"/>
        <v>1549.6080625991058</v>
      </c>
      <c r="J336" s="521">
        <f t="shared" si="62"/>
        <v>1.6937478834731419E-3</v>
      </c>
      <c r="K336" s="521">
        <f t="shared" ca="1" si="63"/>
        <v>3.5179060115223465E-4</v>
      </c>
      <c r="L336" s="521">
        <f t="shared" si="64"/>
        <v>3.5082937780373594E-3</v>
      </c>
      <c r="M336" s="298">
        <f t="shared" ca="1" si="65"/>
        <v>5.553832262662736E-3</v>
      </c>
      <c r="N336" s="369">
        <f t="shared" ca="1" si="66"/>
        <v>2.1699726758293916E-3</v>
      </c>
    </row>
    <row r="337" spans="2:14" x14ac:dyDescent="0.25">
      <c r="B337" s="978"/>
      <c r="C337" s="981"/>
      <c r="D337" s="388" t="s">
        <v>19</v>
      </c>
      <c r="E337" s="548" t="s">
        <v>603</v>
      </c>
      <c r="F337" s="115">
        <f>F59*'Units CF'!$I$32*'Units CF'!$I$39*'Units CF'!$I$45</f>
        <v>7464.7568871538069</v>
      </c>
      <c r="G337" s="115">
        <f ca="1">G59*'Units CF'!$I$32*'Units CF'!$I$39*'Units CF'!$I$45</f>
        <v>523.55398017394987</v>
      </c>
      <c r="H337" s="115">
        <f>H59*'Units CF'!$I$32*'Units CF'!$I$39*'Units CF'!$I$45</f>
        <v>6175.0151984127087</v>
      </c>
      <c r="I337" s="115">
        <f t="shared" ca="1" si="61"/>
        <v>14163.326065740464</v>
      </c>
      <c r="J337" s="521">
        <f t="shared" si="62"/>
        <v>2.675386675729638E-2</v>
      </c>
      <c r="K337" s="521">
        <f t="shared" ca="1" si="63"/>
        <v>1.8764299544612132E-3</v>
      </c>
      <c r="L337" s="521">
        <f t="shared" si="64"/>
        <v>2.2131401777721382E-2</v>
      </c>
      <c r="M337" s="298">
        <f t="shared" ca="1" si="65"/>
        <v>5.0761698489478979E-2</v>
      </c>
      <c r="N337" s="369">
        <f t="shared" ca="1" si="66"/>
        <v>1.983342194927009E-2</v>
      </c>
    </row>
    <row r="338" spans="2:14" x14ac:dyDescent="0.25">
      <c r="B338" s="978"/>
      <c r="C338" s="981"/>
      <c r="D338" s="388" t="s">
        <v>1453</v>
      </c>
      <c r="E338" s="548" t="s">
        <v>604</v>
      </c>
      <c r="F338" s="115">
        <f>F60*'Units CF'!$I$32*'Units CF'!$I$39*'Units CF'!$I$45</f>
        <v>258.04850469815386</v>
      </c>
      <c r="G338" s="115">
        <f ca="1">G60*'Units CF'!$I$32*'Units CF'!$I$39*'Units CF'!$I$45</f>
        <v>653.25350995156441</v>
      </c>
      <c r="H338" s="115">
        <f>H60*'Units CF'!$I$32*'Units CF'!$I$39*'Units CF'!$I$45</f>
        <v>3614.6980131629548</v>
      </c>
      <c r="I338" s="115">
        <f t="shared" ca="1" si="61"/>
        <v>4526.0000278126736</v>
      </c>
      <c r="J338" s="521">
        <f t="shared" si="62"/>
        <v>9.2485199665307319E-4</v>
      </c>
      <c r="K338" s="521">
        <f t="shared" ca="1" si="63"/>
        <v>2.3412761632005492E-3</v>
      </c>
      <c r="L338" s="521">
        <f t="shared" si="64"/>
        <v>1.2955163908747007E-2</v>
      </c>
      <c r="M338" s="298">
        <f t="shared" ca="1" si="65"/>
        <v>1.622129206860063E-2</v>
      </c>
      <c r="N338" s="369">
        <f t="shared" ca="1" si="66"/>
        <v>6.3379228775330672E-3</v>
      </c>
    </row>
    <row r="339" spans="2:14" x14ac:dyDescent="0.25">
      <c r="B339" s="978"/>
      <c r="C339" s="981"/>
      <c r="D339" s="388" t="s">
        <v>1454</v>
      </c>
      <c r="E339" s="548" t="s">
        <v>605</v>
      </c>
      <c r="F339" s="115">
        <f>F61*'Units CF'!$I$32*'Units CF'!$I$39*'Units CF'!$I$45</f>
        <v>82.357150535556883</v>
      </c>
      <c r="G339" s="115">
        <f ca="1">G61*'Units CF'!$I$32*'Units CF'!$I$39*'Units CF'!$I$45</f>
        <v>117.46843705364473</v>
      </c>
      <c r="H339" s="115">
        <f>H61*'Units CF'!$I$32*'Units CF'!$I$39*'Units CF'!$I$45</f>
        <v>1425.5728325677605</v>
      </c>
      <c r="I339" s="115">
        <f t="shared" ca="1" si="61"/>
        <v>1625.3984201569622</v>
      </c>
      <c r="J339" s="521">
        <f t="shared" si="62"/>
        <v>2.9516999217090378E-4</v>
      </c>
      <c r="K339" s="521">
        <f t="shared" ca="1" si="63"/>
        <v>4.2100968064069709E-4</v>
      </c>
      <c r="L339" s="521">
        <f t="shared" si="64"/>
        <v>5.1092870393373872E-3</v>
      </c>
      <c r="M339" s="298">
        <f t="shared" ca="1" si="65"/>
        <v>5.8254667121489878E-3</v>
      </c>
      <c r="N339" s="369">
        <f t="shared" ca="1" si="66"/>
        <v>2.2761046771794871E-3</v>
      </c>
    </row>
    <row r="340" spans="2:14" x14ac:dyDescent="0.25">
      <c r="B340" s="978"/>
      <c r="C340" s="981"/>
      <c r="D340" s="388" t="s">
        <v>1455</v>
      </c>
      <c r="E340" s="548" t="s">
        <v>636</v>
      </c>
      <c r="F340" s="115">
        <f>'Units CF'!L35*'Units CF'!$I$39*'Units CF'!$I$45</f>
        <v>3248.1666334441502</v>
      </c>
      <c r="G340" s="115">
        <f ca="1">'Units CF'!M35*'Units CF'!$I$39*'Units CF'!$I$45</f>
        <v>9202.0309076738667</v>
      </c>
      <c r="H340" s="115">
        <f>'Units CF'!N35*'Units CF'!$I$39*'Units CF'!$I$45</f>
        <v>12967.910881716021</v>
      </c>
      <c r="I340" s="115">
        <f t="shared" ca="1" si="61"/>
        <v>25418.108422834041</v>
      </c>
      <c r="J340" s="521">
        <f t="shared" si="62"/>
        <v>1.1641506700132431E-2</v>
      </c>
      <c r="K340" s="521">
        <f t="shared" ca="1" si="63"/>
        <v>3.2980298289968554E-2</v>
      </c>
      <c r="L340" s="521">
        <f t="shared" si="64"/>
        <v>4.6477301952992017E-2</v>
      </c>
      <c r="M340" s="298">
        <f t="shared" ca="1" si="65"/>
        <v>9.1099106943093006E-2</v>
      </c>
      <c r="N340" s="369">
        <f t="shared" ca="1" si="66"/>
        <v>3.5593904084563449E-2</v>
      </c>
    </row>
    <row r="341" spans="2:14" x14ac:dyDescent="0.25">
      <c r="B341" s="978"/>
      <c r="C341" s="981"/>
      <c r="D341" s="388" t="s">
        <v>1459</v>
      </c>
      <c r="E341" s="548" t="s">
        <v>641</v>
      </c>
      <c r="F341" s="115">
        <f>'Units CF'!L45*'Units CF'!I45</f>
        <v>471.22603935236953</v>
      </c>
      <c r="G341" s="115">
        <f ca="1">'Units CF'!M45*'Units CF'!I45</f>
        <v>981.7051257553768</v>
      </c>
      <c r="H341" s="115">
        <f>'Units CF'!N45*'Units CF'!I45</f>
        <v>6692.0910754179395</v>
      </c>
      <c r="I341" s="115">
        <f t="shared" ca="1" si="61"/>
        <v>8145.0222405256864</v>
      </c>
      <c r="J341" s="521">
        <f t="shared" si="62"/>
        <v>1.6888853662598903E-3</v>
      </c>
      <c r="K341" s="521">
        <f t="shared" ca="1" si="63"/>
        <v>3.5184545895410183E-3</v>
      </c>
      <c r="L341" s="521">
        <f t="shared" si="64"/>
        <v>2.3984614055889052E-2</v>
      </c>
      <c r="M341" s="298">
        <f t="shared" ca="1" si="65"/>
        <v>2.9191954011689961E-2</v>
      </c>
      <c r="N341" s="369">
        <f t="shared" ca="1" si="66"/>
        <v>1.1405771648037646E-2</v>
      </c>
    </row>
    <row r="342" spans="2:14" x14ac:dyDescent="0.25">
      <c r="B342" s="978"/>
      <c r="C342" s="981"/>
      <c r="D342" s="524"/>
      <c r="E342" s="523" t="s">
        <v>410</v>
      </c>
      <c r="F342" s="135">
        <f>SUM(F328:F341)</f>
        <v>314912.64232773741</v>
      </c>
      <c r="G342" s="135">
        <f t="shared" ref="G342:N342" ca="1" si="67">SUM(G328:G341)</f>
        <v>184227.23361548985</v>
      </c>
      <c r="H342" s="135">
        <f t="shared" si="67"/>
        <v>214974.2139988619</v>
      </c>
      <c r="I342" s="135">
        <f t="shared" ca="1" si="67"/>
        <v>714114.08994208905</v>
      </c>
      <c r="J342" s="526">
        <f t="shared" si="67"/>
        <v>1.128654422426447</v>
      </c>
      <c r="K342" s="526">
        <f t="shared" ca="1" si="67"/>
        <v>0.66027480006698491</v>
      </c>
      <c r="L342" s="526">
        <f t="shared" si="67"/>
        <v>0.77047271123828709</v>
      </c>
      <c r="M342" s="974">
        <f t="shared" ca="1" si="67"/>
        <v>2.5594019337317184</v>
      </c>
      <c r="N342" s="972">
        <f t="shared" ca="1" si="67"/>
        <v>1</v>
      </c>
    </row>
    <row r="343" spans="2:14" x14ac:dyDescent="0.25">
      <c r="B343" s="979"/>
      <c r="C343" s="982"/>
      <c r="D343" s="525"/>
      <c r="E343" s="523" t="s">
        <v>309</v>
      </c>
      <c r="F343" s="135"/>
      <c r="G343" s="135"/>
      <c r="H343" s="135"/>
      <c r="I343" s="135"/>
      <c r="J343" s="527">
        <f ca="1">J342/M342</f>
        <v>0.44098365620159558</v>
      </c>
      <c r="K343" s="527">
        <f ca="1">K342/M342</f>
        <v>0.25798011299627166</v>
      </c>
      <c r="L343" s="527">
        <f ca="1">L342/M342</f>
        <v>0.30103623080213299</v>
      </c>
      <c r="M343" s="975"/>
      <c r="N343" s="973"/>
    </row>
    <row r="376" spans="1:38" ht="27.6" x14ac:dyDescent="0.25">
      <c r="A376" s="531"/>
      <c r="B376" s="532" t="s">
        <v>1409</v>
      </c>
      <c r="C376" s="533"/>
      <c r="D376" s="534" t="s">
        <v>1347</v>
      </c>
      <c r="E376" s="534"/>
      <c r="F376" s="535"/>
      <c r="G376" s="533"/>
      <c r="H376" s="533"/>
      <c r="I376" s="533"/>
      <c r="J376" s="533"/>
      <c r="K376" s="533"/>
      <c r="L376" s="533"/>
      <c r="M376" s="533"/>
      <c r="N376" s="533"/>
      <c r="O376" s="533"/>
      <c r="P376" s="533"/>
      <c r="Q376" s="533"/>
      <c r="R376" s="533"/>
      <c r="S376" s="533"/>
      <c r="T376" s="533"/>
      <c r="U376" s="533"/>
      <c r="V376" s="533"/>
      <c r="W376" s="533"/>
      <c r="X376" s="533"/>
      <c r="Y376" s="533"/>
      <c r="Z376" s="533"/>
      <c r="AA376" s="533"/>
      <c r="AB376" s="533"/>
      <c r="AC376" s="533"/>
      <c r="AD376" s="533"/>
      <c r="AE376" s="533"/>
      <c r="AF376" s="533"/>
      <c r="AG376" s="533"/>
      <c r="AH376" s="533"/>
      <c r="AI376" s="533"/>
      <c r="AJ376" s="533"/>
      <c r="AK376" s="533"/>
      <c r="AL376" s="533"/>
    </row>
    <row r="379" spans="1:38" ht="27.6" x14ac:dyDescent="0.25">
      <c r="B379" s="976" t="s">
        <v>425</v>
      </c>
      <c r="C379" s="523" t="s">
        <v>408</v>
      </c>
      <c r="D379" s="976" t="s">
        <v>411</v>
      </c>
      <c r="E379" s="976" t="s">
        <v>411</v>
      </c>
      <c r="F379" s="522" t="s">
        <v>479</v>
      </c>
      <c r="G379" s="522" t="s">
        <v>480</v>
      </c>
      <c r="H379" s="522" t="s">
        <v>481</v>
      </c>
      <c r="I379" s="522" t="s">
        <v>482</v>
      </c>
      <c r="J379" s="546" t="s">
        <v>484</v>
      </c>
      <c r="K379" s="546" t="s">
        <v>483</v>
      </c>
      <c r="L379" s="546" t="s">
        <v>485</v>
      </c>
      <c r="M379" s="522" t="s">
        <v>486</v>
      </c>
      <c r="N379" s="523" t="s">
        <v>487</v>
      </c>
    </row>
    <row r="380" spans="1:38" x14ac:dyDescent="0.25">
      <c r="B380" s="976"/>
      <c r="C380" s="523" t="s">
        <v>477</v>
      </c>
      <c r="D380" s="976"/>
      <c r="E380" s="976"/>
      <c r="F380" s="523" t="s">
        <v>308</v>
      </c>
      <c r="G380" s="523" t="s">
        <v>308</v>
      </c>
      <c r="H380" s="523" t="s">
        <v>308</v>
      </c>
      <c r="I380" s="523" t="s">
        <v>308</v>
      </c>
      <c r="J380" s="547" t="s">
        <v>310</v>
      </c>
      <c r="K380" s="547" t="s">
        <v>310</v>
      </c>
      <c r="L380" s="547" t="s">
        <v>310</v>
      </c>
      <c r="M380" s="523" t="s">
        <v>310</v>
      </c>
      <c r="N380" s="523" t="s">
        <v>309</v>
      </c>
    </row>
    <row r="381" spans="1:38" x14ac:dyDescent="0.25">
      <c r="B381" s="983" t="s">
        <v>1409</v>
      </c>
      <c r="C381" s="980">
        <f>'Units CF'!F47</f>
        <v>224828.82</v>
      </c>
      <c r="D381" s="388" t="s">
        <v>229</v>
      </c>
      <c r="E381" s="548" t="s">
        <v>594</v>
      </c>
      <c r="F381" s="115">
        <f>F50*'Units CF'!$I$32*('Units CF'!$I$39*'Units CF'!$I$46*'Units CF'!$I$47+'Units CF'!$I$37*'Units CF'!$I$47)</f>
        <v>10244.921369448755</v>
      </c>
      <c r="G381" s="115">
        <f ca="1">G50*'Units CF'!$I$32*('Units CF'!$I$39*'Units CF'!$I$46*'Units CF'!$I$47+'Units CF'!$I$37*'Units CF'!$I$47)</f>
        <v>211.25256727708282</v>
      </c>
      <c r="H381" s="115">
        <f>H50*'Units CF'!$I$32*('Units CF'!$I$39*'Units CF'!$I$46*'Units CF'!$I$47+'Units CF'!$I$37*'Units CF'!$I$47)</f>
        <v>1452.7706748060946</v>
      </c>
      <c r="I381" s="115">
        <f ca="1">SUM(F381:H381)</f>
        <v>11908.944611531933</v>
      </c>
      <c r="J381" s="521">
        <f>F381/$C$381</f>
        <v>4.5567651733655651E-2</v>
      </c>
      <c r="K381" s="521">
        <f ca="1">G381/$C$381</f>
        <v>9.3961515822163196E-4</v>
      </c>
      <c r="L381" s="521">
        <f>H381/$C$381</f>
        <v>6.4616745967269436E-3</v>
      </c>
      <c r="M381" s="298">
        <f ca="1">SUM(J381:L381)</f>
        <v>5.2968941488604232E-2</v>
      </c>
      <c r="N381" s="369">
        <f ca="1">M381/$M$396</f>
        <v>2.0245413961132191E-2</v>
      </c>
    </row>
    <row r="382" spans="1:38" x14ac:dyDescent="0.25">
      <c r="B382" s="984"/>
      <c r="C382" s="981"/>
      <c r="D382" s="388" t="s">
        <v>1445</v>
      </c>
      <c r="E382" s="548" t="s">
        <v>597</v>
      </c>
      <c r="F382" s="115">
        <f>F51*'Units CF'!$I$32*('Units CF'!$I$39*'Units CF'!$I$46*'Units CF'!$I$47+'Units CF'!$I$37*'Units CF'!$I$47)</f>
        <v>8907.2164171292388</v>
      </c>
      <c r="G382" s="115">
        <f ca="1">G51*'Units CF'!$I$32*('Units CF'!$I$39*'Units CF'!$I$46*'Units CF'!$I$47+'Units CF'!$I$37*'Units CF'!$I$47)</f>
        <v>7146.4543599813496</v>
      </c>
      <c r="H382" s="115">
        <f>H51*'Units CF'!$I$32*('Units CF'!$I$39*'Units CF'!$I$46*'Units CF'!$I$47+'Units CF'!$I$37*'Units CF'!$I$47)</f>
        <v>400.33727514585109</v>
      </c>
      <c r="I382" s="115">
        <f t="shared" ref="I382:I395" ca="1" si="68">SUM(F382:H382)</f>
        <v>16454.008052256439</v>
      </c>
      <c r="J382" s="521">
        <f t="shared" ref="J382:J395" si="69">F382/$C$381</f>
        <v>3.96177697197772E-2</v>
      </c>
      <c r="K382" s="521">
        <f t="shared" ref="K382:K395" ca="1" si="70">G382/$C$381</f>
        <v>3.1786202320420259E-2</v>
      </c>
      <c r="L382" s="521">
        <f t="shared" ref="L382:L395" si="71">H382/$C$381</f>
        <v>1.7806314828581634E-3</v>
      </c>
      <c r="M382" s="298">
        <f t="shared" ref="M382:M395" ca="1" si="72">SUM(J382:L382)</f>
        <v>7.3184603523055627E-2</v>
      </c>
      <c r="N382" s="369">
        <f t="shared" ref="N382:N395" ca="1" si="73">M382/$M$396</f>
        <v>2.7972101240202395E-2</v>
      </c>
    </row>
    <row r="383" spans="1:38" x14ac:dyDescent="0.25">
      <c r="B383" s="984"/>
      <c r="C383" s="981"/>
      <c r="D383" s="388" t="s">
        <v>1446</v>
      </c>
      <c r="E383" s="548" t="s">
        <v>595</v>
      </c>
      <c r="F383" s="115">
        <f>F52*'Units CF'!$I$32*('Units CF'!$I$39*'Units CF'!$I$46*'Units CF'!$I$47+'Units CF'!$I$37*'Units CF'!$I$47)</f>
        <v>4.496136870858651E-2</v>
      </c>
      <c r="G383" s="115">
        <f ca="1">G52*'Units CF'!$I$32*('Units CF'!$I$39*'Units CF'!$I$46*'Units CF'!$I$47+'Units CF'!$I$37*'Units CF'!$I$47)</f>
        <v>2.9988644768242656</v>
      </c>
      <c r="H383" s="115">
        <f>H52*'Units CF'!$I$32*('Units CF'!$I$39*'Units CF'!$I$46*'Units CF'!$I$47+'Units CF'!$I$37*'Units CF'!$I$47)</f>
        <v>28.107008195383255</v>
      </c>
      <c r="I383" s="115">
        <f t="shared" ca="1" si="68"/>
        <v>31.150834040916106</v>
      </c>
      <c r="J383" s="521">
        <f t="shared" si="69"/>
        <v>1.9998045049823467E-7</v>
      </c>
      <c r="K383" s="521">
        <f t="shared" ca="1" si="70"/>
        <v>1.3338434444588845E-5</v>
      </c>
      <c r="L383" s="521">
        <f t="shared" si="71"/>
        <v>1.2501514794848478E-4</v>
      </c>
      <c r="M383" s="298">
        <f t="shared" ca="1" si="72"/>
        <v>1.3855356284357185E-4</v>
      </c>
      <c r="N383" s="369">
        <f t="shared" ca="1" si="73"/>
        <v>5.2956962263656736E-5</v>
      </c>
    </row>
    <row r="384" spans="1:38" x14ac:dyDescent="0.25">
      <c r="B384" s="984"/>
      <c r="C384" s="981"/>
      <c r="D384" s="388" t="s">
        <v>1447</v>
      </c>
      <c r="E384" s="548" t="s">
        <v>596</v>
      </c>
      <c r="F384" s="115">
        <f>F53*'Units CF'!$I$32*('Units CF'!$I$39*'Units CF'!$I$46*'Units CF'!$I$47+'Units CF'!$I$37*'Units CF'!$I$47)</f>
        <v>403.71835521890426</v>
      </c>
      <c r="G384" s="115">
        <f ca="1">G53*'Units CF'!$I$32*('Units CF'!$I$39*'Units CF'!$I$46*'Units CF'!$I$47+'Units CF'!$I$37*'Units CF'!$I$47)</f>
        <v>3906.2101336167075</v>
      </c>
      <c r="H384" s="115">
        <f>H53*'Units CF'!$I$32*('Units CF'!$I$39*'Units CF'!$I$46*'Units CF'!$I$47+'Units CF'!$I$37*'Units CF'!$I$47)</f>
        <v>206.87241180129985</v>
      </c>
      <c r="I384" s="115">
        <f t="shared" ca="1" si="68"/>
        <v>4516.8009006369111</v>
      </c>
      <c r="J384" s="521">
        <f t="shared" si="69"/>
        <v>1.7956699466683331E-3</v>
      </c>
      <c r="K384" s="521">
        <f t="shared" ca="1" si="70"/>
        <v>1.7374152182165557E-2</v>
      </c>
      <c r="L384" s="521">
        <f t="shared" si="71"/>
        <v>9.2013297850916014E-4</v>
      </c>
      <c r="M384" s="298">
        <f t="shared" ca="1" si="72"/>
        <v>2.0089955107343051E-2</v>
      </c>
      <c r="N384" s="369">
        <f t="shared" ca="1" si="73"/>
        <v>7.6786404670032152E-3</v>
      </c>
    </row>
    <row r="385" spans="2:14" x14ac:dyDescent="0.25">
      <c r="B385" s="984"/>
      <c r="C385" s="981"/>
      <c r="D385" s="388" t="s">
        <v>1448</v>
      </c>
      <c r="E385" s="548" t="s">
        <v>598</v>
      </c>
      <c r="F385" s="115">
        <f>F54*'Units CF'!$I$32*('Units CF'!$I$39*'Units CF'!$I$46*'Units CF'!$I$47+'Units CF'!$I$37*'Units CF'!$I$47)</f>
        <v>12394.580181530529</v>
      </c>
      <c r="G385" s="115">
        <f ca="1">G54*'Units CF'!$I$32*('Units CF'!$I$39*'Units CF'!$I$46*'Units CF'!$I$47+'Units CF'!$I$37*'Units CF'!$I$47)</f>
        <v>3015.8400741080632</v>
      </c>
      <c r="H385" s="115">
        <f>H54*'Units CF'!$I$32*('Units CF'!$I$39*'Units CF'!$I$46*'Units CF'!$I$47+'Units CF'!$I$37*'Units CF'!$I$47)</f>
        <v>4506.248415719826</v>
      </c>
      <c r="I385" s="115">
        <f t="shared" ca="1" si="68"/>
        <v>19916.66867135842</v>
      </c>
      <c r="J385" s="521">
        <f t="shared" si="69"/>
        <v>5.5128965145707427E-2</v>
      </c>
      <c r="K385" s="521">
        <f t="shared" ca="1" si="70"/>
        <v>1.341393898748418E-2</v>
      </c>
      <c r="L385" s="521">
        <f t="shared" si="71"/>
        <v>2.0043019465742096E-2</v>
      </c>
      <c r="M385" s="298">
        <f t="shared" ca="1" si="72"/>
        <v>8.8585923598933705E-2</v>
      </c>
      <c r="N385" s="369">
        <f t="shared" ca="1" si="73"/>
        <v>3.3858684806368798E-2</v>
      </c>
    </row>
    <row r="386" spans="2:14" x14ac:dyDescent="0.25">
      <c r="B386" s="984"/>
      <c r="C386" s="981"/>
      <c r="D386" s="388" t="s">
        <v>1449</v>
      </c>
      <c r="E386" s="548" t="s">
        <v>599</v>
      </c>
      <c r="F386" s="115">
        <f>F55*'Units CF'!$I$32*('Units CF'!$I$39*'Units CF'!$I$46*'Units CF'!$I$47+'Units CF'!$I$37*'Units CF'!$I$47)</f>
        <v>25293.285287527127</v>
      </c>
      <c r="G386" s="115">
        <f ca="1">G55*'Units CF'!$I$32*('Units CF'!$I$39*'Units CF'!$I$46*'Units CF'!$I$47+'Units CF'!$I$37*'Units CF'!$I$47)</f>
        <v>113512.4254475871</v>
      </c>
      <c r="H386" s="115">
        <f>H55*'Units CF'!$I$32*('Units CF'!$I$39*'Units CF'!$I$46*'Units CF'!$I$47+'Units CF'!$I$37*'Units CF'!$I$47)</f>
        <v>21503.832948100455</v>
      </c>
      <c r="I386" s="115">
        <f t="shared" ca="1" si="68"/>
        <v>160309.5436832147</v>
      </c>
      <c r="J386" s="521">
        <f t="shared" si="69"/>
        <v>0.11250019142353336</v>
      </c>
      <c r="K386" s="521">
        <f t="shared" ca="1" si="70"/>
        <v>0.50488378423899172</v>
      </c>
      <c r="L386" s="521">
        <f t="shared" si="71"/>
        <v>9.5645357868712977E-2</v>
      </c>
      <c r="M386" s="298">
        <f t="shared" ca="1" si="72"/>
        <v>0.7130293335312381</v>
      </c>
      <c r="N386" s="369">
        <f t="shared" ca="1" si="73"/>
        <v>0.27252902584197924</v>
      </c>
    </row>
    <row r="387" spans="2:14" x14ac:dyDescent="0.25">
      <c r="B387" s="984"/>
      <c r="C387" s="981"/>
      <c r="D387" s="388" t="s">
        <v>1450</v>
      </c>
      <c r="E387" s="548" t="s">
        <v>600</v>
      </c>
      <c r="F387" s="115">
        <f>F56*'Units CF'!$I$32*('Units CF'!$I$39*'Units CF'!$I$46*'Units CF'!$I$47+'Units CF'!$I$37*'Units CF'!$I$47)</f>
        <v>20740.988694567826</v>
      </c>
      <c r="G387" s="115">
        <f ca="1">G56*'Units CF'!$I$32*('Units CF'!$I$39*'Units CF'!$I$46*'Units CF'!$I$47+'Units CF'!$I$37*'Units CF'!$I$47)</f>
        <v>0.95384445774608329</v>
      </c>
      <c r="H387" s="115">
        <f>H56*'Units CF'!$I$32*('Units CF'!$I$39*'Units CF'!$I$46*'Units CF'!$I$47+'Units CF'!$I$37*'Units CF'!$I$47)</f>
        <v>244.04304210795834</v>
      </c>
      <c r="I387" s="115">
        <f t="shared" ca="1" si="68"/>
        <v>20985.985581133529</v>
      </c>
      <c r="J387" s="521">
        <f t="shared" si="69"/>
        <v>9.2252357569495874E-2</v>
      </c>
      <c r="K387" s="521">
        <f t="shared" ca="1" si="70"/>
        <v>4.2425364228041729E-6</v>
      </c>
      <c r="L387" s="521">
        <f t="shared" si="71"/>
        <v>1.0854615618582988E-3</v>
      </c>
      <c r="M387" s="298">
        <f t="shared" ca="1" si="72"/>
        <v>9.3342061667776977E-2</v>
      </c>
      <c r="N387" s="369">
        <f t="shared" ca="1" si="73"/>
        <v>3.56765422404417E-2</v>
      </c>
    </row>
    <row r="388" spans="2:14" x14ac:dyDescent="0.25">
      <c r="B388" s="984"/>
      <c r="C388" s="981"/>
      <c r="D388" s="388" t="s">
        <v>1451</v>
      </c>
      <c r="E388" s="548" t="s">
        <v>601</v>
      </c>
      <c r="F388" s="115">
        <f>F57*'Units CF'!$I$32*('Units CF'!$I$39*'Units CF'!$I$46*'Units CF'!$I$47+'Units CF'!$I$37*'Units CF'!$I$47)</f>
        <v>171731.47818376275</v>
      </c>
      <c r="G388" s="115">
        <f ca="1">G57*'Units CF'!$I$32*('Units CF'!$I$39*'Units CF'!$I$46*'Units CF'!$I$47+'Units CF'!$I$37*'Units CF'!$I$47)</f>
        <v>14533.238395776043</v>
      </c>
      <c r="H388" s="115">
        <f>H57*'Units CF'!$I$32*('Units CF'!$I$39*'Units CF'!$I$46*'Units CF'!$I$47+'Units CF'!$I$37*'Units CF'!$I$47)</f>
        <v>122617.54423417509</v>
      </c>
      <c r="I388" s="115">
        <f t="shared" ca="1" si="68"/>
        <v>308882.26081371389</v>
      </c>
      <c r="J388" s="521">
        <f t="shared" si="69"/>
        <v>0.7638321376403735</v>
      </c>
      <c r="K388" s="521">
        <f t="shared" ca="1" si="70"/>
        <v>6.4641349786811325E-2</v>
      </c>
      <c r="L388" s="521">
        <f t="shared" si="71"/>
        <v>0.54538178972862594</v>
      </c>
      <c r="M388" s="298">
        <f t="shared" ca="1" si="72"/>
        <v>1.3738552771558108</v>
      </c>
      <c r="N388" s="369">
        <f t="shared" ca="1" si="73"/>
        <v>0.5251052414307612</v>
      </c>
    </row>
    <row r="389" spans="2:14" x14ac:dyDescent="0.25">
      <c r="B389" s="984"/>
      <c r="C389" s="981"/>
      <c r="D389" s="388" t="s">
        <v>1452</v>
      </c>
      <c r="E389" s="548" t="s">
        <v>602</v>
      </c>
      <c r="F389" s="115">
        <f>F58*'Units CF'!$I$32*('Units CF'!$I$39*'Units CF'!$I$46*'Units CF'!$I$47+'Units CF'!$I$37*'Units CF'!$I$47)</f>
        <v>389.58582505319737</v>
      </c>
      <c r="G389" s="115">
        <f ca="1">G58*'Units CF'!$I$32*('Units CF'!$I$39*'Units CF'!$I$46*'Units CF'!$I$47+'Units CF'!$I$37*'Units CF'!$I$47)</f>
        <v>80.916783975439245</v>
      </c>
      <c r="H389" s="115">
        <f>H58*'Units CF'!$I$32*('Units CF'!$I$39*'Units CF'!$I$46*'Units CF'!$I$47+'Units CF'!$I$37*'Units CF'!$I$47)</f>
        <v>806.95689091755969</v>
      </c>
      <c r="I389" s="115">
        <f t="shared" ca="1" si="68"/>
        <v>1277.4594999461963</v>
      </c>
      <c r="J389" s="521">
        <f t="shared" si="69"/>
        <v>1.7328108783082052E-3</v>
      </c>
      <c r="K389" s="521">
        <f t="shared" ca="1" si="70"/>
        <v>3.5990396593923876E-4</v>
      </c>
      <c r="L389" s="521">
        <f t="shared" si="71"/>
        <v>3.589205738470538E-3</v>
      </c>
      <c r="M389" s="298">
        <f t="shared" ca="1" si="72"/>
        <v>5.6819205827179815E-3</v>
      </c>
      <c r="N389" s="369">
        <f t="shared" ca="1" si="73"/>
        <v>2.1717034748778433E-3</v>
      </c>
    </row>
    <row r="390" spans="2:14" x14ac:dyDescent="0.25">
      <c r="B390" s="984"/>
      <c r="C390" s="981"/>
      <c r="D390" s="388" t="s">
        <v>19</v>
      </c>
      <c r="E390" s="548" t="s">
        <v>603</v>
      </c>
      <c r="F390" s="115">
        <f>F59*'Units CF'!$I$32*('Units CF'!$I$39*'Units CF'!$I$46*'Units CF'!$I$47+'Units CF'!$I$37*'Units CF'!$I$47)</f>
        <v>6153.7654781488036</v>
      </c>
      <c r="G390" s="115">
        <f ca="1">G59*'Units CF'!$I$32*('Units CF'!$I$39*'Units CF'!$I$46*'Units CF'!$I$47+'Units CF'!$I$37*'Units CF'!$I$47)</f>
        <v>431.60526964867944</v>
      </c>
      <c r="H390" s="115">
        <f>H59*'Units CF'!$I$32*('Units CF'!$I$39*'Units CF'!$I$46*'Units CF'!$I$47+'Units CF'!$I$37*'Units CF'!$I$47)</f>
        <v>5090.5335471045664</v>
      </c>
      <c r="I390" s="115">
        <f t="shared" ca="1" si="68"/>
        <v>11675.90429490205</v>
      </c>
      <c r="J390" s="521">
        <f t="shared" si="69"/>
        <v>2.7370892566837311E-2</v>
      </c>
      <c r="K390" s="521">
        <f t="shared" ca="1" si="70"/>
        <v>1.9197061553259916E-3</v>
      </c>
      <c r="L390" s="521">
        <f t="shared" si="71"/>
        <v>2.2641819438916088E-2</v>
      </c>
      <c r="M390" s="298">
        <f t="shared" ca="1" si="72"/>
        <v>5.1932418161079394E-2</v>
      </c>
      <c r="N390" s="369">
        <f t="shared" ca="1" si="73"/>
        <v>1.984924135023293E-2</v>
      </c>
    </row>
    <row r="391" spans="2:14" x14ac:dyDescent="0.25">
      <c r="B391" s="984"/>
      <c r="C391" s="981"/>
      <c r="D391" s="388" t="s">
        <v>1453</v>
      </c>
      <c r="E391" s="548" t="s">
        <v>604</v>
      </c>
      <c r="F391" s="115">
        <f>F60*'Units CF'!$I$32*('Units CF'!$I$39*'Units CF'!$I$46*'Units CF'!$I$47+'Units CF'!$I$37*'Units CF'!$I$47)</f>
        <v>212.72896142567964</v>
      </c>
      <c r="G391" s="115">
        <f ca="1">G60*'Units CF'!$I$32*('Units CF'!$I$39*'Units CF'!$I$46*'Units CF'!$I$47+'Units CF'!$I$37*'Units CF'!$I$47)</f>
        <v>538.52643278141943</v>
      </c>
      <c r="H391" s="115">
        <f>H60*'Units CF'!$I$32*('Units CF'!$I$39*'Units CF'!$I$46*'Units CF'!$I$47+'Units CF'!$I$37*'Units CF'!$I$47)</f>
        <v>2979.8698314763933</v>
      </c>
      <c r="I391" s="115">
        <f t="shared" ca="1" si="68"/>
        <v>3731.1252256834923</v>
      </c>
      <c r="J391" s="521">
        <f t="shared" si="69"/>
        <v>9.4618190597486407E-4</v>
      </c>
      <c r="K391" s="521">
        <f t="shared" ca="1" si="70"/>
        <v>2.3952731361638574E-3</v>
      </c>
      <c r="L391" s="521">
        <f t="shared" si="71"/>
        <v>1.3253949522469553E-2</v>
      </c>
      <c r="M391" s="298">
        <f t="shared" ca="1" si="72"/>
        <v>1.6595404564608274E-2</v>
      </c>
      <c r="N391" s="369">
        <f t="shared" ca="1" si="73"/>
        <v>6.342978089060744E-3</v>
      </c>
    </row>
    <row r="392" spans="2:14" x14ac:dyDescent="0.25">
      <c r="B392" s="984"/>
      <c r="C392" s="981"/>
      <c r="D392" s="388" t="s">
        <v>1454</v>
      </c>
      <c r="E392" s="548" t="s">
        <v>605</v>
      </c>
      <c r="F392" s="115">
        <f>F61*'Units CF'!$I$32*('Units CF'!$I$39*'Units CF'!$I$46*'Units CF'!$I$47+'Units CF'!$I$37*'Units CF'!$I$47)</f>
        <v>67.893247898881199</v>
      </c>
      <c r="G392" s="115">
        <f ca="1">G61*'Units CF'!$I$32*('Units CF'!$I$39*'Units CF'!$I$46*'Units CF'!$I$47+'Units CF'!$I$37*'Units CF'!$I$47)</f>
        <v>96.838145386464788</v>
      </c>
      <c r="H392" s="115">
        <f>H61*'Units CF'!$I$32*('Units CF'!$I$39*'Units CF'!$I$46*'Units CF'!$I$47+'Units CF'!$I$37*'Units CF'!$I$47)</f>
        <v>1175.2078488636698</v>
      </c>
      <c r="I392" s="115">
        <f t="shared" ca="1" si="68"/>
        <v>1339.9392421490159</v>
      </c>
      <c r="J392" s="521">
        <f t="shared" si="69"/>
        <v>3.0197751293131015E-4</v>
      </c>
      <c r="K392" s="521">
        <f t="shared" ca="1" si="70"/>
        <v>4.307194486296943E-4</v>
      </c>
      <c r="L392" s="521">
        <f t="shared" si="71"/>
        <v>5.2271227899682512E-3</v>
      </c>
      <c r="M392" s="298">
        <f t="shared" ca="1" si="72"/>
        <v>5.9598197515292554E-3</v>
      </c>
      <c r="N392" s="369">
        <f t="shared" ca="1" si="73"/>
        <v>2.2779201285228708E-3</v>
      </c>
    </row>
    <row r="393" spans="2:14" x14ac:dyDescent="0.25">
      <c r="B393" s="984"/>
      <c r="C393" s="981"/>
      <c r="D393" s="388" t="s">
        <v>1455</v>
      </c>
      <c r="E393" s="548" t="s">
        <v>636</v>
      </c>
      <c r="F393" s="115">
        <f>'Units CF'!L35*('Units CF'!$I$39*'Units CF'!$I$46*'Units CF'!$I$47+'Units CF'!$I$37*'Units CF'!$I$47)</f>
        <v>2677.7102052126857</v>
      </c>
      <c r="G393" s="115">
        <f ca="1">'Units CF'!M35*('Units CF'!$I$39*'Units CF'!$I$46*'Units CF'!$I$47+'Units CF'!$I$37*'Units CF'!$I$47)</f>
        <v>7585.9322660530433</v>
      </c>
      <c r="H393" s="115">
        <f>'Units CF'!N35*('Units CF'!$I$39*'Units CF'!$I$46*'Units CF'!$I$47+'Units CF'!$I$37*'Units CF'!$I$47)</f>
        <v>10690.432858563101</v>
      </c>
      <c r="I393" s="115">
        <f t="shared" ca="1" si="68"/>
        <v>20954.075329828829</v>
      </c>
      <c r="J393" s="521">
        <f t="shared" si="69"/>
        <v>1.1909995369867109E-2</v>
      </c>
      <c r="K393" s="521">
        <f t="shared" ca="1" si="70"/>
        <v>3.3740924611235533E-2</v>
      </c>
      <c r="L393" s="521">
        <f t="shared" si="71"/>
        <v>4.7549210366193716E-2</v>
      </c>
      <c r="M393" s="298">
        <f t="shared" ca="1" si="72"/>
        <v>9.320013034729635E-2</v>
      </c>
      <c r="N393" s="369">
        <f t="shared" ca="1" si="73"/>
        <v>3.5622294255557983E-2</v>
      </c>
    </row>
    <row r="394" spans="2:14" x14ac:dyDescent="0.25">
      <c r="B394" s="984"/>
      <c r="C394" s="981"/>
      <c r="D394" s="388" t="s">
        <v>1459</v>
      </c>
      <c r="E394" s="548" t="s">
        <v>641</v>
      </c>
      <c r="F394" s="115">
        <f>'Units CF'!L45*'Units CF'!$I$46*'Units CF'!$I$47</f>
        <v>39.763729062916845</v>
      </c>
      <c r="G394" s="115">
        <f ca="1">'Units CF'!M45*'Units CF'!$I$46*'Units CF'!$I$47</f>
        <v>82.83976983500969</v>
      </c>
      <c r="H394" s="115">
        <f>'Units CF'!N45*'Units CF'!$I$46*'Units CF'!$I$47</f>
        <v>564.70244461235893</v>
      </c>
      <c r="I394" s="115">
        <f t="shared" ca="1" si="68"/>
        <v>687.30594351028549</v>
      </c>
      <c r="J394" s="521">
        <f t="shared" si="69"/>
        <v>1.7686224151742131E-4</v>
      </c>
      <c r="K394" s="521">
        <f t="shared" ca="1" si="70"/>
        <v>3.6845707696642134E-4</v>
      </c>
      <c r="L394" s="521">
        <f t="shared" si="71"/>
        <v>2.5116995437344685E-3</v>
      </c>
      <c r="M394" s="298">
        <f t="shared" ca="1" si="72"/>
        <v>3.0570188622183114E-3</v>
      </c>
      <c r="N394" s="369">
        <f t="shared" ca="1" si="73"/>
        <v>1.1684321153730103E-3</v>
      </c>
    </row>
    <row r="395" spans="2:14" x14ac:dyDescent="0.25">
      <c r="B395" s="984"/>
      <c r="C395" s="981"/>
      <c r="D395" s="388" t="s">
        <v>1460</v>
      </c>
      <c r="E395" s="548" t="s">
        <v>1443</v>
      </c>
      <c r="F395" s="115">
        <f>'Units CF'!L47*'Units CF'!$I$47</f>
        <v>801.34283761880306</v>
      </c>
      <c r="G395" s="115">
        <f ca="1">'Units CF'!M47*'Units CF'!$I$47</f>
        <v>790.65942595250579</v>
      </c>
      <c r="H395" s="115">
        <f>'Units CF'!N47*'Units CF'!$I$47</f>
        <v>3966.0721499198116</v>
      </c>
      <c r="I395" s="115">
        <f t="shared" ca="1" si="68"/>
        <v>5558.0744134911201</v>
      </c>
      <c r="J395" s="521">
        <f t="shared" si="69"/>
        <v>3.5642353930372584E-3</v>
      </c>
      <c r="K395" s="521">
        <f t="shared" ca="1" si="70"/>
        <v>3.5167174117290913E-3</v>
      </c>
      <c r="L395" s="521">
        <f t="shared" si="71"/>
        <v>1.7640408155501646E-2</v>
      </c>
      <c r="M395" s="298">
        <f t="shared" ca="1" si="72"/>
        <v>2.4721360960267995E-2</v>
      </c>
      <c r="N395" s="369">
        <f t="shared" ca="1" si="73"/>
        <v>9.4488236362222679E-3</v>
      </c>
    </row>
    <row r="396" spans="2:14" x14ac:dyDescent="0.25">
      <c r="B396" s="984"/>
      <c r="C396" s="981"/>
      <c r="D396" s="524"/>
      <c r="E396" s="523" t="s">
        <v>410</v>
      </c>
      <c r="F396" s="135">
        <f>SUM(F381:F395)</f>
        <v>260059.02373497479</v>
      </c>
      <c r="G396" s="135">
        <f t="shared" ref="G396:N396" ca="1" si="74">SUM(G381:G395)</f>
        <v>151936.69178091348</v>
      </c>
      <c r="H396" s="135">
        <f t="shared" si="74"/>
        <v>176233.53158150942</v>
      </c>
      <c r="I396" s="135">
        <f t="shared" ca="1" si="74"/>
        <v>588229.24709739746</v>
      </c>
      <c r="J396" s="526">
        <f t="shared" si="74"/>
        <v>1.1566978990281354</v>
      </c>
      <c r="K396" s="526">
        <f t="shared" ca="1" si="74"/>
        <v>0.67578832545095191</v>
      </c>
      <c r="L396" s="526">
        <f t="shared" si="74"/>
        <v>0.78385649838623628</v>
      </c>
      <c r="M396" s="974">
        <f t="shared" ca="1" si="74"/>
        <v>2.6163427228653235</v>
      </c>
      <c r="N396" s="972">
        <f t="shared" ca="1" si="74"/>
        <v>1</v>
      </c>
    </row>
    <row r="397" spans="2:14" x14ac:dyDescent="0.25">
      <c r="B397" s="985"/>
      <c r="C397" s="982"/>
      <c r="D397" s="525"/>
      <c r="E397" s="523" t="s">
        <v>309</v>
      </c>
      <c r="F397" s="135"/>
      <c r="G397" s="135"/>
      <c r="H397" s="135"/>
      <c r="I397" s="135"/>
      <c r="J397" s="527">
        <f ca="1">J396/M396</f>
        <v>0.44210488515868512</v>
      </c>
      <c r="K397" s="527">
        <f ca="1">K396/M396</f>
        <v>0.25829503128353654</v>
      </c>
      <c r="L397" s="527">
        <f ca="1">L396/M396</f>
        <v>0.29960008355777834</v>
      </c>
      <c r="M397" s="975"/>
      <c r="N397" s="973"/>
    </row>
    <row r="429" spans="1:38" ht="27.6" x14ac:dyDescent="0.25">
      <c r="A429" s="531"/>
      <c r="B429" s="532" t="s">
        <v>1392</v>
      </c>
      <c r="C429" s="532"/>
      <c r="D429" s="534" t="s">
        <v>1476</v>
      </c>
      <c r="E429" s="534"/>
      <c r="F429" s="535"/>
      <c r="G429" s="533"/>
      <c r="H429" s="533"/>
      <c r="I429" s="533"/>
      <c r="J429" s="533"/>
      <c r="K429" s="533"/>
      <c r="L429" s="533"/>
      <c r="M429" s="533"/>
      <c r="N429" s="533"/>
      <c r="O429" s="533"/>
      <c r="P429" s="533"/>
      <c r="Q429" s="533"/>
      <c r="R429" s="533"/>
      <c r="S429" s="533"/>
      <c r="T429" s="533"/>
      <c r="U429" s="533"/>
      <c r="V429" s="533"/>
      <c r="W429" s="533"/>
      <c r="X429" s="533"/>
      <c r="Y429" s="533"/>
      <c r="Z429" s="533"/>
      <c r="AA429" s="533"/>
      <c r="AB429" s="533"/>
      <c r="AC429" s="533"/>
      <c r="AD429" s="533"/>
      <c r="AE429" s="533"/>
      <c r="AF429" s="533"/>
      <c r="AG429" s="533"/>
      <c r="AH429" s="533"/>
      <c r="AI429" s="533"/>
      <c r="AJ429" s="533"/>
      <c r="AK429" s="533"/>
      <c r="AL429" s="533"/>
    </row>
    <row r="432" spans="1:38" ht="27.6" x14ac:dyDescent="0.25">
      <c r="B432" s="976" t="s">
        <v>425</v>
      </c>
      <c r="C432" s="523" t="s">
        <v>408</v>
      </c>
      <c r="D432" s="976" t="s">
        <v>411</v>
      </c>
      <c r="E432" s="976" t="s">
        <v>411</v>
      </c>
      <c r="F432" s="522" t="s">
        <v>479</v>
      </c>
      <c r="G432" s="522" t="s">
        <v>480</v>
      </c>
      <c r="H432" s="522" t="s">
        <v>481</v>
      </c>
      <c r="I432" s="522" t="s">
        <v>482</v>
      </c>
      <c r="J432" s="546" t="s">
        <v>484</v>
      </c>
      <c r="K432" s="546" t="s">
        <v>483</v>
      </c>
      <c r="L432" s="546" t="s">
        <v>485</v>
      </c>
      <c r="M432" s="522" t="s">
        <v>486</v>
      </c>
      <c r="N432" s="523" t="s">
        <v>487</v>
      </c>
    </row>
    <row r="433" spans="2:14" x14ac:dyDescent="0.25">
      <c r="B433" s="976"/>
      <c r="C433" s="523" t="s">
        <v>477</v>
      </c>
      <c r="D433" s="976"/>
      <c r="E433" s="976"/>
      <c r="F433" s="523" t="s">
        <v>308</v>
      </c>
      <c r="G433" s="523" t="s">
        <v>308</v>
      </c>
      <c r="H433" s="523" t="s">
        <v>308</v>
      </c>
      <c r="I433" s="523" t="s">
        <v>308</v>
      </c>
      <c r="J433" s="547" t="s">
        <v>310</v>
      </c>
      <c r="K433" s="547" t="s">
        <v>310</v>
      </c>
      <c r="L433" s="547" t="s">
        <v>310</v>
      </c>
      <c r="M433" s="523" t="s">
        <v>310</v>
      </c>
      <c r="N433" s="523" t="s">
        <v>309</v>
      </c>
    </row>
    <row r="434" spans="2:14" x14ac:dyDescent="0.25">
      <c r="B434" s="977" t="s">
        <v>1412</v>
      </c>
      <c r="C434" s="980">
        <f>'Units CF'!F55</f>
        <v>184699</v>
      </c>
      <c r="D434" s="388" t="s">
        <v>229</v>
      </c>
      <c r="E434" s="548" t="s">
        <v>594</v>
      </c>
      <c r="F434" s="115">
        <f>F50*'Units CF'!$I$32*('Units CF'!$I$39*'Units CF'!$I$46*'Units CF'!$I$48*'Units CF'!$I$55+'Units CF'!$I$37*'Units CF'!$I$48*'Units CF'!$I$55)</f>
        <v>8549.7714816996449</v>
      </c>
      <c r="G434" s="115">
        <f ca="1">G50*'Units CF'!$I$32*('Units CF'!$I$39*'Units CF'!$I$46*'Units CF'!$I$48*'Units CF'!$I$55+'Units CF'!$I$37*'Units CF'!$I$48*'Units CF'!$I$55)</f>
        <v>176.29819790784998</v>
      </c>
      <c r="H434" s="115">
        <f>H50*'Units CF'!$I$32*('Units CF'!$I$39*'Units CF'!$I$46*'Units CF'!$I$48*'Units CF'!$I$55+'Units CF'!$I$37*'Units CF'!$I$48*'Units CF'!$I$55)</f>
        <v>1212.3916657815225</v>
      </c>
      <c r="I434" s="115">
        <f ca="1">SUM(F434:H434)</f>
        <v>9938.4613453890179</v>
      </c>
      <c r="J434" s="521">
        <f>F434/$C$434</f>
        <v>4.6290296545729241E-2</v>
      </c>
      <c r="K434" s="521">
        <f ca="1">G434/$C$434</f>
        <v>9.5451625568005231E-4</v>
      </c>
      <c r="L434" s="521">
        <f>H434/$C$434</f>
        <v>6.564148510720267E-3</v>
      </c>
      <c r="M434" s="521">
        <f ca="1">SUM(J434:L434)</f>
        <v>5.3808961312129561E-2</v>
      </c>
      <c r="N434" s="550">
        <f ca="1">M434/$M$450</f>
        <v>1.9676035058264395E-2</v>
      </c>
    </row>
    <row r="435" spans="2:14" x14ac:dyDescent="0.25">
      <c r="B435" s="978"/>
      <c r="C435" s="981"/>
      <c r="D435" s="388" t="s">
        <v>1445</v>
      </c>
      <c r="E435" s="548" t="s">
        <v>597</v>
      </c>
      <c r="F435" s="115">
        <f>F51*'Units CF'!$I$32*('Units CF'!$I$39*'Units CF'!$I$46*'Units CF'!$I$48*'Units CF'!$I$55+'Units CF'!$I$37*'Units CF'!$I$48*'Units CF'!$I$55)</f>
        <v>7433.4064809514566</v>
      </c>
      <c r="G435" s="115">
        <f ca="1">G51*'Units CF'!$I$32*('Units CF'!$I$39*'Units CF'!$I$46*'Units CF'!$I$48*'Units CF'!$I$55+'Units CF'!$I$37*'Units CF'!$I$48*'Units CF'!$I$55)</f>
        <v>5963.9844444725341</v>
      </c>
      <c r="H435" s="115">
        <f>H51*'Units CF'!$I$32*('Units CF'!$I$39*'Units CF'!$I$46*'Units CF'!$I$48*'Units CF'!$I$55+'Units CF'!$I$37*'Units CF'!$I$48*'Units CF'!$I$55)</f>
        <v>334.09648494818174</v>
      </c>
      <c r="I435" s="115">
        <f t="shared" ref="I435:I449" ca="1" si="75">SUM(F435:H435)</f>
        <v>13731.487410372174</v>
      </c>
      <c r="J435" s="521">
        <f t="shared" ref="J435:J449" si="76">F435/$C$434</f>
        <v>4.0246056995172995E-2</v>
      </c>
      <c r="K435" s="521">
        <f t="shared" ref="K435:K449" ca="1" si="77">G435/$C$434</f>
        <v>3.2290290929959199E-2</v>
      </c>
      <c r="L435" s="521">
        <f t="shared" ref="L435:L449" si="78">H435/$C$434</f>
        <v>1.8088700260866692E-3</v>
      </c>
      <c r="M435" s="521">
        <f t="shared" ref="M435:M449" ca="1" si="79">SUM(J435:L435)</f>
        <v>7.4345217951218859E-2</v>
      </c>
      <c r="N435" s="550">
        <f t="shared" ref="N435:N449" ca="1" si="80">M435/$M$450</f>
        <v>2.7185418174811387E-2</v>
      </c>
    </row>
    <row r="436" spans="2:14" x14ac:dyDescent="0.25">
      <c r="B436" s="978"/>
      <c r="C436" s="981"/>
      <c r="D436" s="388" t="s">
        <v>1446</v>
      </c>
      <c r="E436" s="548" t="s">
        <v>595</v>
      </c>
      <c r="F436" s="115">
        <f>F52*'Units CF'!$I$32*('Units CF'!$I$39*'Units CF'!$I$46*'Units CF'!$I$48*'Units CF'!$I$55+'Units CF'!$I$37*'Units CF'!$I$48*'Units CF'!$I$55)</f>
        <v>3.7521950057049537E-2</v>
      </c>
      <c r="G436" s="115">
        <f ca="1">G52*'Units CF'!$I$32*('Units CF'!$I$39*'Units CF'!$I$46*'Units CF'!$I$48*'Units CF'!$I$55+'Units CF'!$I$37*'Units CF'!$I$48*'Units CF'!$I$55)</f>
        <v>2.5026649846131335</v>
      </c>
      <c r="H436" s="115">
        <f>H52*'Units CF'!$I$32*('Units CF'!$I$39*'Units CF'!$I$46*'Units CF'!$I$48*'Units CF'!$I$55+'Units CF'!$I$37*'Units CF'!$I$48*'Units CF'!$I$55)</f>
        <v>23.456353488608194</v>
      </c>
      <c r="I436" s="115">
        <f t="shared" ca="1" si="75"/>
        <v>25.996540423278375</v>
      </c>
      <c r="J436" s="521">
        <f t="shared" si="76"/>
        <v>2.0315188526764917E-7</v>
      </c>
      <c r="K436" s="521">
        <f t="shared" ca="1" si="77"/>
        <v>1.3549964995008818E-5</v>
      </c>
      <c r="L436" s="521">
        <f t="shared" si="78"/>
        <v>1.269977286753485E-4</v>
      </c>
      <c r="M436" s="521">
        <f t="shared" ca="1" si="79"/>
        <v>1.4075084555562495E-4</v>
      </c>
      <c r="N436" s="550">
        <f t="shared" ca="1" si="80"/>
        <v>5.1467608816462217E-5</v>
      </c>
    </row>
    <row r="437" spans="2:14" x14ac:dyDescent="0.25">
      <c r="B437" s="978"/>
      <c r="C437" s="981"/>
      <c r="D437" s="388" t="s">
        <v>1447</v>
      </c>
      <c r="E437" s="548" t="s">
        <v>596</v>
      </c>
      <c r="F437" s="115">
        <f>F53*'Units CF'!$I$32*('Units CF'!$I$39*'Units CF'!$I$46*'Units CF'!$I$48*'Units CF'!$I$55+'Units CF'!$I$37*'Units CF'!$I$48*'Units CF'!$I$55)</f>
        <v>336.91812319639098</v>
      </c>
      <c r="G437" s="115">
        <f ca="1">G53*'Units CF'!$I$32*('Units CF'!$I$39*'Units CF'!$I$46*'Units CF'!$I$48*'Units CF'!$I$55+'Units CF'!$I$37*'Units CF'!$I$48*'Units CF'!$I$55)</f>
        <v>3259.87899736504</v>
      </c>
      <c r="H437" s="115">
        <f>H53*'Units CF'!$I$32*('Units CF'!$I$39*'Units CF'!$I$46*'Units CF'!$I$48*'Units CF'!$I$55+'Units CF'!$I$37*'Units CF'!$I$48*'Units CF'!$I$55)</f>
        <v>172.64279373032875</v>
      </c>
      <c r="I437" s="115">
        <f t="shared" ca="1" si="75"/>
        <v>3769.43991429176</v>
      </c>
      <c r="J437" s="521">
        <f t="shared" si="76"/>
        <v>1.824146980743756E-3</v>
      </c>
      <c r="K437" s="521">
        <f t="shared" ca="1" si="77"/>
        <v>1.7649684066318928E-2</v>
      </c>
      <c r="L437" s="521">
        <f t="shared" si="78"/>
        <v>9.3472511345664433E-4</v>
      </c>
      <c r="M437" s="521">
        <f t="shared" ca="1" si="79"/>
        <v>2.0408556160519328E-2</v>
      </c>
      <c r="N437" s="550">
        <f t="shared" ca="1" si="80"/>
        <v>7.4626875656196127E-3</v>
      </c>
    </row>
    <row r="438" spans="2:14" x14ac:dyDescent="0.25">
      <c r="B438" s="978"/>
      <c r="C438" s="981"/>
      <c r="D438" s="388" t="s">
        <v>1448</v>
      </c>
      <c r="E438" s="548" t="s">
        <v>598</v>
      </c>
      <c r="F438" s="115">
        <f>F54*'Units CF'!$I$32*('Units CF'!$I$39*'Units CF'!$I$46*'Units CF'!$I$48*'Units CF'!$I$55+'Units CF'!$I$37*'Units CF'!$I$48*'Units CF'!$I$55)</f>
        <v>10343.742459527657</v>
      </c>
      <c r="G438" s="115">
        <f ca="1">G54*'Units CF'!$I$32*('Units CF'!$I$39*'Units CF'!$I$46*'Units CF'!$I$48*'Units CF'!$I$55+'Units CF'!$I$37*'Units CF'!$I$48*'Units CF'!$I$55)</f>
        <v>2516.8317578179181</v>
      </c>
      <c r="H438" s="115">
        <f>H54*'Units CF'!$I$32*('Units CF'!$I$39*'Units CF'!$I$46*'Units CF'!$I$48*'Units CF'!$I$55+'Units CF'!$I$37*'Units CF'!$I$48*'Units CF'!$I$55)</f>
        <v>3760.6334694834854</v>
      </c>
      <c r="I438" s="115">
        <f t="shared" ca="1" si="75"/>
        <v>16621.207686829061</v>
      </c>
      <c r="J438" s="521">
        <f t="shared" si="76"/>
        <v>5.6003240188239552E-2</v>
      </c>
      <c r="K438" s="521">
        <f t="shared" ca="1" si="77"/>
        <v>1.3626666943610512E-2</v>
      </c>
      <c r="L438" s="521">
        <f t="shared" si="78"/>
        <v>2.0360876179532566E-2</v>
      </c>
      <c r="M438" s="521">
        <f t="shared" ca="1" si="79"/>
        <v>8.9990783311382633E-2</v>
      </c>
      <c r="N438" s="550">
        <f t="shared" ca="1" si="80"/>
        <v>3.2906448371756589E-2</v>
      </c>
    </row>
    <row r="439" spans="2:14" x14ac:dyDescent="0.25">
      <c r="B439" s="978"/>
      <c r="C439" s="981"/>
      <c r="D439" s="388" t="s">
        <v>1449</v>
      </c>
      <c r="E439" s="548" t="s">
        <v>599</v>
      </c>
      <c r="F439" s="115">
        <f>F55*'Units CF'!$I$32*('Units CF'!$I$39*'Units CF'!$I$46*'Units CF'!$I$48*'Units CF'!$I$55+'Units CF'!$I$37*'Units CF'!$I$48*'Units CF'!$I$55)</f>
        <v>21108.19609359563</v>
      </c>
      <c r="G439" s="115">
        <f ca="1">G55*'Units CF'!$I$32*('Units CF'!$I$39*'Units CF'!$I$46*'Units CF'!$I$48*'Units CF'!$I$55+'Units CF'!$I$37*'Units CF'!$I$48*'Units CF'!$I$55)</f>
        <v>94730.380342836812</v>
      </c>
      <c r="H439" s="115">
        <f>H55*'Units CF'!$I$32*('Units CF'!$I$39*'Units CF'!$I$46*'Units CF'!$I$48*'Units CF'!$I$55+'Units CF'!$I$37*'Units CF'!$I$48*'Units CF'!$I$55)</f>
        <v>17945.755858621582</v>
      </c>
      <c r="I439" s="115">
        <f t="shared" ca="1" si="75"/>
        <v>133784.33229505402</v>
      </c>
      <c r="J439" s="521">
        <f t="shared" si="76"/>
        <v>0.11428430090902296</v>
      </c>
      <c r="K439" s="521">
        <f t="shared" ca="1" si="77"/>
        <v>0.51289059682422111</v>
      </c>
      <c r="L439" s="521">
        <f t="shared" si="78"/>
        <v>9.7162171200827194E-2</v>
      </c>
      <c r="M439" s="521">
        <f t="shared" ca="1" si="79"/>
        <v>0.72433706893407124</v>
      </c>
      <c r="N439" s="550">
        <f t="shared" ca="1" si="80"/>
        <v>0.26486446150995613</v>
      </c>
    </row>
    <row r="440" spans="2:14" x14ac:dyDescent="0.25">
      <c r="B440" s="978"/>
      <c r="C440" s="981"/>
      <c r="D440" s="388" t="s">
        <v>1450</v>
      </c>
      <c r="E440" s="548" t="s">
        <v>600</v>
      </c>
      <c r="F440" s="115">
        <f>F56*'Units CF'!$I$32*('Units CF'!$I$39*'Units CF'!$I$46*'Units CF'!$I$48*'Units CF'!$I$55+'Units CF'!$I$37*'Units CF'!$I$48*'Units CF'!$I$55)</f>
        <v>17309.133691536797</v>
      </c>
      <c r="G440" s="115">
        <f ca="1">G56*'Units CF'!$I$32*('Units CF'!$I$39*'Units CF'!$I$46*'Units CF'!$I$48*'Units CF'!$I$55+'Units CF'!$I$37*'Units CF'!$I$48*'Units CF'!$I$55)</f>
        <v>0.79601900773334344</v>
      </c>
      <c r="H440" s="115">
        <f>H56*'Units CF'!$I$32*('Units CF'!$I$39*'Units CF'!$I$46*'Units CF'!$I$48*'Units CF'!$I$55+'Units CF'!$I$37*'Units CF'!$I$48*'Units CF'!$I$55)</f>
        <v>203.6630801231924</v>
      </c>
      <c r="I440" s="115">
        <f t="shared" ca="1" si="75"/>
        <v>17513.592790667721</v>
      </c>
      <c r="J440" s="521">
        <f t="shared" si="76"/>
        <v>9.371536224634025E-2</v>
      </c>
      <c r="K440" s="521">
        <f t="shared" ca="1" si="77"/>
        <v>4.3098176369841928E-6</v>
      </c>
      <c r="L440" s="521">
        <f t="shared" si="78"/>
        <v>1.1026755971780702E-3</v>
      </c>
      <c r="M440" s="521">
        <f t="shared" ca="1" si="79"/>
        <v>9.4822347661155298E-2</v>
      </c>
      <c r="N440" s="550">
        <f t="shared" ca="1" si="80"/>
        <v>3.4673180663445664E-2</v>
      </c>
    </row>
    <row r="441" spans="2:14" x14ac:dyDescent="0.25">
      <c r="B441" s="978"/>
      <c r="C441" s="981"/>
      <c r="D441" s="388" t="s">
        <v>1451</v>
      </c>
      <c r="E441" s="548" t="s">
        <v>601</v>
      </c>
      <c r="F441" s="115">
        <f>F57*'Units CF'!$I$32*('Units CF'!$I$39*'Units CF'!$I$46*'Units CF'!$I$48*'Units CF'!$I$55+'Units CF'!$I$37*'Units CF'!$I$48*'Units CF'!$I$55)</f>
        <v>143316.36542025133</v>
      </c>
      <c r="G441" s="115">
        <f ca="1">G57*'Units CF'!$I$32*('Units CF'!$I$39*'Units CF'!$I$46*'Units CF'!$I$48*'Units CF'!$I$55+'Units CF'!$I$37*'Units CF'!$I$48*'Units CF'!$I$55)</f>
        <v>12128.533025493985</v>
      </c>
      <c r="H441" s="115">
        <f>H57*'Units CF'!$I$32*('Units CF'!$I$39*'Units CF'!$I$46*'Units CF'!$I$48*'Units CF'!$I$55+'Units CF'!$I$37*'Units CF'!$I$48*'Units CF'!$I$55)</f>
        <v>102328.94378044437</v>
      </c>
      <c r="I441" s="115">
        <f t="shared" ca="1" si="75"/>
        <v>257773.84222618968</v>
      </c>
      <c r="J441" s="521">
        <f t="shared" si="76"/>
        <v>0.7759455406918897</v>
      </c>
      <c r="K441" s="521">
        <f t="shared" ca="1" si="77"/>
        <v>6.5666479111927981E-2</v>
      </c>
      <c r="L441" s="521">
        <f t="shared" si="78"/>
        <v>0.55403084900537836</v>
      </c>
      <c r="M441" s="521">
        <f t="shared" ca="1" si="79"/>
        <v>1.3956428688091962</v>
      </c>
      <c r="N441" s="550">
        <f t="shared" ca="1" si="80"/>
        <v>0.51033726252798473</v>
      </c>
    </row>
    <row r="442" spans="2:14" x14ac:dyDescent="0.25">
      <c r="B442" s="978"/>
      <c r="C442" s="981"/>
      <c r="D442" s="388" t="s">
        <v>1452</v>
      </c>
      <c r="E442" s="548" t="s">
        <v>602</v>
      </c>
      <c r="F442" s="115">
        <f>F58*'Units CF'!$I$32*('Units CF'!$I$39*'Units CF'!$I$46*'Units CF'!$I$48*'Units CF'!$I$55+'Units CF'!$I$37*'Units CF'!$I$48*'Units CF'!$I$55)</f>
        <v>325.12399623165453</v>
      </c>
      <c r="G442" s="115">
        <f ca="1">G58*'Units CF'!$I$32*('Units CF'!$I$39*'Units CF'!$I$46*'Units CF'!$I$48*'Units CF'!$I$55+'Units CF'!$I$37*'Units CF'!$I$48*'Units CF'!$I$55)</f>
        <v>67.528093879483407</v>
      </c>
      <c r="H442" s="115">
        <f>H58*'Units CF'!$I$32*('Units CF'!$I$39*'Units CF'!$I$46*'Units CF'!$I$48*'Units CF'!$I$55+'Units CF'!$I$37*'Units CF'!$I$48*'Units CF'!$I$55)</f>
        <v>673.43581899049661</v>
      </c>
      <c r="I442" s="115">
        <f t="shared" ca="1" si="75"/>
        <v>1066.0879091016345</v>
      </c>
      <c r="J442" s="521">
        <f t="shared" si="76"/>
        <v>1.760291047767744E-3</v>
      </c>
      <c r="K442" s="521">
        <f t="shared" ca="1" si="77"/>
        <v>3.6561158360079595E-4</v>
      </c>
      <c r="L442" s="521">
        <f t="shared" si="78"/>
        <v>3.6461259616483934E-3</v>
      </c>
      <c r="M442" s="521">
        <f t="shared" ca="1" si="79"/>
        <v>5.7720285930169327E-3</v>
      </c>
      <c r="N442" s="550">
        <f t="shared" ca="1" si="80"/>
        <v>2.1106268209623419E-3</v>
      </c>
    </row>
    <row r="443" spans="2:14" x14ac:dyDescent="0.25">
      <c r="B443" s="978"/>
      <c r="C443" s="981"/>
      <c r="D443" s="388" t="s">
        <v>19</v>
      </c>
      <c r="E443" s="548" t="s">
        <v>603</v>
      </c>
      <c r="F443" s="115">
        <f>F59*'Units CF'!$I$32*('Units CF'!$I$39*'Units CF'!$I$46*'Units CF'!$I$48*'Units CF'!$I$55+'Units CF'!$I$37*'Units CF'!$I$48*'Units CF'!$I$55)</f>
        <v>5135.5483066021188</v>
      </c>
      <c r="G443" s="115">
        <f ca="1">G59*'Units CF'!$I$32*('Units CF'!$I$39*'Units CF'!$I$46*'Units CF'!$I$48*'Units CF'!$I$55+'Units CF'!$I$37*'Units CF'!$I$48*'Units CF'!$I$55)</f>
        <v>360.19080017518161</v>
      </c>
      <c r="H443" s="115">
        <f>H59*'Units CF'!$I$32*('Units CF'!$I$39*'Units CF'!$I$46*'Units CF'!$I$48*'Units CF'!$I$55+'Units CF'!$I$37*'Units CF'!$I$48*'Units CF'!$I$55)</f>
        <v>4248.2413459471754</v>
      </c>
      <c r="I443" s="115">
        <f t="shared" ca="1" si="75"/>
        <v>9743.980452724476</v>
      </c>
      <c r="J443" s="521">
        <f t="shared" si="76"/>
        <v>2.7804959997629216E-2</v>
      </c>
      <c r="K443" s="521">
        <f t="shared" ca="1" si="77"/>
        <v>1.9501502454002545E-3</v>
      </c>
      <c r="L443" s="521">
        <f t="shared" si="78"/>
        <v>2.3000889804206712E-2</v>
      </c>
      <c r="M443" s="521">
        <f t="shared" ca="1" si="79"/>
        <v>5.2756000047236185E-2</v>
      </c>
      <c r="N443" s="550">
        <f t="shared" ca="1" si="80"/>
        <v>1.9291004344832538E-2</v>
      </c>
    </row>
    <row r="444" spans="2:14" x14ac:dyDescent="0.25">
      <c r="B444" s="978"/>
      <c r="C444" s="981"/>
      <c r="D444" s="388" t="s">
        <v>1453</v>
      </c>
      <c r="E444" s="548" t="s">
        <v>604</v>
      </c>
      <c r="F444" s="115">
        <f>F60*'Units CF'!$I$32*('Units CF'!$I$39*'Units CF'!$I$46*'Units CF'!$I$48*'Units CF'!$I$55+'Units CF'!$I$37*'Units CF'!$I$48*'Units CF'!$I$55)</f>
        <v>177.53030424934556</v>
      </c>
      <c r="G444" s="115">
        <f ca="1">G60*'Units CF'!$I$32*('Units CF'!$I$39*'Units CF'!$I$46*'Units CF'!$I$48*'Units CF'!$I$55+'Units CF'!$I$37*'Units CF'!$I$48*'Units CF'!$I$55)</f>
        <v>449.42052467736619</v>
      </c>
      <c r="H444" s="115">
        <f>H60*'Units CF'!$I$32*('Units CF'!$I$39*'Units CF'!$I$46*'Units CF'!$I$48*'Units CF'!$I$55+'Units CF'!$I$37*'Units CF'!$I$48*'Units CF'!$I$55)</f>
        <v>2486.8132400029185</v>
      </c>
      <c r="I444" s="115">
        <f t="shared" ca="1" si="75"/>
        <v>3113.7640689296304</v>
      </c>
      <c r="J444" s="521">
        <f t="shared" si="76"/>
        <v>9.6118714367346631E-4</v>
      </c>
      <c r="K444" s="521">
        <f t="shared" ca="1" si="77"/>
        <v>2.4332591117297124E-3</v>
      </c>
      <c r="L444" s="521">
        <f t="shared" si="78"/>
        <v>1.3464140249827658E-2</v>
      </c>
      <c r="M444" s="521">
        <f t="shared" ca="1" si="79"/>
        <v>1.6858586505230838E-2</v>
      </c>
      <c r="N444" s="550">
        <f t="shared" ca="1" si="80"/>
        <v>6.1645891505980668E-3</v>
      </c>
    </row>
    <row r="445" spans="2:14" x14ac:dyDescent="0.25">
      <c r="B445" s="978"/>
      <c r="C445" s="981"/>
      <c r="D445" s="388" t="s">
        <v>1454</v>
      </c>
      <c r="E445" s="548" t="s">
        <v>605</v>
      </c>
      <c r="F445" s="115">
        <f>F61*'Units CF'!$I$32*('Units CF'!$I$39*'Units CF'!$I$46*'Units CF'!$I$48*'Units CF'!$I$55+'Units CF'!$I$37*'Units CF'!$I$48*'Units CF'!$I$55)</f>
        <v>56.65946411427187</v>
      </c>
      <c r="G445" s="115">
        <f ca="1">G61*'Units CF'!$I$32*('Units CF'!$I$39*'Units CF'!$I$46*'Units CF'!$I$48*'Units CF'!$I$55+'Units CF'!$I$37*'Units CF'!$I$48*'Units CF'!$I$55)</f>
        <v>80.815067671957109</v>
      </c>
      <c r="H445" s="115">
        <f>H61*'Units CF'!$I$32*('Units CF'!$I$39*'Units CF'!$I$46*'Units CF'!$I$48*'Units CF'!$I$55+'Units CF'!$I$37*'Units CF'!$I$48*'Units CF'!$I$55)</f>
        <v>980.7550677009076</v>
      </c>
      <c r="I445" s="115">
        <f t="shared" ca="1" si="75"/>
        <v>1118.2295994871365</v>
      </c>
      <c r="J445" s="521">
        <f t="shared" si="76"/>
        <v>3.0676649096244088E-4</v>
      </c>
      <c r="K445" s="521">
        <f t="shared" ca="1" si="77"/>
        <v>4.3755010948601296E-4</v>
      </c>
      <c r="L445" s="521">
        <f t="shared" si="78"/>
        <v>5.3100182875971584E-3</v>
      </c>
      <c r="M445" s="521">
        <f t="shared" ca="1" si="79"/>
        <v>6.0543348880456125E-3</v>
      </c>
      <c r="N445" s="550">
        <f t="shared" ca="1" si="80"/>
        <v>2.2138562538059178E-3</v>
      </c>
    </row>
    <row r="446" spans="2:14" x14ac:dyDescent="0.25">
      <c r="B446" s="978"/>
      <c r="C446" s="981"/>
      <c r="D446" s="388" t="s">
        <v>1455</v>
      </c>
      <c r="E446" s="548" t="s">
        <v>636</v>
      </c>
      <c r="F446" s="115">
        <f>'Units CF'!L35*('Units CF'!$I$39*'Units CF'!$I$46*'Units CF'!$I$48*'Units CF'!$I$55+'Units CF'!$I$37*'Units CF'!$I$48*'Units CF'!$I$55)</f>
        <v>2234.6496886793934</v>
      </c>
      <c r="G446" s="115">
        <f ca="1">'Units CF'!M35*('Units CF'!$I$39*'Units CF'!$I$46*'Units CF'!$I$48*'Units CF'!$I$55+'Units CF'!$I$37*'Units CF'!$I$48*'Units CF'!$I$55)</f>
        <v>6330.7452552849863</v>
      </c>
      <c r="H446" s="115">
        <f>'Units CF'!N35*('Units CF'!$I$39*'Units CF'!$I$46*'Units CF'!$I$48*'Units CF'!$I$55+'Units CF'!$I$37*'Units CF'!$I$48*'Units CF'!$I$55)</f>
        <v>8921.5675440645737</v>
      </c>
      <c r="I446" s="115">
        <f t="shared" ca="1" si="75"/>
        <v>17486.962488028956</v>
      </c>
      <c r="J446" s="521">
        <f t="shared" si="76"/>
        <v>1.2098872699253345E-2</v>
      </c>
      <c r="K446" s="521">
        <f t="shared" ca="1" si="77"/>
        <v>3.4276012622076926E-2</v>
      </c>
      <c r="L446" s="521">
        <f t="shared" si="78"/>
        <v>4.8303280169706246E-2</v>
      </c>
      <c r="M446" s="521">
        <f t="shared" ca="1" si="79"/>
        <v>9.4678165491036526E-2</v>
      </c>
      <c r="N446" s="550">
        <f t="shared" ca="1" si="80"/>
        <v>3.4620458340530388E-2</v>
      </c>
    </row>
    <row r="447" spans="2:14" x14ac:dyDescent="0.25">
      <c r="B447" s="978"/>
      <c r="C447" s="981"/>
      <c r="D447" s="388" t="s">
        <v>1459</v>
      </c>
      <c r="E447" s="548" t="s">
        <v>641</v>
      </c>
      <c r="F447" s="115">
        <f>'Units CF'!L45*'Units CF'!$I$46*'Units CF'!$I$48*'Units CF'!$I$55</f>
        <v>33.184324651039319</v>
      </c>
      <c r="G447" s="115">
        <f ca="1">'Units CF'!M45*'Units CF'!$I$46*'Units CF'!$I$48*'Units CF'!$I$55</f>
        <v>69.132897769037498</v>
      </c>
      <c r="H447" s="115">
        <f>'Units CF'!N45*'Units CF'!$I$46*'Units CF'!$I$48*'Units CF'!$I$55</f>
        <v>471.26538920938577</v>
      </c>
      <c r="I447" s="115">
        <f t="shared" ca="1" si="75"/>
        <v>573.58261162946258</v>
      </c>
      <c r="J447" s="521">
        <f t="shared" si="76"/>
        <v>1.7966705099128484E-4</v>
      </c>
      <c r="K447" s="521">
        <f t="shared" ca="1" si="77"/>
        <v>3.7430033605508149E-4</v>
      </c>
      <c r="L447" s="521">
        <f t="shared" si="78"/>
        <v>2.5515318935640462E-3</v>
      </c>
      <c r="M447" s="521">
        <f t="shared" ca="1" si="79"/>
        <v>3.1054992806104128E-3</v>
      </c>
      <c r="N447" s="550">
        <f t="shared" ca="1" si="80"/>
        <v>1.1355713105900701E-3</v>
      </c>
    </row>
    <row r="448" spans="2:14" x14ac:dyDescent="0.25">
      <c r="B448" s="978"/>
      <c r="C448" s="981"/>
      <c r="D448" s="388" t="s">
        <v>1460</v>
      </c>
      <c r="E448" s="548" t="s">
        <v>1443</v>
      </c>
      <c r="F448" s="115">
        <f>'Units CF'!L47*'Units CF'!$I$48*'Units CF'!$I$55</f>
        <v>668.75068075863214</v>
      </c>
      <c r="G448" s="115">
        <f ca="1">'Units CF'!M47*'Units CF'!$I$48*'Units CF'!$I$55</f>
        <v>659.834972663092</v>
      </c>
      <c r="H448" s="115">
        <f>'Units CF'!N47*'Units CF'!$I$48*'Units CF'!$I$55</f>
        <v>3309.8360972166383</v>
      </c>
      <c r="I448" s="115">
        <f t="shared" ca="1" si="75"/>
        <v>4638.4217506383629</v>
      </c>
      <c r="J448" s="521">
        <f t="shared" si="76"/>
        <v>3.6207596183987579E-3</v>
      </c>
      <c r="K448" s="521">
        <f t="shared" ca="1" si="77"/>
        <v>3.5724880625400894E-3</v>
      </c>
      <c r="L448" s="521">
        <f t="shared" si="78"/>
        <v>1.7920162519648935E-2</v>
      </c>
      <c r="M448" s="521">
        <f t="shared" ca="1" si="79"/>
        <v>2.5113410200587782E-2</v>
      </c>
      <c r="N448" s="550">
        <f t="shared" ca="1" si="80"/>
        <v>9.1830863761340267E-3</v>
      </c>
    </row>
    <row r="449" spans="2:14" x14ac:dyDescent="0.25">
      <c r="B449" s="978"/>
      <c r="C449" s="981"/>
      <c r="D449" s="388" t="s">
        <v>1462</v>
      </c>
      <c r="E449" s="548" t="s">
        <v>654</v>
      </c>
      <c r="F449" s="115">
        <f>'Units CF'!L51*'Units CF'!$I$55</f>
        <v>451.08353834421661</v>
      </c>
      <c r="G449" s="115">
        <f ca="1">'Units CF'!M51*'Units CF'!$I$55</f>
        <v>36.141276938383832</v>
      </c>
      <c r="H449" s="115">
        <f>'Units CF'!N51*'Units CF'!$I$55</f>
        <v>13718.267030545336</v>
      </c>
      <c r="I449" s="115">
        <f t="shared" ca="1" si="75"/>
        <v>14205.491845827935</v>
      </c>
      <c r="J449" s="521">
        <f t="shared" si="76"/>
        <v>2.4422630244030374E-3</v>
      </c>
      <c r="K449" s="521">
        <f t="shared" ca="1" si="77"/>
        <v>1.9567662487822801E-4</v>
      </c>
      <c r="L449" s="521">
        <f t="shared" si="78"/>
        <v>7.4273639979346592E-2</v>
      </c>
      <c r="M449" s="521">
        <f t="shared" ca="1" si="79"/>
        <v>7.6911579628627852E-2</v>
      </c>
      <c r="N449" s="550">
        <f t="shared" ca="1" si="80"/>
        <v>2.8123845921891922E-2</v>
      </c>
    </row>
    <row r="450" spans="2:14" x14ac:dyDescent="0.25">
      <c r="B450" s="978"/>
      <c r="C450" s="981"/>
      <c r="D450" s="524"/>
      <c r="E450" s="523" t="s">
        <v>410</v>
      </c>
      <c r="F450" s="135">
        <f>SUM(F434:F449)</f>
        <v>217480.10157633957</v>
      </c>
      <c r="G450" s="135">
        <f t="shared" ref="G450:N450" ca="1" si="81">SUM(G434:G449)</f>
        <v>126833.014338946</v>
      </c>
      <c r="H450" s="135">
        <f t="shared" si="81"/>
        <v>160791.76502029868</v>
      </c>
      <c r="I450" s="135">
        <f t="shared" ca="1" si="81"/>
        <v>505104.88093558437</v>
      </c>
      <c r="J450" s="526">
        <f t="shared" si="81"/>
        <v>1.1774839147821026</v>
      </c>
      <c r="K450" s="526">
        <f t="shared" ca="1" si="81"/>
        <v>0.68670114261011694</v>
      </c>
      <c r="L450" s="526">
        <f t="shared" si="81"/>
        <v>0.87056110222740068</v>
      </c>
      <c r="M450" s="974">
        <f t="shared" ca="1" si="81"/>
        <v>2.7347461596196201</v>
      </c>
      <c r="N450" s="972">
        <f t="shared" ca="1" si="81"/>
        <v>1.0000000000000002</v>
      </c>
    </row>
    <row r="451" spans="2:14" x14ac:dyDescent="0.25">
      <c r="B451" s="979"/>
      <c r="C451" s="982"/>
      <c r="D451" s="525"/>
      <c r="E451" s="523" t="s">
        <v>309</v>
      </c>
      <c r="F451" s="135"/>
      <c r="G451" s="135"/>
      <c r="H451" s="135"/>
      <c r="I451" s="135"/>
      <c r="J451" s="527">
        <f ca="1">J450/M450</f>
        <v>0.43056424474360744</v>
      </c>
      <c r="K451" s="527">
        <f ca="1">K450/M450</f>
        <v>0.25110233364607093</v>
      </c>
      <c r="L451" s="527">
        <f ca="1">L450/M450</f>
        <v>0.31833342161032169</v>
      </c>
      <c r="M451" s="975"/>
      <c r="N451" s="973"/>
    </row>
    <row r="455" spans="2:14" ht="27.6" x14ac:dyDescent="0.25">
      <c r="B455" s="976" t="s">
        <v>425</v>
      </c>
      <c r="C455" s="523" t="s">
        <v>408</v>
      </c>
      <c r="D455" s="976" t="s">
        <v>411</v>
      </c>
      <c r="E455" s="976" t="s">
        <v>411</v>
      </c>
      <c r="F455" s="522" t="s">
        <v>479</v>
      </c>
      <c r="G455" s="522" t="s">
        <v>480</v>
      </c>
      <c r="H455" s="522" t="s">
        <v>481</v>
      </c>
      <c r="I455" s="522" t="s">
        <v>482</v>
      </c>
      <c r="J455" s="546" t="s">
        <v>484</v>
      </c>
      <c r="K455" s="546" t="s">
        <v>483</v>
      </c>
      <c r="L455" s="546" t="s">
        <v>485</v>
      </c>
      <c r="M455" s="522" t="s">
        <v>486</v>
      </c>
      <c r="N455" s="523" t="s">
        <v>487</v>
      </c>
    </row>
    <row r="456" spans="2:14" x14ac:dyDescent="0.25">
      <c r="B456" s="976"/>
      <c r="C456" s="523" t="s">
        <v>477</v>
      </c>
      <c r="D456" s="976"/>
      <c r="E456" s="976"/>
      <c r="F456" s="523" t="s">
        <v>308</v>
      </c>
      <c r="G456" s="523" t="s">
        <v>308</v>
      </c>
      <c r="H456" s="523" t="s">
        <v>308</v>
      </c>
      <c r="I456" s="523" t="s">
        <v>308</v>
      </c>
      <c r="J456" s="547" t="s">
        <v>310</v>
      </c>
      <c r="K456" s="547" t="s">
        <v>310</v>
      </c>
      <c r="L456" s="547" t="s">
        <v>310</v>
      </c>
      <c r="M456" s="523" t="s">
        <v>310</v>
      </c>
      <c r="N456" s="523" t="s">
        <v>309</v>
      </c>
    </row>
    <row r="457" spans="2:14" x14ac:dyDescent="0.25">
      <c r="B457" s="977" t="s">
        <v>1414</v>
      </c>
      <c r="C457" s="980">
        <f>'Units CF'!F57</f>
        <v>2959</v>
      </c>
      <c r="D457" s="388" t="s">
        <v>229</v>
      </c>
      <c r="E457" s="548" t="s">
        <v>594</v>
      </c>
      <c r="F457" s="115">
        <f>F50*'Units CF'!$I$32*('Units CF'!$I$39*'Units CF'!$I$46*'Units CF'!$I$49*'Units CF'!$I$57+'Units CF'!$I$37*'Units CF'!$I$49*'Units CF'!$I$57)</f>
        <v>155.40829198731979</v>
      </c>
      <c r="G457" s="115">
        <f ca="1">G50*'Units CF'!$I$32*('Units CF'!$I$39*'Units CF'!$I$46*'Units CF'!$I$49*'Units CF'!$I$57+'Units CF'!$I$37*'Units CF'!$I$49*'Units CF'!$I$57)</f>
        <v>3.2045536978322651</v>
      </c>
      <c r="H457" s="115">
        <f>H50*'Units CF'!$I$32*('Units CF'!$I$39*'Units CF'!$I$46*'Units CF'!$I$49*'Units CF'!$I$57+'Units CF'!$I$37*'Units CF'!$I$49*'Units CF'!$I$57)</f>
        <v>22.037515084708669</v>
      </c>
      <c r="I457" s="115">
        <f ca="1">SUM(F457:H457)</f>
        <v>180.65036076986073</v>
      </c>
      <c r="J457" s="521">
        <f>F457/$C$457</f>
        <v>5.252054477435613E-2</v>
      </c>
      <c r="K457" s="521">
        <f ca="1">G457/$C$457</f>
        <v>1.0829853659453414E-3</v>
      </c>
      <c r="L457" s="521">
        <f>H457/$C$457</f>
        <v>7.4476225362313858E-3</v>
      </c>
      <c r="M457" s="521">
        <f ca="1">SUM(J457:L457)</f>
        <v>6.1051152676532855E-2</v>
      </c>
      <c r="N457" s="550">
        <f ca="1">M457/$M$473</f>
        <v>1.916456860040238E-2</v>
      </c>
    </row>
    <row r="458" spans="2:14" x14ac:dyDescent="0.25">
      <c r="B458" s="978"/>
      <c r="C458" s="981"/>
      <c r="D458" s="388" t="s">
        <v>1445</v>
      </c>
      <c r="E458" s="548" t="s">
        <v>597</v>
      </c>
      <c r="F458" s="115">
        <f>F51*'Units CF'!$I$32*('Units CF'!$I$39*'Units CF'!$I$46*'Units CF'!$I$49*'Units CF'!$I$57+'Units CF'!$I$37*'Units CF'!$I$49*'Units CF'!$I$57)</f>
        <v>135.11624343701052</v>
      </c>
      <c r="G458" s="115">
        <f ca="1">G51*'Units CF'!$I$32*('Units CF'!$I$39*'Units CF'!$I$46*'Units CF'!$I$49*'Units CF'!$I$57+'Units CF'!$I$37*'Units CF'!$I$49*'Units CF'!$I$57)</f>
        <v>108.40671448801902</v>
      </c>
      <c r="H458" s="115">
        <f>H51*'Units CF'!$I$32*('Units CF'!$I$39*'Units CF'!$I$46*'Units CF'!$I$49*'Units CF'!$I$57+'Units CF'!$I$37*'Units CF'!$I$49*'Units CF'!$I$57)</f>
        <v>6.0728364724015469</v>
      </c>
      <c r="I458" s="115">
        <f t="shared" ref="I458:I472" ca="1" si="82">SUM(F458:H458)</f>
        <v>249.59579439743109</v>
      </c>
      <c r="J458" s="521">
        <f t="shared" ref="J458:J472" si="83">F458/$C$457</f>
        <v>4.5662806163234378E-2</v>
      </c>
      <c r="K458" s="521">
        <f t="shared" ref="K458:K472" ca="1" si="84">G458/$C$457</f>
        <v>3.6636267147015553E-2</v>
      </c>
      <c r="L458" s="521">
        <f t="shared" ref="L458:L472" si="85">H458/$C$457</f>
        <v>2.0523272971955213E-3</v>
      </c>
      <c r="M458" s="521">
        <f t="shared" ref="M458:M472" ca="1" si="86">SUM(J458:L458)</f>
        <v>8.4351400607445462E-2</v>
      </c>
      <c r="N458" s="550">
        <f t="shared" ref="N458:N472" ca="1" si="87">M458/$M$473</f>
        <v>2.6478749910692389E-2</v>
      </c>
    </row>
    <row r="459" spans="2:14" x14ac:dyDescent="0.25">
      <c r="B459" s="978"/>
      <c r="C459" s="981"/>
      <c r="D459" s="388" t="s">
        <v>1446</v>
      </c>
      <c r="E459" s="548" t="s">
        <v>595</v>
      </c>
      <c r="F459" s="115">
        <f>F52*'Units CF'!$I$32*('Units CF'!$I$39*'Units CF'!$I$46*'Units CF'!$I$49*'Units CF'!$I$57+'Units CF'!$I$37*'Units CF'!$I$49*'Units CF'!$I$57)</f>
        <v>6.8203251781419208E-4</v>
      </c>
      <c r="G459" s="115">
        <f ca="1">G52*'Units CF'!$I$32*('Units CF'!$I$39*'Units CF'!$I$46*'Units CF'!$I$49*'Units CF'!$I$57+'Units CF'!$I$37*'Units CF'!$I$49*'Units CF'!$I$57)</f>
        <v>4.5490676740038559E-2</v>
      </c>
      <c r="H459" s="115">
        <f>H52*'Units CF'!$I$32*('Units CF'!$I$39*'Units CF'!$I$46*'Units CF'!$I$49*'Units CF'!$I$57+'Units CF'!$I$37*'Units CF'!$I$49*'Units CF'!$I$57)</f>
        <v>0.42636365658637965</v>
      </c>
      <c r="I459" s="115">
        <f t="shared" ca="1" si="82"/>
        <v>0.47253636584423242</v>
      </c>
      <c r="J459" s="521">
        <f t="shared" si="83"/>
        <v>2.304942608361582E-7</v>
      </c>
      <c r="K459" s="521">
        <f t="shared" ca="1" si="84"/>
        <v>1.5373665677606814E-5</v>
      </c>
      <c r="L459" s="521">
        <f t="shared" si="85"/>
        <v>1.4409045508157473E-4</v>
      </c>
      <c r="M459" s="521">
        <f t="shared" ca="1" si="86"/>
        <v>1.5969461502001771E-4</v>
      </c>
      <c r="N459" s="550">
        <f t="shared" ca="1" si="87"/>
        <v>5.0129739906489594E-5</v>
      </c>
    </row>
    <row r="460" spans="2:14" x14ac:dyDescent="0.25">
      <c r="B460" s="978"/>
      <c r="C460" s="981"/>
      <c r="D460" s="388" t="s">
        <v>1447</v>
      </c>
      <c r="E460" s="548" t="s">
        <v>596</v>
      </c>
      <c r="F460" s="115">
        <f>F53*'Units CF'!$I$32*('Units CF'!$I$39*'Units CF'!$I$46*'Units CF'!$I$49*'Units CF'!$I$57+'Units CF'!$I$37*'Units CF'!$I$49*'Units CF'!$I$57)</f>
        <v>6.1241250924189234</v>
      </c>
      <c r="G460" s="115">
        <f ca="1">G53*'Units CF'!$I$32*('Units CF'!$I$39*'Units CF'!$I$46*'Units CF'!$I$49*'Units CF'!$I$57+'Units CF'!$I$37*'Units CF'!$I$49*'Units CF'!$I$57)</f>
        <v>59.254475765839516</v>
      </c>
      <c r="H460" s="115">
        <f>H53*'Units CF'!$I$32*('Units CF'!$I$39*'Units CF'!$I$46*'Units CF'!$I$49*'Units CF'!$I$57+'Units CF'!$I$37*'Units CF'!$I$49*'Units CF'!$I$57)</f>
        <v>3.1381098026980108</v>
      </c>
      <c r="I460" s="115">
        <f t="shared" ca="1" si="82"/>
        <v>68.516710660956448</v>
      </c>
      <c r="J460" s="521">
        <f t="shared" si="83"/>
        <v>2.0696603894622924E-3</v>
      </c>
      <c r="K460" s="521">
        <f t="shared" ca="1" si="84"/>
        <v>2.002516923482241E-2</v>
      </c>
      <c r="L460" s="521">
        <f t="shared" si="85"/>
        <v>1.0605305179783747E-3</v>
      </c>
      <c r="M460" s="521">
        <f t="shared" ca="1" si="86"/>
        <v>2.315536014226308E-2</v>
      </c>
      <c r="N460" s="550">
        <f t="shared" ca="1" si="87"/>
        <v>7.2686995815559674E-3</v>
      </c>
    </row>
    <row r="461" spans="2:14" x14ac:dyDescent="0.25">
      <c r="B461" s="978"/>
      <c r="C461" s="981"/>
      <c r="D461" s="388" t="s">
        <v>1448</v>
      </c>
      <c r="E461" s="548" t="s">
        <v>598</v>
      </c>
      <c r="F461" s="115">
        <f>F54*'Units CF'!$I$32*('Units CF'!$I$39*'Units CF'!$I$46*'Units CF'!$I$49*'Units CF'!$I$57+'Units CF'!$I$37*'Units CF'!$I$49*'Units CF'!$I$57)</f>
        <v>188.01711271847338</v>
      </c>
      <c r="G461" s="115">
        <f ca="1">G54*'Units CF'!$I$32*('Units CF'!$I$39*'Units CF'!$I$46*'Units CF'!$I$49*'Units CF'!$I$57+'Units CF'!$I$37*'Units CF'!$I$49*'Units CF'!$I$57)</f>
        <v>45.748184678284602</v>
      </c>
      <c r="H461" s="115">
        <f>H54*'Units CF'!$I$32*('Units CF'!$I$39*'Units CF'!$I$46*'Units CF'!$I$49*'Units CF'!$I$57+'Units CF'!$I$37*'Units CF'!$I$49*'Units CF'!$I$57)</f>
        <v>68.356636845058105</v>
      </c>
      <c r="I461" s="115">
        <f t="shared" ca="1" si="82"/>
        <v>302.12193424181612</v>
      </c>
      <c r="J461" s="521">
        <f t="shared" si="83"/>
        <v>6.3540761310737881E-2</v>
      </c>
      <c r="K461" s="521">
        <f t="shared" ca="1" si="84"/>
        <v>1.5460691003137749E-2</v>
      </c>
      <c r="L461" s="521">
        <f t="shared" si="85"/>
        <v>2.310126287430149E-2</v>
      </c>
      <c r="M461" s="521">
        <f t="shared" ca="1" si="86"/>
        <v>0.10210271518817712</v>
      </c>
      <c r="N461" s="550">
        <f t="shared" ca="1" si="87"/>
        <v>3.2051065438168436E-2</v>
      </c>
    </row>
    <row r="462" spans="2:14" x14ac:dyDescent="0.25">
      <c r="B462" s="978"/>
      <c r="C462" s="981"/>
      <c r="D462" s="388" t="s">
        <v>1449</v>
      </c>
      <c r="E462" s="548" t="s">
        <v>599</v>
      </c>
      <c r="F462" s="115">
        <f>F55*'Units CF'!$I$32*('Units CF'!$I$39*'Units CF'!$I$46*'Units CF'!$I$49*'Units CF'!$I$57+'Units CF'!$I$37*'Units CF'!$I$49*'Units CF'!$I$57)</f>
        <v>383.68144796157645</v>
      </c>
      <c r="G462" s="115">
        <f ca="1">G55*'Units CF'!$I$32*('Units CF'!$I$39*'Units CF'!$I$46*'Units CF'!$I$49*'Units CF'!$I$57+'Units CF'!$I$37*'Units CF'!$I$49*'Units CF'!$I$57)</f>
        <v>1721.9041046770549</v>
      </c>
      <c r="H462" s="115">
        <f>H55*'Units CF'!$I$32*('Units CF'!$I$39*'Units CF'!$I$46*'Units CF'!$I$49*'Units CF'!$I$57+'Units CF'!$I$37*'Units CF'!$I$49*'Units CF'!$I$57)</f>
        <v>326.19810627446111</v>
      </c>
      <c r="I462" s="115">
        <f t="shared" ca="1" si="82"/>
        <v>2431.7836589130925</v>
      </c>
      <c r="J462" s="521">
        <f t="shared" si="83"/>
        <v>0.12966591685082002</v>
      </c>
      <c r="K462" s="521">
        <f t="shared" ca="1" si="84"/>
        <v>0.58192095460529059</v>
      </c>
      <c r="L462" s="521">
        <f t="shared" si="85"/>
        <v>0.11023930593932448</v>
      </c>
      <c r="M462" s="521">
        <f t="shared" ca="1" si="86"/>
        <v>0.82182617739543518</v>
      </c>
      <c r="N462" s="550">
        <f t="shared" ca="1" si="87"/>
        <v>0.25797947235737151</v>
      </c>
    </row>
    <row r="463" spans="2:14" x14ac:dyDescent="0.25">
      <c r="B463" s="978"/>
      <c r="C463" s="981"/>
      <c r="D463" s="388" t="s">
        <v>1450</v>
      </c>
      <c r="E463" s="548" t="s">
        <v>600</v>
      </c>
      <c r="F463" s="115">
        <f>F56*'Units CF'!$I$32*('Units CF'!$I$39*'Units CF'!$I$46*'Units CF'!$I$49*'Units CF'!$I$57+'Units CF'!$I$37*'Units CF'!$I$49*'Units CF'!$I$57)</f>
        <v>314.62629247339277</v>
      </c>
      <c r="G463" s="115">
        <f ca="1">G56*'Units CF'!$I$32*('Units CF'!$I$39*'Units CF'!$I$46*'Units CF'!$I$49*'Units CF'!$I$57+'Units CF'!$I$37*'Units CF'!$I$49*'Units CF'!$I$57)</f>
        <v>1.4469153315509152E-2</v>
      </c>
      <c r="H463" s="115">
        <f>H56*'Units CF'!$I$32*('Units CF'!$I$39*'Units CF'!$I$46*'Units CF'!$I$49*'Units CF'!$I$57+'Units CF'!$I$37*'Units CF'!$I$49*'Units CF'!$I$57)</f>
        <v>3.7019622677131445</v>
      </c>
      <c r="I463" s="115">
        <f t="shared" ca="1" si="82"/>
        <v>318.34272389442145</v>
      </c>
      <c r="J463" s="521">
        <f t="shared" si="83"/>
        <v>0.10632858819648286</v>
      </c>
      <c r="K463" s="521">
        <f t="shared" ca="1" si="84"/>
        <v>4.8898794577590913E-6</v>
      </c>
      <c r="L463" s="521">
        <f t="shared" si="85"/>
        <v>1.2510855923329315E-3</v>
      </c>
      <c r="M463" s="521">
        <f t="shared" ca="1" si="86"/>
        <v>0.10758456366827356</v>
      </c>
      <c r="N463" s="550">
        <f t="shared" ca="1" si="87"/>
        <v>3.3771872608025562E-2</v>
      </c>
    </row>
    <row r="464" spans="2:14" x14ac:dyDescent="0.25">
      <c r="B464" s="978"/>
      <c r="C464" s="981"/>
      <c r="D464" s="388" t="s">
        <v>1451</v>
      </c>
      <c r="E464" s="548" t="s">
        <v>601</v>
      </c>
      <c r="F464" s="115">
        <f>F57*'Units CF'!$I$32*('Units CF'!$I$39*'Units CF'!$I$46*'Units CF'!$I$49*'Units CF'!$I$57+'Units CF'!$I$37*'Units CF'!$I$49*'Units CF'!$I$57)</f>
        <v>2605.0464169089332</v>
      </c>
      <c r="G464" s="115">
        <f ca="1">G57*'Units CF'!$I$32*('Units CF'!$I$39*'Units CF'!$I$46*'Units CF'!$I$49*'Units CF'!$I$57+'Units CF'!$I$37*'Units CF'!$I$49*'Units CF'!$I$57)</f>
        <v>220.45906207415013</v>
      </c>
      <c r="H464" s="115">
        <f>H57*'Units CF'!$I$32*('Units CF'!$I$39*'Units CF'!$I$46*'Units CF'!$I$49*'Units CF'!$I$57+'Units CF'!$I$37*'Units CF'!$I$49*'Units CF'!$I$57)</f>
        <v>1860.0223886479776</v>
      </c>
      <c r="I464" s="115">
        <f t="shared" ca="1" si="82"/>
        <v>4685.5278676310609</v>
      </c>
      <c r="J464" s="521">
        <f t="shared" si="83"/>
        <v>0.88038067485938942</v>
      </c>
      <c r="K464" s="521">
        <f t="shared" ca="1" si="84"/>
        <v>7.4504583330229857E-2</v>
      </c>
      <c r="L464" s="521">
        <f t="shared" si="85"/>
        <v>0.62859830640350711</v>
      </c>
      <c r="M464" s="521">
        <f t="shared" ca="1" si="86"/>
        <v>1.5834835645931262</v>
      </c>
      <c r="N464" s="550">
        <f t="shared" ca="1" si="87"/>
        <v>0.49707135853832141</v>
      </c>
    </row>
    <row r="465" spans="2:14" x14ac:dyDescent="0.25">
      <c r="B465" s="978"/>
      <c r="C465" s="981"/>
      <c r="D465" s="388" t="s">
        <v>1452</v>
      </c>
      <c r="E465" s="548" t="s">
        <v>602</v>
      </c>
      <c r="F465" s="115">
        <f>F58*'Units CF'!$I$32*('Units CF'!$I$39*'Units CF'!$I$46*'Units CF'!$I$49*'Units CF'!$I$57+'Units CF'!$I$37*'Units CF'!$I$49*'Units CF'!$I$57)</f>
        <v>5.9097444939439194</v>
      </c>
      <c r="G465" s="115">
        <f ca="1">G58*'Units CF'!$I$32*('Units CF'!$I$39*'Units CF'!$I$46*'Units CF'!$I$49*'Units CF'!$I$57+'Units CF'!$I$37*'Units CF'!$I$49*'Units CF'!$I$57)</f>
        <v>1.2274510205837301</v>
      </c>
      <c r="H465" s="115">
        <f>H58*'Units CF'!$I$32*('Units CF'!$I$39*'Units CF'!$I$46*'Units CF'!$I$49*'Units CF'!$I$57+'Units CF'!$I$37*'Units CF'!$I$49*'Units CF'!$I$57)</f>
        <v>12.240971658296255</v>
      </c>
      <c r="I465" s="115">
        <f t="shared" ca="1" si="82"/>
        <v>19.378167172823904</v>
      </c>
      <c r="J465" s="521">
        <f t="shared" si="83"/>
        <v>1.9972100351280564E-3</v>
      </c>
      <c r="K465" s="521">
        <f t="shared" ca="1" si="84"/>
        <v>4.1481954058253807E-4</v>
      </c>
      <c r="L465" s="521">
        <f t="shared" si="85"/>
        <v>4.1368609862440873E-3</v>
      </c>
      <c r="M465" s="521">
        <f t="shared" ca="1" si="86"/>
        <v>6.5488905619546824E-3</v>
      </c>
      <c r="N465" s="550">
        <f t="shared" ca="1" si="87"/>
        <v>2.0557623718601972E-3</v>
      </c>
    </row>
    <row r="466" spans="2:14" x14ac:dyDescent="0.25">
      <c r="B466" s="978"/>
      <c r="C466" s="981"/>
      <c r="D466" s="388" t="s">
        <v>19</v>
      </c>
      <c r="E466" s="548" t="s">
        <v>603</v>
      </c>
      <c r="F466" s="115">
        <f>F59*'Units CF'!$I$32*('Units CF'!$I$39*'Units CF'!$I$46*'Units CF'!$I$49*'Units CF'!$I$57+'Units CF'!$I$37*'Units CF'!$I$49*'Units CF'!$I$57)</f>
        <v>93.348318426488376</v>
      </c>
      <c r="G466" s="115">
        <f ca="1">G59*'Units CF'!$I$32*('Units CF'!$I$39*'Units CF'!$I$46*'Units CF'!$I$49*'Units CF'!$I$57+'Units CF'!$I$37*'Units CF'!$I$49*'Units CF'!$I$57)</f>
        <v>6.5471500805122282</v>
      </c>
      <c r="H466" s="115">
        <f>H59*'Units CF'!$I$32*('Units CF'!$I$39*'Units CF'!$I$46*'Units CF'!$I$49*'Units CF'!$I$57+'Units CF'!$I$37*'Units CF'!$I$49*'Units CF'!$I$57)</f>
        <v>77.219833645462145</v>
      </c>
      <c r="I466" s="115">
        <f t="shared" ca="1" si="82"/>
        <v>177.11530215246273</v>
      </c>
      <c r="J466" s="521">
        <f t="shared" si="83"/>
        <v>3.1547251918380662E-2</v>
      </c>
      <c r="K466" s="521">
        <f t="shared" ca="1" si="84"/>
        <v>2.2126225348131899E-3</v>
      </c>
      <c r="L466" s="521">
        <f t="shared" si="85"/>
        <v>2.6096598055242361E-2</v>
      </c>
      <c r="M466" s="521">
        <f t="shared" ca="1" si="86"/>
        <v>5.9856472508436218E-2</v>
      </c>
      <c r="N466" s="550">
        <f t="shared" ca="1" si="87"/>
        <v>1.8789546524106204E-2</v>
      </c>
    </row>
    <row r="467" spans="2:14" x14ac:dyDescent="0.25">
      <c r="B467" s="978"/>
      <c r="C467" s="981"/>
      <c r="D467" s="388" t="s">
        <v>1453</v>
      </c>
      <c r="E467" s="548" t="s">
        <v>604</v>
      </c>
      <c r="F467" s="115">
        <f>F60*'Units CF'!$I$32*('Units CF'!$I$39*'Units CF'!$I$46*'Units CF'!$I$49*'Units CF'!$I$57+'Units CF'!$I$37*'Units CF'!$I$49*'Units CF'!$I$57)</f>
        <v>3.2269495644923771</v>
      </c>
      <c r="G467" s="115">
        <f ca="1">G60*'Units CF'!$I$32*('Units CF'!$I$39*'Units CF'!$I$46*'Units CF'!$I$49*'Units CF'!$I$57+'Units CF'!$I$37*'Units CF'!$I$49*'Units CF'!$I$57)</f>
        <v>8.1690693457306391</v>
      </c>
      <c r="H467" s="115">
        <f>H60*'Units CF'!$I$32*('Units CF'!$I$39*'Units CF'!$I$46*'Units CF'!$I$49*'Units CF'!$I$57+'Units CF'!$I$37*'Units CF'!$I$49*'Units CF'!$I$57)</f>
        <v>45.202541254760888</v>
      </c>
      <c r="I467" s="115">
        <f t="shared" ca="1" si="82"/>
        <v>56.598560164983908</v>
      </c>
      <c r="J467" s="521">
        <f t="shared" si="83"/>
        <v>1.0905540941170589E-3</v>
      </c>
      <c r="K467" s="521">
        <f t="shared" ca="1" si="84"/>
        <v>2.7607534118724701E-3</v>
      </c>
      <c r="L467" s="521">
        <f t="shared" si="85"/>
        <v>1.5276289710970222E-2</v>
      </c>
      <c r="M467" s="521">
        <f t="shared" ca="1" si="86"/>
        <v>1.9127597216959752E-2</v>
      </c>
      <c r="N467" s="550">
        <f t="shared" ca="1" si="87"/>
        <v>6.0043444383024022E-3</v>
      </c>
    </row>
    <row r="468" spans="2:14" x14ac:dyDescent="0.25">
      <c r="B468" s="978"/>
      <c r="C468" s="981"/>
      <c r="D468" s="388" t="s">
        <v>1454</v>
      </c>
      <c r="E468" s="548" t="s">
        <v>605</v>
      </c>
      <c r="F468" s="115">
        <f>F61*'Units CF'!$I$32*('Units CF'!$I$39*'Units CF'!$I$46*'Units CF'!$I$49*'Units CF'!$I$57+'Units CF'!$I$37*'Units CF'!$I$49*'Units CF'!$I$57)</f>
        <v>1.0298930868226408</v>
      </c>
      <c r="G468" s="115">
        <f ca="1">G61*'Units CF'!$I$32*('Units CF'!$I$39*'Units CF'!$I$46*'Units CF'!$I$49*'Units CF'!$I$57+'Units CF'!$I$37*'Units CF'!$I$49*'Units CF'!$I$57)</f>
        <v>1.4689669379609895</v>
      </c>
      <c r="H468" s="115">
        <f>H61*'Units CF'!$I$32*('Units CF'!$I$39*'Units CF'!$I$46*'Units CF'!$I$49*'Units CF'!$I$57+'Units CF'!$I$37*'Units CF'!$I$49*'Units CF'!$I$57)</f>
        <v>17.827081139600999</v>
      </c>
      <c r="I468" s="115">
        <f t="shared" ca="1" si="82"/>
        <v>20.325941164384631</v>
      </c>
      <c r="J468" s="521">
        <f t="shared" si="83"/>
        <v>3.480544396156272E-4</v>
      </c>
      <c r="K468" s="521">
        <f t="shared" ca="1" si="84"/>
        <v>4.9644033050388295E-4</v>
      </c>
      <c r="L468" s="521">
        <f t="shared" si="85"/>
        <v>6.0246979180807701E-3</v>
      </c>
      <c r="M468" s="521">
        <f t="shared" ca="1" si="86"/>
        <v>6.8691926882002803E-3</v>
      </c>
      <c r="N468" s="550">
        <f t="shared" ca="1" si="87"/>
        <v>2.1563084189399609E-3</v>
      </c>
    </row>
    <row r="469" spans="2:14" x14ac:dyDescent="0.25">
      <c r="B469" s="978"/>
      <c r="C469" s="981"/>
      <c r="D469" s="388" t="s">
        <v>1455</v>
      </c>
      <c r="E469" s="548" t="s">
        <v>636</v>
      </c>
      <c r="F469" s="115">
        <f>'Units CF'!L35*('Units CF'!$I$39*'Units CF'!$I$46*'Units CF'!$I$49*'Units CF'!$I$57+'Units CF'!$I$37*'Units CF'!$I$49*'Units CF'!$I$57)</f>
        <v>40.618991051515515</v>
      </c>
      <c r="G469" s="115">
        <f ca="1">'Units CF'!M35*('Units CF'!$I$39*'Units CF'!$I$46*'Units CF'!$I$49*'Units CF'!$I$57+'Units CF'!$I$37*'Units CF'!$I$49*'Units CF'!$I$57)</f>
        <v>115.0732869570316</v>
      </c>
      <c r="H469" s="115">
        <f>'Units CF'!N35*('Units CF'!$I$39*'Units CF'!$I$46*'Units CF'!$I$49*'Units CF'!$I$57+'Units CF'!$I$37*'Units CF'!$I$49*'Units CF'!$I$57)</f>
        <v>162.16638969126663</v>
      </c>
      <c r="I469" s="115">
        <f t="shared" ca="1" si="82"/>
        <v>317.85866769981374</v>
      </c>
      <c r="J469" s="521">
        <f t="shared" si="83"/>
        <v>1.3727269703114402E-2</v>
      </c>
      <c r="K469" s="521">
        <f t="shared" ca="1" si="84"/>
        <v>3.88892487181587E-2</v>
      </c>
      <c r="L469" s="521">
        <f t="shared" si="85"/>
        <v>5.480445748268558E-2</v>
      </c>
      <c r="M469" s="521">
        <f t="shared" ca="1" si="86"/>
        <v>0.10742097590395869</v>
      </c>
      <c r="N469" s="550">
        <f t="shared" ca="1" si="87"/>
        <v>3.3720520769543336E-2</v>
      </c>
    </row>
    <row r="470" spans="2:14" x14ac:dyDescent="0.25">
      <c r="B470" s="978"/>
      <c r="C470" s="981"/>
      <c r="D470" s="388" t="s">
        <v>1459</v>
      </c>
      <c r="E470" s="548" t="s">
        <v>641</v>
      </c>
      <c r="F470" s="115">
        <f>'Units CF'!L45*'Units CF'!$I$46*'Units CF'!$I$49*'Units CF'!$I$57</f>
        <v>0.60318795956234461</v>
      </c>
      <c r="G470" s="115">
        <f ca="1">'Units CF'!M45*'Units CF'!$I$46*'Units CF'!$I$49*'Units CF'!$I$57</f>
        <v>1.2566213711578988</v>
      </c>
      <c r="H470" s="115">
        <f>'Units CF'!N45*'Units CF'!$I$46*'Units CF'!$I$49*'Units CF'!$I$57</f>
        <v>8.5661411379863814</v>
      </c>
      <c r="I470" s="115">
        <f t="shared" ca="1" si="82"/>
        <v>10.425950468706624</v>
      </c>
      <c r="J470" s="521">
        <f t="shared" si="83"/>
        <v>2.0384858383316816E-4</v>
      </c>
      <c r="K470" s="521">
        <f t="shared" ca="1" si="84"/>
        <v>4.2467771921524122E-4</v>
      </c>
      <c r="L470" s="521">
        <f t="shared" si="85"/>
        <v>2.8949446225030014E-3</v>
      </c>
      <c r="M470" s="521">
        <f t="shared" ca="1" si="86"/>
        <v>3.5234709255514106E-3</v>
      </c>
      <c r="N470" s="550">
        <f t="shared" ca="1" si="87"/>
        <v>1.1060528311729843E-3</v>
      </c>
    </row>
    <row r="471" spans="2:14" x14ac:dyDescent="0.25">
      <c r="B471" s="978"/>
      <c r="C471" s="981"/>
      <c r="D471" s="388" t="s">
        <v>1460</v>
      </c>
      <c r="E471" s="548" t="s">
        <v>1443</v>
      </c>
      <c r="F471" s="115">
        <f>'Units CF'!L47*'Units CF'!$I$49*'Units CF'!$I$57</f>
        <v>12.155810396162286</v>
      </c>
      <c r="G471" s="115">
        <f ca="1">'Units CF'!M47*'Units CF'!$I$49*'Units CF'!$I$57</f>
        <v>11.993750513047145</v>
      </c>
      <c r="H471" s="115">
        <f>'Units CF'!N47*'Units CF'!$I$49*'Units CF'!$I$57</f>
        <v>60.162540686310756</v>
      </c>
      <c r="I471" s="115">
        <f t="shared" ca="1" si="82"/>
        <v>84.31210159552019</v>
      </c>
      <c r="J471" s="521">
        <f t="shared" si="83"/>
        <v>4.1080805664624152E-3</v>
      </c>
      <c r="K471" s="521">
        <f t="shared" ca="1" si="84"/>
        <v>4.0533121030912958E-3</v>
      </c>
      <c r="L471" s="521">
        <f t="shared" si="85"/>
        <v>2.0332051600645745E-2</v>
      </c>
      <c r="M471" s="521">
        <f t="shared" ca="1" si="86"/>
        <v>2.8493444270199456E-2</v>
      </c>
      <c r="N471" s="550">
        <f t="shared" ca="1" si="87"/>
        <v>8.9443776806507162E-3</v>
      </c>
    </row>
    <row r="472" spans="2:14" x14ac:dyDescent="0.25">
      <c r="B472" s="978"/>
      <c r="C472" s="981"/>
      <c r="D472" s="388" t="s">
        <v>1464</v>
      </c>
      <c r="E472" s="548" t="s">
        <v>655</v>
      </c>
      <c r="F472" s="115">
        <f>'Units CF'!L56*'Units CF'!$I$57</f>
        <v>7.2266562892085862</v>
      </c>
      <c r="G472" s="115">
        <f ca="1">'Units CF'!M56*'Units CF'!$I$57</f>
        <v>0.58787501843208834</v>
      </c>
      <c r="H472" s="115">
        <f>'Units CF'!N56*'Units CF'!$I$57</f>
        <v>495.42724556595954</v>
      </c>
      <c r="I472" s="115">
        <f t="shared" ca="1" si="82"/>
        <v>503.2417768736002</v>
      </c>
      <c r="J472" s="521">
        <f t="shared" si="83"/>
        <v>2.442263024403037E-3</v>
      </c>
      <c r="K472" s="521">
        <f t="shared" ca="1" si="84"/>
        <v>1.9867354458671455E-4</v>
      </c>
      <c r="L472" s="521">
        <f t="shared" si="85"/>
        <v>0.16743063385128745</v>
      </c>
      <c r="M472" s="521">
        <f t="shared" ca="1" si="86"/>
        <v>0.17007157042027721</v>
      </c>
      <c r="N472" s="550">
        <f t="shared" ca="1" si="87"/>
        <v>5.3387170190980056E-2</v>
      </c>
    </row>
    <row r="473" spans="2:14" x14ac:dyDescent="0.25">
      <c r="B473" s="978"/>
      <c r="C473" s="981"/>
      <c r="D473" s="524"/>
      <c r="E473" s="523" t="s">
        <v>410</v>
      </c>
      <c r="F473" s="135">
        <f>SUM(F457:F472)</f>
        <v>3952.1401638798388</v>
      </c>
      <c r="G473" s="135">
        <f t="shared" ref="G473:N473" ca="1" si="88">SUM(G457:G472)</f>
        <v>2305.3612264556923</v>
      </c>
      <c r="H473" s="135">
        <f t="shared" si="88"/>
        <v>3168.7666638312476</v>
      </c>
      <c r="I473" s="135">
        <f t="shared" ca="1" si="88"/>
        <v>9426.2680541667796</v>
      </c>
      <c r="J473" s="526">
        <f t="shared" si="88"/>
        <v>1.335633715403798</v>
      </c>
      <c r="K473" s="526">
        <f t="shared" ca="1" si="88"/>
        <v>0.77910146213440079</v>
      </c>
      <c r="L473" s="526">
        <f t="shared" si="88"/>
        <v>1.0708910658436122</v>
      </c>
      <c r="M473" s="974">
        <f t="shared" ca="1" si="88"/>
        <v>3.1856262433818112</v>
      </c>
      <c r="N473" s="972">
        <f t="shared" ca="1" si="88"/>
        <v>1</v>
      </c>
    </row>
    <row r="474" spans="2:14" x14ac:dyDescent="0.25">
      <c r="B474" s="979"/>
      <c r="C474" s="982"/>
      <c r="D474" s="525"/>
      <c r="E474" s="523" t="s">
        <v>309</v>
      </c>
      <c r="F474" s="135"/>
      <c r="G474" s="135"/>
      <c r="H474" s="135"/>
      <c r="I474" s="135"/>
      <c r="J474" s="527">
        <f ca="1">J473/M473</f>
        <v>0.41926880724899795</v>
      </c>
      <c r="K474" s="527">
        <f ca="1">K473/M473</f>
        <v>0.24456775610541143</v>
      </c>
      <c r="L474" s="527">
        <f ca="1">L473/M473</f>
        <v>0.33616343664559056</v>
      </c>
      <c r="M474" s="975"/>
      <c r="N474" s="973"/>
    </row>
    <row r="479" spans="2:14" ht="27.6" x14ac:dyDescent="0.25">
      <c r="B479" s="976" t="s">
        <v>425</v>
      </c>
      <c r="C479" s="523" t="s">
        <v>408</v>
      </c>
      <c r="D479" s="976" t="s">
        <v>411</v>
      </c>
      <c r="E479" s="976" t="s">
        <v>411</v>
      </c>
      <c r="F479" s="522" t="s">
        <v>479</v>
      </c>
      <c r="G479" s="522" t="s">
        <v>480</v>
      </c>
      <c r="H479" s="522" t="s">
        <v>481</v>
      </c>
      <c r="I479" s="522" t="s">
        <v>482</v>
      </c>
      <c r="J479" s="546" t="s">
        <v>484</v>
      </c>
      <c r="K479" s="546" t="s">
        <v>483</v>
      </c>
      <c r="L479" s="546" t="s">
        <v>485</v>
      </c>
      <c r="M479" s="522" t="s">
        <v>486</v>
      </c>
      <c r="N479" s="523" t="s">
        <v>487</v>
      </c>
    </row>
    <row r="480" spans="2:14" x14ac:dyDescent="0.25">
      <c r="B480" s="976"/>
      <c r="C480" s="523" t="s">
        <v>477</v>
      </c>
      <c r="D480" s="976"/>
      <c r="E480" s="976"/>
      <c r="F480" s="523" t="s">
        <v>308</v>
      </c>
      <c r="G480" s="523" t="s">
        <v>308</v>
      </c>
      <c r="H480" s="523" t="s">
        <v>308</v>
      </c>
      <c r="I480" s="523" t="s">
        <v>308</v>
      </c>
      <c r="J480" s="547" t="s">
        <v>310</v>
      </c>
      <c r="K480" s="547" t="s">
        <v>310</v>
      </c>
      <c r="L480" s="547" t="s">
        <v>310</v>
      </c>
      <c r="M480" s="523" t="s">
        <v>310</v>
      </c>
      <c r="N480" s="523" t="s">
        <v>309</v>
      </c>
    </row>
    <row r="481" spans="2:14" x14ac:dyDescent="0.25">
      <c r="B481" s="983" t="s">
        <v>1392</v>
      </c>
      <c r="C481" s="980">
        <f>C434+C457</f>
        <v>187658</v>
      </c>
      <c r="D481" s="388" t="s">
        <v>229</v>
      </c>
      <c r="E481" s="548" t="s">
        <v>594</v>
      </c>
      <c r="F481" s="115">
        <f>F434+F457</f>
        <v>8705.1797736869648</v>
      </c>
      <c r="G481" s="115">
        <f ca="1">G434+G457</f>
        <v>179.50275160568225</v>
      </c>
      <c r="H481" s="115">
        <f>H434+H457</f>
        <v>1234.4291808662313</v>
      </c>
      <c r="I481" s="115">
        <f ca="1">SUM(F481:H481)</f>
        <v>10119.111706158877</v>
      </c>
      <c r="J481" s="521">
        <f>F481/$C$481</f>
        <v>4.6388535387177549E-2</v>
      </c>
      <c r="K481" s="521">
        <f ca="1">G481/$C$481</f>
        <v>9.5654196253654124E-4</v>
      </c>
      <c r="L481" s="521">
        <f>H481/$C$481</f>
        <v>6.5780791699060594E-3</v>
      </c>
      <c r="M481" s="298">
        <f ca="1">SUM(J481:L481)</f>
        <v>5.3923156519620152E-2</v>
      </c>
      <c r="N481" s="369">
        <f ca="1">M481/$M$498</f>
        <v>1.9666664935693603E-2</v>
      </c>
    </row>
    <row r="482" spans="2:14" x14ac:dyDescent="0.25">
      <c r="B482" s="984"/>
      <c r="C482" s="981"/>
      <c r="D482" s="388" t="s">
        <v>1445</v>
      </c>
      <c r="E482" s="548" t="s">
        <v>597</v>
      </c>
      <c r="F482" s="115">
        <f t="shared" ref="F482:H495" si="89">F435+F458</f>
        <v>7568.5227243884674</v>
      </c>
      <c r="G482" s="115">
        <f t="shared" ca="1" si="89"/>
        <v>6072.3911589605532</v>
      </c>
      <c r="H482" s="115">
        <f t="shared" si="89"/>
        <v>340.16932142058329</v>
      </c>
      <c r="I482" s="115">
        <f t="shared" ref="I482:I497" ca="1" si="90">SUM(F482:H482)</f>
        <v>13981.083204769604</v>
      </c>
      <c r="J482" s="521">
        <f t="shared" ref="J482:J497" si="91">F482/$C$481</f>
        <v>4.0331468545910472E-2</v>
      </c>
      <c r="K482" s="521">
        <f t="shared" ref="K482:K497" ca="1" si="92">G482/$C$481</f>
        <v>3.2358818483414258E-2</v>
      </c>
      <c r="L482" s="521">
        <f t="shared" ref="L482:L497" si="93">H482/$C$481</f>
        <v>1.8127088715673369E-3</v>
      </c>
      <c r="M482" s="298">
        <f t="shared" ref="M482:M497" ca="1" si="94">SUM(J482:L482)</f>
        <v>7.4502995900892072E-2</v>
      </c>
      <c r="N482" s="369">
        <f t="shared" ref="N482:N497" ca="1" si="95">M482/$M$498</f>
        <v>2.7172471933371894E-2</v>
      </c>
    </row>
    <row r="483" spans="2:14" x14ac:dyDescent="0.25">
      <c r="B483" s="984"/>
      <c r="C483" s="981"/>
      <c r="D483" s="388" t="s">
        <v>1446</v>
      </c>
      <c r="E483" s="548" t="s">
        <v>595</v>
      </c>
      <c r="F483" s="115">
        <f t="shared" si="89"/>
        <v>3.820398257486373E-2</v>
      </c>
      <c r="G483" s="115">
        <f t="shared" ca="1" si="89"/>
        <v>2.5481556613531722</v>
      </c>
      <c r="H483" s="115">
        <f t="shared" si="89"/>
        <v>23.882717145194572</v>
      </c>
      <c r="I483" s="115">
        <f t="shared" ca="1" si="90"/>
        <v>26.46907678912261</v>
      </c>
      <c r="J483" s="521">
        <f t="shared" si="91"/>
        <v>2.0358302110682054E-7</v>
      </c>
      <c r="K483" s="521">
        <f t="shared" ca="1" si="92"/>
        <v>1.3578721191492887E-5</v>
      </c>
      <c r="L483" s="521">
        <f t="shared" si="93"/>
        <v>1.2726724757374891E-4</v>
      </c>
      <c r="M483" s="298">
        <f t="shared" ca="1" si="94"/>
        <v>1.4104955178634863E-4</v>
      </c>
      <c r="N483" s="369">
        <f t="shared" ca="1" si="95"/>
        <v>5.1443098908769557E-5</v>
      </c>
    </row>
    <row r="484" spans="2:14" x14ac:dyDescent="0.25">
      <c r="B484" s="984"/>
      <c r="C484" s="981"/>
      <c r="D484" s="388" t="s">
        <v>1447</v>
      </c>
      <c r="E484" s="548" t="s">
        <v>596</v>
      </c>
      <c r="F484" s="115">
        <f t="shared" si="89"/>
        <v>343.0422482888099</v>
      </c>
      <c r="G484" s="115">
        <f t="shared" ca="1" si="89"/>
        <v>3319.1334731308798</v>
      </c>
      <c r="H484" s="115">
        <f t="shared" si="89"/>
        <v>175.78090353302676</v>
      </c>
      <c r="I484" s="115">
        <f t="shared" ca="1" si="90"/>
        <v>3837.9566249527165</v>
      </c>
      <c r="J484" s="521">
        <f t="shared" si="91"/>
        <v>1.8280182474970953E-3</v>
      </c>
      <c r="K484" s="521">
        <f t="shared" ca="1" si="92"/>
        <v>1.7687140826028624E-2</v>
      </c>
      <c r="L484" s="521">
        <f t="shared" si="93"/>
        <v>9.3670881887810147E-4</v>
      </c>
      <c r="M484" s="298">
        <f t="shared" ca="1" si="94"/>
        <v>2.0451867892403823E-2</v>
      </c>
      <c r="N484" s="369">
        <f t="shared" ca="1" si="95"/>
        <v>7.4591336841089177E-3</v>
      </c>
    </row>
    <row r="485" spans="2:14" x14ac:dyDescent="0.25">
      <c r="B485" s="984"/>
      <c r="C485" s="981"/>
      <c r="D485" s="388" t="s">
        <v>1448</v>
      </c>
      <c r="E485" s="548" t="s">
        <v>598</v>
      </c>
      <c r="F485" s="115">
        <f t="shared" si="89"/>
        <v>10531.75957224613</v>
      </c>
      <c r="G485" s="115">
        <f t="shared" ca="1" si="89"/>
        <v>2562.5799424962029</v>
      </c>
      <c r="H485" s="115">
        <f t="shared" si="89"/>
        <v>3828.9901063285433</v>
      </c>
      <c r="I485" s="115">
        <f t="shared" ca="1" si="90"/>
        <v>16923.329621070876</v>
      </c>
      <c r="J485" s="521">
        <f t="shared" si="91"/>
        <v>5.6122092168978302E-2</v>
      </c>
      <c r="K485" s="521">
        <f t="shared" ca="1" si="92"/>
        <v>1.3655585919578184E-2</v>
      </c>
      <c r="L485" s="521">
        <f t="shared" si="93"/>
        <v>2.0404086723340029E-2</v>
      </c>
      <c r="M485" s="298">
        <f t="shared" ca="1" si="94"/>
        <v>9.018176481189652E-2</v>
      </c>
      <c r="N485" s="369">
        <f t="shared" ca="1" si="95"/>
        <v>3.2890777660980773E-2</v>
      </c>
    </row>
    <row r="486" spans="2:14" x14ac:dyDescent="0.25">
      <c r="B486" s="984"/>
      <c r="C486" s="981"/>
      <c r="D486" s="388" t="s">
        <v>1449</v>
      </c>
      <c r="E486" s="548" t="s">
        <v>599</v>
      </c>
      <c r="F486" s="115">
        <f t="shared" si="89"/>
        <v>21491.877541557205</v>
      </c>
      <c r="G486" s="115">
        <f t="shared" ca="1" si="89"/>
        <v>96452.28444751387</v>
      </c>
      <c r="H486" s="115">
        <f t="shared" si="89"/>
        <v>18271.953964896042</v>
      </c>
      <c r="I486" s="115">
        <f t="shared" ca="1" si="90"/>
        <v>136216.11595396712</v>
      </c>
      <c r="J486" s="521">
        <f t="shared" si="91"/>
        <v>0.11452683893869275</v>
      </c>
      <c r="K486" s="521">
        <f t="shared" ca="1" si="92"/>
        <v>0.51397907068983939</v>
      </c>
      <c r="L486" s="521">
        <f t="shared" si="93"/>
        <v>9.7368372064585804E-2</v>
      </c>
      <c r="M486" s="298">
        <f t="shared" ca="1" si="94"/>
        <v>0.72587428169311796</v>
      </c>
      <c r="N486" s="369">
        <f t="shared" ca="1" si="95"/>
        <v>0.26473832774054346</v>
      </c>
    </row>
    <row r="487" spans="2:14" x14ac:dyDescent="0.25">
      <c r="B487" s="984"/>
      <c r="C487" s="981"/>
      <c r="D487" s="388" t="s">
        <v>1450</v>
      </c>
      <c r="E487" s="548" t="s">
        <v>600</v>
      </c>
      <c r="F487" s="115">
        <f t="shared" si="89"/>
        <v>17623.75998401019</v>
      </c>
      <c r="G487" s="115">
        <f t="shared" ca="1" si="89"/>
        <v>0.81048816104885257</v>
      </c>
      <c r="H487" s="115">
        <f t="shared" si="89"/>
        <v>207.36504239090556</v>
      </c>
      <c r="I487" s="115">
        <f t="shared" ca="1" si="90"/>
        <v>17831.935514562145</v>
      </c>
      <c r="J487" s="521">
        <f t="shared" si="91"/>
        <v>9.3914248174925608E-2</v>
      </c>
      <c r="K487" s="521">
        <f t="shared" ca="1" si="92"/>
        <v>4.3189640785303722E-6</v>
      </c>
      <c r="L487" s="521">
        <f t="shared" si="93"/>
        <v>1.1050157328273006E-3</v>
      </c>
      <c r="M487" s="298">
        <f t="shared" ca="1" si="94"/>
        <v>9.5023582871831436E-2</v>
      </c>
      <c r="N487" s="369">
        <f t="shared" ca="1" si="95"/>
        <v>3.4656668599314162E-2</v>
      </c>
    </row>
    <row r="488" spans="2:14" x14ac:dyDescent="0.25">
      <c r="B488" s="984"/>
      <c r="C488" s="981"/>
      <c r="D488" s="388" t="s">
        <v>1451</v>
      </c>
      <c r="E488" s="548" t="s">
        <v>601</v>
      </c>
      <c r="F488" s="115">
        <f t="shared" si="89"/>
        <v>145921.41183716027</v>
      </c>
      <c r="G488" s="115">
        <f t="shared" ca="1" si="89"/>
        <v>12348.992087568136</v>
      </c>
      <c r="H488" s="115">
        <f t="shared" si="89"/>
        <v>104188.96616909235</v>
      </c>
      <c r="I488" s="115">
        <f t="shared" ca="1" si="90"/>
        <v>262459.37009382073</v>
      </c>
      <c r="J488" s="521">
        <f t="shared" si="91"/>
        <v>0.7775922787046663</v>
      </c>
      <c r="K488" s="521">
        <f t="shared" ca="1" si="92"/>
        <v>6.5805838746912662E-2</v>
      </c>
      <c r="L488" s="521">
        <f t="shared" si="93"/>
        <v>0.55520663211316523</v>
      </c>
      <c r="M488" s="298">
        <f t="shared" ca="1" si="94"/>
        <v>1.3986047495647442</v>
      </c>
      <c r="N488" s="369">
        <f t="shared" ca="1" si="95"/>
        <v>0.51009422968685747</v>
      </c>
    </row>
    <row r="489" spans="2:14" x14ac:dyDescent="0.25">
      <c r="B489" s="984"/>
      <c r="C489" s="981"/>
      <c r="D489" s="388" t="s">
        <v>1452</v>
      </c>
      <c r="E489" s="548" t="s">
        <v>602</v>
      </c>
      <c r="F489" s="115">
        <f t="shared" si="89"/>
        <v>331.03374072559848</v>
      </c>
      <c r="G489" s="115">
        <f t="shared" ca="1" si="89"/>
        <v>68.755544900067136</v>
      </c>
      <c r="H489" s="115">
        <f t="shared" si="89"/>
        <v>685.67679064879292</v>
      </c>
      <c r="I489" s="115">
        <f t="shared" ca="1" si="90"/>
        <v>1085.4660762744586</v>
      </c>
      <c r="J489" s="521">
        <f t="shared" si="91"/>
        <v>1.7640267972886766E-3</v>
      </c>
      <c r="K489" s="521">
        <f t="shared" ca="1" si="92"/>
        <v>3.6638749693627308E-4</v>
      </c>
      <c r="L489" s="521">
        <f t="shared" si="93"/>
        <v>3.6538638941520899E-3</v>
      </c>
      <c r="M489" s="298">
        <f t="shared" ca="1" si="94"/>
        <v>5.78427818837704E-3</v>
      </c>
      <c r="N489" s="369">
        <f t="shared" ca="1" si="95"/>
        <v>2.1096216981337313E-3</v>
      </c>
    </row>
    <row r="490" spans="2:14" x14ac:dyDescent="0.25">
      <c r="B490" s="984"/>
      <c r="C490" s="981"/>
      <c r="D490" s="388" t="s">
        <v>19</v>
      </c>
      <c r="E490" s="548" t="s">
        <v>603</v>
      </c>
      <c r="F490" s="115">
        <f t="shared" si="89"/>
        <v>5228.8966250286076</v>
      </c>
      <c r="G490" s="115">
        <f t="shared" ca="1" si="89"/>
        <v>366.73795025569382</v>
      </c>
      <c r="H490" s="115">
        <f t="shared" si="89"/>
        <v>4325.4611795926376</v>
      </c>
      <c r="I490" s="115">
        <f t="shared" ca="1" si="90"/>
        <v>9921.0957548769402</v>
      </c>
      <c r="J490" s="521">
        <f t="shared" si="91"/>
        <v>2.7863968629254322E-2</v>
      </c>
      <c r="K490" s="521">
        <f t="shared" ca="1" si="92"/>
        <v>1.9542889205666361E-3</v>
      </c>
      <c r="L490" s="521">
        <f t="shared" si="93"/>
        <v>2.3049703074703116E-2</v>
      </c>
      <c r="M490" s="298">
        <f t="shared" ca="1" si="94"/>
        <v>5.2867960624524077E-2</v>
      </c>
      <c r="N490" s="369">
        <f t="shared" ca="1" si="95"/>
        <v>1.9281817581610704E-2</v>
      </c>
    </row>
    <row r="491" spans="2:14" x14ac:dyDescent="0.25">
      <c r="B491" s="984"/>
      <c r="C491" s="981"/>
      <c r="D491" s="388" t="s">
        <v>1453</v>
      </c>
      <c r="E491" s="548" t="s">
        <v>604</v>
      </c>
      <c r="F491" s="115">
        <f t="shared" si="89"/>
        <v>180.75725381383793</v>
      </c>
      <c r="G491" s="115">
        <f t="shared" ca="1" si="89"/>
        <v>457.58959402309682</v>
      </c>
      <c r="H491" s="115">
        <f t="shared" si="89"/>
        <v>2532.0157812576795</v>
      </c>
      <c r="I491" s="115">
        <f t="shared" ca="1" si="90"/>
        <v>3170.362629094614</v>
      </c>
      <c r="J491" s="521">
        <f t="shared" si="91"/>
        <v>9.6322700771530093E-4</v>
      </c>
      <c r="K491" s="521">
        <f t="shared" ca="1" si="92"/>
        <v>2.4384230569605178E-3</v>
      </c>
      <c r="L491" s="521">
        <f t="shared" si="93"/>
        <v>1.3492714306119001E-2</v>
      </c>
      <c r="M491" s="298">
        <f t="shared" ca="1" si="94"/>
        <v>1.689436437079482E-2</v>
      </c>
      <c r="N491" s="369">
        <f t="shared" ca="1" si="95"/>
        <v>6.161653449590793E-3</v>
      </c>
    </row>
    <row r="492" spans="2:14" x14ac:dyDescent="0.25">
      <c r="B492" s="984"/>
      <c r="C492" s="981"/>
      <c r="D492" s="388" t="s">
        <v>1454</v>
      </c>
      <c r="E492" s="548" t="s">
        <v>605</v>
      </c>
      <c r="F492" s="115">
        <f t="shared" si="89"/>
        <v>57.689357201094509</v>
      </c>
      <c r="G492" s="115">
        <f t="shared" ca="1" si="89"/>
        <v>82.284034609918095</v>
      </c>
      <c r="H492" s="115">
        <f t="shared" si="89"/>
        <v>998.58214884050858</v>
      </c>
      <c r="I492" s="115">
        <f t="shared" ca="1" si="90"/>
        <v>1138.5555406515211</v>
      </c>
      <c r="J492" s="521">
        <f t="shared" si="91"/>
        <v>3.0741752124127138E-4</v>
      </c>
      <c r="K492" s="521">
        <f t="shared" ca="1" si="92"/>
        <v>4.3847869320742041E-4</v>
      </c>
      <c r="L492" s="521">
        <f t="shared" si="93"/>
        <v>5.3212873889762688E-3</v>
      </c>
      <c r="M492" s="298">
        <f t="shared" ca="1" si="94"/>
        <v>6.0671836034249605E-3</v>
      </c>
      <c r="N492" s="369">
        <f t="shared" ca="1" si="95"/>
        <v>2.2128019710507363E-3</v>
      </c>
    </row>
    <row r="493" spans="2:14" x14ac:dyDescent="0.25">
      <c r="B493" s="984"/>
      <c r="C493" s="981"/>
      <c r="D493" s="388" t="s">
        <v>1455</v>
      </c>
      <c r="E493" s="548" t="s">
        <v>636</v>
      </c>
      <c r="F493" s="115">
        <f t="shared" si="89"/>
        <v>2275.2686797309088</v>
      </c>
      <c r="G493" s="115">
        <f t="shared" ca="1" si="89"/>
        <v>6445.8185422420183</v>
      </c>
      <c r="H493" s="115">
        <f t="shared" si="89"/>
        <v>9083.7339337558406</v>
      </c>
      <c r="I493" s="115">
        <f t="shared" ca="1" si="90"/>
        <v>17804.821155728769</v>
      </c>
      <c r="J493" s="521">
        <f t="shared" si="91"/>
        <v>1.2124549338322421E-2</v>
      </c>
      <c r="K493" s="521">
        <f t="shared" ca="1" si="92"/>
        <v>3.4348754341632218E-2</v>
      </c>
      <c r="L493" s="521">
        <f t="shared" si="93"/>
        <v>4.8405791033453625E-2</v>
      </c>
      <c r="M493" s="298">
        <f t="shared" ca="1" si="94"/>
        <v>9.4879094713408274E-2</v>
      </c>
      <c r="N493" s="369">
        <f t="shared" ca="1" si="95"/>
        <v>3.46039713838266E-2</v>
      </c>
    </row>
    <row r="494" spans="2:14" x14ac:dyDescent="0.25">
      <c r="B494" s="984"/>
      <c r="C494" s="981"/>
      <c r="D494" s="388" t="s">
        <v>1459</v>
      </c>
      <c r="E494" s="548" t="s">
        <v>641</v>
      </c>
      <c r="F494" s="115">
        <f t="shared" si="89"/>
        <v>33.787512610601667</v>
      </c>
      <c r="G494" s="115">
        <f t="shared" ca="1" si="89"/>
        <v>70.389519140195404</v>
      </c>
      <c r="H494" s="115">
        <f t="shared" si="89"/>
        <v>479.83153034737217</v>
      </c>
      <c r="I494" s="115">
        <f t="shared" ca="1" si="90"/>
        <v>584.00856209816925</v>
      </c>
      <c r="J494" s="521">
        <f t="shared" si="91"/>
        <v>1.8004834651654428E-4</v>
      </c>
      <c r="K494" s="521">
        <f t="shared" ca="1" si="92"/>
        <v>3.7509468895648152E-4</v>
      </c>
      <c r="L494" s="521">
        <f t="shared" si="93"/>
        <v>2.5569468413143706E-3</v>
      </c>
      <c r="M494" s="298">
        <f t="shared" ca="1" si="94"/>
        <v>3.1120898767873963E-3</v>
      </c>
      <c r="N494" s="369">
        <f t="shared" ca="1" si="95"/>
        <v>1.1350305287538616E-3</v>
      </c>
    </row>
    <row r="495" spans="2:14" x14ac:dyDescent="0.25">
      <c r="B495" s="984"/>
      <c r="C495" s="981"/>
      <c r="D495" s="388" t="s">
        <v>1460</v>
      </c>
      <c r="E495" s="548" t="s">
        <v>1443</v>
      </c>
      <c r="F495" s="115">
        <f t="shared" si="89"/>
        <v>680.90649115479448</v>
      </c>
      <c r="G495" s="115">
        <f t="shared" ca="1" si="89"/>
        <v>671.82872317613919</v>
      </c>
      <c r="H495" s="115">
        <f t="shared" si="89"/>
        <v>3369.9986379029492</v>
      </c>
      <c r="I495" s="115">
        <f t="shared" ca="1" si="90"/>
        <v>4722.7338522338832</v>
      </c>
      <c r="J495" s="521">
        <f t="shared" si="91"/>
        <v>3.6284437175862177E-3</v>
      </c>
      <c r="K495" s="521">
        <f t="shared" ca="1" si="92"/>
        <v>3.5800697181902139E-3</v>
      </c>
      <c r="L495" s="521">
        <f t="shared" si="93"/>
        <v>1.7958193297930008E-2</v>
      </c>
      <c r="M495" s="298">
        <f t="shared" ca="1" si="94"/>
        <v>2.516670673370644E-2</v>
      </c>
      <c r="N495" s="369">
        <f t="shared" ca="1" si="95"/>
        <v>9.1787132062007681E-3</v>
      </c>
    </row>
    <row r="496" spans="2:14" x14ac:dyDescent="0.25">
      <c r="B496" s="984"/>
      <c r="C496" s="981"/>
      <c r="D496" s="388" t="s">
        <v>1462</v>
      </c>
      <c r="E496" s="548" t="s">
        <v>654</v>
      </c>
      <c r="F496" s="115">
        <f>F449</f>
        <v>451.08353834421661</v>
      </c>
      <c r="G496" s="115">
        <f t="shared" ref="G496:H496" ca="1" si="96">G449</f>
        <v>36.141276938383832</v>
      </c>
      <c r="H496" s="115">
        <f t="shared" si="96"/>
        <v>13718.267030545336</v>
      </c>
      <c r="I496" s="115">
        <f t="shared" ca="1" si="90"/>
        <v>14205.491845827935</v>
      </c>
      <c r="J496" s="521">
        <f t="shared" si="91"/>
        <v>2.4037533083812925E-3</v>
      </c>
      <c r="K496" s="521">
        <f t="shared" ca="1" si="92"/>
        <v>1.925911868312773E-4</v>
      </c>
      <c r="L496" s="521">
        <f t="shared" si="93"/>
        <v>7.3102489798171869E-2</v>
      </c>
      <c r="M496" s="298">
        <f t="shared" ca="1" si="94"/>
        <v>7.5698834293384434E-2</v>
      </c>
      <c r="N496" s="369">
        <f t="shared" ca="1" si="95"/>
        <v>2.7608613926910951E-2</v>
      </c>
    </row>
    <row r="497" spans="2:14" x14ac:dyDescent="0.25">
      <c r="B497" s="984"/>
      <c r="C497" s="981"/>
      <c r="D497" s="388" t="s">
        <v>1464</v>
      </c>
      <c r="E497" s="548" t="s">
        <v>655</v>
      </c>
      <c r="F497" s="115">
        <f>F472</f>
        <v>7.2266562892085862</v>
      </c>
      <c r="G497" s="115">
        <f t="shared" ref="G497:H497" ca="1" si="97">G472</f>
        <v>0.58787501843208834</v>
      </c>
      <c r="H497" s="115">
        <f t="shared" si="97"/>
        <v>495.42724556595954</v>
      </c>
      <c r="I497" s="115">
        <f t="shared" ca="1" si="90"/>
        <v>503.2417768736002</v>
      </c>
      <c r="J497" s="521">
        <f t="shared" si="91"/>
        <v>3.8509716021744805E-5</v>
      </c>
      <c r="K497" s="521">
        <f t="shared" ca="1" si="92"/>
        <v>3.1326936151514367E-6</v>
      </c>
      <c r="L497" s="521">
        <f t="shared" si="93"/>
        <v>2.6400539575502217E-3</v>
      </c>
      <c r="M497" s="298">
        <f t="shared" ca="1" si="94"/>
        <v>2.6816963671871179E-3</v>
      </c>
      <c r="N497" s="369">
        <f t="shared" ca="1" si="95"/>
        <v>9.7805891414287183E-4</v>
      </c>
    </row>
    <row r="498" spans="2:14" x14ac:dyDescent="0.25">
      <c r="B498" s="984"/>
      <c r="C498" s="981"/>
      <c r="D498" s="524"/>
      <c r="E498" s="523" t="s">
        <v>410</v>
      </c>
      <c r="F498" s="135">
        <f>SUM(F481:F497)</f>
        <v>221432.24174021953</v>
      </c>
      <c r="G498" s="135">
        <f t="shared" ref="G498:N498" ca="1" si="98">SUM(G481:G497)</f>
        <v>129138.37556540167</v>
      </c>
      <c r="H498" s="135">
        <f t="shared" si="98"/>
        <v>163960.53168412996</v>
      </c>
      <c r="I498" s="135">
        <f t="shared" ca="1" si="98"/>
        <v>514531.14898975118</v>
      </c>
      <c r="J498" s="526">
        <f t="shared" si="98"/>
        <v>1.1799776281331973</v>
      </c>
      <c r="K498" s="526">
        <f t="shared" ca="1" si="98"/>
        <v>0.68815811511047587</v>
      </c>
      <c r="L498" s="526">
        <f t="shared" si="98"/>
        <v>0.87371991433421425</v>
      </c>
      <c r="M498" s="974">
        <f t="shared" ca="1" si="98"/>
        <v>2.741855657577887</v>
      </c>
      <c r="N498" s="972">
        <f t="shared" ca="1" si="98"/>
        <v>1.0000000000000002</v>
      </c>
    </row>
    <row r="499" spans="2:14" x14ac:dyDescent="0.25">
      <c r="B499" s="985"/>
      <c r="C499" s="982"/>
      <c r="D499" s="525"/>
      <c r="E499" s="523" t="s">
        <v>309</v>
      </c>
      <c r="F499" s="135"/>
      <c r="G499" s="135"/>
      <c r="H499" s="135"/>
      <c r="I499" s="135"/>
      <c r="J499" s="527">
        <f ca="1">J498/M498</f>
        <v>0.43035731106850872</v>
      </c>
      <c r="K499" s="527">
        <f ca="1">K498/M498</f>
        <v>0.25098261945648304</v>
      </c>
      <c r="L499" s="527">
        <f ca="1">L498/M498</f>
        <v>0.31866006947500836</v>
      </c>
      <c r="M499" s="975"/>
      <c r="N499" s="973"/>
    </row>
    <row r="501" spans="2:14" x14ac:dyDescent="0.25">
      <c r="B501" s="551" t="s">
        <v>1495</v>
      </c>
    </row>
    <row r="502" spans="2:14" x14ac:dyDescent="0.25">
      <c r="B502" s="560" t="s">
        <v>1496</v>
      </c>
    </row>
    <row r="529" spans="1:38" ht="27.6" x14ac:dyDescent="0.25">
      <c r="A529" s="531"/>
      <c r="B529" s="532" t="s">
        <v>1393</v>
      </c>
      <c r="C529" s="533"/>
      <c r="D529" s="534" t="s">
        <v>1477</v>
      </c>
      <c r="E529" s="534"/>
      <c r="F529" s="535"/>
      <c r="G529" s="533"/>
      <c r="H529" s="533"/>
      <c r="I529" s="533"/>
      <c r="J529" s="533"/>
      <c r="K529" s="533"/>
      <c r="L529" s="533"/>
      <c r="M529" s="533"/>
      <c r="N529" s="533"/>
      <c r="O529" s="533"/>
      <c r="P529" s="533"/>
      <c r="Q529" s="533"/>
      <c r="R529" s="533"/>
      <c r="S529" s="533"/>
      <c r="T529" s="533"/>
      <c r="U529" s="533"/>
      <c r="V529" s="533"/>
      <c r="W529" s="533"/>
      <c r="X529" s="533"/>
      <c r="Y529" s="533"/>
      <c r="Z529" s="533"/>
      <c r="AA529" s="533"/>
      <c r="AB529" s="533"/>
      <c r="AC529" s="533"/>
      <c r="AD529" s="533"/>
      <c r="AE529" s="533"/>
      <c r="AF529" s="533"/>
      <c r="AG529" s="533"/>
      <c r="AH529" s="533"/>
      <c r="AI529" s="533"/>
      <c r="AJ529" s="533"/>
      <c r="AK529" s="533"/>
      <c r="AL529" s="533"/>
    </row>
    <row r="532" spans="1:38" ht="27.6" x14ac:dyDescent="0.25">
      <c r="B532" s="976" t="s">
        <v>425</v>
      </c>
      <c r="C532" s="523" t="s">
        <v>408</v>
      </c>
      <c r="D532" s="976" t="s">
        <v>411</v>
      </c>
      <c r="E532" s="976" t="s">
        <v>411</v>
      </c>
      <c r="F532" s="522" t="s">
        <v>479</v>
      </c>
      <c r="G532" s="522" t="s">
        <v>480</v>
      </c>
      <c r="H532" s="522" t="s">
        <v>481</v>
      </c>
      <c r="I532" s="522" t="s">
        <v>482</v>
      </c>
      <c r="J532" s="546" t="s">
        <v>484</v>
      </c>
      <c r="K532" s="546" t="s">
        <v>483</v>
      </c>
      <c r="L532" s="546" t="s">
        <v>485</v>
      </c>
      <c r="M532" s="522" t="s">
        <v>486</v>
      </c>
      <c r="N532" s="523" t="s">
        <v>487</v>
      </c>
    </row>
    <row r="533" spans="1:38" x14ac:dyDescent="0.25">
      <c r="B533" s="976"/>
      <c r="C533" s="523" t="s">
        <v>477</v>
      </c>
      <c r="D533" s="976"/>
      <c r="E533" s="976"/>
      <c r="F533" s="523" t="s">
        <v>308</v>
      </c>
      <c r="G533" s="523" t="s">
        <v>308</v>
      </c>
      <c r="H533" s="523" t="s">
        <v>308</v>
      </c>
      <c r="I533" s="523" t="s">
        <v>308</v>
      </c>
      <c r="J533" s="547" t="s">
        <v>310</v>
      </c>
      <c r="K533" s="547" t="s">
        <v>310</v>
      </c>
      <c r="L533" s="547" t="s">
        <v>310</v>
      </c>
      <c r="M533" s="523" t="s">
        <v>310</v>
      </c>
      <c r="N533" s="523" t="s">
        <v>309</v>
      </c>
    </row>
    <row r="534" spans="1:38" x14ac:dyDescent="0.25">
      <c r="B534" s="977" t="s">
        <v>1393</v>
      </c>
      <c r="C534" s="980">
        <f>'Units CF'!F64</f>
        <v>25088</v>
      </c>
      <c r="D534" s="388" t="s">
        <v>229</v>
      </c>
      <c r="E534" s="548" t="s">
        <v>594</v>
      </c>
      <c r="F534" s="115">
        <f>F50*'Units CF'!$I$32*('Units CF'!$I$39*'Units CF'!$I$46+'Units CF'!$I$37)*('Units CF'!$I$48*('Units CF'!$I$52*'Units CF'!$I$59*'Units CF'!$I$64+'Units CF'!$I$53*'Units CF'!$I$61*'Units CF'!$I$64+'Units CF'!$I$54*'Units CF'!$I$58*'Units CF'!$I$63*'Units CF'!$I$64)+'Units CF'!$I$49*'Units CF'!$I$58*'Units CF'!$I$63*'Units CF'!$I$64)</f>
        <v>1192.6664889791512</v>
      </c>
      <c r="G534" s="115">
        <f ca="1">G50*'Units CF'!$I$32*('Units CF'!$I$39*'Units CF'!$I$46+'Units CF'!$I$37)*('Units CF'!$I$48*('Units CF'!$I$52*'Units CF'!$I$59*'Units CF'!$I$64+'Units CF'!$I$53*'Units CF'!$I$61*'Units CF'!$I$64+'Units CF'!$I$54*'Units CF'!$I$58*'Units CF'!$I$63*'Units CF'!$I$64)+'Units CF'!$I$49*'Units CF'!$I$58*'Units CF'!$I$63*'Units CF'!$I$64)</f>
        <v>24.593049435551404</v>
      </c>
      <c r="H534" s="115">
        <f>H50*'Units CF'!$I$32*('Units CF'!$I$39*'Units CF'!$I$46+'Units CF'!$I$37)*('Units CF'!$I$48*('Units CF'!$I$52*'Units CF'!$I$59*'Units CF'!$I$64+'Units CF'!$I$53*'Units CF'!$I$61*'Units CF'!$I$64+'Units CF'!$I$54*'Units CF'!$I$58*'Units CF'!$I$63*'Units CF'!$I$64)+'Units CF'!$I$49*'Units CF'!$I$58*'Units CF'!$I$63*'Units CF'!$I$64)</f>
        <v>169.12486075098943</v>
      </c>
      <c r="I534" s="115">
        <f ca="1">SUM(F534:H534)</f>
        <v>1386.384399165692</v>
      </c>
      <c r="J534" s="521">
        <f>F534/$C$534</f>
        <v>4.7539321148722544E-2</v>
      </c>
      <c r="K534" s="521">
        <f ca="1">G534/$C$534</f>
        <v>9.8027142201655777E-4</v>
      </c>
      <c r="L534" s="521">
        <f>H534/$C$534</f>
        <v>6.7412651766178824E-3</v>
      </c>
      <c r="M534" s="298">
        <f ca="1">SUM(J534:L534)</f>
        <v>5.5260857747356985E-2</v>
      </c>
      <c r="N534" s="369">
        <f ca="1">M534/$M$556</f>
        <v>1.9269483304528483E-2</v>
      </c>
    </row>
    <row r="535" spans="1:38" x14ac:dyDescent="0.25">
      <c r="B535" s="978"/>
      <c r="C535" s="981"/>
      <c r="D535" s="388" t="s">
        <v>1445</v>
      </c>
      <c r="E535" s="548" t="s">
        <v>597</v>
      </c>
      <c r="F535" s="115">
        <f>F51*'Units CF'!$I$32*('Units CF'!$I$39*'Units CF'!$I$46+'Units CF'!$I$37)*('Units CF'!$I$48*('Units CF'!$I$52*'Units CF'!$I$59*'Units CF'!$I$64+'Units CF'!$I$53*'Units CF'!$I$61*'Units CF'!$I$64+'Units CF'!$I$54*'Units CF'!$I$58*'Units CF'!$I$63*'Units CF'!$I$64)+'Units CF'!$I$49*'Units CF'!$I$58*'Units CF'!$I$63*'Units CF'!$I$64)</f>
        <v>1036.9370488752311</v>
      </c>
      <c r="G535" s="115">
        <f ca="1">G51*'Units CF'!$I$32*('Units CF'!$I$39*'Units CF'!$I$46+'Units CF'!$I$37)*('Units CF'!$I$48*('Units CF'!$I$52*'Units CF'!$I$59*'Units CF'!$I$64+'Units CF'!$I$53*'Units CF'!$I$61*'Units CF'!$I$64+'Units CF'!$I$54*'Units CF'!$I$58*'Units CF'!$I$63*'Units CF'!$I$64)+'Units CF'!$I$49*'Units CF'!$I$58*'Units CF'!$I$63*'Units CF'!$I$64)</f>
        <v>831.95725206696375</v>
      </c>
      <c r="H535" s="115">
        <f>H51*'Units CF'!$I$32*('Units CF'!$I$39*'Units CF'!$I$46+'Units CF'!$I$37)*('Units CF'!$I$48*('Units CF'!$I$52*'Units CF'!$I$59*'Units CF'!$I$64+'Units CF'!$I$53*'Units CF'!$I$61*'Units CF'!$I$64+'Units CF'!$I$54*'Units CF'!$I$58*'Units CF'!$I$63*'Units CF'!$I$64)+'Units CF'!$I$49*'Units CF'!$I$58*'Units CF'!$I$63*'Units CF'!$I$64)</f>
        <v>46.605418932695386</v>
      </c>
      <c r="I535" s="115">
        <f t="shared" ref="I535:I555" ca="1" si="99">SUM(F535:H535)</f>
        <v>1915.4997198748902</v>
      </c>
      <c r="J535" s="521">
        <f t="shared" ref="J535:J555" si="100">F535/$C$534</f>
        <v>4.133199333845787E-2</v>
      </c>
      <c r="K535" s="521">
        <f t="shared" ref="K535:K555" ca="1" si="101">G535/$C$534</f>
        <v>3.3161561386597725E-2</v>
      </c>
      <c r="L535" s="521">
        <f t="shared" ref="L535:L555" si="102">H535/$C$534</f>
        <v>1.8576777316922587E-3</v>
      </c>
      <c r="M535" s="298">
        <f t="shared" ref="M535:M555" ca="1" si="103">SUM(J535:L535)</f>
        <v>7.6351232456747853E-2</v>
      </c>
      <c r="N535" s="369">
        <f t="shared" ref="N535:N555" ca="1" si="104">M535/$M$556</f>
        <v>2.6623705441413327E-2</v>
      </c>
    </row>
    <row r="536" spans="1:38" x14ac:dyDescent="0.25">
      <c r="B536" s="978"/>
      <c r="C536" s="981"/>
      <c r="D536" s="388" t="s">
        <v>1446</v>
      </c>
      <c r="E536" s="548" t="s">
        <v>595</v>
      </c>
      <c r="F536" s="115">
        <f>F52*'Units CF'!$I$32*('Units CF'!$I$39*'Units CF'!$I$46+'Units CF'!$I$37)*('Units CF'!$I$48*('Units CF'!$I$52*'Units CF'!$I$59*'Units CF'!$I$64+'Units CF'!$I$53*'Units CF'!$I$61*'Units CF'!$I$64+'Units CF'!$I$54*'Units CF'!$I$58*'Units CF'!$I$63*'Units CF'!$I$64)+'Units CF'!$I$49*'Units CF'!$I$58*'Units CF'!$I$63*'Units CF'!$I$64)</f>
        <v>5.2341951512949745E-3</v>
      </c>
      <c r="G536" s="115">
        <f ca="1">G52*'Units CF'!$I$32*('Units CF'!$I$39*'Units CF'!$I$46+'Units CF'!$I$37)*('Units CF'!$I$48*('Units CF'!$I$52*'Units CF'!$I$59*'Units CF'!$I$64+'Units CF'!$I$53*'Units CF'!$I$61*'Units CF'!$I$64+'Units CF'!$I$54*'Units CF'!$I$58*'Units CF'!$I$63*'Units CF'!$I$64)+'Units CF'!$I$49*'Units CF'!$I$58*'Units CF'!$I$63*'Units CF'!$I$64)</f>
        <v>0.3491139694994792</v>
      </c>
      <c r="H536" s="115">
        <f>H52*'Units CF'!$I$32*('Units CF'!$I$39*'Units CF'!$I$46+'Units CF'!$I$37)*('Units CF'!$I$48*('Units CF'!$I$52*'Units CF'!$I$59*'Units CF'!$I$64+'Units CF'!$I$53*'Units CF'!$I$61*'Units CF'!$I$64+'Units CF'!$I$54*'Units CF'!$I$58*'Units CF'!$I$63*'Units CF'!$I$64)+'Units CF'!$I$49*'Units CF'!$I$58*'Units CF'!$I$63*'Units CF'!$I$64)</f>
        <v>3.2720882446264881</v>
      </c>
      <c r="I536" s="115">
        <f t="shared" ca="1" si="99"/>
        <v>3.6264364092772623</v>
      </c>
      <c r="J536" s="521">
        <f t="shared" si="100"/>
        <v>2.0863341642597953E-7</v>
      </c>
      <c r="K536" s="521">
        <f t="shared" ca="1" si="101"/>
        <v>1.3915575952625925E-5</v>
      </c>
      <c r="L536" s="521">
        <f t="shared" si="102"/>
        <v>1.304244357711451E-4</v>
      </c>
      <c r="M536" s="298">
        <f t="shared" ca="1" si="103"/>
        <v>1.44548645140197E-4</v>
      </c>
      <c r="N536" s="369">
        <f t="shared" ca="1" si="104"/>
        <v>5.0404170651051057E-5</v>
      </c>
    </row>
    <row r="537" spans="1:38" x14ac:dyDescent="0.25">
      <c r="B537" s="978"/>
      <c r="C537" s="981"/>
      <c r="D537" s="388" t="s">
        <v>1447</v>
      </c>
      <c r="E537" s="548" t="s">
        <v>596</v>
      </c>
      <c r="F537" s="115">
        <f>F53*'Units CF'!$I$32*('Units CF'!$I$39*'Units CF'!$I$46+'Units CF'!$I$37)*('Units CF'!$I$48*('Units CF'!$I$52*'Units CF'!$I$59*'Units CF'!$I$64+'Units CF'!$I$53*'Units CF'!$I$61*'Units CF'!$I$64+'Units CF'!$I$54*'Units CF'!$I$58*'Units CF'!$I$63*'Units CF'!$I$64)+'Units CF'!$I$49*'Units CF'!$I$58*'Units CF'!$I$63*'Units CF'!$I$64)</f>
        <v>46.999028678858096</v>
      </c>
      <c r="G537" s="115">
        <f ca="1">G53*'Units CF'!$I$32*('Units CF'!$I$39*'Units CF'!$I$46+'Units CF'!$I$37)*('Units CF'!$I$48*('Units CF'!$I$52*'Units CF'!$I$59*'Units CF'!$I$64+'Units CF'!$I$53*'Units CF'!$I$61*'Units CF'!$I$64+'Units CF'!$I$54*'Units CF'!$I$58*'Units CF'!$I$63*'Units CF'!$I$64)+'Units CF'!$I$49*'Units CF'!$I$58*'Units CF'!$I$63*'Units CF'!$I$64)</f>
        <v>454.7429655407978</v>
      </c>
      <c r="H537" s="115">
        <f>H53*'Units CF'!$I$32*('Units CF'!$I$39*'Units CF'!$I$46+'Units CF'!$I$37)*('Units CF'!$I$48*('Units CF'!$I$52*'Units CF'!$I$59*'Units CF'!$I$64+'Units CF'!$I$53*'Units CF'!$I$61*'Units CF'!$I$64+'Units CF'!$I$54*'Units CF'!$I$58*'Units CF'!$I$63*'Units CF'!$I$64)+'Units CF'!$I$49*'Units CF'!$I$58*'Units CF'!$I$63*'Units CF'!$I$64)</f>
        <v>24.083131939448069</v>
      </c>
      <c r="I537" s="115">
        <f t="shared" ca="1" si="99"/>
        <v>525.825126159104</v>
      </c>
      <c r="J537" s="521">
        <f t="shared" si="100"/>
        <v>1.8733668956815248E-3</v>
      </c>
      <c r="K537" s="521">
        <f t="shared" ca="1" si="101"/>
        <v>1.8125915399425933E-2</v>
      </c>
      <c r="L537" s="521">
        <f t="shared" si="102"/>
        <v>9.5994626671907167E-4</v>
      </c>
      <c r="M537" s="298">
        <f t="shared" ca="1" si="103"/>
        <v>2.0959228561826526E-2</v>
      </c>
      <c r="N537" s="369">
        <f t="shared" ca="1" si="104"/>
        <v>7.3084914225246397E-3</v>
      </c>
    </row>
    <row r="538" spans="1:38" x14ac:dyDescent="0.25">
      <c r="B538" s="978"/>
      <c r="C538" s="981"/>
      <c r="D538" s="388" t="s">
        <v>1448</v>
      </c>
      <c r="E538" s="548" t="s">
        <v>598</v>
      </c>
      <c r="F538" s="115">
        <f>F54*'Units CF'!$I$32*('Units CF'!$I$39*'Units CF'!$I$46+'Units CF'!$I$37)*('Units CF'!$I$48*('Units CF'!$I$52*'Units CF'!$I$59*'Units CF'!$I$64+'Units CF'!$I$53*'Units CF'!$I$61*'Units CF'!$I$64+'Units CF'!$I$54*'Units CF'!$I$58*'Units CF'!$I$63*'Units CF'!$I$64)+'Units CF'!$I$49*'Units CF'!$I$58*'Units CF'!$I$63*'Units CF'!$I$64)</f>
        <v>1442.9198521288392</v>
      </c>
      <c r="G538" s="115">
        <f ca="1">G54*'Units CF'!$I$32*('Units CF'!$I$39*'Units CF'!$I$46+'Units CF'!$I$37)*('Units CF'!$I$48*('Units CF'!$I$52*'Units CF'!$I$59*'Units CF'!$I$64+'Units CF'!$I$53*'Units CF'!$I$61*'Units CF'!$I$64+'Units CF'!$I$54*'Units CF'!$I$58*'Units CF'!$I$63*'Units CF'!$I$64)+'Units CF'!$I$49*'Units CF'!$I$58*'Units CF'!$I$63*'Units CF'!$I$64)</f>
        <v>351.09019023175017</v>
      </c>
      <c r="H538" s="115">
        <f>H54*'Units CF'!$I$32*('Units CF'!$I$39*'Units CF'!$I$46+'Units CF'!$I$37)*('Units CF'!$I$48*('Units CF'!$I$52*'Units CF'!$I$59*'Units CF'!$I$64+'Units CF'!$I$53*'Units CF'!$I$61*'Units CF'!$I$64+'Units CF'!$I$54*'Units CF'!$I$58*'Units CF'!$I$63*'Units CF'!$I$64)+'Units CF'!$I$49*'Units CF'!$I$58*'Units CF'!$I$63*'Units CF'!$I$64)</f>
        <v>524.59665454061053</v>
      </c>
      <c r="I538" s="115">
        <f t="shared" ca="1" si="99"/>
        <v>2318.6066969011999</v>
      </c>
      <c r="J538" s="521">
        <f t="shared" si="100"/>
        <v>5.7514343595696717E-2</v>
      </c>
      <c r="K538" s="521">
        <f t="shared" ca="1" si="101"/>
        <v>1.3994347506048716E-2</v>
      </c>
      <c r="L538" s="521">
        <f t="shared" si="102"/>
        <v>2.0910262059176121E-2</v>
      </c>
      <c r="M538" s="298">
        <f t="shared" ca="1" si="103"/>
        <v>9.2418953160921552E-2</v>
      </c>
      <c r="N538" s="369">
        <f t="shared" ca="1" si="104"/>
        <v>3.2226526108193695E-2</v>
      </c>
    </row>
    <row r="539" spans="1:38" x14ac:dyDescent="0.25">
      <c r="B539" s="978"/>
      <c r="C539" s="981"/>
      <c r="D539" s="388" t="s">
        <v>1449</v>
      </c>
      <c r="E539" s="548" t="s">
        <v>599</v>
      </c>
      <c r="F539" s="115">
        <f>F55*'Units CF'!$I$32*('Units CF'!$I$39*'Units CF'!$I$46+'Units CF'!$I$37)*('Units CF'!$I$48*('Units CF'!$I$52*'Units CF'!$I$59*'Units CF'!$I$64+'Units CF'!$I$53*'Units CF'!$I$61*'Units CF'!$I$64+'Units CF'!$I$54*'Units CF'!$I$58*'Units CF'!$I$63*'Units CF'!$I$64)+'Units CF'!$I$49*'Units CF'!$I$58*'Units CF'!$I$63*'Units CF'!$I$64)</f>
        <v>2944.5276025818976</v>
      </c>
      <c r="G539" s="115">
        <f ca="1">G55*'Units CF'!$I$32*('Units CF'!$I$39*'Units CF'!$I$46+'Units CF'!$I$37)*('Units CF'!$I$48*('Units CF'!$I$52*'Units CF'!$I$59*'Units CF'!$I$64+'Units CF'!$I$53*'Units CF'!$I$61*'Units CF'!$I$64+'Units CF'!$I$54*'Units CF'!$I$58*'Units CF'!$I$63*'Units CF'!$I$64)+'Units CF'!$I$49*'Units CF'!$I$58*'Units CF'!$I$63*'Units CF'!$I$64)</f>
        <v>13214.592970698985</v>
      </c>
      <c r="H539" s="115">
        <f>H55*'Units CF'!$I$32*('Units CF'!$I$39*'Units CF'!$I$46+'Units CF'!$I$37)*('Units CF'!$I$48*('Units CF'!$I$52*'Units CF'!$I$59*'Units CF'!$I$64+'Units CF'!$I$53*'Units CF'!$I$61*'Units CF'!$I$64+'Units CF'!$I$54*'Units CF'!$I$58*'Units CF'!$I$63*'Units CF'!$I$64)+'Units CF'!$I$49*'Units CF'!$I$58*'Units CF'!$I$63*'Units CF'!$I$64)</f>
        <v>2503.3770408708492</v>
      </c>
      <c r="I539" s="115">
        <f t="shared" ca="1" si="99"/>
        <v>18662.497614151729</v>
      </c>
      <c r="J539" s="521">
        <f t="shared" si="100"/>
        <v>0.11736796885291365</v>
      </c>
      <c r="K539" s="521">
        <f t="shared" ca="1" si="101"/>
        <v>0.52672963052849908</v>
      </c>
      <c r="L539" s="521">
        <f t="shared" si="102"/>
        <v>9.9783842509201581E-2</v>
      </c>
      <c r="M539" s="298">
        <f t="shared" ca="1" si="103"/>
        <v>0.74388144189061434</v>
      </c>
      <c r="N539" s="369">
        <f t="shared" ca="1" si="104"/>
        <v>0.25939175773552564</v>
      </c>
    </row>
    <row r="540" spans="1:38" x14ac:dyDescent="0.25">
      <c r="B540" s="978"/>
      <c r="C540" s="981"/>
      <c r="D540" s="388" t="s">
        <v>1450</v>
      </c>
      <c r="E540" s="548" t="s">
        <v>600</v>
      </c>
      <c r="F540" s="115">
        <f>F56*'Units CF'!$I$32*('Units CF'!$I$39*'Units CF'!$I$46+'Units CF'!$I$37)*('Units CF'!$I$48*('Units CF'!$I$52*'Units CF'!$I$59*'Units CF'!$I$64+'Units CF'!$I$53*'Units CF'!$I$61*'Units CF'!$I$64+'Units CF'!$I$54*'Units CF'!$I$58*'Units CF'!$I$63*'Units CF'!$I$64)+'Units CF'!$I$49*'Units CF'!$I$58*'Units CF'!$I$63*'Units CF'!$I$64)</f>
        <v>2414.5702316539587</v>
      </c>
      <c r="G540" s="115">
        <f ca="1">G56*'Units CF'!$I$32*('Units CF'!$I$39*'Units CF'!$I$46+'Units CF'!$I$37)*('Units CF'!$I$48*('Units CF'!$I$52*'Units CF'!$I$59*'Units CF'!$I$64+'Units CF'!$I$53*'Units CF'!$I$61*'Units CF'!$I$64+'Units CF'!$I$54*'Units CF'!$I$58*'Units CF'!$I$63*'Units CF'!$I$64)+'Units CF'!$I$49*'Units CF'!$I$58*'Units CF'!$I$63*'Units CF'!$I$64)</f>
        <v>0.11104217196285369</v>
      </c>
      <c r="H540" s="115">
        <f>H56*'Units CF'!$I$32*('Units CF'!$I$39*'Units CF'!$I$46+'Units CF'!$I$37)*('Units CF'!$I$48*('Units CF'!$I$52*'Units CF'!$I$59*'Units CF'!$I$64+'Units CF'!$I$53*'Units CF'!$I$61*'Units CF'!$I$64+'Units CF'!$I$54*'Units CF'!$I$58*'Units CF'!$I$63*'Units CF'!$I$64)+'Units CF'!$I$49*'Units CF'!$I$58*'Units CF'!$I$63*'Units CF'!$I$64)</f>
        <v>28.410365262408146</v>
      </c>
      <c r="I540" s="115">
        <f t="shared" ca="1" si="99"/>
        <v>2443.0916390883294</v>
      </c>
      <c r="J540" s="521">
        <f t="shared" si="100"/>
        <v>9.6244030279574247E-2</v>
      </c>
      <c r="K540" s="521">
        <f t="shared" ca="1" si="101"/>
        <v>4.426106981937727E-6</v>
      </c>
      <c r="L540" s="521">
        <f t="shared" si="102"/>
        <v>1.1324284623089982E-3</v>
      </c>
      <c r="M540" s="298">
        <f t="shared" ca="1" si="103"/>
        <v>9.7380884848865187E-2</v>
      </c>
      <c r="N540" s="369">
        <f t="shared" ca="1" si="104"/>
        <v>3.3956753681862038E-2</v>
      </c>
    </row>
    <row r="541" spans="1:38" x14ac:dyDescent="0.25">
      <c r="B541" s="978"/>
      <c r="C541" s="981"/>
      <c r="D541" s="388" t="s">
        <v>1451</v>
      </c>
      <c r="E541" s="548" t="s">
        <v>601</v>
      </c>
      <c r="F541" s="115">
        <f>F57*'Units CF'!$I$32*('Units CF'!$I$39*'Units CF'!$I$46+'Units CF'!$I$37)*('Units CF'!$I$48*('Units CF'!$I$52*'Units CF'!$I$59*'Units CF'!$I$64+'Units CF'!$I$53*'Units CF'!$I$61*'Units CF'!$I$64+'Units CF'!$I$54*'Units CF'!$I$58*'Units CF'!$I$63*'Units CF'!$I$64)+'Units CF'!$I$49*'Units CF'!$I$58*'Units CF'!$I$63*'Units CF'!$I$64)</f>
        <v>19992.186542633131</v>
      </c>
      <c r="G541" s="115">
        <f ca="1">G57*'Units CF'!$I$32*('Units CF'!$I$39*'Units CF'!$I$46+'Units CF'!$I$37)*('Units CF'!$I$48*('Units CF'!$I$52*'Units CF'!$I$59*'Units CF'!$I$64+'Units CF'!$I$53*'Units CF'!$I$61*'Units CF'!$I$64+'Units CF'!$I$54*'Units CF'!$I$58*'Units CF'!$I$63*'Units CF'!$I$64)+'Units CF'!$I$49*'Units CF'!$I$58*'Units CF'!$I$63*'Units CF'!$I$64)</f>
        <v>1691.8925764209987</v>
      </c>
      <c r="H541" s="115">
        <f>H57*'Units CF'!$I$32*('Units CF'!$I$39*'Units CF'!$I$46+'Units CF'!$I$37)*('Units CF'!$I$48*('Units CF'!$I$52*'Units CF'!$I$59*'Units CF'!$I$64+'Units CF'!$I$53*'Units CF'!$I$61*'Units CF'!$I$64+'Units CF'!$I$54*'Units CF'!$I$58*'Units CF'!$I$63*'Units CF'!$I$64)+'Units CF'!$I$49*'Units CF'!$I$58*'Units CF'!$I$63*'Units CF'!$I$64)</f>
        <v>14274.568900560349</v>
      </c>
      <c r="I541" s="115">
        <f t="shared" ca="1" si="99"/>
        <v>35958.648019614484</v>
      </c>
      <c r="J541" s="521">
        <f t="shared" si="100"/>
        <v>0.79688243553225169</v>
      </c>
      <c r="K541" s="521">
        <f t="shared" ca="1" si="101"/>
        <v>6.7438320169842109E-2</v>
      </c>
      <c r="L541" s="521">
        <f t="shared" si="102"/>
        <v>0.56897994661034557</v>
      </c>
      <c r="M541" s="298">
        <f t="shared" ca="1" si="103"/>
        <v>1.4333007023124393</v>
      </c>
      <c r="N541" s="369">
        <f t="shared" ca="1" si="104"/>
        <v>0.49979253090582837</v>
      </c>
    </row>
    <row r="542" spans="1:38" x14ac:dyDescent="0.25">
      <c r="B542" s="978"/>
      <c r="C542" s="981"/>
      <c r="D542" s="388" t="s">
        <v>1452</v>
      </c>
      <c r="E542" s="548" t="s">
        <v>602</v>
      </c>
      <c r="F542" s="115">
        <f>F58*'Units CF'!$I$32*('Units CF'!$I$39*'Units CF'!$I$46+'Units CF'!$I$37)*('Units CF'!$I$48*('Units CF'!$I$52*'Units CF'!$I$59*'Units CF'!$I$64+'Units CF'!$I$53*'Units CF'!$I$61*'Units CF'!$I$64+'Units CF'!$I$54*'Units CF'!$I$58*'Units CF'!$I$63*'Units CF'!$I$64)+'Units CF'!$I$49*'Units CF'!$I$58*'Units CF'!$I$63*'Units CF'!$I$64)</f>
        <v>45.353784706230861</v>
      </c>
      <c r="G542" s="115">
        <f ca="1">G58*'Units CF'!$I$32*('Units CF'!$I$39*'Units CF'!$I$46+'Units CF'!$I$37)*('Units CF'!$I$48*('Units CF'!$I$52*'Units CF'!$I$59*'Units CF'!$I$64+'Units CF'!$I$53*'Units CF'!$I$61*'Units CF'!$I$64+'Units CF'!$I$54*'Units CF'!$I$58*'Units CF'!$I$63*'Units CF'!$I$64)+'Units CF'!$I$49*'Units CF'!$I$58*'Units CF'!$I$63*'Units CF'!$I$64)</f>
        <v>9.4199587447555242</v>
      </c>
      <c r="H542" s="115">
        <f>H58*'Units CF'!$I$32*('Units CF'!$I$39*'Units CF'!$I$46+'Units CF'!$I$37)*('Units CF'!$I$48*('Units CF'!$I$52*'Units CF'!$I$59*'Units CF'!$I$64+'Units CF'!$I$53*'Units CF'!$I$61*'Units CF'!$I$64+'Units CF'!$I$54*'Units CF'!$I$58*'Units CF'!$I$63*'Units CF'!$I$64)+'Units CF'!$I$49*'Units CF'!$I$58*'Units CF'!$I$63*'Units CF'!$I$64)</f>
        <v>93.942198982437176</v>
      </c>
      <c r="I542" s="115">
        <f t="shared" ca="1" si="99"/>
        <v>148.71594243342355</v>
      </c>
      <c r="J542" s="521">
        <f t="shared" si="100"/>
        <v>1.8077879745787174E-3</v>
      </c>
      <c r="K542" s="521">
        <f t="shared" ca="1" si="101"/>
        <v>3.7547667190511496E-4</v>
      </c>
      <c r="L542" s="521">
        <f t="shared" si="102"/>
        <v>3.7445072936239309E-3</v>
      </c>
      <c r="M542" s="298">
        <f t="shared" ca="1" si="103"/>
        <v>5.9277719401077634E-3</v>
      </c>
      <c r="N542" s="369">
        <f t="shared" ca="1" si="104"/>
        <v>2.0670164577462086E-3</v>
      </c>
    </row>
    <row r="543" spans="1:38" x14ac:dyDescent="0.25">
      <c r="B543" s="978"/>
      <c r="C543" s="981"/>
      <c r="D543" s="388" t="s">
        <v>19</v>
      </c>
      <c r="E543" s="548" t="s">
        <v>603</v>
      </c>
      <c r="F543" s="115">
        <f>F59*'Units CF'!$I$32*('Units CF'!$I$39*'Units CF'!$I$46+'Units CF'!$I$37)*('Units CF'!$I$48*('Units CF'!$I$52*'Units CF'!$I$59*'Units CF'!$I$64+'Units CF'!$I$53*'Units CF'!$I$61*'Units CF'!$I$64+'Units CF'!$I$54*'Units CF'!$I$58*'Units CF'!$I$63*'Units CF'!$I$64)+'Units CF'!$I$49*'Units CF'!$I$58*'Units CF'!$I$63*'Units CF'!$I$64)</f>
        <v>716.39299143003063</v>
      </c>
      <c r="G543" s="115">
        <f ca="1">G59*'Units CF'!$I$32*('Units CF'!$I$39*'Units CF'!$I$46+'Units CF'!$I$37)*('Units CF'!$I$48*('Units CF'!$I$52*'Units CF'!$I$59*'Units CF'!$I$64+'Units CF'!$I$53*'Units CF'!$I$61*'Units CF'!$I$64+'Units CF'!$I$54*'Units CF'!$I$58*'Units CF'!$I$63*'Units CF'!$I$64)+'Units CF'!$I$49*'Units CF'!$I$58*'Units CF'!$I$63*'Units CF'!$I$64)</f>
        <v>50.245494622521228</v>
      </c>
      <c r="H543" s="115">
        <f>H59*'Units CF'!$I$32*('Units CF'!$I$39*'Units CF'!$I$46+'Units CF'!$I$37)*('Units CF'!$I$48*('Units CF'!$I$52*'Units CF'!$I$59*'Units CF'!$I$64+'Units CF'!$I$53*'Units CF'!$I$61*'Units CF'!$I$64+'Units CF'!$I$54*'Units CF'!$I$58*'Units CF'!$I$63*'Units CF'!$I$64)+'Units CF'!$I$49*'Units CF'!$I$58*'Units CF'!$I$63*'Units CF'!$I$64)</f>
        <v>592.61643439850661</v>
      </c>
      <c r="I543" s="115">
        <f t="shared" ca="1" si="99"/>
        <v>1359.2549204510585</v>
      </c>
      <c r="J543" s="521">
        <f t="shared" si="100"/>
        <v>2.8555205334424051E-2</v>
      </c>
      <c r="K543" s="521">
        <f t="shared" ca="1" si="101"/>
        <v>2.002770034379832E-3</v>
      </c>
      <c r="L543" s="521">
        <f t="shared" si="102"/>
        <v>2.362150966193027E-2</v>
      </c>
      <c r="M543" s="298">
        <f t="shared" ca="1" si="103"/>
        <v>5.4179485030734151E-2</v>
      </c>
      <c r="N543" s="369">
        <f t="shared" ca="1" si="104"/>
        <v>1.8892408203664113E-2</v>
      </c>
    </row>
    <row r="544" spans="1:38" x14ac:dyDescent="0.25">
      <c r="B544" s="978"/>
      <c r="C544" s="981"/>
      <c r="D544" s="388" t="s">
        <v>1453</v>
      </c>
      <c r="E544" s="548" t="s">
        <v>604</v>
      </c>
      <c r="F544" s="115">
        <f>F60*'Units CF'!$I$32*('Units CF'!$I$39*'Units CF'!$I$46+'Units CF'!$I$37)*('Units CF'!$I$48*('Units CF'!$I$52*'Units CF'!$I$59*'Units CF'!$I$64+'Units CF'!$I$53*'Units CF'!$I$61*'Units CF'!$I$64+'Units CF'!$I$54*'Units CF'!$I$58*'Units CF'!$I$63*'Units CF'!$I$64)+'Units CF'!$I$49*'Units CF'!$I$58*'Units CF'!$I$63*'Units CF'!$I$64)</f>
        <v>24.764924432152874</v>
      </c>
      <c r="G544" s="115">
        <f ca="1">G60*'Units CF'!$I$32*('Units CF'!$I$39*'Units CF'!$I$46+'Units CF'!$I$37)*('Units CF'!$I$48*('Units CF'!$I$52*'Units CF'!$I$59*'Units CF'!$I$64+'Units CF'!$I$53*'Units CF'!$I$61*'Units CF'!$I$64+'Units CF'!$I$54*'Units CF'!$I$58*'Units CF'!$I$63*'Units CF'!$I$64)+'Units CF'!$I$49*'Units CF'!$I$58*'Units CF'!$I$63*'Units CF'!$I$64)</f>
        <v>62.692763238107844</v>
      </c>
      <c r="H544" s="115">
        <f>H60*'Units CF'!$I$32*('Units CF'!$I$39*'Units CF'!$I$46+'Units CF'!$I$37)*('Units CF'!$I$48*('Units CF'!$I$52*'Units CF'!$I$59*'Units CF'!$I$64+'Units CF'!$I$53*'Units CF'!$I$61*'Units CF'!$I$64+'Units CF'!$I$54*'Units CF'!$I$58*'Units CF'!$I$63*'Units CF'!$I$64)+'Units CF'!$I$49*'Units CF'!$I$58*'Units CF'!$I$63*'Units CF'!$I$64)</f>
        <v>346.90270050487203</v>
      </c>
      <c r="I544" s="115">
        <f t="shared" ca="1" si="99"/>
        <v>434.36038817513275</v>
      </c>
      <c r="J544" s="521">
        <f t="shared" si="100"/>
        <v>9.8712230676629769E-4</v>
      </c>
      <c r="K544" s="521">
        <f t="shared" ca="1" si="101"/>
        <v>2.4989143510087629E-3</v>
      </c>
      <c r="L544" s="521">
        <f t="shared" si="102"/>
        <v>1.3827435447419963E-2</v>
      </c>
      <c r="M544" s="298">
        <f t="shared" ca="1" si="103"/>
        <v>1.7313472105195023E-2</v>
      </c>
      <c r="N544" s="369">
        <f t="shared" ca="1" si="104"/>
        <v>6.0372146809543788E-3</v>
      </c>
    </row>
    <row r="545" spans="2:14" x14ac:dyDescent="0.25">
      <c r="B545" s="978"/>
      <c r="C545" s="981"/>
      <c r="D545" s="388" t="s">
        <v>1454</v>
      </c>
      <c r="E545" s="548" t="s">
        <v>605</v>
      </c>
      <c r="F545" s="115">
        <f>F61*'Units CF'!$I$32*('Units CF'!$I$39*'Units CF'!$I$46+'Units CF'!$I$37)*('Units CF'!$I$48*('Units CF'!$I$52*'Units CF'!$I$59*'Units CF'!$I$64+'Units CF'!$I$53*'Units CF'!$I$61*'Units CF'!$I$64+'Units CF'!$I$54*'Units CF'!$I$58*'Units CF'!$I$63*'Units CF'!$I$64)+'Units CF'!$I$49*'Units CF'!$I$58*'Units CF'!$I$63*'Units CF'!$I$64)</f>
        <v>7.9038187485187796</v>
      </c>
      <c r="G545" s="115">
        <f ca="1">G61*'Units CF'!$I$32*('Units CF'!$I$39*'Units CF'!$I$46+'Units CF'!$I$37)*('Units CF'!$I$48*('Units CF'!$I$52*'Units CF'!$I$59*'Units CF'!$I$64+'Units CF'!$I$53*'Units CF'!$I$61*'Units CF'!$I$64+'Units CF'!$I$54*'Units CF'!$I$58*'Units CF'!$I$63*'Units CF'!$I$64)+'Units CF'!$I$49*'Units CF'!$I$58*'Units CF'!$I$63*'Units CF'!$I$64)</f>
        <v>11.273450199602847</v>
      </c>
      <c r="H545" s="115">
        <f>H61*'Units CF'!$I$32*('Units CF'!$I$39*'Units CF'!$I$46+'Units CF'!$I$37)*('Units CF'!$I$48*('Units CF'!$I$52*'Units CF'!$I$59*'Units CF'!$I$64+'Units CF'!$I$53*'Units CF'!$I$61*'Units CF'!$I$64+'Units CF'!$I$54*'Units CF'!$I$58*'Units CF'!$I$63*'Units CF'!$I$64)+'Units CF'!$I$49*'Units CF'!$I$58*'Units CF'!$I$63*'Units CF'!$I$64)</f>
        <v>136.81227687161748</v>
      </c>
      <c r="I545" s="115">
        <f t="shared" ca="1" si="99"/>
        <v>155.98954581973911</v>
      </c>
      <c r="J545" s="521">
        <f t="shared" si="100"/>
        <v>3.1504379577960696E-4</v>
      </c>
      <c r="K545" s="521">
        <f t="shared" ca="1" si="101"/>
        <v>4.493562738999859E-4</v>
      </c>
      <c r="L545" s="521">
        <f t="shared" si="102"/>
        <v>5.4532954747934263E-3</v>
      </c>
      <c r="M545" s="298">
        <f t="shared" ca="1" si="103"/>
        <v>6.2176955444730193E-3</v>
      </c>
      <c r="N545" s="369">
        <f t="shared" ca="1" si="104"/>
        <v>2.1681129351017779E-3</v>
      </c>
    </row>
    <row r="546" spans="2:14" x14ac:dyDescent="0.25">
      <c r="B546" s="978"/>
      <c r="C546" s="981"/>
      <c r="D546" s="388" t="s">
        <v>1455</v>
      </c>
      <c r="E546" s="548" t="s">
        <v>636</v>
      </c>
      <c r="F546" s="115">
        <f>'Units CF'!L35*('Units CF'!$I$39*'Units CF'!$I$46+'Units CF'!$I$37)*('Units CF'!$I$48*('Units CF'!$I$52*'Units CF'!$I$59*'Units CF'!$I$64+'Units CF'!$I$53*'Units CF'!$I$61*'Units CF'!$I$64+'Units CF'!$I$54*'Units CF'!$I$58*'Units CF'!$I$63*'Units CF'!$I$64)+'Units CF'!$I$49*'Units CF'!$I$58*'Units CF'!$I$63*'Units CF'!$I$64)</f>
        <v>311.72667059000509</v>
      </c>
      <c r="G546" s="115">
        <f ca="1">'Units CF'!M35*('Units CF'!$I$39*'Units CF'!$I$46+'Units CF'!$I$37)*('Units CF'!$I$48*('Units CF'!$I$52*'Units CF'!$I$59*'Units CF'!$I$64+'Units CF'!$I$53*'Units CF'!$I$61*'Units CF'!$I$64+'Units CF'!$I$54*'Units CF'!$I$58*'Units CF'!$I$63*'Units CF'!$I$64)+'Units CF'!$I$49*'Units CF'!$I$58*'Units CF'!$I$63*'Units CF'!$I$64)</f>
        <v>883.11924270766292</v>
      </c>
      <c r="H546" s="115">
        <f>'Units CF'!N35*('Units CF'!$I$39*'Units CF'!$I$46+'Units CF'!$I$37)*('Units CF'!$I$48*('Units CF'!$I$52*'Units CF'!$I$59*'Units CF'!$I$64+'Units CF'!$I$53*'Units CF'!$I$61*'Units CF'!$I$64+'Units CF'!$I$54*'Units CF'!$I$58*'Units CF'!$I$63*'Units CF'!$I$64)+'Units CF'!$I$49*'Units CF'!$I$58*'Units CF'!$I$63*'Units CF'!$I$64)</f>
        <v>1244.5308815265062</v>
      </c>
      <c r="I546" s="115">
        <f t="shared" ca="1" si="99"/>
        <v>2439.3767948241739</v>
      </c>
      <c r="J546" s="521">
        <f t="shared" si="100"/>
        <v>1.242532966318579E-2</v>
      </c>
      <c r="K546" s="521">
        <f t="shared" ca="1" si="101"/>
        <v>3.5200862671702124E-2</v>
      </c>
      <c r="L546" s="521">
        <f t="shared" si="102"/>
        <v>4.9606619958805255E-2</v>
      </c>
      <c r="M546" s="298">
        <f t="shared" ca="1" si="103"/>
        <v>9.7232812293693169E-2</v>
      </c>
      <c r="N546" s="369">
        <f t="shared" ca="1" si="104"/>
        <v>3.3905120722366712E-2</v>
      </c>
    </row>
    <row r="547" spans="2:14" x14ac:dyDescent="0.25">
      <c r="B547" s="978"/>
      <c r="C547" s="981"/>
      <c r="D547" s="388" t="s">
        <v>1459</v>
      </c>
      <c r="E547" s="548" t="s">
        <v>641</v>
      </c>
      <c r="F547" s="115">
        <f>'Units CF'!L45*'Units CF'!$I$46*('Units CF'!$I$48*('Units CF'!$I$52*'Units CF'!$I$59*'Units CF'!$I$64+'Units CF'!$I$53*'Units CF'!$I$61*'Units CF'!$I$64+'Units CF'!$I$54*'Units CF'!$I$58*'Units CF'!$I$63*'Units CF'!$I$64)+'Units CF'!$I$49*'Units CF'!$I$58*'Units CF'!$I$63*'Units CF'!$I$64)</f>
        <v>4.6291099189508991</v>
      </c>
      <c r="G547" s="115">
        <f ca="1">'Units CF'!M45*'Units CF'!$I$46*('Units CF'!$I$48*('Units CF'!$I$52*'Units CF'!$I$59*'Units CF'!$I$64+'Units CF'!$I$53*'Units CF'!$I$61*'Units CF'!$I$64+'Units CF'!$I$54*'Units CF'!$I$58*'Units CF'!$I$63*'Units CF'!$I$64)+'Units CF'!$I$49*'Units CF'!$I$58*'Units CF'!$I$63*'Units CF'!$I$64)</f>
        <v>9.6438238883504575</v>
      </c>
      <c r="H547" s="115">
        <f>'Units CF'!N45*'Units CF'!$I$46*('Units CF'!$I$48*('Units CF'!$I$52*'Units CF'!$I$59*'Units CF'!$I$64+'Units CF'!$I$53*'Units CF'!$I$61*'Units CF'!$I$64+'Units CF'!$I$54*'Units CF'!$I$58*'Units CF'!$I$63*'Units CF'!$I$64)+'Units CF'!$I$49*'Units CF'!$I$58*'Units CF'!$I$63*'Units CF'!$I$64)</f>
        <v>65.740053793112182</v>
      </c>
      <c r="I547" s="115">
        <f t="shared" ca="1" si="99"/>
        <v>80.012987600413538</v>
      </c>
      <c r="J547" s="521">
        <f t="shared" si="100"/>
        <v>1.8451490429491785E-4</v>
      </c>
      <c r="K547" s="521">
        <f t="shared" ca="1" si="101"/>
        <v>3.8439986799866302E-4</v>
      </c>
      <c r="L547" s="521">
        <f t="shared" si="102"/>
        <v>2.6203784196871882E-3</v>
      </c>
      <c r="M547" s="298">
        <f t="shared" ca="1" si="103"/>
        <v>3.1892931919807691E-3</v>
      </c>
      <c r="N547" s="369">
        <f t="shared" ca="1" si="104"/>
        <v>1.1121078177448143E-3</v>
      </c>
    </row>
    <row r="548" spans="2:14" x14ac:dyDescent="0.25">
      <c r="B548" s="978"/>
      <c r="C548" s="981"/>
      <c r="D548" s="388" t="s">
        <v>1460</v>
      </c>
      <c r="E548" s="548" t="s">
        <v>1443</v>
      </c>
      <c r="F548" s="115">
        <f>'Units CF'!L47*('Units CF'!$I$48*('Units CF'!$I$52*'Units CF'!$I$59*'Units CF'!$I$64+'Units CF'!$I$53*'Units CF'!$I$61*'Units CF'!$I$64+'Units CF'!$I$54*'Units CF'!$I$58*'Units CF'!$I$63*'Units CF'!$I$64)+'Units CF'!$I$49*'Units CF'!$I$58*'Units CF'!$I$63*'Units CF'!$I$64)</f>
        <v>93.288636793396179</v>
      </c>
      <c r="G548" s="115">
        <f ca="1">'Units CF'!M47*('Units CF'!$I$48*('Units CF'!$I$52*'Units CF'!$I$59*'Units CF'!$I$64+'Units CF'!$I$53*'Units CF'!$I$61*'Units CF'!$I$64+'Units CF'!$I$54*'Units CF'!$I$58*'Units CF'!$I$63*'Units CF'!$I$64)+'Units CF'!$I$49*'Units CF'!$I$58*'Units CF'!$I$63*'Units CF'!$I$64)</f>
        <v>92.044923286686526</v>
      </c>
      <c r="H548" s="115">
        <f>'Units CF'!N47*('Units CF'!$I$48*('Units CF'!$I$52*'Units CF'!$I$59*'Units CF'!$I$64+'Units CF'!$I$53*'Units CF'!$I$61*'Units CF'!$I$64+'Units CF'!$I$54*'Units CF'!$I$58*'Units CF'!$I$63*'Units CF'!$I$64)+'Units CF'!$I$49*'Units CF'!$I$58*'Units CF'!$I$63*'Units CF'!$I$64)</f>
        <v>461.71182535267923</v>
      </c>
      <c r="I548" s="115">
        <f t="shared" ca="1" si="99"/>
        <v>647.04538543276192</v>
      </c>
      <c r="J548" s="521">
        <f t="shared" si="100"/>
        <v>3.7184565048388146E-3</v>
      </c>
      <c r="K548" s="521">
        <f t="shared" ca="1" si="101"/>
        <v>3.6688824651899925E-3</v>
      </c>
      <c r="L548" s="521">
        <f t="shared" si="102"/>
        <v>1.8403692018203095E-2</v>
      </c>
      <c r="M548" s="298">
        <f t="shared" ca="1" si="103"/>
        <v>2.5791030988231902E-2</v>
      </c>
      <c r="N548" s="369">
        <f t="shared" ca="1" si="104"/>
        <v>8.9933428703987302E-3</v>
      </c>
    </row>
    <row r="549" spans="2:14" x14ac:dyDescent="0.25">
      <c r="B549" s="978"/>
      <c r="C549" s="981"/>
      <c r="D549" s="388" t="s">
        <v>1462</v>
      </c>
      <c r="E549" s="548" t="s">
        <v>654</v>
      </c>
      <c r="F549" s="115">
        <f>'Units CF'!L51*('Units CF'!$I$52*'Units CF'!$I$59*'Units CF'!$I$64+'Units CF'!$I$53*'Units CF'!$I$61*'Units CF'!$I$64+'Units CF'!$I$54*'Units CF'!$I$58*'Units CF'!$I$63*'Units CF'!$I$64)</f>
        <v>59.784788324353357</v>
      </c>
      <c r="G549" s="115">
        <f ca="1">'Units CF'!M51*('Units CF'!$I$52*'Units CF'!$I$59*'Units CF'!$I$64+'Units CF'!$I$53*'Units CF'!$I$61*'Units CF'!$I$64+'Units CF'!$I$54*'Units CF'!$I$58*'Units CF'!$I$63*'Units CF'!$I$64)</f>
        <v>4.790018716853079</v>
      </c>
      <c r="H549" s="115">
        <f>'Units CF'!N51*('Units CF'!$I$52*'Units CF'!$I$59*'Units CF'!$I$64+'Units CF'!$I$53*'Units CF'!$I$61*'Units CF'!$I$64+'Units CF'!$I$54*'Units CF'!$I$58*'Units CF'!$I$63*'Units CF'!$I$64)</f>
        <v>1818.163645715367</v>
      </c>
      <c r="I549" s="115">
        <f t="shared" ca="1" si="99"/>
        <v>1882.7384527565735</v>
      </c>
      <c r="J549" s="521">
        <f t="shared" si="100"/>
        <v>2.3830033611429114E-3</v>
      </c>
      <c r="K549" s="521">
        <f t="shared" ca="1" si="101"/>
        <v>1.9092867972150346E-4</v>
      </c>
      <c r="L549" s="521">
        <f t="shared" si="102"/>
        <v>7.2471446337506656E-2</v>
      </c>
      <c r="M549" s="298">
        <f t="shared" ca="1" si="103"/>
        <v>7.5045378378371067E-2</v>
      </c>
      <c r="N549" s="369">
        <f t="shared" ca="1" si="104"/>
        <v>2.6168353599491632E-2</v>
      </c>
    </row>
    <row r="550" spans="2:14" x14ac:dyDescent="0.25">
      <c r="B550" s="978"/>
      <c r="C550" s="981"/>
      <c r="D550" s="388" t="s">
        <v>1465</v>
      </c>
      <c r="E550" s="548" t="s">
        <v>642</v>
      </c>
      <c r="F550" s="115">
        <f>'Units CF'!L59*'Units CF'!$I$59*'Units CF'!$I$64</f>
        <v>104.60782025184984</v>
      </c>
      <c r="G550" s="115">
        <f ca="1">'Units CF'!M59*'Units CF'!$I$59*'Units CF'!$I$64</f>
        <v>243.1302037806179</v>
      </c>
      <c r="H550" s="115">
        <f>'Units CF'!N59*'Units CF'!$I$59*'Units CF'!$I$64</f>
        <v>22.7350359728187</v>
      </c>
      <c r="I550" s="115">
        <f t="shared" ca="1" si="99"/>
        <v>370.47306000528647</v>
      </c>
      <c r="J550" s="521">
        <f t="shared" si="100"/>
        <v>4.1696356924366173E-3</v>
      </c>
      <c r="K550" s="521">
        <f t="shared" ca="1" si="101"/>
        <v>9.6910954950820277E-3</v>
      </c>
      <c r="L550" s="521">
        <f t="shared" si="102"/>
        <v>9.0621157417166375E-4</v>
      </c>
      <c r="M550" s="298">
        <f t="shared" ca="1" si="103"/>
        <v>1.4766942761690308E-2</v>
      </c>
      <c r="N550" s="369">
        <f t="shared" ca="1" si="104"/>
        <v>5.1492388754846765E-3</v>
      </c>
    </row>
    <row r="551" spans="2:14" x14ac:dyDescent="0.25">
      <c r="B551" s="978"/>
      <c r="C551" s="981"/>
      <c r="D551" s="388" t="s">
        <v>1466</v>
      </c>
      <c r="E551" s="548" t="s">
        <v>644</v>
      </c>
      <c r="F551" s="115">
        <f>'Units CF'!L61*'Units CF'!$I$61*'Units CF'!$I$64</f>
        <v>67.783378402821313</v>
      </c>
      <c r="G551" s="115">
        <f ca="1">'Units CF'!M61*'Units CF'!$I$61*'Units CF'!$I$64</f>
        <v>97.756523853766609</v>
      </c>
      <c r="H551" s="115">
        <f>'Units CF'!N61*'Units CF'!$I$61*'Units CF'!$I$64</f>
        <v>489.01411033335006</v>
      </c>
      <c r="I551" s="115">
        <f t="shared" ca="1" si="99"/>
        <v>654.554012589938</v>
      </c>
      <c r="J551" s="521">
        <f t="shared" si="100"/>
        <v>2.7018247131226606E-3</v>
      </c>
      <c r="K551" s="521">
        <f t="shared" ca="1" si="101"/>
        <v>3.8965451153446513E-3</v>
      </c>
      <c r="L551" s="521">
        <f t="shared" si="102"/>
        <v>1.9491952739690292E-2</v>
      </c>
      <c r="M551" s="298">
        <f t="shared" ca="1" si="103"/>
        <v>2.6090322568157603E-2</v>
      </c>
      <c r="N551" s="369">
        <f t="shared" ca="1" si="104"/>
        <v>9.0977059645969936E-3</v>
      </c>
    </row>
    <row r="552" spans="2:14" x14ac:dyDescent="0.25">
      <c r="B552" s="978"/>
      <c r="C552" s="981"/>
      <c r="D552" s="388" t="s">
        <v>1464</v>
      </c>
      <c r="E552" s="548" t="s">
        <v>655</v>
      </c>
      <c r="F552" s="115">
        <f>'Units CF'!L56*'Units CF'!$I$56*'Units CF'!$I$58*'Units CF'!$I$63*'Units CF'!$I$64</f>
        <v>2.7163655387990056</v>
      </c>
      <c r="G552" s="115">
        <f ca="1">'Units CF'!M56*'Units CF'!$I$56*'Units CF'!$I$58*'Units CF'!$I$63*'Units CF'!$I$64</f>
        <v>0.22097127319786156</v>
      </c>
      <c r="H552" s="115">
        <f>'Units CF'!N56*'Units CF'!$I$56*'Units CF'!$I$58*'Units CF'!$I$63*'Units CF'!$I$64</f>
        <v>186.221876754687</v>
      </c>
      <c r="I552" s="115">
        <f t="shared" ca="1" si="99"/>
        <v>189.15921356668386</v>
      </c>
      <c r="J552" s="521">
        <f t="shared" si="100"/>
        <v>1.082734988360573E-4</v>
      </c>
      <c r="K552" s="521">
        <f t="shared" ca="1" si="101"/>
        <v>8.8078473053994562E-6</v>
      </c>
      <c r="L552" s="521">
        <f t="shared" si="102"/>
        <v>7.4227470007448585E-3</v>
      </c>
      <c r="M552" s="298">
        <f t="shared" ca="1" si="103"/>
        <v>7.539828346886315E-3</v>
      </c>
      <c r="N552" s="369">
        <f t="shared" ca="1" si="104"/>
        <v>2.6291411746370385E-3</v>
      </c>
    </row>
    <row r="553" spans="2:14" x14ac:dyDescent="0.25">
      <c r="B553" s="978"/>
      <c r="C553" s="981"/>
      <c r="D553" s="388" t="s">
        <v>1467</v>
      </c>
      <c r="E553" s="548" t="s">
        <v>656</v>
      </c>
      <c r="F553" s="115">
        <f>'Units CF'!L58*'Units CF'!$I$58*'Units CF'!$I$63*'Units CF'!$I$64</f>
        <v>3.3396192193686582</v>
      </c>
      <c r="G553" s="115">
        <f ca="1">'Units CF'!M58*'Units CF'!$I$58*'Units CF'!$I$63*'Units CF'!$I$64</f>
        <v>0.27507035033746458</v>
      </c>
      <c r="H553" s="115">
        <f>'Units CF'!N58*'Units CF'!$I$58*'Units CF'!$I$63*'Units CF'!$I$64</f>
        <v>81.231683073707899</v>
      </c>
      <c r="I553" s="115">
        <f t="shared" ca="1" si="99"/>
        <v>84.846372643414028</v>
      </c>
      <c r="J553" s="521">
        <f t="shared" si="100"/>
        <v>1.3311619975162062E-4</v>
      </c>
      <c r="K553" s="521">
        <f t="shared" ca="1" si="101"/>
        <v>1.0964219959242051E-5</v>
      </c>
      <c r="L553" s="521">
        <f t="shared" si="102"/>
        <v>3.2378700204762395E-3</v>
      </c>
      <c r="M553" s="298">
        <f t="shared" ca="1" si="103"/>
        <v>3.3819504401871024E-3</v>
      </c>
      <c r="N553" s="369">
        <f t="shared" ca="1" si="104"/>
        <v>1.179287477618731E-3</v>
      </c>
    </row>
    <row r="554" spans="2:14" x14ac:dyDescent="0.25">
      <c r="B554" s="978"/>
      <c r="C554" s="981"/>
      <c r="D554" s="388" t="s">
        <v>1468</v>
      </c>
      <c r="E554" s="548" t="s">
        <v>643</v>
      </c>
      <c r="F554" s="115">
        <f>'Units CF'!L62*'Units CF'!$I$63*'Units CF'!$I$64</f>
        <v>12.479625187308182</v>
      </c>
      <c r="G554" s="115">
        <f ca="1">'Units CF'!M62*'Units CF'!$I$63*'Units CF'!$I$64</f>
        <v>27.210813542598228</v>
      </c>
      <c r="H554" s="115">
        <f>'Units CF'!N62*'Units CF'!$I$63*'Units CF'!$I$64</f>
        <v>2.5016649076395465</v>
      </c>
      <c r="I554" s="115">
        <f t="shared" ca="1" si="99"/>
        <v>42.192103637545955</v>
      </c>
      <c r="J554" s="521">
        <f t="shared" si="100"/>
        <v>4.9743403967267947E-4</v>
      </c>
      <c r="K554" s="521">
        <f t="shared" ca="1" si="101"/>
        <v>1.084614697967085E-3</v>
      </c>
      <c r="L554" s="521">
        <f t="shared" si="102"/>
        <v>9.9715597402724271E-5</v>
      </c>
      <c r="M554" s="298">
        <f t="shared" ca="1" si="103"/>
        <v>1.6817643350424886E-3</v>
      </c>
      <c r="N554" s="369">
        <f t="shared" ca="1" si="104"/>
        <v>5.864318994904242E-4</v>
      </c>
    </row>
    <row r="555" spans="2:14" x14ac:dyDescent="0.25">
      <c r="B555" s="978"/>
      <c r="C555" s="981"/>
      <c r="D555" s="388" t="s">
        <v>1469</v>
      </c>
      <c r="E555" s="548" t="s">
        <v>1444</v>
      </c>
      <c r="F555" s="115">
        <f>'Units CF'!L64*'Units CF'!$I$64</f>
        <v>61.271494756223383</v>
      </c>
      <c r="G555" s="115">
        <f ca="1">'Units CF'!M64*'Units CF'!$I$64</f>
        <v>4.7837349625683974</v>
      </c>
      <c r="H555" s="115">
        <f>'Units CF'!N64*'Units CF'!$I$64</f>
        <v>178.19559814536353</v>
      </c>
      <c r="I555" s="115">
        <f t="shared" ca="1" si="99"/>
        <v>244.25082786415533</v>
      </c>
      <c r="J555" s="521">
        <f t="shared" si="100"/>
        <v>2.4422630244030365E-3</v>
      </c>
      <c r="K555" s="521">
        <f t="shared" ca="1" si="101"/>
        <v>1.9067821119931431E-4</v>
      </c>
      <c r="L555" s="521">
        <f t="shared" si="102"/>
        <v>7.1028219924012884E-3</v>
      </c>
      <c r="M555" s="298">
        <f t="shared" ca="1" si="103"/>
        <v>9.7357632280036382E-3</v>
      </c>
      <c r="N555" s="369">
        <f t="shared" ca="1" si="104"/>
        <v>3.3948645501766777E-3</v>
      </c>
    </row>
    <row r="556" spans="2:14" x14ac:dyDescent="0.25">
      <c r="B556" s="978"/>
      <c r="C556" s="981"/>
      <c r="D556" s="524"/>
      <c r="E556" s="523" t="s">
        <v>410</v>
      </c>
      <c r="F556" s="135">
        <f t="shared" ref="F556:N556" si="105">SUM(F534:F555)</f>
        <v>30586.855058026234</v>
      </c>
      <c r="G556" s="135">
        <f t="shared" ca="1" si="105"/>
        <v>18065.936153704133</v>
      </c>
      <c r="H556" s="135">
        <f t="shared" si="105"/>
        <v>23294.358447434643</v>
      </c>
      <c r="I556" s="135">
        <f t="shared" ca="1" si="105"/>
        <v>71947.149659165021</v>
      </c>
      <c r="J556" s="526">
        <f t="shared" si="105"/>
        <v>1.2191826792899483</v>
      </c>
      <c r="K556" s="526">
        <f t="shared" ca="1" si="105"/>
        <v>0.72010268469802841</v>
      </c>
      <c r="L556" s="526">
        <f t="shared" si="105"/>
        <v>0.92850599678868961</v>
      </c>
      <c r="M556" s="974">
        <f t="shared" ca="1" si="105"/>
        <v>2.8677913607766659</v>
      </c>
      <c r="N556" s="972">
        <f t="shared" ca="1" si="105"/>
        <v>1.0000000000000002</v>
      </c>
    </row>
    <row r="557" spans="2:14" x14ac:dyDescent="0.25">
      <c r="B557" s="979"/>
      <c r="C557" s="982"/>
      <c r="D557" s="525"/>
      <c r="E557" s="523" t="s">
        <v>309</v>
      </c>
      <c r="F557" s="135"/>
      <c r="G557" s="135"/>
      <c r="H557" s="135"/>
      <c r="I557" s="135"/>
      <c r="J557" s="527">
        <f ca="1">J556/M556</f>
        <v>0.42512949022894214</v>
      </c>
      <c r="K557" s="527">
        <f ca="1">K556/M556</f>
        <v>0.25110009554635365</v>
      </c>
      <c r="L557" s="527">
        <f ca="1">L556/M556</f>
        <v>0.32377041422470432</v>
      </c>
      <c r="M557" s="975"/>
      <c r="N557" s="973"/>
    </row>
    <row r="583" spans="1:38" ht="27.6" x14ac:dyDescent="0.25">
      <c r="A583" s="531"/>
      <c r="B583" s="532" t="s">
        <v>1394</v>
      </c>
      <c r="C583" s="533"/>
      <c r="D583" s="534" t="s">
        <v>1478</v>
      </c>
      <c r="E583" s="534"/>
      <c r="F583" s="535"/>
      <c r="G583" s="533"/>
      <c r="H583" s="533"/>
      <c r="I583" s="533"/>
      <c r="J583" s="533"/>
      <c r="K583" s="533"/>
      <c r="L583" s="533"/>
      <c r="M583" s="533"/>
      <c r="N583" s="533"/>
      <c r="O583" s="533"/>
      <c r="P583" s="533"/>
      <c r="Q583" s="533"/>
      <c r="R583" s="533"/>
      <c r="S583" s="533"/>
      <c r="T583" s="533"/>
      <c r="U583" s="533"/>
      <c r="V583" s="533"/>
      <c r="W583" s="533"/>
      <c r="X583" s="533"/>
      <c r="Y583" s="533"/>
      <c r="Z583" s="533"/>
      <c r="AA583" s="533"/>
      <c r="AB583" s="533"/>
      <c r="AC583" s="533"/>
      <c r="AD583" s="533"/>
      <c r="AE583" s="533"/>
      <c r="AF583" s="533"/>
      <c r="AG583" s="533"/>
      <c r="AH583" s="533"/>
      <c r="AI583" s="533"/>
      <c r="AJ583" s="533"/>
      <c r="AK583" s="533"/>
      <c r="AL583" s="533"/>
    </row>
    <row r="586" spans="1:38" ht="27.6" x14ac:dyDescent="0.25">
      <c r="B586" s="976" t="s">
        <v>425</v>
      </c>
      <c r="C586" s="523" t="s">
        <v>408</v>
      </c>
      <c r="D586" s="976" t="s">
        <v>411</v>
      </c>
      <c r="E586" s="976" t="s">
        <v>411</v>
      </c>
      <c r="F586" s="522" t="s">
        <v>479</v>
      </c>
      <c r="G586" s="522" t="s">
        <v>480</v>
      </c>
      <c r="H586" s="522" t="s">
        <v>481</v>
      </c>
      <c r="I586" s="522" t="s">
        <v>482</v>
      </c>
      <c r="J586" s="546" t="s">
        <v>484</v>
      </c>
      <c r="K586" s="546" t="s">
        <v>483</v>
      </c>
      <c r="L586" s="546" t="s">
        <v>485</v>
      </c>
      <c r="M586" s="522" t="s">
        <v>486</v>
      </c>
      <c r="N586" s="523" t="s">
        <v>487</v>
      </c>
    </row>
    <row r="587" spans="1:38" x14ac:dyDescent="0.25">
      <c r="B587" s="976"/>
      <c r="C587" s="523" t="s">
        <v>477</v>
      </c>
      <c r="D587" s="976"/>
      <c r="E587" s="976"/>
      <c r="F587" s="523" t="s">
        <v>308</v>
      </c>
      <c r="G587" s="523" t="s">
        <v>308</v>
      </c>
      <c r="H587" s="523" t="s">
        <v>308</v>
      </c>
      <c r="I587" s="523" t="s">
        <v>308</v>
      </c>
      <c r="J587" s="547" t="s">
        <v>310</v>
      </c>
      <c r="K587" s="547" t="s">
        <v>310</v>
      </c>
      <c r="L587" s="547" t="s">
        <v>310</v>
      </c>
      <c r="M587" s="523" t="s">
        <v>310</v>
      </c>
      <c r="N587" s="523" t="s">
        <v>309</v>
      </c>
    </row>
    <row r="588" spans="1:38" x14ac:dyDescent="0.25">
      <c r="B588" s="983" t="s">
        <v>1394</v>
      </c>
      <c r="C588" s="980">
        <f>'Units CF'!F69</f>
        <v>29173</v>
      </c>
      <c r="D588" s="388" t="s">
        <v>229</v>
      </c>
      <c r="E588" s="548" t="s">
        <v>594</v>
      </c>
      <c r="F588" s="115">
        <f>F50*'Units CF'!$I$32*('Units CF'!$I$39*'Units CF'!$I$46+'Units CF'!$I$37)*('Units CF'!$I$48*'Units CF'!$I$54*'Units CF'!$I$58*'Units CF'!$I$62*'Units CF'!$I$69+'Units CF'!$I$49*'Units CF'!$I$56*'Units CF'!$I$58*'Units CF'!$I$62*'Units CF'!$I$69)</f>
        <v>1491.4342342659345</v>
      </c>
      <c r="G588" s="115">
        <f ca="1">G50*'Units CF'!$I$32*('Units CF'!$I$39*'Units CF'!$I$46+'Units CF'!$I$37)*('Units CF'!$I$48*'Units CF'!$I$54*'Units CF'!$I$58*'Units CF'!$I$62*'Units CF'!$I$69+'Units CF'!$I$49*'Units CF'!$I$56*'Units CF'!$I$58*'Units CF'!$I$62*'Units CF'!$I$69)</f>
        <v>30.753707085851609</v>
      </c>
      <c r="H588" s="115">
        <f>H50*'Units CF'!$I$32*('Units CF'!$I$39*'Units CF'!$I$46+'Units CF'!$I$37)*('Units CF'!$I$48*'Units CF'!$I$54*'Units CF'!$I$58*'Units CF'!$I$62*'Units CF'!$I$69+'Units CF'!$I$49*'Units CF'!$I$56*'Units CF'!$I$58*'Units CF'!$I$62*'Units CF'!$I$69)</f>
        <v>211.4913175814853</v>
      </c>
      <c r="I588" s="115">
        <f ca="1">SUM(F588:H588)</f>
        <v>1733.6792589332713</v>
      </c>
      <c r="J588" s="521">
        <f>F588/$C$588</f>
        <v>5.112378686682667E-2</v>
      </c>
      <c r="K588" s="521">
        <f ca="1">G588/$C$588</f>
        <v>1.0541839058667813E-3</v>
      </c>
      <c r="L588" s="521">
        <f>H588/$C$588</f>
        <v>7.2495566990534157E-3</v>
      </c>
      <c r="M588" s="298">
        <f ca="1">SUM(J588:L588)</f>
        <v>5.9427527471746872E-2</v>
      </c>
      <c r="N588" s="369">
        <f ca="1">M588/$M$608</f>
        <v>1.8159189128710396E-2</v>
      </c>
    </row>
    <row r="589" spans="1:38" x14ac:dyDescent="0.25">
      <c r="B589" s="984"/>
      <c r="C589" s="981"/>
      <c r="D589" s="388" t="s">
        <v>1445</v>
      </c>
      <c r="E589" s="548" t="s">
        <v>597</v>
      </c>
      <c r="F589" s="115">
        <f>F51*'Units CF'!$I$32*('Units CF'!$I$39*'Units CF'!$I$46+'Units CF'!$I$37)*('Units CF'!$I$48*'Units CF'!$I$54*'Units CF'!$I$58*'Units CF'!$I$62*'Units CF'!$I$69+'Units CF'!$I$49*'Units CF'!$I$56*'Units CF'!$I$58*'Units CF'!$I$62*'Units CF'!$I$69)</f>
        <v>1296.6939440001677</v>
      </c>
      <c r="G589" s="115">
        <f ca="1">G51*'Units CF'!$I$32*('Units CF'!$I$39*'Units CF'!$I$46+'Units CF'!$I$37)*('Units CF'!$I$48*'Units CF'!$I$54*'Units CF'!$I$58*'Units CF'!$I$62*'Units CF'!$I$69+'Units CF'!$I$49*'Units CF'!$I$56*'Units CF'!$I$58*'Units CF'!$I$62*'Units CF'!$I$69)</f>
        <v>1040.3658848841635</v>
      </c>
      <c r="H589" s="115">
        <f>H51*'Units CF'!$I$32*('Units CF'!$I$39*'Units CF'!$I$46+'Units CF'!$I$37)*('Units CF'!$I$48*'Units CF'!$I$54*'Units CF'!$I$58*'Units CF'!$I$62*'Units CF'!$I$69+'Units CF'!$I$49*'Units CF'!$I$56*'Units CF'!$I$58*'Units CF'!$I$62*'Units CF'!$I$69)</f>
        <v>58.280263544608324</v>
      </c>
      <c r="I589" s="115">
        <f t="shared" ref="I589:I607" ca="1" si="106">SUM(F589:H589)</f>
        <v>2395.3400924289394</v>
      </c>
      <c r="J589" s="521">
        <f t="shared" ref="J589:J607" si="107">F589/$C$588</f>
        <v>4.4448426421697038E-2</v>
      </c>
      <c r="K589" s="521">
        <f t="shared" ref="K589:K607" ca="1" si="108">G589/$C$588</f>
        <v>3.5661943745386608E-2</v>
      </c>
      <c r="L589" s="521">
        <f t="shared" ref="L589:L607" si="109">H589/$C$588</f>
        <v>1.9977466679672409E-3</v>
      </c>
      <c r="M589" s="298">
        <f t="shared" ref="M589:M607" ca="1" si="110">SUM(J589:L589)</f>
        <v>8.2108116835050884E-2</v>
      </c>
      <c r="N589" s="369">
        <f t="shared" ref="N589:N607" ca="1" si="111">M589/$M$608</f>
        <v>2.5089666120112444E-2</v>
      </c>
    </row>
    <row r="590" spans="1:38" x14ac:dyDescent="0.25">
      <c r="B590" s="984"/>
      <c r="C590" s="981"/>
      <c r="D590" s="388" t="s">
        <v>1446</v>
      </c>
      <c r="E590" s="548" t="s">
        <v>595</v>
      </c>
      <c r="F590" s="115">
        <f>F52*'Units CF'!$I$32*('Units CF'!$I$39*'Units CF'!$I$46+'Units CF'!$I$37)*('Units CF'!$I$48*'Units CF'!$I$54*'Units CF'!$I$58*'Units CF'!$I$62*'Units CF'!$I$69+'Units CF'!$I$49*'Units CF'!$I$56*'Units CF'!$I$58*'Units CF'!$I$62*'Units CF'!$I$69)</f>
        <v>6.5453820574366377E-3</v>
      </c>
      <c r="G590" s="115">
        <f ca="1">G52*'Units CF'!$I$32*('Units CF'!$I$39*'Units CF'!$I$46+'Units CF'!$I$37)*('Units CF'!$I$48*'Units CF'!$I$54*'Units CF'!$I$58*'Units CF'!$I$62*'Units CF'!$I$69+'Units CF'!$I$49*'Units CF'!$I$56*'Units CF'!$I$58*'Units CF'!$I$62*'Units CF'!$I$69)</f>
        <v>0.43656842091511006</v>
      </c>
      <c r="H590" s="115">
        <f>H52*'Units CF'!$I$32*('Units CF'!$I$39*'Units CF'!$I$46+'Units CF'!$I$37)*('Units CF'!$I$48*'Units CF'!$I$54*'Units CF'!$I$58*'Units CF'!$I$62*'Units CF'!$I$69+'Units CF'!$I$49*'Units CF'!$I$56*'Units CF'!$I$58*'Units CF'!$I$62*'Units CF'!$I$69)</f>
        <v>4.0917594907459334</v>
      </c>
      <c r="I590" s="115">
        <f t="shared" ca="1" si="106"/>
        <v>4.5348732937184799</v>
      </c>
      <c r="J590" s="521">
        <f t="shared" si="107"/>
        <v>2.2436437998960125E-7</v>
      </c>
      <c r="K590" s="521">
        <f t="shared" ca="1" si="108"/>
        <v>1.4964810643921094E-5</v>
      </c>
      <c r="L590" s="521">
        <f t="shared" si="109"/>
        <v>1.4025844070702134E-4</v>
      </c>
      <c r="M590" s="298">
        <f t="shared" ca="1" si="110"/>
        <v>1.5544761573093202E-4</v>
      </c>
      <c r="N590" s="369">
        <f t="shared" ca="1" si="111"/>
        <v>4.7499917525714213E-5</v>
      </c>
    </row>
    <row r="591" spans="1:38" x14ac:dyDescent="0.25">
      <c r="B591" s="984"/>
      <c r="C591" s="981"/>
      <c r="D591" s="388" t="s">
        <v>1447</v>
      </c>
      <c r="E591" s="548" t="s">
        <v>596</v>
      </c>
      <c r="F591" s="115">
        <f>F53*'Units CF'!$I$32*('Units CF'!$I$39*'Units CF'!$I$46+'Units CF'!$I$37)*('Units CF'!$I$48*'Units CF'!$I$54*'Units CF'!$I$58*'Units CF'!$I$62*'Units CF'!$I$69+'Units CF'!$I$49*'Units CF'!$I$56*'Units CF'!$I$58*'Units CF'!$I$62*'Units CF'!$I$69)</f>
        <v>58.772474112937672</v>
      </c>
      <c r="G591" s="115">
        <f ca="1">G53*'Units CF'!$I$32*('Units CF'!$I$39*'Units CF'!$I$46+'Units CF'!$I$37)*('Units CF'!$I$48*'Units CF'!$I$54*'Units CF'!$I$58*'Units CF'!$I$62*'Units CF'!$I$69+'Units CF'!$I$49*'Units CF'!$I$56*'Units CF'!$I$58*'Units CF'!$I$62*'Units CF'!$I$69)</f>
        <v>568.65790467515671</v>
      </c>
      <c r="H591" s="115">
        <f>H53*'Units CF'!$I$32*('Units CF'!$I$39*'Units CF'!$I$46+'Units CF'!$I$37)*('Units CF'!$I$48*'Units CF'!$I$54*'Units CF'!$I$58*'Units CF'!$I$62*'Units CF'!$I$69+'Units CF'!$I$49*'Units CF'!$I$56*'Units CF'!$I$58*'Units CF'!$I$62*'Units CF'!$I$69)</f>
        <v>30.116053209124825</v>
      </c>
      <c r="I591" s="115">
        <f t="shared" ca="1" si="106"/>
        <v>657.5464319972192</v>
      </c>
      <c r="J591" s="521">
        <f t="shared" si="107"/>
        <v>2.0146187952194724E-3</v>
      </c>
      <c r="K591" s="521">
        <f t="shared" ca="1" si="108"/>
        <v>1.9492609765027823E-2</v>
      </c>
      <c r="L591" s="521">
        <f t="shared" si="109"/>
        <v>1.0323262334735826E-3</v>
      </c>
      <c r="M591" s="298">
        <f t="shared" ca="1" si="110"/>
        <v>2.2539554793720877E-2</v>
      </c>
      <c r="N591" s="369">
        <f t="shared" ca="1" si="111"/>
        <v>6.8873812488782831E-3</v>
      </c>
    </row>
    <row r="592" spans="1:38" x14ac:dyDescent="0.25">
      <c r="B592" s="984"/>
      <c r="C592" s="981"/>
      <c r="D592" s="388" t="s">
        <v>1448</v>
      </c>
      <c r="E592" s="548" t="s">
        <v>598</v>
      </c>
      <c r="F592" s="115">
        <f>F54*'Units CF'!$I$32*('Units CF'!$I$39*'Units CF'!$I$46+'Units CF'!$I$37)*('Units CF'!$I$48*'Units CF'!$I$54*'Units CF'!$I$58*'Units CF'!$I$62*'Units CF'!$I$69+'Units CF'!$I$49*'Units CF'!$I$56*'Units CF'!$I$58*'Units CF'!$I$62*'Units CF'!$I$69)</f>
        <v>1804.3770699123834</v>
      </c>
      <c r="G592" s="115">
        <f ca="1">G54*'Units CF'!$I$32*('Units CF'!$I$39*'Units CF'!$I$46+'Units CF'!$I$37)*('Units CF'!$I$48*'Units CF'!$I$54*'Units CF'!$I$58*'Units CF'!$I$62*'Units CF'!$I$69+'Units CF'!$I$49*'Units CF'!$I$56*'Units CF'!$I$58*'Units CF'!$I$62*'Units CF'!$I$69)</f>
        <v>439.03969287739841</v>
      </c>
      <c r="H592" s="115">
        <f>H54*'Units CF'!$I$32*('Units CF'!$I$39*'Units CF'!$I$46+'Units CF'!$I$37)*('Units CF'!$I$48*'Units CF'!$I$54*'Units CF'!$I$58*'Units CF'!$I$62*'Units CF'!$I$69+'Units CF'!$I$49*'Units CF'!$I$56*'Units CF'!$I$58*'Units CF'!$I$62*'Units CF'!$I$69)</f>
        <v>656.01022330470073</v>
      </c>
      <c r="I592" s="115">
        <f t="shared" ca="1" si="106"/>
        <v>2899.4269860944823</v>
      </c>
      <c r="J592" s="521">
        <f t="shared" si="107"/>
        <v>6.1850926195879181E-2</v>
      </c>
      <c r="K592" s="521">
        <f t="shared" ca="1" si="108"/>
        <v>1.5049521573969027E-2</v>
      </c>
      <c r="L592" s="521">
        <f t="shared" si="109"/>
        <v>2.2486896215840015E-2</v>
      </c>
      <c r="M592" s="298">
        <f t="shared" ca="1" si="110"/>
        <v>9.9387343985688228E-2</v>
      </c>
      <c r="N592" s="369">
        <f t="shared" ca="1" si="111"/>
        <v>3.0369656171449301E-2</v>
      </c>
    </row>
    <row r="593" spans="2:14" x14ac:dyDescent="0.25">
      <c r="B593" s="984"/>
      <c r="C593" s="981"/>
      <c r="D593" s="388" t="s">
        <v>1449</v>
      </c>
      <c r="E593" s="548" t="s">
        <v>599</v>
      </c>
      <c r="F593" s="115">
        <f>F55*'Units CF'!$I$32*('Units CF'!$I$39*'Units CF'!$I$46+'Units CF'!$I$37)*('Units CF'!$I$48*'Units CF'!$I$54*'Units CF'!$I$58*'Units CF'!$I$62*'Units CF'!$I$69+'Units CF'!$I$49*'Units CF'!$I$56*'Units CF'!$I$58*'Units CF'!$I$62*'Units CF'!$I$69)</f>
        <v>3682.1435923722083</v>
      </c>
      <c r="G593" s="115">
        <f ca="1">G55*'Units CF'!$I$32*('Units CF'!$I$39*'Units CF'!$I$46+'Units CF'!$I$37)*('Units CF'!$I$48*'Units CF'!$I$54*'Units CF'!$I$58*'Units CF'!$I$62*'Units CF'!$I$69+'Units CF'!$I$49*'Units CF'!$I$56*'Units CF'!$I$58*'Units CF'!$I$62*'Units CF'!$I$69)</f>
        <v>16524.901580206104</v>
      </c>
      <c r="H593" s="115">
        <f>H55*'Units CF'!$I$32*('Units CF'!$I$39*'Units CF'!$I$46+'Units CF'!$I$37)*('Units CF'!$I$48*'Units CF'!$I$54*'Units CF'!$I$58*'Units CF'!$I$62*'Units CF'!$I$69+'Units CF'!$I$49*'Units CF'!$I$56*'Units CF'!$I$58*'Units CF'!$I$62*'Units CF'!$I$69)</f>
        <v>3130.483043273804</v>
      </c>
      <c r="I593" s="115">
        <f t="shared" ca="1" si="106"/>
        <v>23337.528215852119</v>
      </c>
      <c r="J593" s="521">
        <f t="shared" si="107"/>
        <v>0.12621751593501554</v>
      </c>
      <c r="K593" s="521">
        <f t="shared" ca="1" si="108"/>
        <v>0.56644505468090711</v>
      </c>
      <c r="L593" s="521">
        <f t="shared" si="109"/>
        <v>0.10730754613079917</v>
      </c>
      <c r="M593" s="298">
        <f t="shared" ca="1" si="110"/>
        <v>0.7999701167467218</v>
      </c>
      <c r="N593" s="369">
        <f t="shared" ca="1" si="111"/>
        <v>0.2444457857383788</v>
      </c>
    </row>
    <row r="594" spans="2:14" x14ac:dyDescent="0.25">
      <c r="B594" s="984"/>
      <c r="C594" s="981"/>
      <c r="D594" s="388" t="s">
        <v>1450</v>
      </c>
      <c r="E594" s="548" t="s">
        <v>600</v>
      </c>
      <c r="F594" s="115">
        <f>F56*'Units CF'!$I$32*('Units CF'!$I$39*'Units CF'!$I$46+'Units CF'!$I$37)*('Units CF'!$I$48*'Units CF'!$I$54*'Units CF'!$I$58*'Units CF'!$I$62*'Units CF'!$I$69+'Units CF'!$I$49*'Units CF'!$I$56*'Units CF'!$I$58*'Units CF'!$I$62*'Units CF'!$I$69)</f>
        <v>3019.4297716962965</v>
      </c>
      <c r="G594" s="115">
        <f ca="1">G56*'Units CF'!$I$32*('Units CF'!$I$39*'Units CF'!$I$46+'Units CF'!$I$37)*('Units CF'!$I$48*'Units CF'!$I$54*'Units CF'!$I$58*'Units CF'!$I$62*'Units CF'!$I$69+'Units CF'!$I$49*'Units CF'!$I$56*'Units CF'!$I$58*'Units CF'!$I$62*'Units CF'!$I$69)</f>
        <v>0.13885868198946266</v>
      </c>
      <c r="H594" s="115">
        <f>H56*'Units CF'!$I$32*('Units CF'!$I$39*'Units CF'!$I$46+'Units CF'!$I$37)*('Units CF'!$I$48*'Units CF'!$I$54*'Units CF'!$I$58*'Units CF'!$I$62*'Units CF'!$I$69+'Units CF'!$I$49*'Units CF'!$I$56*'Units CF'!$I$58*'Units CF'!$I$62*'Units CF'!$I$69)</f>
        <v>35.527275857832791</v>
      </c>
      <c r="I594" s="115">
        <f t="shared" ca="1" si="106"/>
        <v>3055.0959062361185</v>
      </c>
      <c r="J594" s="521">
        <f t="shared" si="107"/>
        <v>0.10350083199178338</v>
      </c>
      <c r="K594" s="521">
        <f t="shared" ca="1" si="108"/>
        <v>4.759835532494521E-6</v>
      </c>
      <c r="L594" s="521">
        <f t="shared" si="109"/>
        <v>1.217813589889034E-3</v>
      </c>
      <c r="M594" s="298">
        <f t="shared" ca="1" si="110"/>
        <v>0.10472340541720492</v>
      </c>
      <c r="N594" s="369">
        <f t="shared" ca="1" si="111"/>
        <v>3.2000189240209337E-2</v>
      </c>
    </row>
    <row r="595" spans="2:14" x14ac:dyDescent="0.25">
      <c r="B595" s="984"/>
      <c r="C595" s="981"/>
      <c r="D595" s="388" t="s">
        <v>1451</v>
      </c>
      <c r="E595" s="548" t="s">
        <v>601</v>
      </c>
      <c r="F595" s="115">
        <f>F57*'Units CF'!$I$32*('Units CF'!$I$39*'Units CF'!$I$46+'Units CF'!$I$37)*('Units CF'!$I$48*'Units CF'!$I$54*'Units CF'!$I$58*'Units CF'!$I$62*'Units CF'!$I$69+'Units CF'!$I$49*'Units CF'!$I$56*'Units CF'!$I$58*'Units CF'!$I$62*'Units CF'!$I$69)</f>
        <v>25000.309561003345</v>
      </c>
      <c r="G595" s="115">
        <f ca="1">G57*'Units CF'!$I$32*('Units CF'!$I$39*'Units CF'!$I$46+'Units CF'!$I$37)*('Units CF'!$I$48*'Units CF'!$I$54*'Units CF'!$I$58*'Units CF'!$I$62*'Units CF'!$I$69+'Units CF'!$I$49*'Units CF'!$I$56*'Units CF'!$I$58*'Units CF'!$I$62*'Units CF'!$I$69)</f>
        <v>2115.718461524395</v>
      </c>
      <c r="H595" s="115">
        <f>H57*'Units CF'!$I$32*('Units CF'!$I$39*'Units CF'!$I$46+'Units CF'!$I$37)*('Units CF'!$I$48*'Units CF'!$I$54*'Units CF'!$I$58*'Units CF'!$I$62*'Units CF'!$I$69+'Units CF'!$I$49*'Units CF'!$I$56*'Units CF'!$I$58*'Units CF'!$I$62*'Units CF'!$I$69)</f>
        <v>17850.405737404522</v>
      </c>
      <c r="I595" s="115">
        <f t="shared" ca="1" si="106"/>
        <v>44966.433759932261</v>
      </c>
      <c r="J595" s="521">
        <f t="shared" si="107"/>
        <v>0.85696738631622893</v>
      </c>
      <c r="K595" s="521">
        <f t="shared" ca="1" si="108"/>
        <v>7.2523170792321498E-2</v>
      </c>
      <c r="L595" s="521">
        <f t="shared" si="109"/>
        <v>0.61188104539829713</v>
      </c>
      <c r="M595" s="298">
        <f t="shared" ca="1" si="110"/>
        <v>1.5413716025068476</v>
      </c>
      <c r="N595" s="369">
        <f t="shared" ca="1" si="111"/>
        <v>0.4709948341844164</v>
      </c>
    </row>
    <row r="596" spans="2:14" x14ac:dyDescent="0.25">
      <c r="B596" s="984"/>
      <c r="C596" s="981"/>
      <c r="D596" s="388" t="s">
        <v>1452</v>
      </c>
      <c r="E596" s="548" t="s">
        <v>602</v>
      </c>
      <c r="F596" s="115">
        <f>F58*'Units CF'!$I$32*('Units CF'!$I$39*'Units CF'!$I$46+'Units CF'!$I$37)*('Units CF'!$I$48*'Units CF'!$I$54*'Units CF'!$I$58*'Units CF'!$I$62*'Units CF'!$I$69+'Units CF'!$I$49*'Units CF'!$I$56*'Units CF'!$I$58*'Units CF'!$I$62*'Units CF'!$I$69)</f>
        <v>56.715089917800078</v>
      </c>
      <c r="G596" s="115">
        <f ca="1">G58*'Units CF'!$I$32*('Units CF'!$I$39*'Units CF'!$I$46+'Units CF'!$I$37)*('Units CF'!$I$48*'Units CF'!$I$54*'Units CF'!$I$58*'Units CF'!$I$62*'Units CF'!$I$69+'Units CF'!$I$49*'Units CF'!$I$56*'Units CF'!$I$58*'Units CF'!$I$62*'Units CF'!$I$69)</f>
        <v>11.779696241257218</v>
      </c>
      <c r="H596" s="115">
        <f>H58*'Units CF'!$I$32*('Units CF'!$I$39*'Units CF'!$I$46+'Units CF'!$I$37)*('Units CF'!$I$48*'Units CF'!$I$54*'Units CF'!$I$58*'Units CF'!$I$62*'Units CF'!$I$69+'Units CF'!$I$49*'Units CF'!$I$56*'Units CF'!$I$58*'Units CF'!$I$62*'Units CF'!$I$69)</f>
        <v>117.4750971032594</v>
      </c>
      <c r="I596" s="115">
        <f t="shared" ca="1" si="106"/>
        <v>185.9698832623167</v>
      </c>
      <c r="J596" s="521">
        <f t="shared" si="107"/>
        <v>1.944095222219178E-3</v>
      </c>
      <c r="K596" s="521">
        <f t="shared" ca="1" si="108"/>
        <v>4.0378762010273946E-4</v>
      </c>
      <c r="L596" s="521">
        <f t="shared" si="109"/>
        <v>4.0268432147279815E-3</v>
      </c>
      <c r="M596" s="298">
        <f t="shared" ca="1" si="110"/>
        <v>6.3747260570498985E-3</v>
      </c>
      <c r="N596" s="369">
        <f t="shared" ca="1" si="111"/>
        <v>1.9479164124524973E-3</v>
      </c>
    </row>
    <row r="597" spans="2:14" x14ac:dyDescent="0.25">
      <c r="B597" s="984"/>
      <c r="C597" s="981"/>
      <c r="D597" s="388" t="s">
        <v>19</v>
      </c>
      <c r="E597" s="548" t="s">
        <v>603</v>
      </c>
      <c r="F597" s="115">
        <f>F59*'Units CF'!$I$32*('Units CF'!$I$39*'Units CF'!$I$46+'Units CF'!$I$37)*('Units CF'!$I$48*'Units CF'!$I$54*'Units CF'!$I$58*'Units CF'!$I$62*'Units CF'!$I$69+'Units CF'!$I$49*'Units CF'!$I$56*'Units CF'!$I$58*'Units CF'!$I$62*'Units CF'!$I$69)</f>
        <v>895.85231284687109</v>
      </c>
      <c r="G597" s="115">
        <f ca="1">G59*'Units CF'!$I$32*('Units CF'!$I$39*'Units CF'!$I$46+'Units CF'!$I$37)*('Units CF'!$I$48*'Units CF'!$I$54*'Units CF'!$I$58*'Units CF'!$I$62*'Units CF'!$I$69+'Units CF'!$I$49*'Units CF'!$I$56*'Units CF'!$I$58*'Units CF'!$I$62*'Units CF'!$I$69)</f>
        <v>62.832192813428712</v>
      </c>
      <c r="H597" s="115">
        <f>H59*'Units CF'!$I$32*('Units CF'!$I$39*'Units CF'!$I$46+'Units CF'!$I$37)*('Units CF'!$I$48*'Units CF'!$I$54*'Units CF'!$I$58*'Units CF'!$I$62*'Units CF'!$I$69+'Units CF'!$I$49*'Units CF'!$I$56*'Units CF'!$I$58*'Units CF'!$I$62*'Units CF'!$I$69)</f>
        <v>741.06923118722375</v>
      </c>
      <c r="I597" s="115">
        <f t="shared" ca="1" si="106"/>
        <v>1699.7537368475237</v>
      </c>
      <c r="J597" s="521">
        <f t="shared" si="107"/>
        <v>3.0708268359334694E-2</v>
      </c>
      <c r="K597" s="521">
        <f t="shared" ca="1" si="108"/>
        <v>2.1537789330349538E-3</v>
      </c>
      <c r="L597" s="521">
        <f t="shared" si="109"/>
        <v>2.5402571939369407E-2</v>
      </c>
      <c r="M597" s="298">
        <f t="shared" ca="1" si="110"/>
        <v>5.8264619231739055E-2</v>
      </c>
      <c r="N597" s="369">
        <f t="shared" ca="1" si="111"/>
        <v>1.7803840831918518E-2</v>
      </c>
    </row>
    <row r="598" spans="2:14" x14ac:dyDescent="0.25">
      <c r="B598" s="984"/>
      <c r="C598" s="981"/>
      <c r="D598" s="388" t="s">
        <v>1453</v>
      </c>
      <c r="E598" s="548" t="s">
        <v>604</v>
      </c>
      <c r="F598" s="115">
        <f>F60*'Units CF'!$I$32*('Units CF'!$I$39*'Units CF'!$I$46+'Units CF'!$I$37)*('Units CF'!$I$48*'Units CF'!$I$54*'Units CF'!$I$58*'Units CF'!$I$62*'Units CF'!$I$69+'Units CF'!$I$49*'Units CF'!$I$56*'Units CF'!$I$58*'Units CF'!$I$62*'Units CF'!$I$69)</f>
        <v>30.968637459358778</v>
      </c>
      <c r="G598" s="115">
        <f ca="1">G60*'Units CF'!$I$32*('Units CF'!$I$39*'Units CF'!$I$46+'Units CF'!$I$37)*('Units CF'!$I$48*'Units CF'!$I$54*'Units CF'!$I$58*'Units CF'!$I$62*'Units CF'!$I$69+'Units CF'!$I$49*'Units CF'!$I$56*'Units CF'!$I$58*'Units CF'!$I$62*'Units CF'!$I$69)</f>
        <v>78.397552205960736</v>
      </c>
      <c r="H598" s="115">
        <f>H60*'Units CF'!$I$32*('Units CF'!$I$39*'Units CF'!$I$46+'Units CF'!$I$37)*('Units CF'!$I$48*'Units CF'!$I$54*'Units CF'!$I$58*'Units CF'!$I$62*'Units CF'!$I$69+'Units CF'!$I$49*'Units CF'!$I$56*'Units CF'!$I$58*'Units CF'!$I$62*'Units CF'!$I$69)</f>
        <v>433.80322015680684</v>
      </c>
      <c r="I598" s="115">
        <f t="shared" ca="1" si="106"/>
        <v>543.16940982212634</v>
      </c>
      <c r="J598" s="521">
        <f t="shared" si="107"/>
        <v>1.0615513474568532E-3</v>
      </c>
      <c r="K598" s="521">
        <f t="shared" ca="1" si="108"/>
        <v>2.6873325405669876E-3</v>
      </c>
      <c r="L598" s="521">
        <f t="shared" si="109"/>
        <v>1.487002434294748E-2</v>
      </c>
      <c r="M598" s="298">
        <f t="shared" ca="1" si="110"/>
        <v>1.8618908230971322E-2</v>
      </c>
      <c r="N598" s="369">
        <f t="shared" ca="1" si="111"/>
        <v>5.6893545856682827E-3</v>
      </c>
    </row>
    <row r="599" spans="2:14" x14ac:dyDescent="0.25">
      <c r="B599" s="984"/>
      <c r="C599" s="981"/>
      <c r="D599" s="388" t="s">
        <v>1454</v>
      </c>
      <c r="E599" s="548" t="s">
        <v>605</v>
      </c>
      <c r="F599" s="115">
        <f>F61*'Units CF'!$I$32*('Units CF'!$I$39*'Units CF'!$I$46+'Units CF'!$I$37)*('Units CF'!$I$48*'Units CF'!$I$54*'Units CF'!$I$58*'Units CF'!$I$62*'Units CF'!$I$69+'Units CF'!$I$49*'Units CF'!$I$56*'Units CF'!$I$58*'Units CF'!$I$62*'Units CF'!$I$69)</f>
        <v>9.8837570870827989</v>
      </c>
      <c r="G599" s="115">
        <f ca="1">G61*'Units CF'!$I$32*('Units CF'!$I$39*'Units CF'!$I$46+'Units CF'!$I$37)*('Units CF'!$I$48*'Units CF'!$I$54*'Units CF'!$I$58*'Units CF'!$I$62*'Units CF'!$I$69+'Units CF'!$I$49*'Units CF'!$I$56*'Units CF'!$I$58*'Units CF'!$I$62*'Units CF'!$I$69)</f>
        <v>14.097494749241449</v>
      </c>
      <c r="H599" s="115">
        <f>H61*'Units CF'!$I$32*('Units CF'!$I$39*'Units CF'!$I$46+'Units CF'!$I$37)*('Units CF'!$I$48*'Units CF'!$I$54*'Units CF'!$I$58*'Units CF'!$I$62*'Units CF'!$I$69+'Units CF'!$I$49*'Units CF'!$I$56*'Units CF'!$I$58*'Units CF'!$I$62*'Units CF'!$I$69)</f>
        <v>171.08430167166938</v>
      </c>
      <c r="I599" s="115">
        <f t="shared" ca="1" si="106"/>
        <v>195.06555350799363</v>
      </c>
      <c r="J599" s="521">
        <f t="shared" si="107"/>
        <v>3.3879810396883416E-4</v>
      </c>
      <c r="K599" s="521">
        <f t="shared" ca="1" si="108"/>
        <v>4.8323774549211424E-4</v>
      </c>
      <c r="L599" s="521">
        <f t="shared" si="109"/>
        <v>5.8644740572333792E-3</v>
      </c>
      <c r="M599" s="298">
        <f t="shared" ca="1" si="110"/>
        <v>6.6865099066943275E-3</v>
      </c>
      <c r="N599" s="369">
        <f t="shared" ca="1" si="111"/>
        <v>2.0431877813591429E-3</v>
      </c>
    </row>
    <row r="600" spans="2:14" x14ac:dyDescent="0.25">
      <c r="B600" s="984"/>
      <c r="C600" s="981"/>
      <c r="D600" s="388" t="s">
        <v>1455</v>
      </c>
      <c r="E600" s="548" t="s">
        <v>636</v>
      </c>
      <c r="F600" s="115">
        <f>'Units CF'!L35*('Units CF'!$I$39*'Units CF'!$I$46+'Units CF'!$I$37)*('Units CF'!$I$48*'Units CF'!$I$54*'Units CF'!$I$58*'Units CF'!$I$62*'Units CF'!$I$69+'Units CF'!$I$49*'Units CF'!$I$56*'Units CF'!$I$58*'Units CF'!$I$62*'Units CF'!$I$69)</f>
        <v>389.81545347988776</v>
      </c>
      <c r="G600" s="115">
        <f ca="1">'Units CF'!M35*('Units CF'!$I$39*'Units CF'!$I$46+'Units CF'!$I$37)*('Units CF'!$I$48*'Units CF'!$I$54*'Units CF'!$I$58*'Units CF'!$I$62*'Units CF'!$I$69+'Units CF'!$I$49*'Units CF'!$I$56*'Units CF'!$I$58*'Units CF'!$I$62*'Units CF'!$I$69)</f>
        <v>1104.3441596490093</v>
      </c>
      <c r="H600" s="115">
        <f>'Units CF'!N35*('Units CF'!$I$39*'Units CF'!$I$46+'Units CF'!$I$37)*('Units CF'!$I$48*'Units CF'!$I$54*'Units CF'!$I$58*'Units CF'!$I$62*'Units CF'!$I$69+'Units CF'!$I$49*'Units CF'!$I$56*'Units CF'!$I$58*'Units CF'!$I$62*'Units CF'!$I$69)</f>
        <v>1556.2908654359283</v>
      </c>
      <c r="I600" s="115">
        <f t="shared" ca="1" si="106"/>
        <v>3050.4504785648251</v>
      </c>
      <c r="J600" s="521">
        <f t="shared" si="107"/>
        <v>1.3362199755934863E-2</v>
      </c>
      <c r="K600" s="521">
        <f t="shared" ca="1" si="108"/>
        <v>3.7855008386145042E-2</v>
      </c>
      <c r="L600" s="521">
        <f t="shared" si="109"/>
        <v>5.3346960046478875E-2</v>
      </c>
      <c r="M600" s="298">
        <f t="shared" ca="1" si="110"/>
        <v>0.10456416818855878</v>
      </c>
      <c r="N600" s="369">
        <f t="shared" ca="1" si="111"/>
        <v>3.1951531335794724E-2</v>
      </c>
    </row>
    <row r="601" spans="2:14" x14ac:dyDescent="0.25">
      <c r="B601" s="984"/>
      <c r="C601" s="981"/>
      <c r="D601" s="388" t="s">
        <v>1459</v>
      </c>
      <c r="E601" s="548" t="s">
        <v>641</v>
      </c>
      <c r="F601" s="115">
        <f>'Units CF'!L45*'Units CF'!$I$46*('Units CF'!$I$48*'Units CF'!$I$54*'Units CF'!$I$58*'Units CF'!$I$62*'Units CF'!$I$69+'Units CF'!$I$49*'Units CF'!$I$56*'Units CF'!$I$58*'Units CF'!$I$62*'Units CF'!$I$69)</f>
        <v>5.7887205443432768</v>
      </c>
      <c r="G601" s="115">
        <f ca="1">'Units CF'!M45*'Units CF'!$I$46*('Units CF'!$I$48*'Units CF'!$I$54*'Units CF'!$I$58*'Units CF'!$I$62*'Units CF'!$I$69+'Units CF'!$I$49*'Units CF'!$I$56*'Units CF'!$I$58*'Units CF'!$I$62*'Units CF'!$I$69)</f>
        <v>12.059640502374274</v>
      </c>
      <c r="H601" s="115">
        <f>'Units CF'!N45*'Units CF'!$I$46*('Units CF'!$I$48*'Units CF'!$I$54*'Units CF'!$I$58*'Units CF'!$I$62*'Units CF'!$I$69+'Units CF'!$I$49*'Units CF'!$I$56*'Units CF'!$I$58*'Units CF'!$I$62*'Units CF'!$I$69)</f>
        <v>82.20820128303744</v>
      </c>
      <c r="I601" s="115">
        <f t="shared" ca="1" si="106"/>
        <v>100.056562329755</v>
      </c>
      <c r="J601" s="521">
        <f t="shared" si="107"/>
        <v>1.9842733158548237E-4</v>
      </c>
      <c r="K601" s="521">
        <f t="shared" ca="1" si="108"/>
        <v>4.1338362535132738E-4</v>
      </c>
      <c r="L601" s="521">
        <f t="shared" si="109"/>
        <v>2.8179550023322056E-3</v>
      </c>
      <c r="M601" s="298">
        <f t="shared" ca="1" si="110"/>
        <v>3.4297659592690153E-3</v>
      </c>
      <c r="N601" s="369">
        <f t="shared" ca="1" si="111"/>
        <v>1.0480289416582068E-3</v>
      </c>
    </row>
    <row r="602" spans="2:14" x14ac:dyDescent="0.25">
      <c r="B602" s="984"/>
      <c r="C602" s="981"/>
      <c r="D602" s="388" t="s">
        <v>1460</v>
      </c>
      <c r="E602" s="548" t="s">
        <v>1443</v>
      </c>
      <c r="F602" s="115">
        <f>'Units CF'!L47*('Units CF'!$I$48*'Units CF'!$I$54*'Units CF'!$I$58*'Units CF'!$I$62*'Units CF'!$I$69+'Units CF'!$I$49*'Units CF'!$I$56*'Units CF'!$I$58*'Units CF'!$I$62*'Units CF'!$I$69)</f>
        <v>116.65781496113109</v>
      </c>
      <c r="G602" s="115">
        <f ca="1">'Units CF'!M47*('Units CF'!$I$48*'Units CF'!$I$54*'Units CF'!$I$58*'Units CF'!$I$62*'Units CF'!$I$69+'Units CF'!$I$49*'Units CF'!$I$56*'Units CF'!$I$58*'Units CF'!$I$62*'Units CF'!$I$69)</f>
        <v>115.10254622618625</v>
      </c>
      <c r="H602" s="115">
        <f>'Units CF'!N47*('Units CF'!$I$48*'Units CF'!$I$54*'Units CF'!$I$58*'Units CF'!$I$62*'Units CF'!$I$69+'Units CF'!$I$49*'Units CF'!$I$56*'Units CF'!$I$58*'Units CF'!$I$62*'Units CF'!$I$69)</f>
        <v>577.37249185714109</v>
      </c>
      <c r="I602" s="115">
        <f t="shared" ca="1" si="106"/>
        <v>809.13285304445844</v>
      </c>
      <c r="J602" s="521">
        <f t="shared" si="107"/>
        <v>3.9988281959733689E-3</v>
      </c>
      <c r="K602" s="521">
        <f t="shared" ca="1" si="108"/>
        <v>3.9455162727928652E-3</v>
      </c>
      <c r="L602" s="521">
        <f t="shared" si="109"/>
        <v>1.9791330746139962E-2</v>
      </c>
      <c r="M602" s="298">
        <f t="shared" ca="1" si="110"/>
        <v>2.7735675214906195E-2</v>
      </c>
      <c r="N602" s="369">
        <f t="shared" ca="1" si="111"/>
        <v>8.4751527325348762E-3</v>
      </c>
    </row>
    <row r="603" spans="2:14" x14ac:dyDescent="0.25">
      <c r="B603" s="984"/>
      <c r="C603" s="981"/>
      <c r="D603" s="388" t="s">
        <v>1462</v>
      </c>
      <c r="E603" s="548" t="s">
        <v>654</v>
      </c>
      <c r="F603" s="115">
        <f>'Units CF'!L51*'Units CF'!$I$54*'Units CF'!$I$58*'Units CF'!$I$62*'Units CF'!$I$69</f>
        <v>11.51983926402432</v>
      </c>
      <c r="G603" s="115">
        <f ca="1">'Units CF'!M51*'Units CF'!$I$54*'Units CF'!$I$58*'Units CF'!$I$62*'Units CF'!$I$69</f>
        <v>0.92298136760881999</v>
      </c>
      <c r="H603" s="115">
        <f>'Units CF'!N51*'Units CF'!$I$54*'Units CF'!$I$58*'Units CF'!$I$62*'Units CF'!$I$69</f>
        <v>350.33916722594716</v>
      </c>
      <c r="I603" s="115">
        <f t="shared" ca="1" si="106"/>
        <v>362.7819878575803</v>
      </c>
      <c r="J603" s="521">
        <f t="shared" si="107"/>
        <v>3.9488017221486716E-4</v>
      </c>
      <c r="K603" s="521">
        <f t="shared" ca="1" si="108"/>
        <v>3.1638205450547421E-5</v>
      </c>
      <c r="L603" s="521">
        <f t="shared" si="109"/>
        <v>1.2009020917490391E-2</v>
      </c>
      <c r="M603" s="298">
        <f t="shared" ca="1" si="110"/>
        <v>1.2435539295155807E-2</v>
      </c>
      <c r="N603" s="369">
        <f t="shared" ca="1" si="111"/>
        <v>3.7999109097312457E-3</v>
      </c>
    </row>
    <row r="604" spans="2:14" x14ac:dyDescent="0.25">
      <c r="B604" s="984"/>
      <c r="C604" s="981"/>
      <c r="D604" s="388" t="s">
        <v>1464</v>
      </c>
      <c r="E604" s="548" t="s">
        <v>655</v>
      </c>
      <c r="F604" s="115">
        <f>'Units CF'!L56*'Units CF'!$I$56*'Units CF'!$I$58*'Units CF'!$I$62*'Units CF'!$I$69</f>
        <v>59.200031556105358</v>
      </c>
      <c r="G604" s="115">
        <f ca="1">'Units CF'!M56*'Units CF'!$I$56*'Units CF'!$I$58*'Units CF'!$I$62*'Units CF'!$I$69</f>
        <v>4.815812216528836</v>
      </c>
      <c r="H604" s="115">
        <f>'Units CF'!N56*'Units CF'!$I$56*'Units CF'!$I$58*'Units CF'!$I$62*'Units CF'!$I$69</f>
        <v>4058.4894863556756</v>
      </c>
      <c r="I604" s="115">
        <f t="shared" ca="1" si="106"/>
        <v>4122.5053301283097</v>
      </c>
      <c r="J604" s="521">
        <f t="shared" si="107"/>
        <v>2.0292747251261564E-3</v>
      </c>
      <c r="K604" s="521">
        <f t="shared" ca="1" si="108"/>
        <v>1.6507771626260022E-4</v>
      </c>
      <c r="L604" s="521">
        <f t="shared" si="109"/>
        <v>0.13911800248022746</v>
      </c>
      <c r="M604" s="298">
        <f t="shared" ca="1" si="110"/>
        <v>0.14131235492161623</v>
      </c>
      <c r="N604" s="369">
        <f t="shared" ca="1" si="111"/>
        <v>4.3180625013636419E-2</v>
      </c>
    </row>
    <row r="605" spans="2:14" x14ac:dyDescent="0.25">
      <c r="B605" s="984"/>
      <c r="C605" s="981"/>
      <c r="D605" s="388" t="s">
        <v>1467</v>
      </c>
      <c r="E605" s="548" t="s">
        <v>656</v>
      </c>
      <c r="F605" s="115">
        <f>'Units CF'!L58*'Units CF'!$I$58*'Units CF'!$I$62*'Units CF'!$I$69</f>
        <v>72.783121545347186</v>
      </c>
      <c r="G605" s="115">
        <f ca="1">'Units CF'!M58*'Units CF'!$I$58*'Units CF'!$I$62*'Units CF'!$I$69</f>
        <v>5.994838760664968</v>
      </c>
      <c r="H605" s="115">
        <f>'Units CF'!N58*'Units CF'!$I$58*'Units CF'!$I$62*'Units CF'!$I$69</f>
        <v>1770.3501729171687</v>
      </c>
      <c r="I605" s="115">
        <f t="shared" ca="1" si="106"/>
        <v>1849.1281332231808</v>
      </c>
      <c r="J605" s="521">
        <f t="shared" si="107"/>
        <v>2.4948795648492505E-3</v>
      </c>
      <c r="K605" s="521">
        <f t="shared" ca="1" si="108"/>
        <v>2.0549270766342056E-4</v>
      </c>
      <c r="L605" s="521">
        <f t="shared" si="109"/>
        <v>6.0684542999251662E-2</v>
      </c>
      <c r="M605" s="298">
        <f t="shared" ca="1" si="110"/>
        <v>6.3384915271764333E-2</v>
      </c>
      <c r="N605" s="369">
        <f t="shared" ca="1" si="111"/>
        <v>1.9368442762059578E-2</v>
      </c>
    </row>
    <row r="606" spans="2:14" x14ac:dyDescent="0.25">
      <c r="B606" s="984"/>
      <c r="C606" s="981"/>
      <c r="D606" s="388" t="s">
        <v>1468</v>
      </c>
      <c r="E606" s="548" t="s">
        <v>643</v>
      </c>
      <c r="F606" s="115">
        <f>'Units CF'!L62*'Units CF'!$I$62*'Units CF'!$I$69</f>
        <v>271.97893447862572</v>
      </c>
      <c r="G606" s="115">
        <f ca="1">'Units CF'!M62*'Units CF'!$I$62*'Units CF'!$I$69</f>
        <v>593.02807276127407</v>
      </c>
      <c r="H606" s="115">
        <f>'Units CF'!N62*'Units CF'!$I$62*'Units CF'!$I$69</f>
        <v>54.520880698752272</v>
      </c>
      <c r="I606" s="115">
        <f t="shared" ca="1" si="106"/>
        <v>919.52788793865216</v>
      </c>
      <c r="J606" s="521">
        <f t="shared" si="107"/>
        <v>9.3229676234403633E-3</v>
      </c>
      <c r="K606" s="521">
        <f t="shared" ca="1" si="108"/>
        <v>2.0327976991097046E-2</v>
      </c>
      <c r="L606" s="521">
        <f t="shared" si="109"/>
        <v>1.8688815239691588E-3</v>
      </c>
      <c r="M606" s="298">
        <f t="shared" ca="1" si="110"/>
        <v>3.1519826138506568E-2</v>
      </c>
      <c r="N606" s="369">
        <f t="shared" ca="1" si="111"/>
        <v>9.6314706080499381E-3</v>
      </c>
    </row>
    <row r="607" spans="2:14" x14ac:dyDescent="0.25">
      <c r="B607" s="984"/>
      <c r="C607" s="981"/>
      <c r="D607" s="388" t="s">
        <v>1470</v>
      </c>
      <c r="E607" s="548" t="s">
        <v>657</v>
      </c>
      <c r="F607" s="115">
        <f>'Units CF'!L68*'Units CF'!$I$69</f>
        <v>71.248139210909798</v>
      </c>
      <c r="G607" s="115">
        <f ca="1">'Units CF'!M68*'Units CF'!$I$69</f>
        <v>5.6426426056794803</v>
      </c>
      <c r="H607" s="115">
        <f>'Units CF'!N68*'Units CF'!$I$69</f>
        <v>2507.1643534373738</v>
      </c>
      <c r="I607" s="115">
        <f t="shared" ca="1" si="106"/>
        <v>2584.0551352539633</v>
      </c>
      <c r="J607" s="521">
        <f t="shared" si="107"/>
        <v>2.442263024403037E-3</v>
      </c>
      <c r="K607" s="521">
        <f t="shared" ca="1" si="108"/>
        <v>1.9342003241625751E-4</v>
      </c>
      <c r="L607" s="521">
        <f t="shared" si="109"/>
        <v>8.5941259158721209E-2</v>
      </c>
      <c r="M607" s="298">
        <f t="shared" ca="1" si="110"/>
        <v>8.8576942215540508E-2</v>
      </c>
      <c r="N607" s="369">
        <f t="shared" ca="1" si="111"/>
        <v>2.7066336335456003E-2</v>
      </c>
    </row>
    <row r="608" spans="2:14" x14ac:dyDescent="0.25">
      <c r="B608" s="984"/>
      <c r="C608" s="981"/>
      <c r="D608" s="524"/>
      <c r="E608" s="523" t="s">
        <v>410</v>
      </c>
      <c r="F608" s="135">
        <f>SUM(F588:F607)</f>
        <v>38345.579045096812</v>
      </c>
      <c r="G608" s="135">
        <f t="shared" ref="G608:N608" ca="1" si="112">SUM(G588:G607)</f>
        <v>22729.030288455189</v>
      </c>
      <c r="H608" s="135">
        <f t="shared" si="112"/>
        <v>34396.573142996807</v>
      </c>
      <c r="I608" s="135">
        <f t="shared" ca="1" si="112"/>
        <v>95471.182476548798</v>
      </c>
      <c r="J608" s="526">
        <f t="shared" si="112"/>
        <v>1.3144201503135369</v>
      </c>
      <c r="K608" s="526">
        <f t="shared" ca="1" si="112"/>
        <v>0.77911185988603127</v>
      </c>
      <c r="L608" s="526">
        <f t="shared" si="112"/>
        <v>1.1790550558049158</v>
      </c>
      <c r="M608" s="974">
        <f t="shared" ca="1" si="112"/>
        <v>3.2725870660044838</v>
      </c>
      <c r="N608" s="972">
        <f t="shared" ca="1" si="112"/>
        <v>1.0000000000000002</v>
      </c>
    </row>
    <row r="609" spans="2:14" x14ac:dyDescent="0.25">
      <c r="B609" s="985"/>
      <c r="C609" s="982"/>
      <c r="D609" s="525"/>
      <c r="E609" s="523" t="s">
        <v>309</v>
      </c>
      <c r="F609" s="135"/>
      <c r="G609" s="135"/>
      <c r="H609" s="135"/>
      <c r="I609" s="135"/>
      <c r="J609" s="527">
        <f ca="1">J608/M608</f>
        <v>0.40164558613816143</v>
      </c>
      <c r="K609" s="527">
        <f ca="1">K608/M608</f>
        <v>0.23807215642309937</v>
      </c>
      <c r="L609" s="527">
        <f ca="1">L608/M608</f>
        <v>0.36028225743873926</v>
      </c>
      <c r="M609" s="975"/>
      <c r="N609" s="973"/>
    </row>
    <row r="637" spans="1:38" ht="27.6" x14ac:dyDescent="0.25">
      <c r="A637" s="531"/>
      <c r="B637" s="532" t="s">
        <v>1395</v>
      </c>
      <c r="C637" s="533"/>
      <c r="D637" s="534" t="s">
        <v>1479</v>
      </c>
      <c r="E637" s="534"/>
      <c r="F637" s="535"/>
      <c r="G637" s="533"/>
      <c r="H637" s="533"/>
      <c r="I637" s="533"/>
      <c r="J637" s="533"/>
      <c r="K637" s="533"/>
      <c r="L637" s="533"/>
      <c r="M637" s="533"/>
      <c r="N637" s="533"/>
      <c r="O637" s="533"/>
      <c r="P637" s="533"/>
      <c r="Q637" s="533"/>
      <c r="R637" s="533"/>
      <c r="S637" s="533"/>
      <c r="T637" s="533"/>
      <c r="U637" s="533"/>
      <c r="V637" s="533"/>
      <c r="W637" s="533"/>
      <c r="X637" s="533"/>
      <c r="Y637" s="533"/>
      <c r="Z637" s="533"/>
      <c r="AA637" s="533"/>
      <c r="AB637" s="533"/>
      <c r="AC637" s="533"/>
      <c r="AD637" s="533"/>
      <c r="AE637" s="533"/>
      <c r="AF637" s="533"/>
      <c r="AG637" s="533"/>
      <c r="AH637" s="533"/>
      <c r="AI637" s="533"/>
      <c r="AJ637" s="533"/>
      <c r="AK637" s="533"/>
      <c r="AL637" s="533"/>
    </row>
    <row r="640" spans="1:38" ht="27.6" x14ac:dyDescent="0.25">
      <c r="B640" s="976" t="s">
        <v>425</v>
      </c>
      <c r="C640" s="523" t="s">
        <v>408</v>
      </c>
      <c r="D640" s="976" t="s">
        <v>411</v>
      </c>
      <c r="E640" s="976" t="s">
        <v>411</v>
      </c>
      <c r="F640" s="522" t="s">
        <v>479</v>
      </c>
      <c r="G640" s="522" t="s">
        <v>480</v>
      </c>
      <c r="H640" s="522" t="s">
        <v>481</v>
      </c>
      <c r="I640" s="522" t="s">
        <v>482</v>
      </c>
      <c r="J640" s="546" t="s">
        <v>484</v>
      </c>
      <c r="K640" s="546" t="s">
        <v>483</v>
      </c>
      <c r="L640" s="546" t="s">
        <v>485</v>
      </c>
      <c r="M640" s="522" t="s">
        <v>486</v>
      </c>
      <c r="N640" s="523" t="s">
        <v>487</v>
      </c>
    </row>
    <row r="641" spans="2:14" x14ac:dyDescent="0.25">
      <c r="B641" s="976"/>
      <c r="C641" s="523" t="s">
        <v>477</v>
      </c>
      <c r="D641" s="976"/>
      <c r="E641" s="976"/>
      <c r="F641" s="523" t="s">
        <v>308</v>
      </c>
      <c r="G641" s="523" t="s">
        <v>308</v>
      </c>
      <c r="H641" s="523" t="s">
        <v>308</v>
      </c>
      <c r="I641" s="523" t="s">
        <v>308</v>
      </c>
      <c r="J641" s="547" t="s">
        <v>310</v>
      </c>
      <c r="K641" s="547" t="s">
        <v>310</v>
      </c>
      <c r="L641" s="547" t="s">
        <v>310</v>
      </c>
      <c r="M641" s="523" t="s">
        <v>310</v>
      </c>
      <c r="N641" s="523" t="s">
        <v>309</v>
      </c>
    </row>
    <row r="642" spans="2:14" x14ac:dyDescent="0.25">
      <c r="B642" s="977" t="s">
        <v>1395</v>
      </c>
      <c r="C642" s="980">
        <f>'Units CF'!F70</f>
        <v>847306</v>
      </c>
      <c r="D642" s="388" t="s">
        <v>229</v>
      </c>
      <c r="E642" s="548" t="s">
        <v>594</v>
      </c>
      <c r="F642" s="115">
        <f>F50*'Units CF'!$I$32*('Units CF'!$I$39*'Units CF'!$I$46+'Units CF'!$I$37)*('Units CF'!$I$48*('Units CF'!$I$52*'Units CF'!$I$59*'Units CF'!$I$65+'Units CF'!$I$53*'Units CF'!$I$61*'Units CF'!$I$65+'Units CF'!$I$54*'Units CF'!$I$58*'Units CF'!$I$63*'Units CF'!$I$65)+'Units CF'!$I$49*'Units CF'!$I$56*'Units CF'!$I$58*'Units CF'!$I$63*'Units CF'!$I$65)</f>
        <v>41364.642625890105</v>
      </c>
      <c r="G642" s="115">
        <f ca="1">G50*'Units CF'!$I$32*('Units CF'!$I$39*'Units CF'!$I$46+'Units CF'!$I$37)*('Units CF'!$I$48*('Units CF'!$I$52*'Units CF'!$I$59*'Units CF'!$I$65+'Units CF'!$I$53*'Units CF'!$I$61*'Units CF'!$I$65+'Units CF'!$I$54*'Units CF'!$I$58*'Units CF'!$I$63*'Units CF'!$I$65)+'Units CF'!$I$49*'Units CF'!$I$56*'Units CF'!$I$58*'Units CF'!$I$63*'Units CF'!$I$65)</f>
        <v>852.94817149860842</v>
      </c>
      <c r="H642" s="115">
        <f>H50*'Units CF'!$I$32*('Units CF'!$I$39*'Units CF'!$I$46+'Units CF'!$I$37)*('Units CF'!$I$48*('Units CF'!$I$52*'Units CF'!$I$59*'Units CF'!$I$65+'Units CF'!$I$53*'Units CF'!$I$61*'Units CF'!$I$65+'Units CF'!$I$54*'Units CF'!$I$58*'Units CF'!$I$63*'Units CF'!$I$65)+'Units CF'!$I$49*'Units CF'!$I$56*'Units CF'!$I$58*'Units CF'!$I$63*'Units CF'!$I$65)</f>
        <v>5865.671156826138</v>
      </c>
      <c r="I642" s="115">
        <f ca="1">SUM(F642:H642)</f>
        <v>48083.261954214853</v>
      </c>
      <c r="J642" s="521">
        <f>F642/$C$642</f>
        <v>4.8819012996355632E-2</v>
      </c>
      <c r="K642" s="521">
        <f ca="1">G642/$C$642</f>
        <v>1.0066589537883698E-3</v>
      </c>
      <c r="L642" s="521">
        <f>H642/$C$642</f>
        <v>6.922730580010218E-3</v>
      </c>
      <c r="M642" s="298">
        <f ca="1">SUM(J642:L642)</f>
        <v>5.6748402530154216E-2</v>
      </c>
      <c r="N642" s="369">
        <f ca="1">M642/$M$665</f>
        <v>1.9184749002729873E-2</v>
      </c>
    </row>
    <row r="643" spans="2:14" x14ac:dyDescent="0.25">
      <c r="B643" s="978"/>
      <c r="C643" s="981"/>
      <c r="D643" s="388" t="s">
        <v>1445</v>
      </c>
      <c r="E643" s="548" t="s">
        <v>597</v>
      </c>
      <c r="F643" s="115">
        <f>F51*'Units CF'!$I$32*('Units CF'!$I$39*'Units CF'!$I$46+'Units CF'!$I$37)*('Units CF'!$I$48*('Units CF'!$I$52*'Units CF'!$I$59*'Units CF'!$I$65+'Units CF'!$I$53*'Units CF'!$I$61*'Units CF'!$I$65+'Units CF'!$I$54*'Units CF'!$I$58*'Units CF'!$I$63*'Units CF'!$I$65)+'Units CF'!$I$49*'Units CF'!$I$56*'Units CF'!$I$58*'Units CF'!$I$63*'Units CF'!$I$65)</f>
        <v>35963.558001015379</v>
      </c>
      <c r="G643" s="115">
        <f ca="1">G51*'Units CF'!$I$32*('Units CF'!$I$39*'Units CF'!$I$46+'Units CF'!$I$37)*('Units CF'!$I$48*('Units CF'!$I$52*'Units CF'!$I$59*'Units CF'!$I$65+'Units CF'!$I$53*'Units CF'!$I$61*'Units CF'!$I$65+'Units CF'!$I$54*'Units CF'!$I$58*'Units CF'!$I$63*'Units CF'!$I$65)+'Units CF'!$I$49*'Units CF'!$I$56*'Units CF'!$I$58*'Units CF'!$I$63*'Units CF'!$I$65)</f>
        <v>28854.348411535782</v>
      </c>
      <c r="H643" s="115">
        <f>H51*'Units CF'!$I$32*('Units CF'!$I$39*'Units CF'!$I$46+'Units CF'!$I$37)*('Units CF'!$I$48*('Units CF'!$I$52*'Units CF'!$I$59*'Units CF'!$I$65+'Units CF'!$I$53*'Units CF'!$I$61*'Units CF'!$I$65+'Units CF'!$I$54*'Units CF'!$I$58*'Units CF'!$I$63*'Units CF'!$I$65)+'Units CF'!$I$49*'Units CF'!$I$56*'Units CF'!$I$58*'Units CF'!$I$63*'Units CF'!$I$65)</f>
        <v>1616.39193889897</v>
      </c>
      <c r="I643" s="115">
        <f t="shared" ref="I643:I664" ca="1" si="113">SUM(F643:H643)</f>
        <v>66434.298351450139</v>
      </c>
      <c r="J643" s="521">
        <f t="shared" ref="J643:J664" si="114">F643/$C$642</f>
        <v>4.2444592627711095E-2</v>
      </c>
      <c r="K643" s="521">
        <f t="shared" ref="K643:K664" ca="1" si="115">G643/$C$642</f>
        <v>3.4054224107389515E-2</v>
      </c>
      <c r="L643" s="521">
        <f t="shared" ref="L643:L664" si="116">H643/$C$642</f>
        <v>1.9076838106881929E-3</v>
      </c>
      <c r="M643" s="298">
        <f t="shared" ref="M643:M664" ca="1" si="117">SUM(J643:L643)</f>
        <v>7.8406500545788807E-2</v>
      </c>
      <c r="N643" s="369">
        <f t="shared" ref="N643:N664" ca="1" si="118">M643/$M$665</f>
        <v>2.6506632188528553E-2</v>
      </c>
    </row>
    <row r="644" spans="2:14" x14ac:dyDescent="0.25">
      <c r="B644" s="978"/>
      <c r="C644" s="981"/>
      <c r="D644" s="388" t="s">
        <v>1446</v>
      </c>
      <c r="E644" s="548" t="s">
        <v>595</v>
      </c>
      <c r="F644" s="115">
        <f>F52*'Units CF'!$I$32*('Units CF'!$I$39*'Units CF'!$I$46+'Units CF'!$I$37)*('Units CF'!$I$48*('Units CF'!$I$52*'Units CF'!$I$59*'Units CF'!$I$65+'Units CF'!$I$53*'Units CF'!$I$61*'Units CF'!$I$65+'Units CF'!$I$54*'Units CF'!$I$58*'Units CF'!$I$63*'Units CF'!$I$65)+'Units CF'!$I$49*'Units CF'!$I$56*'Units CF'!$I$58*'Units CF'!$I$63*'Units CF'!$I$65)</f>
        <v>0.18153491681719264</v>
      </c>
      <c r="G644" s="115">
        <f ca="1">G52*'Units CF'!$I$32*('Units CF'!$I$39*'Units CF'!$I$46+'Units CF'!$I$37)*('Units CF'!$I$48*('Units CF'!$I$52*'Units CF'!$I$59*'Units CF'!$I$65+'Units CF'!$I$53*'Units CF'!$I$61*'Units CF'!$I$65+'Units CF'!$I$54*'Units CF'!$I$58*'Units CF'!$I$63*'Units CF'!$I$65)+'Units CF'!$I$49*'Units CF'!$I$56*'Units CF'!$I$58*'Units CF'!$I$63*'Units CF'!$I$65)</f>
        <v>12.108141477516014</v>
      </c>
      <c r="H644" s="115">
        <f>H52*'Units CF'!$I$32*('Units CF'!$I$39*'Units CF'!$I$46+'Units CF'!$I$37)*('Units CF'!$I$48*('Units CF'!$I$52*'Units CF'!$I$59*'Units CF'!$I$65+'Units CF'!$I$53*'Units CF'!$I$61*'Units CF'!$I$65+'Units CF'!$I$54*'Units CF'!$I$58*'Units CF'!$I$63*'Units CF'!$I$65)+'Units CF'!$I$49*'Units CF'!$I$56*'Units CF'!$I$58*'Units CF'!$I$63*'Units CF'!$I$65)</f>
        <v>113.48416521302693</v>
      </c>
      <c r="I644" s="115">
        <f t="shared" ca="1" si="113"/>
        <v>125.77384160736014</v>
      </c>
      <c r="J644" s="521">
        <f t="shared" si="114"/>
        <v>2.1424953537115592E-7</v>
      </c>
      <c r="K644" s="521">
        <f t="shared" ca="1" si="115"/>
        <v>1.4290163739565179E-5</v>
      </c>
      <c r="L644" s="521">
        <f t="shared" si="116"/>
        <v>1.3393527865142809E-4</v>
      </c>
      <c r="M644" s="298">
        <f t="shared" ca="1" si="117"/>
        <v>1.4843969192636442E-4</v>
      </c>
      <c r="N644" s="369">
        <f t="shared" ca="1" si="118"/>
        <v>5.018252681450609E-5</v>
      </c>
    </row>
    <row r="645" spans="2:14" x14ac:dyDescent="0.25">
      <c r="B645" s="978"/>
      <c r="C645" s="981"/>
      <c r="D645" s="388" t="s">
        <v>1447</v>
      </c>
      <c r="E645" s="548" t="s">
        <v>596</v>
      </c>
      <c r="F645" s="115">
        <f>F53*'Units CF'!$I$32*('Units CF'!$I$39*'Units CF'!$I$46+'Units CF'!$I$37)*('Units CF'!$I$48*('Units CF'!$I$52*'Units CF'!$I$59*'Units CF'!$I$65+'Units CF'!$I$53*'Units CF'!$I$61*'Units CF'!$I$65+'Units CF'!$I$54*'Units CF'!$I$58*'Units CF'!$I$63*'Units CF'!$I$65)+'Units CF'!$I$49*'Units CF'!$I$56*'Units CF'!$I$58*'Units CF'!$I$63*'Units CF'!$I$65)</f>
        <v>1630.0433046701539</v>
      </c>
      <c r="G645" s="115">
        <f ca="1">G53*'Units CF'!$I$32*('Units CF'!$I$39*'Units CF'!$I$46+'Units CF'!$I$37)*('Units CF'!$I$48*('Units CF'!$I$52*'Units CF'!$I$59*'Units CF'!$I$65+'Units CF'!$I$53*'Units CF'!$I$61*'Units CF'!$I$65+'Units CF'!$I$54*'Units CF'!$I$58*'Units CF'!$I$63*'Units CF'!$I$65)+'Units CF'!$I$49*'Units CF'!$I$56*'Units CF'!$I$58*'Units CF'!$I$63*'Units CF'!$I$65)</f>
        <v>15771.61799216225</v>
      </c>
      <c r="H645" s="115">
        <f>H53*'Units CF'!$I$32*('Units CF'!$I$39*'Units CF'!$I$46+'Units CF'!$I$37)*('Units CF'!$I$48*('Units CF'!$I$52*'Units CF'!$I$59*'Units CF'!$I$65+'Units CF'!$I$53*'Units CF'!$I$61*'Units CF'!$I$65+'Units CF'!$I$54*'Units CF'!$I$58*'Units CF'!$I$63*'Units CF'!$I$65)+'Units CF'!$I$49*'Units CF'!$I$56*'Units CF'!$I$58*'Units CF'!$I$63*'Units CF'!$I$65)</f>
        <v>835.26296344597245</v>
      </c>
      <c r="I645" s="115">
        <f t="shared" ca="1" si="113"/>
        <v>18236.924260278378</v>
      </c>
      <c r="J645" s="521">
        <f t="shared" si="114"/>
        <v>1.9237953049667464E-3</v>
      </c>
      <c r="K645" s="521">
        <f t="shared" ca="1" si="115"/>
        <v>1.8613839618936076E-2</v>
      </c>
      <c r="L645" s="521">
        <f t="shared" si="116"/>
        <v>9.8578667381792702E-4</v>
      </c>
      <c r="M645" s="298">
        <f t="shared" ca="1" si="117"/>
        <v>2.1523421597720749E-2</v>
      </c>
      <c r="N645" s="369">
        <f t="shared" ca="1" si="118"/>
        <v>7.2763535645394596E-3</v>
      </c>
    </row>
    <row r="646" spans="2:14" x14ac:dyDescent="0.25">
      <c r="B646" s="978"/>
      <c r="C646" s="981"/>
      <c r="D646" s="388" t="s">
        <v>1448</v>
      </c>
      <c r="E646" s="548" t="s">
        <v>598</v>
      </c>
      <c r="F646" s="115">
        <f>F54*'Units CF'!$I$32*('Units CF'!$I$39*'Units CF'!$I$46+'Units CF'!$I$37)*('Units CF'!$I$48*('Units CF'!$I$52*'Units CF'!$I$59*'Units CF'!$I$65+'Units CF'!$I$53*'Units CF'!$I$61*'Units CF'!$I$65+'Units CF'!$I$54*'Units CF'!$I$58*'Units CF'!$I$63*'Units CF'!$I$65)+'Units CF'!$I$49*'Units CF'!$I$56*'Units CF'!$I$58*'Units CF'!$I$63*'Units CF'!$I$65)</f>
        <v>50044.052191152819</v>
      </c>
      <c r="G646" s="115">
        <f ca="1">G54*'Units CF'!$I$32*('Units CF'!$I$39*'Units CF'!$I$46+'Units CF'!$I$37)*('Units CF'!$I$48*('Units CF'!$I$52*'Units CF'!$I$59*'Units CF'!$I$65+'Units CF'!$I$53*'Units CF'!$I$61*'Units CF'!$I$65+'Units CF'!$I$54*'Units CF'!$I$58*'Units CF'!$I$63*'Units CF'!$I$65)+'Units CF'!$I$49*'Units CF'!$I$56*'Units CF'!$I$58*'Units CF'!$I$63*'Units CF'!$I$65)</f>
        <v>12176.68173172424</v>
      </c>
      <c r="H646" s="115">
        <f>H54*'Units CF'!$I$32*('Units CF'!$I$39*'Units CF'!$I$46+'Units CF'!$I$37)*('Units CF'!$I$48*('Units CF'!$I$52*'Units CF'!$I$59*'Units CF'!$I$65+'Units CF'!$I$53*'Units CF'!$I$61*'Units CF'!$I$65+'Units CF'!$I$54*'Units CF'!$I$58*'Units CF'!$I$63*'Units CF'!$I$65)+'Units CF'!$I$49*'Units CF'!$I$56*'Units CF'!$I$58*'Units CF'!$I$63*'Units CF'!$I$65)</f>
        <v>18194.317806634721</v>
      </c>
      <c r="I646" s="115">
        <f t="shared" ca="1" si="113"/>
        <v>80415.051729511775</v>
      </c>
      <c r="J646" s="521">
        <f t="shared" si="114"/>
        <v>5.9062549056837575E-2</v>
      </c>
      <c r="K646" s="521">
        <f t="shared" ca="1" si="115"/>
        <v>1.4371055712722723E-2</v>
      </c>
      <c r="L646" s="521">
        <f t="shared" si="116"/>
        <v>2.1473136985498416E-2</v>
      </c>
      <c r="M646" s="298">
        <f t="shared" ca="1" si="117"/>
        <v>9.4906741755058727E-2</v>
      </c>
      <c r="N646" s="369">
        <f t="shared" ca="1" si="118"/>
        <v>3.2084815396701466E-2</v>
      </c>
    </row>
    <row r="647" spans="2:14" x14ac:dyDescent="0.25">
      <c r="B647" s="978"/>
      <c r="C647" s="981"/>
      <c r="D647" s="388" t="s">
        <v>1449</v>
      </c>
      <c r="E647" s="548" t="s">
        <v>599</v>
      </c>
      <c r="F647" s="115">
        <f>F55*'Units CF'!$I$32*('Units CF'!$I$39*'Units CF'!$I$46+'Units CF'!$I$37)*('Units CF'!$I$48*('Units CF'!$I$52*'Units CF'!$I$59*'Units CF'!$I$65+'Units CF'!$I$53*'Units CF'!$I$61*'Units CF'!$I$65+'Units CF'!$I$54*'Units CF'!$I$58*'Units CF'!$I$63*'Units CF'!$I$65)+'Units CF'!$I$49*'Units CF'!$I$56*'Units CF'!$I$58*'Units CF'!$I$63*'Units CF'!$I$65)</f>
        <v>102123.5467822374</v>
      </c>
      <c r="G647" s="115">
        <f ca="1">G55*'Units CF'!$I$32*('Units CF'!$I$39*'Units CF'!$I$46+'Units CF'!$I$37)*('Units CF'!$I$48*('Units CF'!$I$52*'Units CF'!$I$59*'Units CF'!$I$65+'Units CF'!$I$53*'Units CF'!$I$61*'Units CF'!$I$65+'Units CF'!$I$54*'Units CF'!$I$58*'Units CF'!$I$63*'Units CF'!$I$65)+'Units CF'!$I$49*'Units CF'!$I$56*'Units CF'!$I$58*'Units CF'!$I$63*'Units CF'!$I$65)</f>
        <v>458314.9780182332</v>
      </c>
      <c r="H647" s="115">
        <f>H55*'Units CF'!$I$32*('Units CF'!$I$39*'Units CF'!$I$46+'Units CF'!$I$37)*('Units CF'!$I$48*('Units CF'!$I$52*'Units CF'!$I$59*'Units CF'!$I$65+'Units CF'!$I$53*'Units CF'!$I$61*'Units CF'!$I$65+'Units CF'!$I$54*'Units CF'!$I$58*'Units CF'!$I$63*'Units CF'!$I$65)+'Units CF'!$I$49*'Units CF'!$I$56*'Units CF'!$I$58*'Units CF'!$I$63*'Units CF'!$I$65)</f>
        <v>86823.347189132881</v>
      </c>
      <c r="I647" s="115">
        <f t="shared" ca="1" si="113"/>
        <v>647261.87198960339</v>
      </c>
      <c r="J647" s="521">
        <f t="shared" si="114"/>
        <v>0.12052734995649435</v>
      </c>
      <c r="K647" s="521">
        <f t="shared" ca="1" si="115"/>
        <v>0.54090845340199789</v>
      </c>
      <c r="L647" s="521">
        <f t="shared" si="116"/>
        <v>0.10246988359474957</v>
      </c>
      <c r="M647" s="298">
        <f t="shared" ca="1" si="117"/>
        <v>0.7639056869532419</v>
      </c>
      <c r="N647" s="369">
        <f t="shared" ca="1" si="118"/>
        <v>0.25825112624392421</v>
      </c>
    </row>
    <row r="648" spans="2:14" x14ac:dyDescent="0.25">
      <c r="B648" s="978"/>
      <c r="C648" s="981"/>
      <c r="D648" s="388" t="s">
        <v>1450</v>
      </c>
      <c r="E648" s="548" t="s">
        <v>600</v>
      </c>
      <c r="F648" s="115">
        <f>F56*'Units CF'!$I$32*('Units CF'!$I$39*'Units CF'!$I$46+'Units CF'!$I$37)*('Units CF'!$I$48*('Units CF'!$I$52*'Units CF'!$I$59*'Units CF'!$I$65+'Units CF'!$I$53*'Units CF'!$I$61*'Units CF'!$I$65+'Units CF'!$I$54*'Units CF'!$I$58*'Units CF'!$I$63*'Units CF'!$I$65)+'Units CF'!$I$49*'Units CF'!$I$56*'Units CF'!$I$58*'Units CF'!$I$63*'Units CF'!$I$65)</f>
        <v>83743.305987382904</v>
      </c>
      <c r="G648" s="115">
        <f ca="1">G56*'Units CF'!$I$32*('Units CF'!$I$39*'Units CF'!$I$46+'Units CF'!$I$37)*('Units CF'!$I$48*('Units CF'!$I$52*'Units CF'!$I$59*'Units CF'!$I$65+'Units CF'!$I$53*'Units CF'!$I$61*'Units CF'!$I$65+'Units CF'!$I$54*'Units CF'!$I$58*'Units CF'!$I$63*'Units CF'!$I$65)+'Units CF'!$I$49*'Units CF'!$I$56*'Units CF'!$I$58*'Units CF'!$I$63*'Units CF'!$I$65)</f>
        <v>3.8512189300946904</v>
      </c>
      <c r="H648" s="115">
        <f>H56*'Units CF'!$I$32*('Units CF'!$I$39*'Units CF'!$I$46+'Units CF'!$I$37)*('Units CF'!$I$48*('Units CF'!$I$52*'Units CF'!$I$59*'Units CF'!$I$65+'Units CF'!$I$53*'Units CF'!$I$61*'Units CF'!$I$65+'Units CF'!$I$54*'Units CF'!$I$58*'Units CF'!$I$63*'Units CF'!$I$65)+'Units CF'!$I$49*'Units CF'!$I$56*'Units CF'!$I$58*'Units CF'!$I$63*'Units CF'!$I$65)</f>
        <v>985.34218644509826</v>
      </c>
      <c r="I648" s="115">
        <f t="shared" ca="1" si="113"/>
        <v>84732.499392758094</v>
      </c>
      <c r="J648" s="521">
        <f t="shared" si="114"/>
        <v>9.8834784584769728E-2</v>
      </c>
      <c r="K648" s="521">
        <f t="shared" ca="1" si="115"/>
        <v>4.5452515739233412E-6</v>
      </c>
      <c r="L648" s="521">
        <f t="shared" si="116"/>
        <v>1.1629118481930947E-3</v>
      </c>
      <c r="M648" s="298">
        <f t="shared" ca="1" si="117"/>
        <v>0.10000224168453675</v>
      </c>
      <c r="N648" s="369">
        <f t="shared" ca="1" si="118"/>
        <v>3.3807434586528344E-2</v>
      </c>
    </row>
    <row r="649" spans="2:14" x14ac:dyDescent="0.25">
      <c r="B649" s="978"/>
      <c r="C649" s="981"/>
      <c r="D649" s="388" t="s">
        <v>1451</v>
      </c>
      <c r="E649" s="548" t="s">
        <v>601</v>
      </c>
      <c r="F649" s="115">
        <f>F57*'Units CF'!$I$32*('Units CF'!$I$39*'Units CF'!$I$46+'Units CF'!$I$37)*('Units CF'!$I$48*('Units CF'!$I$52*'Units CF'!$I$59*'Units CF'!$I$65+'Units CF'!$I$53*'Units CF'!$I$61*'Units CF'!$I$65+'Units CF'!$I$54*'Units CF'!$I$58*'Units CF'!$I$63*'Units CF'!$I$65)+'Units CF'!$I$49*'Units CF'!$I$56*'Units CF'!$I$58*'Units CF'!$I$63*'Units CF'!$I$65)</f>
        <v>693378.79389399453</v>
      </c>
      <c r="G649" s="115">
        <f ca="1">G57*'Units CF'!$I$32*('Units CF'!$I$39*'Units CF'!$I$46+'Units CF'!$I$37)*('Units CF'!$I$48*('Units CF'!$I$52*'Units CF'!$I$59*'Units CF'!$I$65+'Units CF'!$I$53*'Units CF'!$I$61*'Units CF'!$I$65+'Units CF'!$I$54*'Units CF'!$I$58*'Units CF'!$I$63*'Units CF'!$I$65)+'Units CF'!$I$49*'Units CF'!$I$56*'Units CF'!$I$58*'Units CF'!$I$63*'Units CF'!$I$65)</f>
        <v>58679.046013067338</v>
      </c>
      <c r="H649" s="115">
        <f>H57*'Units CF'!$I$32*('Units CF'!$I$39*'Units CF'!$I$46+'Units CF'!$I$37)*('Units CF'!$I$48*('Units CF'!$I$52*'Units CF'!$I$59*'Units CF'!$I$65+'Units CF'!$I$53*'Units CF'!$I$61*'Units CF'!$I$65+'Units CF'!$I$54*'Units CF'!$I$58*'Units CF'!$I$63*'Units CF'!$I$65)+'Units CF'!$I$49*'Units CF'!$I$56*'Units CF'!$I$58*'Units CF'!$I$63*'Units CF'!$I$65)</f>
        <v>495077.58176028176</v>
      </c>
      <c r="I649" s="115">
        <f t="shared" ca="1" si="113"/>
        <v>1247135.4216673437</v>
      </c>
      <c r="J649" s="521">
        <f t="shared" si="114"/>
        <v>0.81833339300559016</v>
      </c>
      <c r="K649" s="521">
        <f t="shared" ca="1" si="115"/>
        <v>6.9253665161190095E-2</v>
      </c>
      <c r="L649" s="521">
        <f t="shared" si="116"/>
        <v>0.58429608873332861</v>
      </c>
      <c r="M649" s="298">
        <f t="shared" ca="1" si="117"/>
        <v>1.471883146900109</v>
      </c>
      <c r="N649" s="369">
        <f t="shared" ca="1" si="118"/>
        <v>0.49759477757320464</v>
      </c>
    </row>
    <row r="650" spans="2:14" x14ac:dyDescent="0.25">
      <c r="B650" s="978"/>
      <c r="C650" s="981"/>
      <c r="D650" s="388" t="s">
        <v>1452</v>
      </c>
      <c r="E650" s="548" t="s">
        <v>602</v>
      </c>
      <c r="F650" s="115">
        <f>F58*'Units CF'!$I$32*('Units CF'!$I$39*'Units CF'!$I$46+'Units CF'!$I$37)*('Units CF'!$I$48*('Units CF'!$I$52*'Units CF'!$I$59*'Units CF'!$I$65+'Units CF'!$I$53*'Units CF'!$I$61*'Units CF'!$I$65+'Units CF'!$I$54*'Units CF'!$I$58*'Units CF'!$I$63*'Units CF'!$I$65)+'Units CF'!$I$49*'Units CF'!$I$56*'Units CF'!$I$58*'Units CF'!$I$63*'Units CF'!$I$65)</f>
        <v>1572.9821483544631</v>
      </c>
      <c r="G650" s="115">
        <f ca="1">G58*'Units CF'!$I$32*('Units CF'!$I$39*'Units CF'!$I$46+'Units CF'!$I$37)*('Units CF'!$I$48*('Units CF'!$I$52*'Units CF'!$I$59*'Units CF'!$I$65+'Units CF'!$I$53*'Units CF'!$I$61*'Units CF'!$I$65+'Units CF'!$I$54*'Units CF'!$I$58*'Units CF'!$I$63*'Units CF'!$I$65)+'Units CF'!$I$49*'Units CF'!$I$56*'Units CF'!$I$58*'Units CF'!$I$63*'Units CF'!$I$65)</f>
        <v>326.70761745050766</v>
      </c>
      <c r="H650" s="115">
        <f>H58*'Units CF'!$I$32*('Units CF'!$I$39*'Units CF'!$I$46+'Units CF'!$I$37)*('Units CF'!$I$48*('Units CF'!$I$52*'Units CF'!$I$59*'Units CF'!$I$65+'Units CF'!$I$53*'Units CF'!$I$61*'Units CF'!$I$65+'Units CF'!$I$54*'Units CF'!$I$58*'Units CF'!$I$63*'Units CF'!$I$65)+'Units CF'!$I$49*'Units CF'!$I$56*'Units CF'!$I$58*'Units CF'!$I$63*'Units CF'!$I$65)</f>
        <v>3258.1493018428387</v>
      </c>
      <c r="I650" s="115">
        <f t="shared" ca="1" si="113"/>
        <v>5157.8390676478093</v>
      </c>
      <c r="J650" s="521">
        <f t="shared" si="114"/>
        <v>1.8564510912875197E-3</v>
      </c>
      <c r="K650" s="521">
        <f t="shared" ca="1" si="115"/>
        <v>3.855839772768134E-4</v>
      </c>
      <c r="L650" s="521">
        <f t="shared" si="116"/>
        <v>3.8453041779980771E-3</v>
      </c>
      <c r="M650" s="298">
        <f t="shared" ca="1" si="117"/>
        <v>6.08733924656241E-3</v>
      </c>
      <c r="N650" s="369">
        <f t="shared" ca="1" si="118"/>
        <v>2.0579271016080395E-3</v>
      </c>
    </row>
    <row r="651" spans="2:14" x14ac:dyDescent="0.25">
      <c r="B651" s="978"/>
      <c r="C651" s="981"/>
      <c r="D651" s="388" t="s">
        <v>19</v>
      </c>
      <c r="E651" s="548" t="s">
        <v>603</v>
      </c>
      <c r="F651" s="115">
        <f>F59*'Units CF'!$I$32*('Units CF'!$I$39*'Units CF'!$I$46+'Units CF'!$I$37)*('Units CF'!$I$48*('Units CF'!$I$52*'Units CF'!$I$59*'Units CF'!$I$65+'Units CF'!$I$53*'Units CF'!$I$61*'Units CF'!$I$65+'Units CF'!$I$54*'Units CF'!$I$58*'Units CF'!$I$63*'Units CF'!$I$65)+'Units CF'!$I$49*'Units CF'!$I$56*'Units CF'!$I$58*'Units CF'!$I$63*'Units CF'!$I$65)</f>
        <v>24846.292189830772</v>
      </c>
      <c r="G651" s="115">
        <f ca="1">G59*'Units CF'!$I$32*('Units CF'!$I$39*'Units CF'!$I$46+'Units CF'!$I$37)*('Units CF'!$I$48*('Units CF'!$I$52*'Units CF'!$I$59*'Units CF'!$I$65+'Units CF'!$I$53*'Units CF'!$I$61*'Units CF'!$I$65+'Units CF'!$I$54*'Units CF'!$I$58*'Units CF'!$I$63*'Units CF'!$I$65)+'Units CF'!$I$49*'Units CF'!$I$56*'Units CF'!$I$58*'Units CF'!$I$63*'Units CF'!$I$65)</f>
        <v>1742.6388247066825</v>
      </c>
      <c r="H651" s="115">
        <f>H59*'Units CF'!$I$32*('Units CF'!$I$39*'Units CF'!$I$46+'Units CF'!$I$37)*('Units CF'!$I$48*('Units CF'!$I$52*'Units CF'!$I$59*'Units CF'!$I$65+'Units CF'!$I$53*'Units CF'!$I$61*'Units CF'!$I$65+'Units CF'!$I$54*'Units CF'!$I$58*'Units CF'!$I$63*'Units CF'!$I$65)+'Units CF'!$I$49*'Units CF'!$I$56*'Units CF'!$I$58*'Units CF'!$I$63*'Units CF'!$I$65)</f>
        <v>20553.413087094785</v>
      </c>
      <c r="I651" s="115">
        <f t="shared" ca="1" si="113"/>
        <v>47142.344101632239</v>
      </c>
      <c r="J651" s="521">
        <f t="shared" si="114"/>
        <v>2.932387141107318E-2</v>
      </c>
      <c r="K651" s="521">
        <f t="shared" ca="1" si="115"/>
        <v>2.0566817946605859E-3</v>
      </c>
      <c r="L651" s="521">
        <f t="shared" si="116"/>
        <v>2.4257367570977646E-2</v>
      </c>
      <c r="M651" s="298">
        <f t="shared" ca="1" si="117"/>
        <v>5.5637920776711411E-2</v>
      </c>
      <c r="N651" s="369">
        <f t="shared" ca="1" si="118"/>
        <v>1.8809332026003676E-2</v>
      </c>
    </row>
    <row r="652" spans="2:14" x14ac:dyDescent="0.25">
      <c r="B652" s="978"/>
      <c r="C652" s="981"/>
      <c r="D652" s="388" t="s">
        <v>1453</v>
      </c>
      <c r="E652" s="548" t="s">
        <v>604</v>
      </c>
      <c r="F652" s="115">
        <f>F60*'Units CF'!$I$32*('Units CF'!$I$39*'Units CF'!$I$46+'Units CF'!$I$37)*('Units CF'!$I$48*('Units CF'!$I$52*'Units CF'!$I$59*'Units CF'!$I$65+'Units CF'!$I$53*'Units CF'!$I$61*'Units CF'!$I$65+'Units CF'!$I$54*'Units CF'!$I$58*'Units CF'!$I$63*'Units CF'!$I$65)+'Units CF'!$I$49*'Units CF'!$I$56*'Units CF'!$I$58*'Units CF'!$I$63*'Units CF'!$I$65)</f>
        <v>858.9092242123736</v>
      </c>
      <c r="G652" s="115">
        <f ca="1">G60*'Units CF'!$I$32*('Units CF'!$I$39*'Units CF'!$I$46+'Units CF'!$I$37)*('Units CF'!$I$48*('Units CF'!$I$52*'Units CF'!$I$59*'Units CF'!$I$65+'Units CF'!$I$53*'Units CF'!$I$61*'Units CF'!$I$65+'Units CF'!$I$54*'Units CF'!$I$58*'Units CF'!$I$63*'Units CF'!$I$65)+'Units CF'!$I$49*'Units CF'!$I$56*'Units CF'!$I$58*'Units CF'!$I$63*'Units CF'!$I$65)</f>
        <v>2174.3410840641172</v>
      </c>
      <c r="H652" s="115">
        <f>H60*'Units CF'!$I$32*('Units CF'!$I$39*'Units CF'!$I$46+'Units CF'!$I$37)*('Units CF'!$I$48*('Units CF'!$I$52*'Units CF'!$I$59*'Units CF'!$I$65+'Units CF'!$I$53*'Units CF'!$I$61*'Units CF'!$I$65+'Units CF'!$I$54*'Units CF'!$I$58*'Units CF'!$I$63*'Units CF'!$I$65)+'Units CF'!$I$49*'Units CF'!$I$56*'Units CF'!$I$58*'Units CF'!$I$63*'Units CF'!$I$65)</f>
        <v>12031.449164487307</v>
      </c>
      <c r="I652" s="115">
        <f t="shared" ca="1" si="113"/>
        <v>15064.699472763798</v>
      </c>
      <c r="J652" s="521">
        <f t="shared" si="114"/>
        <v>1.0136942547466601E-3</v>
      </c>
      <c r="K652" s="521">
        <f t="shared" ca="1" si="115"/>
        <v>2.5661816204111823E-3</v>
      </c>
      <c r="L652" s="521">
        <f t="shared" si="116"/>
        <v>1.4199650615583162E-2</v>
      </c>
      <c r="M652" s="298">
        <f t="shared" ca="1" si="117"/>
        <v>1.7779526490741004E-2</v>
      </c>
      <c r="N652" s="369">
        <f t="shared" ca="1" si="118"/>
        <v>6.0106670479579734E-3</v>
      </c>
    </row>
    <row r="653" spans="2:14" x14ac:dyDescent="0.25">
      <c r="B653" s="978"/>
      <c r="C653" s="981"/>
      <c r="D653" s="388" t="s">
        <v>1454</v>
      </c>
      <c r="E653" s="548" t="s">
        <v>605</v>
      </c>
      <c r="F653" s="115">
        <f>F61*'Units CF'!$I$32*('Units CF'!$I$39*'Units CF'!$I$46+'Units CF'!$I$37)*('Units CF'!$I$48*('Units CF'!$I$52*'Units CF'!$I$59*'Units CF'!$I$65+'Units CF'!$I$53*'Units CF'!$I$61*'Units CF'!$I$65+'Units CF'!$I$54*'Units CF'!$I$58*'Units CF'!$I$63*'Units CF'!$I$65)+'Units CF'!$I$49*'Units CF'!$I$56*'Units CF'!$I$58*'Units CF'!$I$63*'Units CF'!$I$65)</f>
        <v>274.1241084019461</v>
      </c>
      <c r="G653" s="115">
        <f ca="1">G61*'Units CF'!$I$32*('Units CF'!$I$39*'Units CF'!$I$46+'Units CF'!$I$37)*('Units CF'!$I$48*('Units CF'!$I$52*'Units CF'!$I$59*'Units CF'!$I$65+'Units CF'!$I$53*'Units CF'!$I$61*'Units CF'!$I$65+'Units CF'!$I$54*'Units CF'!$I$58*'Units CF'!$I$63*'Units CF'!$I$65)+'Units CF'!$I$49*'Units CF'!$I$56*'Units CF'!$I$58*'Units CF'!$I$63*'Units CF'!$I$65)</f>
        <v>390.99131481968965</v>
      </c>
      <c r="H653" s="115">
        <f>H61*'Units CF'!$I$32*('Units CF'!$I$39*'Units CF'!$I$46+'Units CF'!$I$37)*('Units CF'!$I$48*('Units CF'!$I$52*'Units CF'!$I$59*'Units CF'!$I$65+'Units CF'!$I$53*'Units CF'!$I$61*'Units CF'!$I$65+'Units CF'!$I$54*'Units CF'!$I$58*'Units CF'!$I$63*'Units CF'!$I$65)+'Units CF'!$I$49*'Units CF'!$I$56*'Units CF'!$I$58*'Units CF'!$I$63*'Units CF'!$I$65)</f>
        <v>4744.9903153334226</v>
      </c>
      <c r="I653" s="115">
        <f t="shared" ca="1" si="113"/>
        <v>5410.1057385550585</v>
      </c>
      <c r="J653" s="521">
        <f t="shared" si="114"/>
        <v>3.2352433288793673E-4</v>
      </c>
      <c r="K653" s="521">
        <f t="shared" ca="1" si="115"/>
        <v>4.6145231453535046E-4</v>
      </c>
      <c r="L653" s="521">
        <f t="shared" si="116"/>
        <v>5.6000905402929079E-3</v>
      </c>
      <c r="M653" s="298">
        <f t="shared" ca="1" si="117"/>
        <v>6.3850671877161954E-3</v>
      </c>
      <c r="N653" s="369">
        <f t="shared" ca="1" si="118"/>
        <v>2.1585790242608371E-3</v>
      </c>
    </row>
    <row r="654" spans="2:14" x14ac:dyDescent="0.25">
      <c r="B654" s="978"/>
      <c r="C654" s="981"/>
      <c r="D654" s="388" t="s">
        <v>1455</v>
      </c>
      <c r="E654" s="548" t="s">
        <v>636</v>
      </c>
      <c r="F654" s="115">
        <f>'Units CF'!L35*('Units CF'!$I$39*'Units CF'!$I$46+'Units CF'!$I$37)*('Units CF'!$I$48*('Units CF'!$I$52*'Units CF'!$I$59*'Units CF'!$I$65+'Units CF'!$I$53*'Units CF'!$I$61*'Units CF'!$I$65+'Units CF'!$I$54*'Units CF'!$I$58*'Units CF'!$I$63*'Units CF'!$I$65)+'Units CF'!$I$49*'Units CF'!$I$56*'Units CF'!$I$58*'Units CF'!$I$63*'Units CF'!$I$65)</f>
        <v>10811.456886787346</v>
      </c>
      <c r="G654" s="115">
        <f ca="1">'Units CF'!M35*('Units CF'!$I$39*'Units CF'!$I$46+'Units CF'!$I$37)*('Units CF'!$I$48*('Units CF'!$I$52*'Units CF'!$I$59*'Units CF'!$I$65+'Units CF'!$I$53*'Units CF'!$I$61*'Units CF'!$I$65+'Units CF'!$I$54*'Units CF'!$I$58*'Units CF'!$I$63*'Units CF'!$I$65)+'Units CF'!$I$49*'Units CF'!$I$56*'Units CF'!$I$58*'Units CF'!$I$63*'Units CF'!$I$65)</f>
        <v>30628.773599496813</v>
      </c>
      <c r="H654" s="115">
        <f>'Units CF'!N35*('Units CF'!$I$39*'Units CF'!$I$46+'Units CF'!$I$37)*('Units CF'!$I$48*('Units CF'!$I$52*'Units CF'!$I$59*'Units CF'!$I$65+'Units CF'!$I$53*'Units CF'!$I$61*'Units CF'!$I$65+'Units CF'!$I$54*'Units CF'!$I$58*'Units CF'!$I$63*'Units CF'!$I$65)+'Units CF'!$I$49*'Units CF'!$I$56*'Units CF'!$I$58*'Units CF'!$I$63*'Units CF'!$I$65)</f>
        <v>43163.428860394364</v>
      </c>
      <c r="I654" s="115">
        <f t="shared" ca="1" si="113"/>
        <v>84603.659346678527</v>
      </c>
      <c r="J654" s="521">
        <f t="shared" si="114"/>
        <v>1.2759802110202625E-2</v>
      </c>
      <c r="K654" s="521">
        <f t="shared" ca="1" si="115"/>
        <v>3.6148420522806181E-2</v>
      </c>
      <c r="L654" s="521">
        <f t="shared" si="116"/>
        <v>5.0941960590854263E-2</v>
      </c>
      <c r="M654" s="298">
        <f t="shared" ca="1" si="117"/>
        <v>9.9850183223863076E-2</v>
      </c>
      <c r="N654" s="369">
        <f t="shared" ca="1" si="118"/>
        <v>3.3756028674261196E-2</v>
      </c>
    </row>
    <row r="655" spans="2:14" x14ac:dyDescent="0.25">
      <c r="B655" s="978"/>
      <c r="C655" s="981"/>
      <c r="D655" s="388" t="s">
        <v>1459</v>
      </c>
      <c r="E655" s="548" t="s">
        <v>641</v>
      </c>
      <c r="F655" s="115">
        <f>'Units CF'!L45*'Units CF'!$I$46*('Units CF'!$I$48*('Units CF'!$I$52*'Units CF'!$I$59*'Units CF'!$I$65+'Units CF'!$I$53*'Units CF'!$I$61*'Units CF'!$I$65+'Units CF'!$I$54*'Units CF'!$I$58*'Units CF'!$I$63*'Units CF'!$I$65)+'Units CF'!$I$49*'Units CF'!$I$56*'Units CF'!$I$58*'Units CF'!$I$63*'Units CF'!$I$65)</f>
        <v>160.54905477998579</v>
      </c>
      <c r="G655" s="115">
        <f ca="1">'Units CF'!M45*'Units CF'!$I$46*('Units CF'!$I$48*('Units CF'!$I$52*'Units CF'!$I$59*'Units CF'!$I$65+'Units CF'!$I$53*'Units CF'!$I$61*'Units CF'!$I$65+'Units CF'!$I$54*'Units CF'!$I$58*'Units CF'!$I$63*'Units CF'!$I$65)+'Units CF'!$I$49*'Units CF'!$I$56*'Units CF'!$I$58*'Units CF'!$I$63*'Units CF'!$I$65)</f>
        <v>334.47181787599635</v>
      </c>
      <c r="H655" s="115">
        <f>'Units CF'!N45*'Units CF'!$I$46*('Units CF'!$I$48*('Units CF'!$I$52*'Units CF'!$I$59*'Units CF'!$I$65+'Units CF'!$I$53*'Units CF'!$I$61*'Units CF'!$I$65+'Units CF'!$I$54*'Units CF'!$I$58*'Units CF'!$I$63*'Units CF'!$I$65)+'Units CF'!$I$49*'Units CF'!$I$56*'Units CF'!$I$58*'Units CF'!$I$63*'Units CF'!$I$65)</f>
        <v>2280.028705834136</v>
      </c>
      <c r="I655" s="115">
        <f t="shared" ca="1" si="113"/>
        <v>2775.0495784901182</v>
      </c>
      <c r="J655" s="521">
        <f t="shared" si="114"/>
        <v>1.8948178672166348E-4</v>
      </c>
      <c r="K655" s="521">
        <f t="shared" ca="1" si="115"/>
        <v>3.9474737329370539E-4</v>
      </c>
      <c r="L655" s="521">
        <f t="shared" si="116"/>
        <v>2.6909153314553843E-3</v>
      </c>
      <c r="M655" s="298">
        <f t="shared" ca="1" si="117"/>
        <v>3.2751444914707532E-3</v>
      </c>
      <c r="N655" s="369">
        <f t="shared" ca="1" si="118"/>
        <v>1.1072175112445235E-3</v>
      </c>
    </row>
    <row r="656" spans="2:14" x14ac:dyDescent="0.25">
      <c r="B656" s="978"/>
      <c r="C656" s="981"/>
      <c r="D656" s="388" t="s">
        <v>1460</v>
      </c>
      <c r="E656" s="548" t="s">
        <v>1443</v>
      </c>
      <c r="F656" s="115">
        <f>'Units CF'!L47*('Units CF'!$I$48*('Units CF'!$I$52*'Units CF'!$I$59*'Units CF'!$I$65+'Units CF'!$I$53*'Units CF'!$I$61*'Units CF'!$I$65+'Units CF'!$I$54*'Units CF'!$I$58*'Units CF'!$I$63*'Units CF'!$I$65)+'Units CF'!$I$49*'Units CF'!$I$56*'Units CF'!$I$58*'Units CF'!$I$63*'Units CF'!$I$65)</f>
        <v>3235.4821382784335</v>
      </c>
      <c r="G656" s="115">
        <f ca="1">'Units CF'!M47*('Units CF'!$I$48*('Units CF'!$I$52*'Units CF'!$I$59*'Units CF'!$I$65+'Units CF'!$I$53*'Units CF'!$I$61*'Units CF'!$I$65+'Units CF'!$I$54*'Units CF'!$I$58*'Units CF'!$I$63*'Units CF'!$I$65)+'Units CF'!$I$49*'Units CF'!$I$56*'Units CF'!$I$58*'Units CF'!$I$63*'Units CF'!$I$65)</f>
        <v>3192.3470580112985</v>
      </c>
      <c r="H656" s="115">
        <f>'Units CF'!N47*('Units CF'!$I$48*('Units CF'!$I$52*'Units CF'!$I$59*'Units CF'!$I$65+'Units CF'!$I$53*'Units CF'!$I$61*'Units CF'!$I$65+'Units CF'!$I$54*'Units CF'!$I$58*'Units CF'!$I$63*'Units CF'!$I$65)+'Units CF'!$I$49*'Units CF'!$I$56*'Units CF'!$I$58*'Units CF'!$I$63*'Units CF'!$I$65)</f>
        <v>16013.315397339735</v>
      </c>
      <c r="I656" s="115">
        <f t="shared" ca="1" si="113"/>
        <v>22441.144593629466</v>
      </c>
      <c r="J656" s="521">
        <f t="shared" si="114"/>
        <v>3.818552138517175E-3</v>
      </c>
      <c r="K656" s="521">
        <f t="shared" ca="1" si="115"/>
        <v>3.7676436352525517E-3</v>
      </c>
      <c r="L656" s="521">
        <f t="shared" si="116"/>
        <v>1.8899093594686847E-2</v>
      </c>
      <c r="M656" s="298">
        <f t="shared" ca="1" si="117"/>
        <v>2.6485289368456573E-2</v>
      </c>
      <c r="N656" s="369">
        <f t="shared" ca="1" si="118"/>
        <v>8.9537961624296756E-3</v>
      </c>
    </row>
    <row r="657" spans="2:14" x14ac:dyDescent="0.25">
      <c r="B657" s="978"/>
      <c r="C657" s="981"/>
      <c r="D657" s="388" t="s">
        <v>1462</v>
      </c>
      <c r="E657" s="548" t="s">
        <v>654</v>
      </c>
      <c r="F657" s="115">
        <f>'Units CF'!L51*('Units CF'!$I$52*'Units CF'!$I$59*'Units CF'!$I$65+'Units CF'!$I$53*'Units CF'!$I$61*'Units CF'!$I$65+'Units CF'!$I$54*'Units CF'!$I$58*'Units CF'!$I$63*'Units CF'!$I$65)</f>
        <v>2075.398138276501</v>
      </c>
      <c r="G657" s="115">
        <f ca="1">'Units CF'!M51*('Units CF'!$I$52*'Units CF'!$I$59*'Units CF'!$I$65+'Units CF'!$I$53*'Units CF'!$I$61*'Units CF'!$I$65+'Units CF'!$I$54*'Units CF'!$I$58*'Units CF'!$I$63*'Units CF'!$I$65)</f>
        <v>166.28303295701264</v>
      </c>
      <c r="H657" s="115">
        <f>'Units CF'!N51*('Units CF'!$I$52*'Units CF'!$I$59*'Units CF'!$I$65+'Units CF'!$I$53*'Units CF'!$I$61*'Units CF'!$I$65+'Units CF'!$I$54*'Units CF'!$I$58*'Units CF'!$I$63*'Units CF'!$I$65)</f>
        <v>63116.614629922289</v>
      </c>
      <c r="I657" s="115">
        <f t="shared" ca="1" si="113"/>
        <v>65358.2958011558</v>
      </c>
      <c r="J657" s="521">
        <f t="shared" si="114"/>
        <v>2.4494080512548018E-3</v>
      </c>
      <c r="K657" s="521">
        <f t="shared" ca="1" si="115"/>
        <v>1.9624909177677562E-4</v>
      </c>
      <c r="L657" s="521">
        <f t="shared" si="116"/>
        <v>7.4490933181073055E-2</v>
      </c>
      <c r="M657" s="298">
        <f t="shared" ca="1" si="117"/>
        <v>7.7136590324104637E-2</v>
      </c>
      <c r="N657" s="369">
        <f t="shared" ca="1" si="118"/>
        <v>2.6077317744900536E-2</v>
      </c>
    </row>
    <row r="658" spans="2:14" x14ac:dyDescent="0.25">
      <c r="B658" s="978"/>
      <c r="C658" s="981"/>
      <c r="D658" s="388" t="s">
        <v>1465</v>
      </c>
      <c r="E658" s="548" t="s">
        <v>642</v>
      </c>
      <c r="F658" s="115">
        <f>'Units CF'!L59*'Units CF'!$I$59*'Units CF'!$I$65</f>
        <v>3631.406608349821</v>
      </c>
      <c r="G658" s="115">
        <f ca="1">'Units CF'!M59*'Units CF'!$I$59*'Units CF'!$I$65</f>
        <v>8440.1398152903548</v>
      </c>
      <c r="H658" s="115">
        <f>'Units CF'!N59*'Units CF'!$I$59*'Units CF'!$I$65</f>
        <v>789.2350655428628</v>
      </c>
      <c r="I658" s="115">
        <f t="shared" ca="1" si="113"/>
        <v>12860.781489183039</v>
      </c>
      <c r="J658" s="521">
        <f t="shared" si="114"/>
        <v>4.285826617951273E-3</v>
      </c>
      <c r="K658" s="521">
        <f t="shared" ca="1" si="115"/>
        <v>9.9611472305051012E-3</v>
      </c>
      <c r="L658" s="521">
        <f t="shared" si="116"/>
        <v>9.3146403488569981E-4</v>
      </c>
      <c r="M658" s="298">
        <f t="shared" ca="1" si="117"/>
        <v>1.5178437883342074E-2</v>
      </c>
      <c r="N658" s="369">
        <f t="shared" ca="1" si="118"/>
        <v>5.131325430539002E-3</v>
      </c>
    </row>
    <row r="659" spans="2:14" x14ac:dyDescent="0.25">
      <c r="B659" s="978"/>
      <c r="C659" s="981"/>
      <c r="D659" s="388" t="s">
        <v>1466</v>
      </c>
      <c r="E659" s="548" t="s">
        <v>644</v>
      </c>
      <c r="F659" s="115">
        <f>'Units CF'!L61*'Units CF'!$I$61*'Units CF'!$I$65</f>
        <v>2353.0650736786483</v>
      </c>
      <c r="G659" s="115">
        <f ca="1">'Units CF'!M61*'Units CF'!$I$61*'Units CF'!$I$65</f>
        <v>3393.5673822206177</v>
      </c>
      <c r="H659" s="115">
        <f>'Units CF'!N61*'Units CF'!$I$61*'Units CF'!$I$65</f>
        <v>16975.87300419285</v>
      </c>
      <c r="I659" s="115">
        <f t="shared" ca="1" si="113"/>
        <v>22722.505460092114</v>
      </c>
      <c r="J659" s="521">
        <f t="shared" si="114"/>
        <v>2.7771136681183049E-3</v>
      </c>
      <c r="K659" s="521">
        <f t="shared" ca="1" si="115"/>
        <v>4.0051261081836048E-3</v>
      </c>
      <c r="L659" s="521">
        <f t="shared" si="116"/>
        <v>2.0035114827692532E-2</v>
      </c>
      <c r="M659" s="298">
        <f t="shared" ca="1" si="117"/>
        <v>2.6817354603994443E-2</v>
      </c>
      <c r="N659" s="369">
        <f t="shared" ca="1" si="118"/>
        <v>9.0660563831987326E-3</v>
      </c>
    </row>
    <row r="660" spans="2:14" x14ac:dyDescent="0.25">
      <c r="B660" s="978"/>
      <c r="C660" s="981"/>
      <c r="D660" s="388" t="s">
        <v>1464</v>
      </c>
      <c r="E660" s="548" t="s">
        <v>655</v>
      </c>
      <c r="F660" s="115">
        <f>'Units CF'!L56*'Units CF'!$I$56*'Units CF'!$I$58*'Units CF'!$I$63*'Units CF'!$I$65</f>
        <v>94.297230785802512</v>
      </c>
      <c r="G660" s="115">
        <f ca="1">'Units CF'!M56*'Units CF'!$I$56*'Units CF'!$I$58*'Units CF'!$I$63*'Units CF'!$I$65</f>
        <v>7.6709039516765785</v>
      </c>
      <c r="H660" s="115">
        <f>'Units CF'!N56*'Units CF'!$I$56*'Units CF'!$I$58*'Units CF'!$I$63*'Units CF'!$I$65</f>
        <v>6464.5965496477093</v>
      </c>
      <c r="I660" s="115">
        <f t="shared" ca="1" si="113"/>
        <v>6566.5646843851882</v>
      </c>
      <c r="J660" s="521">
        <f t="shared" si="114"/>
        <v>1.1129064444935185E-4</v>
      </c>
      <c r="K660" s="521">
        <f t="shared" ca="1" si="115"/>
        <v>9.0532864769948257E-6</v>
      </c>
      <c r="L660" s="521">
        <f t="shared" si="116"/>
        <v>7.6295890146507979E-3</v>
      </c>
      <c r="M660" s="298">
        <f t="shared" ca="1" si="117"/>
        <v>7.7499329455771445E-3</v>
      </c>
      <c r="N660" s="369">
        <f t="shared" ca="1" si="118"/>
        <v>2.6199947790579762E-3</v>
      </c>
    </row>
    <row r="661" spans="2:14" x14ac:dyDescent="0.25">
      <c r="B661" s="978"/>
      <c r="C661" s="981"/>
      <c r="D661" s="388" t="s">
        <v>1467</v>
      </c>
      <c r="E661" s="548" t="s">
        <v>656</v>
      </c>
      <c r="F661" s="115">
        <f>'Units CF'!L58*'Units CF'!$I$58*'Units CF'!$I$63*'Units CF'!$I$65</f>
        <v>115.93316133908219</v>
      </c>
      <c r="G661" s="115">
        <f ca="1">'Units CF'!M58*'Units CF'!$I$58*'Units CF'!$I$63*'Units CF'!$I$65</f>
        <v>9.5489255542432083</v>
      </c>
      <c r="H661" s="115">
        <f>'Units CF'!N58*'Units CF'!$I$58*'Units CF'!$I$63*'Units CF'!$I$65</f>
        <v>2819.9160446231053</v>
      </c>
      <c r="I661" s="115">
        <f t="shared" ca="1" si="113"/>
        <v>2945.3981315164306</v>
      </c>
      <c r="J661" s="521">
        <f t="shared" si="114"/>
        <v>1.368256112184762E-4</v>
      </c>
      <c r="K661" s="521">
        <f t="shared" ca="1" si="115"/>
        <v>1.1269748537415299E-5</v>
      </c>
      <c r="L661" s="521">
        <f t="shared" si="116"/>
        <v>3.3280963956623761E-3</v>
      </c>
      <c r="M661" s="298">
        <f t="shared" ca="1" si="117"/>
        <v>3.4761917554182674E-3</v>
      </c>
      <c r="N661" s="369">
        <f t="shared" ca="1" si="118"/>
        <v>1.1751849098769192E-3</v>
      </c>
    </row>
    <row r="662" spans="2:14" x14ac:dyDescent="0.25">
      <c r="B662" s="978"/>
      <c r="C662" s="981"/>
      <c r="D662" s="388" t="s">
        <v>1468</v>
      </c>
      <c r="E662" s="548" t="s">
        <v>643</v>
      </c>
      <c r="F662" s="115">
        <f>'Units CF'!L62*'Units CF'!$I$63*'Units CF'!$I$65</f>
        <v>433.22376152961095</v>
      </c>
      <c r="G662" s="115">
        <f ca="1">'Units CF'!M62*'Units CF'!$I$63*'Units CF'!$I$65</f>
        <v>944.60937890939977</v>
      </c>
      <c r="H662" s="115">
        <f>'Units CF'!N62*'Units CF'!$I$63*'Units CF'!$I$65</f>
        <v>86.844008943188413</v>
      </c>
      <c r="I662" s="115">
        <f t="shared" ca="1" si="113"/>
        <v>1464.6771493821991</v>
      </c>
      <c r="J662" s="521">
        <f t="shared" si="114"/>
        <v>5.1129551959930763E-4</v>
      </c>
      <c r="K662" s="521">
        <f t="shared" ca="1" si="115"/>
        <v>1.1148385340235992E-3</v>
      </c>
      <c r="L662" s="521">
        <f t="shared" si="116"/>
        <v>1.0249426882754096E-4</v>
      </c>
      <c r="M662" s="298">
        <f t="shared" ca="1" si="117"/>
        <v>1.7286283224504479E-3</v>
      </c>
      <c r="N662" s="369">
        <f t="shared" ca="1" si="118"/>
        <v>5.8439178913626628E-4</v>
      </c>
    </row>
    <row r="663" spans="2:14" x14ac:dyDescent="0.25">
      <c r="B663" s="978"/>
      <c r="C663" s="981"/>
      <c r="D663" s="388" t="s">
        <v>1469</v>
      </c>
      <c r="E663" s="548" t="s">
        <v>1444</v>
      </c>
      <c r="F663" s="115">
        <f>'Units CF'!L64*'Units CF'!$I$65</f>
        <v>2127.0083864240191</v>
      </c>
      <c r="G663" s="115">
        <f ca="1">'Units CF'!M64*'Units CF'!$I$65</f>
        <v>166.0648956630732</v>
      </c>
      <c r="H663" s="115">
        <f>'Units CF'!N64*'Units CF'!$I$65</f>
        <v>6185.9684211561535</v>
      </c>
      <c r="I663" s="115">
        <f t="shared" ca="1" si="113"/>
        <v>8479.0417032432451</v>
      </c>
      <c r="J663" s="521">
        <f t="shared" si="114"/>
        <v>2.5103190422633842E-3</v>
      </c>
      <c r="K663" s="521">
        <f t="shared" ca="1" si="115"/>
        <v>1.959916437073185E-4</v>
      </c>
      <c r="L663" s="521">
        <f t="shared" si="116"/>
        <v>7.3007489869730104E-3</v>
      </c>
      <c r="M663" s="298">
        <f t="shared" ca="1" si="117"/>
        <v>1.0007059672943713E-2</v>
      </c>
      <c r="N663" s="369">
        <f t="shared" ca="1" si="118"/>
        <v>3.3830543155598412E-3</v>
      </c>
    </row>
    <row r="664" spans="2:14" x14ac:dyDescent="0.25">
      <c r="B664" s="978"/>
      <c r="C664" s="981"/>
      <c r="D664" s="388" t="s">
        <v>1471</v>
      </c>
      <c r="E664" s="548" t="s">
        <v>1382</v>
      </c>
      <c r="F664" s="115">
        <f>'Units CF'!L70</f>
        <v>2069.3441141548401</v>
      </c>
      <c r="G664" s="115">
        <f ca="1">'Units CF'!M70</f>
        <v>161.47857316889937</v>
      </c>
      <c r="H664" s="115">
        <f>'Units CF'!N70</f>
        <v>8679.3608515222404</v>
      </c>
      <c r="I664" s="115">
        <f t="shared" ca="1" si="113"/>
        <v>10910.18353884598</v>
      </c>
      <c r="J664" s="521">
        <f t="shared" si="114"/>
        <v>2.4422630244030374E-3</v>
      </c>
      <c r="K664" s="521">
        <f t="shared" ca="1" si="115"/>
        <v>1.9057881470082753E-4</v>
      </c>
      <c r="L664" s="521">
        <f t="shared" si="116"/>
        <v>1.0243478567981627E-2</v>
      </c>
      <c r="M664" s="298">
        <f t="shared" ca="1" si="117"/>
        <v>1.2876320407085492E-2</v>
      </c>
      <c r="N664" s="369">
        <f t="shared" ca="1" si="118"/>
        <v>4.3530560169936184E-3</v>
      </c>
    </row>
    <row r="665" spans="2:14" x14ac:dyDescent="0.25">
      <c r="B665" s="978"/>
      <c r="C665" s="981"/>
      <c r="D665" s="524"/>
      <c r="E665" s="523" t="s">
        <v>410</v>
      </c>
      <c r="F665" s="135">
        <f>SUM(F642:F664)</f>
        <v>1062907.5965464439</v>
      </c>
      <c r="G665" s="135">
        <f t="shared" ref="G665:M665" ca="1" si="119">SUM(G642:G664)</f>
        <v>626745.21392276918</v>
      </c>
      <c r="H665" s="135">
        <f t="shared" si="119"/>
        <v>816674.58257475565</v>
      </c>
      <c r="I665" s="135">
        <f t="shared" ca="1" si="119"/>
        <v>2506327.3930439688</v>
      </c>
      <c r="J665" s="526">
        <f t="shared" si="119"/>
        <v>1.2544554110869552</v>
      </c>
      <c r="K665" s="526">
        <f t="shared" ca="1" si="119"/>
        <v>0.73969169806748614</v>
      </c>
      <c r="L665" s="526">
        <f t="shared" si="119"/>
        <v>0.96384845920453222</v>
      </c>
      <c r="M665" s="974">
        <f t="shared" ca="1" si="119"/>
        <v>2.9579955683589745</v>
      </c>
      <c r="N665" s="972">
        <f ca="1">SUM(N642:N664)</f>
        <v>0.99999999999999967</v>
      </c>
    </row>
    <row r="666" spans="2:14" x14ac:dyDescent="0.25">
      <c r="B666" s="979"/>
      <c r="C666" s="982"/>
      <c r="D666" s="525"/>
      <c r="E666" s="523" t="s">
        <v>309</v>
      </c>
      <c r="F666" s="135"/>
      <c r="G666" s="135"/>
      <c r="H666" s="135"/>
      <c r="I666" s="135"/>
      <c r="J666" s="527">
        <f ca="1">J665/M665</f>
        <v>0.4240896857674798</v>
      </c>
      <c r="K666" s="527">
        <f ca="1">K665/M665</f>
        <v>0.25006518129364524</v>
      </c>
      <c r="L666" s="527">
        <f ca="1">L665/M665</f>
        <v>0.32584513293887468</v>
      </c>
      <c r="M666" s="975"/>
      <c r="N666" s="973"/>
    </row>
    <row r="670" spans="2:14" x14ac:dyDescent="0.25">
      <c r="I670" s="552"/>
    </row>
    <row r="692" spans="1:38" ht="27.6" x14ac:dyDescent="0.25">
      <c r="A692" s="531"/>
      <c r="B692" s="532" t="s">
        <v>1396</v>
      </c>
      <c r="C692" s="533"/>
      <c r="D692" s="534" t="s">
        <v>1358</v>
      </c>
      <c r="E692" s="534"/>
      <c r="F692" s="535"/>
      <c r="G692" s="533"/>
      <c r="H692" s="533"/>
      <c r="I692" s="533"/>
      <c r="J692" s="533"/>
      <c r="K692" s="533"/>
      <c r="L692" s="533"/>
      <c r="M692" s="533"/>
      <c r="N692" s="533"/>
      <c r="O692" s="533"/>
      <c r="P692" s="533"/>
      <c r="Q692" s="533"/>
      <c r="R692" s="533"/>
      <c r="S692" s="533"/>
      <c r="T692" s="533"/>
      <c r="U692" s="533"/>
      <c r="V692" s="533"/>
      <c r="W692" s="533"/>
      <c r="X692" s="533"/>
      <c r="Y692" s="533"/>
      <c r="Z692" s="533"/>
      <c r="AA692" s="533"/>
      <c r="AB692" s="533"/>
      <c r="AC692" s="533"/>
      <c r="AD692" s="533"/>
      <c r="AE692" s="533"/>
      <c r="AF692" s="533"/>
      <c r="AG692" s="533"/>
      <c r="AH692" s="533"/>
      <c r="AI692" s="533"/>
      <c r="AJ692" s="533"/>
      <c r="AK692" s="533"/>
      <c r="AL692" s="533"/>
    </row>
    <row r="695" spans="1:38" ht="27.6" x14ac:dyDescent="0.25">
      <c r="B695" s="976" t="s">
        <v>425</v>
      </c>
      <c r="C695" s="523" t="s">
        <v>408</v>
      </c>
      <c r="D695" s="976" t="s">
        <v>411</v>
      </c>
      <c r="E695" s="976" t="s">
        <v>411</v>
      </c>
      <c r="F695" s="522" t="s">
        <v>479</v>
      </c>
      <c r="G695" s="522" t="s">
        <v>480</v>
      </c>
      <c r="H695" s="522" t="s">
        <v>481</v>
      </c>
      <c r="I695" s="522" t="s">
        <v>482</v>
      </c>
      <c r="J695" s="546" t="s">
        <v>484</v>
      </c>
      <c r="K695" s="546" t="s">
        <v>483</v>
      </c>
      <c r="L695" s="546" t="s">
        <v>485</v>
      </c>
      <c r="M695" s="522" t="s">
        <v>486</v>
      </c>
      <c r="N695" s="523" t="s">
        <v>487</v>
      </c>
    </row>
    <row r="696" spans="1:38" x14ac:dyDescent="0.25">
      <c r="B696" s="976"/>
      <c r="C696" s="523" t="s">
        <v>477</v>
      </c>
      <c r="D696" s="976"/>
      <c r="E696" s="976"/>
      <c r="F696" s="523" t="s">
        <v>308</v>
      </c>
      <c r="G696" s="523" t="s">
        <v>308</v>
      </c>
      <c r="H696" s="523" t="s">
        <v>308</v>
      </c>
      <c r="I696" s="523" t="s">
        <v>308</v>
      </c>
      <c r="J696" s="547" t="s">
        <v>310</v>
      </c>
      <c r="K696" s="547" t="s">
        <v>310</v>
      </c>
      <c r="L696" s="547" t="s">
        <v>310</v>
      </c>
      <c r="M696" s="523" t="s">
        <v>310</v>
      </c>
      <c r="N696" s="523" t="s">
        <v>309</v>
      </c>
    </row>
    <row r="697" spans="1:38" x14ac:dyDescent="0.25">
      <c r="B697" s="977" t="s">
        <v>1416</v>
      </c>
      <c r="C697" s="980">
        <f>'Units CF'!F71</f>
        <v>45495</v>
      </c>
      <c r="D697" s="388" t="s">
        <v>229</v>
      </c>
      <c r="E697" s="548" t="s">
        <v>594</v>
      </c>
      <c r="F697" s="115">
        <f>F50*'Units CF'!$I$32*('Units CF'!$I$39*'Units CF'!$I$46+'Units CF'!$I$37)*('Units CF'!$I$48*('Units CF'!$I$52*'Units CF'!$I$59*'Units CF'!$I$66+'Units CF'!$I$53*'Units CF'!$I$61*'Units CF'!$I$66+'Units CF'!$I$54*'Units CF'!$I$58*'Units CF'!$I$63*'Units CF'!$I$66)+'Units CF'!$I$49*'Units CF'!$I$56*'Units CF'!$I$58*'Units CF'!$I$63*'Units CF'!$I$66)</f>
        <v>2228.9821399305138</v>
      </c>
      <c r="G697" s="115">
        <f ca="1">G50*'Units CF'!$I$32*('Units CF'!$I$39*'Units CF'!$I$46+'Units CF'!$I$37)*('Units CF'!$I$48*('Units CF'!$I$52*'Units CF'!$I$59*'Units CF'!$I$66+'Units CF'!$I$53*'Units CF'!$I$61*'Units CF'!$I$66+'Units CF'!$I$54*'Units CF'!$I$58*'Units CF'!$I$63*'Units CF'!$I$66)+'Units CF'!$I$49*'Units CF'!$I$56*'Units CF'!$I$58*'Units CF'!$I$63*'Units CF'!$I$66)</f>
        <v>45.962109663358319</v>
      </c>
      <c r="H697" s="115">
        <f>H50*'Units CF'!$I$32*('Units CF'!$I$39*'Units CF'!$I$46+'Units CF'!$I$37)*('Units CF'!$I$48*('Units CF'!$I$52*'Units CF'!$I$59*'Units CF'!$I$66+'Units CF'!$I$53*'Units CF'!$I$61*'Units CF'!$I$66+'Units CF'!$I$54*'Units CF'!$I$58*'Units CF'!$I$63*'Units CF'!$I$66)+'Units CF'!$I$49*'Units CF'!$I$56*'Units CF'!$I$58*'Units CF'!$I$63*'Units CF'!$I$66)</f>
        <v>316.07854963281397</v>
      </c>
      <c r="I697" s="115">
        <f ca="1">SUM(F697:H697)</f>
        <v>2591.0227992266859</v>
      </c>
      <c r="J697" s="521">
        <f>F697/$C$697</f>
        <v>4.8994002416320778E-2</v>
      </c>
      <c r="K697" s="521">
        <f ca="1">G697/$C$697</f>
        <v>1.0102672747193827E-3</v>
      </c>
      <c r="L697" s="521">
        <f>H697/$C$697</f>
        <v>6.9475447770703152E-3</v>
      </c>
      <c r="M697" s="521">
        <f ca="1">SUM(J697:L697)</f>
        <v>5.6951814468110477E-2</v>
      </c>
      <c r="N697" s="550">
        <f ca="1">M697/$M$720</f>
        <v>1.9174823170681109E-2</v>
      </c>
    </row>
    <row r="698" spans="1:38" x14ac:dyDescent="0.25">
      <c r="B698" s="978"/>
      <c r="C698" s="981"/>
      <c r="D698" s="388" t="s">
        <v>1445</v>
      </c>
      <c r="E698" s="548" t="s">
        <v>597</v>
      </c>
      <c r="F698" s="115">
        <f>F51*'Units CF'!$I$32*('Units CF'!$I$39*'Units CF'!$I$46+'Units CF'!$I$37)*('Units CF'!$I$48*('Units CF'!$I$52*'Units CF'!$I$59*'Units CF'!$I$66+'Units CF'!$I$53*'Units CF'!$I$61*'Units CF'!$I$66+'Units CF'!$I$54*'Units CF'!$I$58*'Units CF'!$I$63*'Units CF'!$I$66)+'Units CF'!$I$49*'Units CF'!$I$56*'Units CF'!$I$58*'Units CF'!$I$63*'Units CF'!$I$66)</f>
        <v>1937.9383788618782</v>
      </c>
      <c r="G698" s="115">
        <f ca="1">G51*'Units CF'!$I$32*('Units CF'!$I$39*'Units CF'!$I$46+'Units CF'!$I$37)*('Units CF'!$I$48*('Units CF'!$I$52*'Units CF'!$I$59*'Units CF'!$I$66+'Units CF'!$I$53*'Units CF'!$I$61*'Units CF'!$I$66+'Units CF'!$I$54*'Units CF'!$I$58*'Units CF'!$I$63*'Units CF'!$I$66)+'Units CF'!$I$49*'Units CF'!$I$56*'Units CF'!$I$58*'Units CF'!$I$63*'Units CF'!$I$66)</f>
        <v>1554.8503065850352</v>
      </c>
      <c r="H698" s="115">
        <f>H51*'Units CF'!$I$32*('Units CF'!$I$39*'Units CF'!$I$46+'Units CF'!$I$37)*('Units CF'!$I$48*('Units CF'!$I$52*'Units CF'!$I$59*'Units CF'!$I$66+'Units CF'!$I$53*'Units CF'!$I$61*'Units CF'!$I$66+'Units CF'!$I$54*'Units CF'!$I$58*'Units CF'!$I$63*'Units CF'!$I$66)+'Units CF'!$I$49*'Units CF'!$I$56*'Units CF'!$I$58*'Units CF'!$I$63*'Units CF'!$I$66)</f>
        <v>87.101169844953532</v>
      </c>
      <c r="I698" s="115">
        <f t="shared" ref="I698:I719" ca="1" si="120">SUM(F698:H698)</f>
        <v>3579.8898552918668</v>
      </c>
      <c r="J698" s="521">
        <f t="shared" ref="J698:J719" si="121">F698/$C$697</f>
        <v>4.2596733242375603E-2</v>
      </c>
      <c r="K698" s="521">
        <f t="shared" ref="K698:K719" ca="1" si="122">G698/$C$697</f>
        <v>3.4176289846907029E-2</v>
      </c>
      <c r="L698" s="521">
        <f t="shared" ref="L698:L719" si="123">H698/$C$697</f>
        <v>1.914521812176141E-3</v>
      </c>
      <c r="M698" s="521">
        <f t="shared" ref="M698:M719" ca="1" si="124">SUM(J698:L698)</f>
        <v>7.8687544901458767E-2</v>
      </c>
      <c r="N698" s="550">
        <f t="shared" ref="N698:N719" ca="1" si="125">M698/$M$720</f>
        <v>2.6492918150401477E-2</v>
      </c>
    </row>
    <row r="699" spans="1:38" x14ac:dyDescent="0.25">
      <c r="B699" s="978"/>
      <c r="C699" s="981"/>
      <c r="D699" s="388" t="s">
        <v>1446</v>
      </c>
      <c r="E699" s="548" t="s">
        <v>595</v>
      </c>
      <c r="F699" s="115">
        <f>F52*'Units CF'!$I$32*('Units CF'!$I$39*'Units CF'!$I$46+'Units CF'!$I$37)*('Units CF'!$I$48*('Units CF'!$I$52*'Units CF'!$I$59*'Units CF'!$I$66+'Units CF'!$I$53*'Units CF'!$I$61*'Units CF'!$I$66+'Units CF'!$I$54*'Units CF'!$I$58*'Units CF'!$I$63*'Units CF'!$I$66)+'Units CF'!$I$49*'Units CF'!$I$56*'Units CF'!$I$58*'Units CF'!$I$63*'Units CF'!$I$66)</f>
        <v>9.7822212805975303E-3</v>
      </c>
      <c r="G699" s="115">
        <f ca="1">G52*'Units CF'!$I$32*('Units CF'!$I$39*'Units CF'!$I$46+'Units CF'!$I$37)*('Units CF'!$I$48*('Units CF'!$I$52*'Units CF'!$I$59*'Units CF'!$I$66+'Units CF'!$I$53*'Units CF'!$I$61*'Units CF'!$I$66+'Units CF'!$I$54*'Units CF'!$I$58*'Units CF'!$I$63*'Units CF'!$I$66)+'Units CF'!$I$49*'Units CF'!$I$56*'Units CF'!$I$58*'Units CF'!$I$63*'Units CF'!$I$66)</f>
        <v>0.6524613628413839</v>
      </c>
      <c r="H699" s="115">
        <f>H52*'Units CF'!$I$32*('Units CF'!$I$39*'Units CF'!$I$46+'Units CF'!$I$37)*('Units CF'!$I$48*('Units CF'!$I$52*'Units CF'!$I$59*'Units CF'!$I$66+'Units CF'!$I$53*'Units CF'!$I$61*'Units CF'!$I$66+'Units CF'!$I$54*'Units CF'!$I$58*'Units CF'!$I$63*'Units CF'!$I$66)+'Units CF'!$I$49*'Units CF'!$I$56*'Units CF'!$I$58*'Units CF'!$I$63*'Units CF'!$I$66)</f>
        <v>6.1152269514940008</v>
      </c>
      <c r="I699" s="115">
        <f t="shared" ca="1" si="120"/>
        <v>6.7774705356159819</v>
      </c>
      <c r="J699" s="521">
        <f t="shared" si="121"/>
        <v>2.1501750259583537E-7</v>
      </c>
      <c r="K699" s="521">
        <f t="shared" ca="1" si="122"/>
        <v>1.434138614883798E-5</v>
      </c>
      <c r="L699" s="521">
        <f t="shared" si="123"/>
        <v>1.3441536325956699E-4</v>
      </c>
      <c r="M699" s="521">
        <f t="shared" ca="1" si="124"/>
        <v>1.4897176691100082E-4</v>
      </c>
      <c r="N699" s="550">
        <f t="shared" ca="1" si="125"/>
        <v>5.0156563309178361E-5</v>
      </c>
    </row>
    <row r="700" spans="1:38" x14ac:dyDescent="0.25">
      <c r="B700" s="978"/>
      <c r="C700" s="981"/>
      <c r="D700" s="388" t="s">
        <v>1447</v>
      </c>
      <c r="E700" s="548" t="s">
        <v>596</v>
      </c>
      <c r="F700" s="115">
        <f>F53*'Units CF'!$I$32*('Units CF'!$I$39*'Units CF'!$I$46+'Units CF'!$I$37)*('Units CF'!$I$48*('Units CF'!$I$52*'Units CF'!$I$59*'Units CF'!$I$66+'Units CF'!$I$53*'Units CF'!$I$61*'Units CF'!$I$66+'Units CF'!$I$54*'Units CF'!$I$58*'Units CF'!$I$63*'Units CF'!$I$66)+'Units CF'!$I$49*'Units CF'!$I$56*'Units CF'!$I$58*'Units CF'!$I$63*'Units CF'!$I$66)</f>
        <v>87.836789653513947</v>
      </c>
      <c r="G700" s="115">
        <f ca="1">G53*'Units CF'!$I$32*('Units CF'!$I$39*'Units CF'!$I$46+'Units CF'!$I$37)*('Units CF'!$I$48*('Units CF'!$I$52*'Units CF'!$I$59*'Units CF'!$I$66+'Units CF'!$I$53*'Units CF'!$I$61*'Units CF'!$I$66+'Units CF'!$I$54*'Units CF'!$I$58*'Units CF'!$I$63*'Units CF'!$I$66)+'Units CF'!$I$49*'Units CF'!$I$56*'Units CF'!$I$58*'Units CF'!$I$63*'Units CF'!$I$66)</f>
        <v>849.87207892213553</v>
      </c>
      <c r="H700" s="115">
        <f>H53*'Units CF'!$I$32*('Units CF'!$I$39*'Units CF'!$I$46+'Units CF'!$I$37)*('Units CF'!$I$48*('Units CF'!$I$52*'Units CF'!$I$59*'Units CF'!$I$66+'Units CF'!$I$53*'Units CF'!$I$61*'Units CF'!$I$66+'Units CF'!$I$54*'Units CF'!$I$58*'Units CF'!$I$63*'Units CF'!$I$66)+'Units CF'!$I$49*'Units CF'!$I$56*'Units CF'!$I$58*'Units CF'!$I$63*'Units CF'!$I$66)</f>
        <v>45.009121546265106</v>
      </c>
      <c r="I700" s="115">
        <f t="shared" ca="1" si="120"/>
        <v>982.71799012191457</v>
      </c>
      <c r="J700" s="521">
        <f t="shared" si="121"/>
        <v>1.9306910573362774E-3</v>
      </c>
      <c r="K700" s="521">
        <f t="shared" ca="1" si="122"/>
        <v>1.8680560037853292E-2</v>
      </c>
      <c r="L700" s="521">
        <f t="shared" si="123"/>
        <v>9.8932017905847022E-4</v>
      </c>
      <c r="M700" s="521">
        <f t="shared" ca="1" si="124"/>
        <v>2.160057127424804E-2</v>
      </c>
      <c r="N700" s="550">
        <f t="shared" ca="1" si="125"/>
        <v>7.2725889146397511E-3</v>
      </c>
    </row>
    <row r="701" spans="1:38" x14ac:dyDescent="0.25">
      <c r="B701" s="978"/>
      <c r="C701" s="981"/>
      <c r="D701" s="388" t="s">
        <v>1448</v>
      </c>
      <c r="E701" s="548" t="s">
        <v>598</v>
      </c>
      <c r="F701" s="115">
        <f>F54*'Units CF'!$I$32*('Units CF'!$I$39*'Units CF'!$I$46+'Units CF'!$I$37)*('Units CF'!$I$48*('Units CF'!$I$52*'Units CF'!$I$59*'Units CF'!$I$66+'Units CF'!$I$53*'Units CF'!$I$61*'Units CF'!$I$66+'Units CF'!$I$54*'Units CF'!$I$58*'Units CF'!$I$63*'Units CF'!$I$66)+'Units CF'!$I$49*'Units CF'!$I$56*'Units CF'!$I$58*'Units CF'!$I$63*'Units CF'!$I$66)</f>
        <v>2696.6822741026836</v>
      </c>
      <c r="G701" s="115">
        <f ca="1">G54*'Units CF'!$I$32*('Units CF'!$I$39*'Units CF'!$I$46+'Units CF'!$I$37)*('Units CF'!$I$48*('Units CF'!$I$52*'Units CF'!$I$59*'Units CF'!$I$66+'Units CF'!$I$53*'Units CF'!$I$61*'Units CF'!$I$66+'Units CF'!$I$54*'Units CF'!$I$58*'Units CF'!$I$63*'Units CF'!$I$66)+'Units CF'!$I$49*'Units CF'!$I$56*'Units CF'!$I$58*'Units CF'!$I$63*'Units CF'!$I$66)</f>
        <v>656.15473459073417</v>
      </c>
      <c r="H701" s="115">
        <f>H54*'Units CF'!$I$32*('Units CF'!$I$39*'Units CF'!$I$46+'Units CF'!$I$37)*('Units CF'!$I$48*('Units CF'!$I$52*'Units CF'!$I$59*'Units CF'!$I$66+'Units CF'!$I$53*'Units CF'!$I$61*'Units CF'!$I$66+'Units CF'!$I$54*'Units CF'!$I$58*'Units CF'!$I$63*'Units CF'!$I$66)+'Units CF'!$I$49*'Units CF'!$I$56*'Units CF'!$I$58*'Units CF'!$I$63*'Units CF'!$I$66)</f>
        <v>980.42209154311126</v>
      </c>
      <c r="I701" s="115">
        <f t="shared" ca="1" si="120"/>
        <v>4333.2591002365289</v>
      </c>
      <c r="J701" s="521">
        <f t="shared" si="121"/>
        <v>5.9274255942470239E-2</v>
      </c>
      <c r="K701" s="521">
        <f t="shared" ca="1" si="122"/>
        <v>1.4422568075409037E-2</v>
      </c>
      <c r="L701" s="521">
        <f t="shared" si="123"/>
        <v>2.155010641923533E-2</v>
      </c>
      <c r="M701" s="521">
        <f t="shared" ca="1" si="124"/>
        <v>9.5246930437114602E-2</v>
      </c>
      <c r="N701" s="550">
        <f t="shared" ca="1" si="125"/>
        <v>3.2068215310409064E-2</v>
      </c>
    </row>
    <row r="702" spans="1:38" x14ac:dyDescent="0.25">
      <c r="B702" s="978"/>
      <c r="C702" s="981"/>
      <c r="D702" s="388" t="s">
        <v>1449</v>
      </c>
      <c r="E702" s="548" t="s">
        <v>599</v>
      </c>
      <c r="F702" s="115">
        <f>F55*'Units CF'!$I$32*('Units CF'!$I$39*'Units CF'!$I$46+'Units CF'!$I$37)*('Units CF'!$I$48*('Units CF'!$I$52*'Units CF'!$I$59*'Units CF'!$I$66+'Units CF'!$I$53*'Units CF'!$I$61*'Units CF'!$I$66+'Units CF'!$I$54*'Units CF'!$I$58*'Units CF'!$I$63*'Units CF'!$I$66)+'Units CF'!$I$49*'Units CF'!$I$56*'Units CF'!$I$58*'Units CF'!$I$63*'Units CF'!$I$66)</f>
        <v>5503.0467421829244</v>
      </c>
      <c r="G702" s="115">
        <f ca="1">G55*'Units CF'!$I$32*('Units CF'!$I$39*'Units CF'!$I$46+'Units CF'!$I$37)*('Units CF'!$I$48*('Units CF'!$I$52*'Units CF'!$I$59*'Units CF'!$I$66+'Units CF'!$I$53*'Units CF'!$I$61*'Units CF'!$I$66+'Units CF'!$I$54*'Units CF'!$I$58*'Units CF'!$I$63*'Units CF'!$I$66)+'Units CF'!$I$49*'Units CF'!$I$56*'Units CF'!$I$58*'Units CF'!$I$63*'Units CF'!$I$66)</f>
        <v>24696.838546500196</v>
      </c>
      <c r="H702" s="115">
        <f>H55*'Units CF'!$I$32*('Units CF'!$I$39*'Units CF'!$I$46+'Units CF'!$I$37)*('Units CF'!$I$48*('Units CF'!$I$52*'Units CF'!$I$59*'Units CF'!$I$66+'Units CF'!$I$53*'Units CF'!$I$61*'Units CF'!$I$66+'Units CF'!$I$54*'Units CF'!$I$58*'Units CF'!$I$63*'Units CF'!$I$66)+'Units CF'!$I$49*'Units CF'!$I$56*'Units CF'!$I$58*'Units CF'!$I$63*'Units CF'!$I$66)</f>
        <v>4678.5775949732133</v>
      </c>
      <c r="I702" s="115">
        <f t="shared" ca="1" si="120"/>
        <v>34878.462883656335</v>
      </c>
      <c r="J702" s="521">
        <f t="shared" si="121"/>
        <v>0.12095937448473293</v>
      </c>
      <c r="K702" s="521">
        <f t="shared" ca="1" si="122"/>
        <v>0.54284731391362118</v>
      </c>
      <c r="L702" s="521">
        <f t="shared" si="123"/>
        <v>0.10283718199743298</v>
      </c>
      <c r="M702" s="521">
        <f t="shared" ca="1" si="124"/>
        <v>0.76664387039578707</v>
      </c>
      <c r="N702" s="550">
        <f t="shared" ca="1" si="125"/>
        <v>0.25811751191802723</v>
      </c>
    </row>
    <row r="703" spans="1:38" x14ac:dyDescent="0.25">
      <c r="B703" s="978"/>
      <c r="C703" s="981"/>
      <c r="D703" s="388" t="s">
        <v>1450</v>
      </c>
      <c r="E703" s="548" t="s">
        <v>600</v>
      </c>
      <c r="F703" s="115">
        <f>F56*'Units CF'!$I$32*('Units CF'!$I$39*'Units CF'!$I$46+'Units CF'!$I$37)*('Units CF'!$I$48*('Units CF'!$I$52*'Units CF'!$I$59*'Units CF'!$I$66+'Units CF'!$I$53*'Units CF'!$I$61*'Units CF'!$I$66+'Units CF'!$I$54*'Units CF'!$I$58*'Units CF'!$I$63*'Units CF'!$I$66)+'Units CF'!$I$49*'Units CF'!$I$56*'Units CF'!$I$58*'Units CF'!$I$63*'Units CF'!$I$66)</f>
        <v>4512.6059730002526</v>
      </c>
      <c r="G703" s="115">
        <f ca="1">G56*'Units CF'!$I$32*('Units CF'!$I$39*'Units CF'!$I$46+'Units CF'!$I$37)*('Units CF'!$I$48*('Units CF'!$I$52*'Units CF'!$I$59*'Units CF'!$I$66+'Units CF'!$I$53*'Units CF'!$I$61*'Units CF'!$I$66+'Units CF'!$I$54*'Units CF'!$I$58*'Units CF'!$I$63*'Units CF'!$I$66)+'Units CF'!$I$49*'Units CF'!$I$56*'Units CF'!$I$58*'Units CF'!$I$63*'Units CF'!$I$66)</f>
        <v>0.20752743568417681</v>
      </c>
      <c r="H703" s="115">
        <f>H56*'Units CF'!$I$32*('Units CF'!$I$39*'Units CF'!$I$46+'Units CF'!$I$37)*('Units CF'!$I$48*('Units CF'!$I$52*'Units CF'!$I$59*'Units CF'!$I$66+'Units CF'!$I$53*'Units CF'!$I$61*'Units CF'!$I$66+'Units CF'!$I$54*'Units CF'!$I$58*'Units CF'!$I$63*'Units CF'!$I$66)+'Units CF'!$I$49*'Units CF'!$I$56*'Units CF'!$I$58*'Units CF'!$I$63*'Units CF'!$I$66)</f>
        <v>53.096315981019437</v>
      </c>
      <c r="I703" s="115">
        <f t="shared" ca="1" si="120"/>
        <v>4565.9098164169563</v>
      </c>
      <c r="J703" s="521">
        <f t="shared" si="121"/>
        <v>9.9189053148703216E-2</v>
      </c>
      <c r="K703" s="521">
        <f t="shared" ca="1" si="122"/>
        <v>4.5615438110600462E-6</v>
      </c>
      <c r="L703" s="521">
        <f t="shared" si="123"/>
        <v>1.1670802501597855E-3</v>
      </c>
      <c r="M703" s="521">
        <f t="shared" ca="1" si="124"/>
        <v>0.10036069494267406</v>
      </c>
      <c r="N703" s="550">
        <f t="shared" ca="1" si="125"/>
        <v>3.3789943249130192E-2</v>
      </c>
    </row>
    <row r="704" spans="1:38" x14ac:dyDescent="0.25">
      <c r="B704" s="978"/>
      <c r="C704" s="981"/>
      <c r="D704" s="388" t="s">
        <v>1451</v>
      </c>
      <c r="E704" s="548" t="s">
        <v>601</v>
      </c>
      <c r="F704" s="115">
        <f>F57*'Units CF'!$I$32*('Units CF'!$I$39*'Units CF'!$I$46+'Units CF'!$I$37)*('Units CF'!$I$48*('Units CF'!$I$52*'Units CF'!$I$59*'Units CF'!$I$66+'Units CF'!$I$53*'Units CF'!$I$61*'Units CF'!$I$66+'Units CF'!$I$54*'Units CF'!$I$58*'Units CF'!$I$63*'Units CF'!$I$66)+'Units CF'!$I$49*'Units CF'!$I$56*'Units CF'!$I$58*'Units CF'!$I$63*'Units CF'!$I$66)</f>
        <v>37363.527149849688</v>
      </c>
      <c r="G704" s="115">
        <f ca="1">G57*'Units CF'!$I$32*('Units CF'!$I$39*'Units CF'!$I$46+'Units CF'!$I$37)*('Units CF'!$I$48*('Units CF'!$I$52*'Units CF'!$I$59*'Units CF'!$I$66+'Units CF'!$I$53*'Units CF'!$I$61*'Units CF'!$I$66+'Units CF'!$I$54*'Units CF'!$I$58*'Units CF'!$I$63*'Units CF'!$I$66)+'Units CF'!$I$49*'Units CF'!$I$56*'Units CF'!$I$58*'Units CF'!$I$63*'Units CF'!$I$66)</f>
        <v>3161.9890140045277</v>
      </c>
      <c r="H704" s="115">
        <f>H57*'Units CF'!$I$32*('Units CF'!$I$39*'Units CF'!$I$46+'Units CF'!$I$37)*('Units CF'!$I$48*('Units CF'!$I$52*'Units CF'!$I$59*'Units CF'!$I$66+'Units CF'!$I$53*'Units CF'!$I$61*'Units CF'!$I$66+'Units CF'!$I$54*'Units CF'!$I$58*'Units CF'!$I$63*'Units CF'!$I$66)+'Units CF'!$I$49*'Units CF'!$I$56*'Units CF'!$I$58*'Units CF'!$I$63*'Units CF'!$I$66)</f>
        <v>26677.83443952601</v>
      </c>
      <c r="I704" s="115">
        <f t="shared" ca="1" si="120"/>
        <v>67203.350603380226</v>
      </c>
      <c r="J704" s="521">
        <f t="shared" si="121"/>
        <v>0.8212666699604283</v>
      </c>
      <c r="K704" s="521">
        <f t="shared" ca="1" si="122"/>
        <v>6.9501901615661665E-2</v>
      </c>
      <c r="L704" s="521">
        <f t="shared" si="123"/>
        <v>0.58639047015113765</v>
      </c>
      <c r="M704" s="521">
        <f t="shared" ca="1" si="124"/>
        <v>1.4771590417272278</v>
      </c>
      <c r="N704" s="550">
        <f t="shared" ca="1" si="125"/>
        <v>0.49733733129700719</v>
      </c>
    </row>
    <row r="705" spans="2:14" x14ac:dyDescent="0.25">
      <c r="B705" s="978"/>
      <c r="C705" s="981"/>
      <c r="D705" s="388" t="s">
        <v>1452</v>
      </c>
      <c r="E705" s="548" t="s">
        <v>602</v>
      </c>
      <c r="F705" s="115">
        <f>F58*'Units CF'!$I$32*('Units CF'!$I$39*'Units CF'!$I$46+'Units CF'!$I$37)*('Units CF'!$I$48*('Units CF'!$I$52*'Units CF'!$I$59*'Units CF'!$I$66+'Units CF'!$I$53*'Units CF'!$I$61*'Units CF'!$I$66+'Units CF'!$I$54*'Units CF'!$I$58*'Units CF'!$I$63*'Units CF'!$I$66)+'Units CF'!$I$49*'Units CF'!$I$56*'Units CF'!$I$58*'Units CF'!$I$63*'Units CF'!$I$66)</f>
        <v>84.761982517821437</v>
      </c>
      <c r="G705" s="115">
        <f ca="1">G58*'Units CF'!$I$32*('Units CF'!$I$39*'Units CF'!$I$46+'Units CF'!$I$37)*('Units CF'!$I$48*('Units CF'!$I$52*'Units CF'!$I$59*'Units CF'!$I$66+'Units CF'!$I$53*'Units CF'!$I$61*'Units CF'!$I$66+'Units CF'!$I$54*'Units CF'!$I$58*'Units CF'!$I$63*'Units CF'!$I$66)+'Units CF'!$I$49*'Units CF'!$I$56*'Units CF'!$I$58*'Units CF'!$I$63*'Units CF'!$I$66)</f>
        <v>17.605022019956639</v>
      </c>
      <c r="H705" s="115">
        <f>H58*'Units CF'!$I$32*('Units CF'!$I$39*'Units CF'!$I$46+'Units CF'!$I$37)*('Units CF'!$I$48*('Units CF'!$I$52*'Units CF'!$I$59*'Units CF'!$I$66+'Units CF'!$I$53*'Units CF'!$I$61*'Units CF'!$I$66+'Units CF'!$I$54*'Units CF'!$I$58*'Units CF'!$I$63*'Units CF'!$I$66)+'Units CF'!$I$49*'Units CF'!$I$56*'Units CF'!$I$58*'Units CF'!$I$63*'Units CF'!$I$66)</f>
        <v>175.56918522702901</v>
      </c>
      <c r="I705" s="115">
        <f t="shared" ca="1" si="120"/>
        <v>277.93618976480707</v>
      </c>
      <c r="J705" s="521">
        <f t="shared" si="121"/>
        <v>1.8631054515402007E-3</v>
      </c>
      <c r="K705" s="521">
        <f t="shared" ca="1" si="122"/>
        <v>3.8696608462373091E-4</v>
      </c>
      <c r="L705" s="521">
        <f t="shared" si="123"/>
        <v>3.8590874871310917E-3</v>
      </c>
      <c r="M705" s="521">
        <f t="shared" ca="1" si="124"/>
        <v>6.1091590232950233E-3</v>
      </c>
      <c r="N705" s="550">
        <f t="shared" ca="1" si="125"/>
        <v>2.0568623684298123E-3</v>
      </c>
    </row>
    <row r="706" spans="2:14" x14ac:dyDescent="0.25">
      <c r="B706" s="978"/>
      <c r="C706" s="981"/>
      <c r="D706" s="388" t="s">
        <v>19</v>
      </c>
      <c r="E706" s="548" t="s">
        <v>603</v>
      </c>
      <c r="F706" s="115">
        <f>F59*'Units CF'!$I$32*('Units CF'!$I$39*'Units CF'!$I$46+'Units CF'!$I$37)*('Units CF'!$I$48*('Units CF'!$I$52*'Units CF'!$I$59*'Units CF'!$I$66+'Units CF'!$I$53*'Units CF'!$I$61*'Units CF'!$I$66+'Units CF'!$I$54*'Units CF'!$I$58*'Units CF'!$I$63*'Units CF'!$I$66)+'Units CF'!$I$49*'Units CF'!$I$56*'Units CF'!$I$58*'Units CF'!$I$63*'Units CF'!$I$66)</f>
        <v>1338.8715100360685</v>
      </c>
      <c r="G706" s="115">
        <f ca="1">G59*'Units CF'!$I$32*('Units CF'!$I$39*'Units CF'!$I$46+'Units CF'!$I$37)*('Units CF'!$I$48*('Units CF'!$I$52*'Units CF'!$I$59*'Units CF'!$I$66+'Units CF'!$I$53*'Units CF'!$I$61*'Units CF'!$I$66+'Units CF'!$I$54*'Units CF'!$I$58*'Units CF'!$I$63*'Units CF'!$I$66)+'Units CF'!$I$49*'Units CF'!$I$56*'Units CF'!$I$58*'Units CF'!$I$63*'Units CF'!$I$66)</f>
        <v>93.904130920485926</v>
      </c>
      <c r="H706" s="115">
        <f>H59*'Units CF'!$I$32*('Units CF'!$I$39*'Units CF'!$I$46+'Units CF'!$I$37)*('Units CF'!$I$48*('Units CF'!$I$52*'Units CF'!$I$59*'Units CF'!$I$66+'Units CF'!$I$53*'Units CF'!$I$61*'Units CF'!$I$66+'Units CF'!$I$54*'Units CF'!$I$58*'Units CF'!$I$63*'Units CF'!$I$66)+'Units CF'!$I$49*'Units CF'!$I$56*'Units CF'!$I$58*'Units CF'!$I$63*'Units CF'!$I$66)</f>
        <v>1107.5446994693461</v>
      </c>
      <c r="I706" s="115">
        <f t="shared" ca="1" si="120"/>
        <v>2540.3203404259002</v>
      </c>
      <c r="J706" s="521">
        <f t="shared" si="121"/>
        <v>2.9428981427323187E-2</v>
      </c>
      <c r="K706" s="521">
        <f t="shared" ca="1" si="122"/>
        <v>2.0640538723043396E-3</v>
      </c>
      <c r="L706" s="521">
        <f t="shared" si="123"/>
        <v>2.434431694624346E-2</v>
      </c>
      <c r="M706" s="521">
        <f t="shared" ca="1" si="124"/>
        <v>5.5837352245870983E-2</v>
      </c>
      <c r="N706" s="550">
        <f t="shared" ca="1" si="125"/>
        <v>1.8799600427711043E-2</v>
      </c>
    </row>
    <row r="707" spans="2:14" x14ac:dyDescent="0.25">
      <c r="B707" s="978"/>
      <c r="C707" s="981"/>
      <c r="D707" s="388" t="s">
        <v>1453</v>
      </c>
      <c r="E707" s="548" t="s">
        <v>604</v>
      </c>
      <c r="F707" s="115">
        <f>F60*'Units CF'!$I$32*('Units CF'!$I$39*'Units CF'!$I$46+'Units CF'!$I$37)*('Units CF'!$I$48*('Units CF'!$I$52*'Units CF'!$I$59*'Units CF'!$I$66+'Units CF'!$I$53*'Units CF'!$I$61*'Units CF'!$I$66+'Units CF'!$I$54*'Units CF'!$I$58*'Units CF'!$I$63*'Units CF'!$I$66)+'Units CF'!$I$49*'Units CF'!$I$56*'Units CF'!$I$58*'Units CF'!$I$63*'Units CF'!$I$66)</f>
        <v>46.283327959726499</v>
      </c>
      <c r="G707" s="115">
        <f ca="1">G60*'Units CF'!$I$32*('Units CF'!$I$39*'Units CF'!$I$46+'Units CF'!$I$37)*('Units CF'!$I$48*('Units CF'!$I$52*'Units CF'!$I$59*'Units CF'!$I$66+'Units CF'!$I$53*'Units CF'!$I$61*'Units CF'!$I$66+'Units CF'!$I$54*'Units CF'!$I$58*'Units CF'!$I$63*'Units CF'!$I$66)+'Units CF'!$I$49*'Units CF'!$I$56*'Units CF'!$I$58*'Units CF'!$I$63*'Units CF'!$I$66)</f>
        <v>117.16691200089338</v>
      </c>
      <c r="H707" s="115">
        <f>H60*'Units CF'!$I$32*('Units CF'!$I$39*'Units CF'!$I$46+'Units CF'!$I$37)*('Units CF'!$I$48*('Units CF'!$I$52*'Units CF'!$I$59*'Units CF'!$I$66+'Units CF'!$I$53*'Units CF'!$I$61*'Units CF'!$I$66+'Units CF'!$I$54*'Units CF'!$I$58*'Units CF'!$I$63*'Units CF'!$I$66)+'Units CF'!$I$49*'Units CF'!$I$56*'Units CF'!$I$58*'Units CF'!$I$63*'Units CF'!$I$66)</f>
        <v>648.32870786943079</v>
      </c>
      <c r="I707" s="115">
        <f t="shared" ca="1" si="120"/>
        <v>811.7789478300507</v>
      </c>
      <c r="J707" s="521">
        <f t="shared" si="121"/>
        <v>1.0173277933778766E-3</v>
      </c>
      <c r="K707" s="521">
        <f t="shared" ca="1" si="122"/>
        <v>2.5753799758411557E-3</v>
      </c>
      <c r="L707" s="521">
        <f t="shared" si="123"/>
        <v>1.4250548584886927E-2</v>
      </c>
      <c r="M707" s="521">
        <f t="shared" ca="1" si="124"/>
        <v>1.7843256354105958E-2</v>
      </c>
      <c r="N707" s="550">
        <f t="shared" ca="1" si="125"/>
        <v>6.0075572407037522E-3</v>
      </c>
    </row>
    <row r="708" spans="2:14" x14ac:dyDescent="0.25">
      <c r="B708" s="978"/>
      <c r="C708" s="981"/>
      <c r="D708" s="388" t="s">
        <v>1454</v>
      </c>
      <c r="E708" s="548" t="s">
        <v>605</v>
      </c>
      <c r="F708" s="115">
        <f>F61*'Units CF'!$I$32*('Units CF'!$I$39*'Units CF'!$I$46+'Units CF'!$I$37)*('Units CF'!$I$48*('Units CF'!$I$52*'Units CF'!$I$59*'Units CF'!$I$66+'Units CF'!$I$53*'Units CF'!$I$61*'Units CF'!$I$66+'Units CF'!$I$54*'Units CF'!$I$58*'Units CF'!$I$63*'Units CF'!$I$66)+'Units CF'!$I$49*'Units CF'!$I$56*'Units CF'!$I$58*'Units CF'!$I$63*'Units CF'!$I$66)</f>
        <v>14.771498143438048</v>
      </c>
      <c r="G708" s="115">
        <f ca="1">G61*'Units CF'!$I$32*('Units CF'!$I$39*'Units CF'!$I$46+'Units CF'!$I$37)*('Units CF'!$I$48*('Units CF'!$I$52*'Units CF'!$I$59*'Units CF'!$I$66+'Units CF'!$I$53*'Units CF'!$I$61*'Units CF'!$I$66+'Units CF'!$I$54*'Units CF'!$I$58*'Units CF'!$I$63*'Units CF'!$I$66)+'Units CF'!$I$49*'Units CF'!$I$56*'Units CF'!$I$58*'Units CF'!$I$63*'Units CF'!$I$66)</f>
        <v>21.069024226394689</v>
      </c>
      <c r="H708" s="115">
        <f>H61*'Units CF'!$I$32*('Units CF'!$I$39*'Units CF'!$I$46+'Units CF'!$I$37)*('Units CF'!$I$48*('Units CF'!$I$52*'Units CF'!$I$59*'Units CF'!$I$66+'Units CF'!$I$53*'Units CF'!$I$61*'Units CF'!$I$66+'Units CF'!$I$54*'Units CF'!$I$58*'Units CF'!$I$63*'Units CF'!$I$66)+'Units CF'!$I$49*'Units CF'!$I$56*'Units CF'!$I$58*'Units CF'!$I$63*'Units CF'!$I$66)</f>
        <v>255.68935195880627</v>
      </c>
      <c r="I708" s="115">
        <f t="shared" ca="1" si="120"/>
        <v>291.52987432863904</v>
      </c>
      <c r="J708" s="521">
        <f t="shared" si="121"/>
        <v>3.2468399040417733E-4</v>
      </c>
      <c r="K708" s="521">
        <f t="shared" ca="1" si="122"/>
        <v>4.6310636831288466E-4</v>
      </c>
      <c r="L708" s="521">
        <f t="shared" si="123"/>
        <v>5.620163797314128E-3</v>
      </c>
      <c r="M708" s="521">
        <f t="shared" ca="1" si="124"/>
        <v>6.4079541560311901E-3</v>
      </c>
      <c r="N708" s="550">
        <f t="shared" ca="1" si="125"/>
        <v>2.1574622156512609E-3</v>
      </c>
    </row>
    <row r="709" spans="2:14" x14ac:dyDescent="0.25">
      <c r="B709" s="978"/>
      <c r="C709" s="981"/>
      <c r="D709" s="388" t="s">
        <v>1455</v>
      </c>
      <c r="E709" s="548" t="s">
        <v>636</v>
      </c>
      <c r="F709" s="115">
        <f>'Units CF'!L35*('Units CF'!$I$39*'Units CF'!$I$46+'Units CF'!$I$37)*('Units CF'!$I$48*('Units CF'!$I$52*'Units CF'!$I$59*'Units CF'!$I$66+'Units CF'!$I$53*'Units CF'!$I$61*'Units CF'!$I$66+'Units CF'!$I$54*'Units CF'!$I$58*'Units CF'!$I$63*'Units CF'!$I$66)+'Units CF'!$I$49*'Units CF'!$I$56*'Units CF'!$I$58*'Units CF'!$I$63*'Units CF'!$I$66)</f>
        <v>582.58799732007071</v>
      </c>
      <c r="G709" s="115">
        <f ca="1">'Units CF'!M35*('Units CF'!$I$39*'Units CF'!$I$46+'Units CF'!$I$37)*('Units CF'!$I$48*('Units CF'!$I$52*'Units CF'!$I$59*'Units CF'!$I$66+'Units CF'!$I$53*'Units CF'!$I$61*'Units CF'!$I$66+'Units CF'!$I$54*'Units CF'!$I$58*'Units CF'!$I$63*'Units CF'!$I$66)+'Units CF'!$I$49*'Units CF'!$I$56*'Units CF'!$I$58*'Units CF'!$I$63*'Units CF'!$I$66)</f>
        <v>1650.4672828606251</v>
      </c>
      <c r="H709" s="115">
        <f>'Units CF'!N35*('Units CF'!$I$39*'Units CF'!$I$46+'Units CF'!$I$37)*('Units CF'!$I$48*('Units CF'!$I$52*'Units CF'!$I$59*'Units CF'!$I$66+'Units CF'!$I$53*'Units CF'!$I$61*'Units CF'!$I$66+'Units CF'!$I$54*'Units CF'!$I$58*'Units CF'!$I$63*'Units CF'!$I$66)+'Units CF'!$I$49*'Units CF'!$I$56*'Units CF'!$I$58*'Units CF'!$I$63*'Units CF'!$I$66)</f>
        <v>2325.9118396870235</v>
      </c>
      <c r="I709" s="115">
        <f t="shared" ca="1" si="120"/>
        <v>4558.9671198677188</v>
      </c>
      <c r="J709" s="521">
        <f t="shared" si="121"/>
        <v>1.280553901132148E-2</v>
      </c>
      <c r="K709" s="521">
        <f t="shared" ca="1" si="122"/>
        <v>3.6277992809333443E-2</v>
      </c>
      <c r="L709" s="521">
        <f t="shared" si="123"/>
        <v>5.1124559615057116E-2</v>
      </c>
      <c r="M709" s="521">
        <f t="shared" ca="1" si="124"/>
        <v>0.10020809143571204</v>
      </c>
      <c r="N709" s="550">
        <f t="shared" ca="1" si="125"/>
        <v>3.3738563933325229E-2</v>
      </c>
    </row>
    <row r="710" spans="2:14" x14ac:dyDescent="0.25">
      <c r="B710" s="978"/>
      <c r="C710" s="981"/>
      <c r="D710" s="388" t="s">
        <v>1459</v>
      </c>
      <c r="E710" s="548" t="s">
        <v>641</v>
      </c>
      <c r="F710" s="115">
        <f>'Units CF'!L45*'Units CF'!$I$46*('Units CF'!$I$48*('Units CF'!$I$52*'Units CF'!$I$59*'Units CF'!$I$66+'Units CF'!$I$53*'Units CF'!$I$61*'Units CF'!$I$66+'Units CF'!$I$54*'Units CF'!$I$58*'Units CF'!$I$63*'Units CF'!$I$66)+'Units CF'!$I$49*'Units CF'!$I$56*'Units CF'!$I$58*'Units CF'!$I$63*'Units CF'!$I$66)</f>
        <v>8.6513735637432791</v>
      </c>
      <c r="G710" s="115">
        <f ca="1">'Units CF'!M45*'Units CF'!$I$46*('Units CF'!$I$48*('Units CF'!$I$52*'Units CF'!$I$59*'Units CF'!$I$66+'Units CF'!$I$53*'Units CF'!$I$61*'Units CF'!$I$66+'Units CF'!$I$54*'Units CF'!$I$58*'Units CF'!$I$63*'Units CF'!$I$66)+'Units CF'!$I$49*'Units CF'!$I$56*'Units CF'!$I$58*'Units CF'!$I$63*'Units CF'!$I$66)</f>
        <v>18.023405039381618</v>
      </c>
      <c r="H710" s="115">
        <f>'Units CF'!N45*'Units CF'!$I$46*('Units CF'!$I$48*('Units CF'!$I$52*'Units CF'!$I$59*'Units CF'!$I$66+'Units CF'!$I$53*'Units CF'!$I$61*'Units CF'!$I$66+'Units CF'!$I$54*'Units CF'!$I$58*'Units CF'!$I$63*'Units CF'!$I$66)+'Units CF'!$I$49*'Units CF'!$I$56*'Units CF'!$I$58*'Units CF'!$I$63*'Units CF'!$I$66)</f>
        <v>122.86201309164126</v>
      </c>
      <c r="I710" s="115">
        <f t="shared" ca="1" si="120"/>
        <v>149.53679169476615</v>
      </c>
      <c r="J710" s="521">
        <f t="shared" si="121"/>
        <v>1.9016097513448245E-4</v>
      </c>
      <c r="K710" s="521">
        <f t="shared" ca="1" si="122"/>
        <v>3.9616232639590323E-4</v>
      </c>
      <c r="L710" s="521">
        <f t="shared" si="123"/>
        <v>2.7005607889139744E-3</v>
      </c>
      <c r="M710" s="521">
        <f t="shared" ca="1" si="124"/>
        <v>3.2868840904443598E-3</v>
      </c>
      <c r="N710" s="550">
        <f t="shared" ca="1" si="125"/>
        <v>1.1066446575128169E-3</v>
      </c>
    </row>
    <row r="711" spans="2:14" x14ac:dyDescent="0.25">
      <c r="B711" s="978"/>
      <c r="C711" s="981"/>
      <c r="D711" s="388" t="s">
        <v>1460</v>
      </c>
      <c r="E711" s="548" t="s">
        <v>1443</v>
      </c>
      <c r="F711" s="115">
        <f>'Units CF'!L47*('Units CF'!$I$48*('Units CF'!$I$52*'Units CF'!$I$59*'Units CF'!$I$66+'Units CF'!$I$53*'Units CF'!$I$61*'Units CF'!$I$66+'Units CF'!$I$54*'Units CF'!$I$58*'Units CF'!$I$63*'Units CF'!$I$66)+'Units CF'!$I$49*'Units CF'!$I$56*'Units CF'!$I$58*'Units CF'!$I$63*'Units CF'!$I$66)</f>
        <v>174.34773861125868</v>
      </c>
      <c r="G711" s="115">
        <f ca="1">'Units CF'!M47*('Units CF'!$I$48*('Units CF'!$I$52*'Units CF'!$I$59*'Units CF'!$I$66+'Units CF'!$I$53*'Units CF'!$I$61*'Units CF'!$I$66+'Units CF'!$I$54*'Units CF'!$I$58*'Units CF'!$I$63*'Units CF'!$I$66)+'Units CF'!$I$49*'Units CF'!$I$56*'Units CF'!$I$58*'Units CF'!$I$63*'Units CF'!$I$66)</f>
        <v>172.02335436867045</v>
      </c>
      <c r="H711" s="115">
        <f>'Units CF'!N47*('Units CF'!$I$48*('Units CF'!$I$52*'Units CF'!$I$59*'Units CF'!$I$66+'Units CF'!$I$53*'Units CF'!$I$61*'Units CF'!$I$66+'Units CF'!$I$54*'Units CF'!$I$58*'Units CF'!$I$63*'Units CF'!$I$66)+'Units CF'!$I$49*'Units CF'!$I$56*'Units CF'!$I$58*'Units CF'!$I$63*'Units CF'!$I$66)</f>
        <v>862.89622624236324</v>
      </c>
      <c r="I711" s="115">
        <f t="shared" ca="1" si="120"/>
        <v>1209.2673192222924</v>
      </c>
      <c r="J711" s="521">
        <f t="shared" si="121"/>
        <v>3.8322395562426352E-3</v>
      </c>
      <c r="K711" s="521">
        <f t="shared" ca="1" si="122"/>
        <v>3.7811485738799967E-3</v>
      </c>
      <c r="L711" s="521">
        <f t="shared" si="123"/>
        <v>1.8966836492853353E-2</v>
      </c>
      <c r="M711" s="521">
        <f t="shared" ca="1" si="124"/>
        <v>2.6580224622975983E-2</v>
      </c>
      <c r="N711" s="550">
        <f t="shared" ca="1" si="125"/>
        <v>8.9491636349520159E-3</v>
      </c>
    </row>
    <row r="712" spans="2:14" x14ac:dyDescent="0.25">
      <c r="B712" s="978"/>
      <c r="C712" s="981"/>
      <c r="D712" s="388" t="s">
        <v>1462</v>
      </c>
      <c r="E712" s="548" t="s">
        <v>654</v>
      </c>
      <c r="F712" s="115">
        <f>'Units CF'!L51*('Units CF'!$I$52*'Units CF'!$I$59*'Units CF'!$I$66+'Units CF'!$I$53*'Units CF'!$I$61*'Units CF'!$I$66+'Units CF'!$I$54*'Units CF'!$I$58*'Units CF'!$I$63*'Units CF'!$I$66)</f>
        <v>111.83525566271743</v>
      </c>
      <c r="G712" s="115">
        <f ca="1">'Units CF'!M51*('Units CF'!$I$52*'Units CF'!$I$59*'Units CF'!$I$66+'Units CF'!$I$53*'Units CF'!$I$61*'Units CF'!$I$66+'Units CF'!$I$54*'Units CF'!$I$58*'Units CF'!$I$63*'Units CF'!$I$66)</f>
        <v>8.9603556831571325</v>
      </c>
      <c r="H712" s="115">
        <f>'Units CF'!N51*('Units CF'!$I$52*'Units CF'!$I$59*'Units CF'!$I$66+'Units CF'!$I$53*'Units CF'!$I$61*'Units CF'!$I$66+'Units CF'!$I$54*'Units CF'!$I$58*'Units CF'!$I$63*'Units CF'!$I$66)</f>
        <v>3401.1125882402421</v>
      </c>
      <c r="I712" s="115">
        <f t="shared" ca="1" si="120"/>
        <v>3521.9081995861166</v>
      </c>
      <c r="J712" s="521">
        <f t="shared" si="121"/>
        <v>2.4581878374044935E-3</v>
      </c>
      <c r="K712" s="521">
        <f t="shared" ca="1" si="122"/>
        <v>1.9695253727128548E-4</v>
      </c>
      <c r="L712" s="521">
        <f t="shared" si="123"/>
        <v>7.475794237257373E-2</v>
      </c>
      <c r="M712" s="521">
        <f t="shared" ca="1" si="124"/>
        <v>7.7413082747249506E-2</v>
      </c>
      <c r="N712" s="550">
        <f t="shared" ca="1" si="125"/>
        <v>2.6063825826075773E-2</v>
      </c>
    </row>
    <row r="713" spans="2:14" x14ac:dyDescent="0.25">
      <c r="B713" s="978"/>
      <c r="C713" s="981"/>
      <c r="D713" s="388" t="s">
        <v>1465</v>
      </c>
      <c r="E713" s="548" t="s">
        <v>642</v>
      </c>
      <c r="F713" s="115">
        <f>'Units CF'!L59*'Units CF'!$I$59*'Units CF'!$I$66</f>
        <v>195.68259167724926</v>
      </c>
      <c r="G713" s="115">
        <f ca="1">'Units CF'!M59*'Units CF'!$I$59*'Units CF'!$I$66</f>
        <v>454.80680389158323</v>
      </c>
      <c r="H713" s="115">
        <f>'Units CF'!N59*'Units CF'!$I$59*'Units CF'!$I$66</f>
        <v>42.528854442485944</v>
      </c>
      <c r="I713" s="115">
        <f t="shared" ca="1" si="120"/>
        <v>693.0182500113184</v>
      </c>
      <c r="J713" s="521">
        <f t="shared" si="121"/>
        <v>4.3011889587262174E-3</v>
      </c>
      <c r="K713" s="521">
        <f t="shared" ca="1" si="122"/>
        <v>9.9968524869014884E-3</v>
      </c>
      <c r="L713" s="521">
        <f t="shared" si="123"/>
        <v>9.348028232220232E-4</v>
      </c>
      <c r="M713" s="521">
        <f t="shared" ca="1" si="124"/>
        <v>1.523284426884973E-2</v>
      </c>
      <c r="N713" s="550">
        <f t="shared" ca="1" si="125"/>
        <v>5.1286705782704707E-3</v>
      </c>
    </row>
    <row r="714" spans="2:14" x14ac:dyDescent="0.25">
      <c r="B714" s="978"/>
      <c r="C714" s="981"/>
      <c r="D714" s="388" t="s">
        <v>1466</v>
      </c>
      <c r="E714" s="548" t="s">
        <v>644</v>
      </c>
      <c r="F714" s="115">
        <f>'Units CF'!L61*'Units CF'!$I$66</f>
        <v>126.79766318206219</v>
      </c>
      <c r="G714" s="115">
        <f ca="1">'Units CF'!M61*'Units CF'!$I$66</f>
        <v>182.86634684681346</v>
      </c>
      <c r="H714" s="115">
        <f>'Units CF'!N61*'Units CF'!$I$66</f>
        <v>914.76476850765937</v>
      </c>
      <c r="I714" s="115">
        <f t="shared" ca="1" si="120"/>
        <v>1224.428778536535</v>
      </c>
      <c r="J714" s="521">
        <f t="shared" si="121"/>
        <v>2.787068099396905E-3</v>
      </c>
      <c r="K714" s="521">
        <f t="shared" ca="1" si="122"/>
        <v>4.0194822913905588E-3</v>
      </c>
      <c r="L714" s="521">
        <f t="shared" si="123"/>
        <v>2.0106929739700172E-2</v>
      </c>
      <c r="M714" s="521">
        <f t="shared" ca="1" si="124"/>
        <v>2.6913480130487635E-2</v>
      </c>
      <c r="N714" s="550">
        <f t="shared" ca="1" si="125"/>
        <v>9.0613657743723423E-3</v>
      </c>
    </row>
    <row r="715" spans="2:14" x14ac:dyDescent="0.25">
      <c r="B715" s="978"/>
      <c r="C715" s="981"/>
      <c r="D715" s="388" t="s">
        <v>1464</v>
      </c>
      <c r="E715" s="548" t="s">
        <v>655</v>
      </c>
      <c r="F715" s="115">
        <f>'Units CF'!L56*'Units CF'!$I$56*'Units CF'!$I$63*'Units CF'!$I$66</f>
        <v>5.0813165525792261</v>
      </c>
      <c r="G715" s="115">
        <f ca="1">'Units CF'!M56*'Units CF'!$I$56*'Units CF'!$I$63*'Units CF'!$I$66</f>
        <v>0.41335562983221991</v>
      </c>
      <c r="H715" s="115">
        <f>'Units CF'!N56*'Units CF'!$I$56*'Units CF'!$I$63*'Units CF'!$I$66</f>
        <v>348.35234481156351</v>
      </c>
      <c r="I715" s="115">
        <f t="shared" ca="1" si="120"/>
        <v>353.84701699397493</v>
      </c>
      <c r="J715" s="521">
        <f t="shared" si="121"/>
        <v>1.116895604479443E-4</v>
      </c>
      <c r="K715" s="521">
        <f t="shared" ca="1" si="122"/>
        <v>9.0857375498894369E-6</v>
      </c>
      <c r="L715" s="521">
        <f t="shared" si="123"/>
        <v>7.6569369120027151E-3</v>
      </c>
      <c r="M715" s="521">
        <f t="shared" ca="1" si="124"/>
        <v>7.7777122100005491E-3</v>
      </c>
      <c r="N715" s="550">
        <f t="shared" ca="1" si="125"/>
        <v>2.6186392425251886E-3</v>
      </c>
    </row>
    <row r="716" spans="2:14" x14ac:dyDescent="0.25">
      <c r="B716" s="978"/>
      <c r="C716" s="981"/>
      <c r="D716" s="388" t="s">
        <v>1467</v>
      </c>
      <c r="E716" s="548" t="s">
        <v>656</v>
      </c>
      <c r="F716" s="115">
        <f>'Units CF'!L58*'Units CF'!$I$63*'Units CF'!$I$66</f>
        <v>6.2471939716156619</v>
      </c>
      <c r="G716" s="115">
        <f ca="1">'Units CF'!M58*'Units CF'!$I$63*'Units CF'!$I$66</f>
        <v>0.51455502005503395</v>
      </c>
      <c r="H716" s="115">
        <f>'Units CF'!N58*'Units CF'!$I$63*'Units CF'!$I$66</f>
        <v>151.95447368942774</v>
      </c>
      <c r="I716" s="115">
        <f t="shared" ca="1" si="120"/>
        <v>158.71622268109843</v>
      </c>
      <c r="J716" s="521">
        <f t="shared" si="121"/>
        <v>1.3731605608562834E-4</v>
      </c>
      <c r="K716" s="521">
        <f t="shared" ca="1" si="122"/>
        <v>1.1310144412683458E-5</v>
      </c>
      <c r="L716" s="521">
        <f t="shared" si="123"/>
        <v>3.3400257982070061E-3</v>
      </c>
      <c r="M716" s="521">
        <f t="shared" ca="1" si="124"/>
        <v>3.4886519987053178E-3</v>
      </c>
      <c r="N716" s="550">
        <f t="shared" ca="1" si="125"/>
        <v>1.1745768910782356E-3</v>
      </c>
    </row>
    <row r="717" spans="2:14" x14ac:dyDescent="0.25">
      <c r="B717" s="978"/>
      <c r="C717" s="981"/>
      <c r="D717" s="388" t="s">
        <v>1468</v>
      </c>
      <c r="E717" s="548" t="s">
        <v>643</v>
      </c>
      <c r="F717" s="115">
        <f>'Units CF'!L62*'Units CF'!$I$63*'Units CF'!$I$66</f>
        <v>23.344769004207965</v>
      </c>
      <c r="G717" s="115">
        <f ca="1">'Units CF'!M62*'Units CF'!$I$63*'Units CF'!$I$66</f>
        <v>50.901381013795231</v>
      </c>
      <c r="H717" s="115">
        <f>'Units CF'!N62*'Units CF'!$I$63*'Units CF'!$I$66</f>
        <v>4.6796909777524611</v>
      </c>
      <c r="I717" s="115">
        <f t="shared" ca="1" si="120"/>
        <v>78.925840995755649</v>
      </c>
      <c r="J717" s="521">
        <f t="shared" si="121"/>
        <v>5.1312823396434698E-4</v>
      </c>
      <c r="K717" s="521">
        <f t="shared" ca="1" si="122"/>
        <v>1.118834619492147E-3</v>
      </c>
      <c r="L717" s="521">
        <f t="shared" si="123"/>
        <v>1.0286165463792639E-4</v>
      </c>
      <c r="M717" s="521">
        <f t="shared" ca="1" si="124"/>
        <v>1.7348245080944205E-3</v>
      </c>
      <c r="N717" s="550">
        <f t="shared" ca="1" si="125"/>
        <v>5.8408943570183668E-4</v>
      </c>
    </row>
    <row r="718" spans="2:14" x14ac:dyDescent="0.25">
      <c r="B718" s="978"/>
      <c r="C718" s="981"/>
      <c r="D718" s="388" t="s">
        <v>1469</v>
      </c>
      <c r="E718" s="548" t="s">
        <v>1444</v>
      </c>
      <c r="F718" s="115">
        <f>'Units CF'!L64*'Units CF'!$I$66</f>
        <v>114.61633423744682</v>
      </c>
      <c r="G718" s="115">
        <f ca="1">'Units CF'!M64*'Units CF'!$I$66</f>
        <v>8.9486010999822874</v>
      </c>
      <c r="H718" s="115">
        <f>'Units CF'!N64*'Units CF'!$I$66</f>
        <v>333.33814227857164</v>
      </c>
      <c r="I718" s="115">
        <f t="shared" ca="1" si="120"/>
        <v>456.90307761600076</v>
      </c>
      <c r="J718" s="521">
        <f t="shared" si="121"/>
        <v>2.5193171609505841E-3</v>
      </c>
      <c r="K718" s="521">
        <f t="shared" ca="1" si="122"/>
        <v>1.9669416639152187E-4</v>
      </c>
      <c r="L718" s="521">
        <f t="shared" si="123"/>
        <v>7.3269181729546462E-3</v>
      </c>
      <c r="M718" s="521">
        <f t="shared" ca="1" si="124"/>
        <v>1.0042929500296753E-2</v>
      </c>
      <c r="N718" s="550">
        <f t="shared" ca="1" si="125"/>
        <v>3.3813039862256745E-3</v>
      </c>
    </row>
    <row r="719" spans="2:14" x14ac:dyDescent="0.25">
      <c r="B719" s="978"/>
      <c r="C719" s="981"/>
      <c r="D719" s="388" t="s">
        <v>25</v>
      </c>
      <c r="E719" s="548" t="s">
        <v>659</v>
      </c>
      <c r="F719" s="115">
        <f>'Units CF'!L71</f>
        <v>111.11075629521618</v>
      </c>
      <c r="G719" s="115">
        <f ca="1">'Units CF'!M71</f>
        <v>8.6884825638327303</v>
      </c>
      <c r="H719" s="115">
        <f>'Units CF'!N71</f>
        <v>538.02058913570738</v>
      </c>
      <c r="I719" s="115">
        <f t="shared" ca="1" si="120"/>
        <v>657.81982799475634</v>
      </c>
      <c r="J719" s="521">
        <f t="shared" si="121"/>
        <v>2.4422630244030374E-3</v>
      </c>
      <c r="K719" s="521">
        <f t="shared" ca="1" si="122"/>
        <v>1.9097664718832245E-4</v>
      </c>
      <c r="L719" s="521">
        <f t="shared" si="123"/>
        <v>1.1825927885167764E-2</v>
      </c>
      <c r="M719" s="521">
        <f t="shared" ca="1" si="124"/>
        <v>1.4459167556759123E-2</v>
      </c>
      <c r="N719" s="550">
        <f t="shared" ca="1" si="125"/>
        <v>4.8681852138591558E-3</v>
      </c>
    </row>
    <row r="720" spans="2:14" x14ac:dyDescent="0.25">
      <c r="B720" s="978"/>
      <c r="C720" s="981"/>
      <c r="D720" s="524"/>
      <c r="E720" s="523" t="s">
        <v>410</v>
      </c>
      <c r="F720" s="135">
        <f>SUM(F697:F719)</f>
        <v>57275.620538537951</v>
      </c>
      <c r="G720" s="135">
        <f t="shared" ref="G720:N720" ca="1" si="126">SUM(G697:G719)</f>
        <v>33772.885792249981</v>
      </c>
      <c r="H720" s="135">
        <f t="shared" si="126"/>
        <v>44077.787985627954</v>
      </c>
      <c r="I720" s="135">
        <f t="shared" ca="1" si="126"/>
        <v>135126.29431641588</v>
      </c>
      <c r="J720" s="526">
        <f t="shared" si="126"/>
        <v>1.258943192406593</v>
      </c>
      <c r="K720" s="526">
        <f t="shared" ca="1" si="126"/>
        <v>0.74234280233542083</v>
      </c>
      <c r="L720" s="526">
        <f t="shared" si="126"/>
        <v>0.96884906002039639</v>
      </c>
      <c r="M720" s="974">
        <f t="shared" ca="1" si="126"/>
        <v>2.970135054762411</v>
      </c>
      <c r="N720" s="972">
        <f t="shared" ca="1" si="126"/>
        <v>0.99999999999999989</v>
      </c>
    </row>
    <row r="721" spans="2:14" x14ac:dyDescent="0.25">
      <c r="B721" s="979"/>
      <c r="C721" s="982"/>
      <c r="D721" s="525"/>
      <c r="E721" s="523" t="s">
        <v>309</v>
      </c>
      <c r="F721" s="135"/>
      <c r="G721" s="135"/>
      <c r="H721" s="135"/>
      <c r="I721" s="135"/>
      <c r="J721" s="527">
        <f ca="1">J720/M720</f>
        <v>0.42386732225794332</v>
      </c>
      <c r="K721" s="527">
        <f ca="1">K720/M720</f>
        <v>0.24993570617104574</v>
      </c>
      <c r="L721" s="527">
        <f ca="1">L720/M720</f>
        <v>0.32619697157101069</v>
      </c>
      <c r="M721" s="975"/>
      <c r="N721" s="973"/>
    </row>
    <row r="725" spans="2:14" ht="27.6" x14ac:dyDescent="0.25">
      <c r="B725" s="976" t="s">
        <v>425</v>
      </c>
      <c r="C725" s="523" t="s">
        <v>408</v>
      </c>
      <c r="D725" s="976" t="s">
        <v>411</v>
      </c>
      <c r="E725" s="976" t="s">
        <v>411</v>
      </c>
      <c r="F725" s="522" t="s">
        <v>479</v>
      </c>
      <c r="G725" s="522" t="s">
        <v>480</v>
      </c>
      <c r="H725" s="522" t="s">
        <v>481</v>
      </c>
      <c r="I725" s="522" t="s">
        <v>482</v>
      </c>
      <c r="J725" s="546" t="s">
        <v>484</v>
      </c>
      <c r="K725" s="546" t="s">
        <v>483</v>
      </c>
      <c r="L725" s="546" t="s">
        <v>485</v>
      </c>
      <c r="M725" s="522" t="s">
        <v>486</v>
      </c>
      <c r="N725" s="523" t="s">
        <v>487</v>
      </c>
    </row>
    <row r="726" spans="2:14" x14ac:dyDescent="0.25">
      <c r="B726" s="976"/>
      <c r="C726" s="523" t="s">
        <v>477</v>
      </c>
      <c r="D726" s="976"/>
      <c r="E726" s="976"/>
      <c r="F726" s="523" t="s">
        <v>308</v>
      </c>
      <c r="G726" s="523" t="s">
        <v>308</v>
      </c>
      <c r="H726" s="523" t="s">
        <v>308</v>
      </c>
      <c r="I726" s="523" t="s">
        <v>308</v>
      </c>
      <c r="J726" s="547" t="s">
        <v>310</v>
      </c>
      <c r="K726" s="547" t="s">
        <v>310</v>
      </c>
      <c r="L726" s="547" t="s">
        <v>310</v>
      </c>
      <c r="M726" s="523" t="s">
        <v>310</v>
      </c>
      <c r="N726" s="523" t="s">
        <v>309</v>
      </c>
    </row>
    <row r="727" spans="2:14" ht="16.8" customHeight="1" x14ac:dyDescent="0.25">
      <c r="B727" s="977" t="s">
        <v>1417</v>
      </c>
      <c r="C727" s="980">
        <f>'Units CF'!F72</f>
        <v>10720</v>
      </c>
      <c r="D727" s="388" t="s">
        <v>229</v>
      </c>
      <c r="E727" s="548" t="s">
        <v>594</v>
      </c>
      <c r="F727" s="115">
        <f>F50*'Units CF'!$I$32*('Units CF'!$I$39*'Units CF'!$I$46+'Units CF'!$I$37)*('Units CF'!$I$48*('Units CF'!$I$52*'Units CF'!$I$59*'Units CF'!$I$67+'Units CF'!$I$53*'Units CF'!$I$61*'Units CF'!$I$67+'Units CF'!$I$54*'Units CF'!$I$58*'Units CF'!$I$63*'Units CF'!$I$67)+'Units CF'!$I$49*'Units CF'!$I$56*'Units CF'!$I$58*'Units CF'!$I$63*'Units CF'!$I$67)</f>
        <v>522.93287056132465</v>
      </c>
      <c r="G727" s="115">
        <f ca="1">G50*'Units CF'!$I$32*('Units CF'!$I$39*'Units CF'!$I$46+'Units CF'!$I$37)*('Units CF'!$I$48*('Units CF'!$I$52*'Units CF'!$I$59*'Units CF'!$I$67+'Units CF'!$I$53*'Units CF'!$I$61*'Units CF'!$I$67+'Units CF'!$I$54*'Units CF'!$I$58*'Units CF'!$I$63*'Units CF'!$I$67)+'Units CF'!$I$49*'Units CF'!$I$56*'Units CF'!$I$58*'Units CF'!$I$63*'Units CF'!$I$67)</f>
        <v>10.782992610278894</v>
      </c>
      <c r="H727" s="115">
        <f>H50*'Units CF'!$I$32*('Units CF'!$I$39*'Units CF'!$I$46+'Units CF'!$I$37)*('Units CF'!$I$48*('Units CF'!$I$52*'Units CF'!$I$59*'Units CF'!$I$67+'Units CF'!$I$53*'Units CF'!$I$61*'Units CF'!$I$67+'Units CF'!$I$54*'Units CF'!$I$58*'Units CF'!$I$63*'Units CF'!$I$67)+'Units CF'!$I$49*'Units CF'!$I$56*'Units CF'!$I$58*'Units CF'!$I$63*'Units CF'!$I$67)</f>
        <v>74.153964861961711</v>
      </c>
      <c r="I727" s="115">
        <f ca="1">SUM(F727:H727)</f>
        <v>607.86982803356534</v>
      </c>
      <c r="J727" s="521">
        <f>F727/$C$727</f>
        <v>4.8781051358332522E-2</v>
      </c>
      <c r="K727" s="521">
        <f ca="1">G727/$C$727</f>
        <v>1.0058761763319865E-3</v>
      </c>
      <c r="L727" s="521">
        <f>H727/$C$727</f>
        <v>6.9173474684665779E-3</v>
      </c>
      <c r="M727" s="521">
        <f ca="1">SUM(J727:L727)</f>
        <v>5.6704275003131084E-2</v>
      </c>
      <c r="N727" s="550">
        <f ca="1">M727/$M$750</f>
        <v>1.9062640236380268E-2</v>
      </c>
    </row>
    <row r="728" spans="2:14" x14ac:dyDescent="0.25">
      <c r="B728" s="978"/>
      <c r="C728" s="981"/>
      <c r="D728" s="388" t="s">
        <v>1445</v>
      </c>
      <c r="E728" s="548" t="s">
        <v>597</v>
      </c>
      <c r="F728" s="115">
        <f>F51*'Units CF'!$I$32*('Units CF'!$I$39*'Units CF'!$I$46+'Units CF'!$I$37)*('Units CF'!$I$48*('Units CF'!$I$52*'Units CF'!$I$59*'Units CF'!$I$67+'Units CF'!$I$53*'Units CF'!$I$61*'Units CF'!$I$67+'Units CF'!$I$54*'Units CF'!$I$58*'Units CF'!$I$63*'Units CF'!$I$67)+'Units CF'!$I$49*'Units CF'!$I$56*'Units CF'!$I$58*'Units CF'!$I$63*'Units CF'!$I$67)</f>
        <v>454.65222052465344</v>
      </c>
      <c r="G728" s="115">
        <f ca="1">G51*'Units CF'!$I$32*('Units CF'!$I$39*'Units CF'!$I$46+'Units CF'!$I$37)*('Units CF'!$I$48*('Units CF'!$I$52*'Units CF'!$I$59*'Units CF'!$I$67+'Units CF'!$I$53*'Units CF'!$I$61*'Units CF'!$I$67+'Units CF'!$I$54*'Units CF'!$I$58*'Units CF'!$I$63*'Units CF'!$I$67)+'Units CF'!$I$49*'Units CF'!$I$56*'Units CF'!$I$58*'Units CF'!$I$63*'Units CF'!$I$67)</f>
        <v>364.77741097603194</v>
      </c>
      <c r="H728" s="115">
        <f>H51*'Units CF'!$I$32*('Units CF'!$I$39*'Units CF'!$I$46+'Units CF'!$I$37)*('Units CF'!$I$48*('Units CF'!$I$52*'Units CF'!$I$59*'Units CF'!$I$67+'Units CF'!$I$53*'Units CF'!$I$61*'Units CF'!$I$67+'Units CF'!$I$54*'Units CF'!$I$58*'Units CF'!$I$63*'Units CF'!$I$67)+'Units CF'!$I$49*'Units CF'!$I$56*'Units CF'!$I$58*'Units CF'!$I$63*'Units CF'!$I$67)</f>
        <v>20.434468253608777</v>
      </c>
      <c r="I728" s="115">
        <f t="shared" ref="I728:I749" ca="1" si="127">SUM(F728:H728)</f>
        <v>839.86409975429422</v>
      </c>
      <c r="J728" s="521">
        <f t="shared" ref="J728:J749" si="128">F728/$C$727</f>
        <v>4.2411587735508717E-2</v>
      </c>
      <c r="K728" s="521">
        <f t="shared" ref="K728:K749" ca="1" si="129">G728/$C$727</f>
        <v>3.4027743561197012E-2</v>
      </c>
      <c r="L728" s="521">
        <f t="shared" ref="L728:L749" si="130">H728/$C$727</f>
        <v>1.9062003967918635E-3</v>
      </c>
      <c r="M728" s="521">
        <f t="shared" ref="M728:M749" ca="1" si="131">SUM(J728:L728)</f>
        <v>7.8345531693497589E-2</v>
      </c>
      <c r="N728" s="550">
        <f t="shared" ref="N728:N749" ca="1" si="132">M728/$M$750</f>
        <v>2.6337920460469805E-2</v>
      </c>
    </row>
    <row r="729" spans="2:14" x14ac:dyDescent="0.25">
      <c r="B729" s="978"/>
      <c r="C729" s="981"/>
      <c r="D729" s="388" t="s">
        <v>1446</v>
      </c>
      <c r="E729" s="548" t="s">
        <v>595</v>
      </c>
      <c r="F729" s="115">
        <f>F52*'Units CF'!$I$32*('Units CF'!$I$39*'Units CF'!$I$46+'Units CF'!$I$37)*('Units CF'!$I$48*('Units CF'!$I$52*'Units CF'!$I$59*'Units CF'!$I$67+'Units CF'!$I$53*'Units CF'!$I$61*'Units CF'!$I$67+'Units CF'!$I$54*'Units CF'!$I$58*'Units CF'!$I$63*'Units CF'!$I$67)+'Units CF'!$I$49*'Units CF'!$I$56*'Units CF'!$I$58*'Units CF'!$I$63*'Units CF'!$I$67)</f>
        <v>2.2949690637217991E-3</v>
      </c>
      <c r="G729" s="115">
        <f ca="1">G52*'Units CF'!$I$32*('Units CF'!$I$39*'Units CF'!$I$46+'Units CF'!$I$37)*('Units CF'!$I$48*('Units CF'!$I$52*'Units CF'!$I$59*'Units CF'!$I$67+'Units CF'!$I$53*'Units CF'!$I$61*'Units CF'!$I$67+'Units CF'!$I$54*'Units CF'!$I$58*'Units CF'!$I$63*'Units CF'!$I$67)+'Units CF'!$I$49*'Units CF'!$I$56*'Units CF'!$I$58*'Units CF'!$I$63*'Units CF'!$I$67)</f>
        <v>0.15307143439544796</v>
      </c>
      <c r="H729" s="115">
        <f>H52*'Units CF'!$I$32*('Units CF'!$I$39*'Units CF'!$I$46+'Units CF'!$I$37)*('Units CF'!$I$48*('Units CF'!$I$52*'Units CF'!$I$59*'Units CF'!$I$67+'Units CF'!$I$53*'Units CF'!$I$61*'Units CF'!$I$67+'Units CF'!$I$54*'Units CF'!$I$58*'Units CF'!$I$63*'Units CF'!$I$67)+'Units CF'!$I$49*'Units CF'!$I$56*'Units CF'!$I$58*'Units CF'!$I$63*'Units CF'!$I$67)</f>
        <v>1.4346697205830576</v>
      </c>
      <c r="I729" s="115">
        <f t="shared" ca="1" si="127"/>
        <v>1.5900361240422274</v>
      </c>
      <c r="J729" s="521">
        <f t="shared" si="128"/>
        <v>2.1408293504867528E-7</v>
      </c>
      <c r="K729" s="521">
        <f t="shared" ca="1" si="129"/>
        <v>1.427905171599328E-5</v>
      </c>
      <c r="L729" s="521">
        <f t="shared" si="130"/>
        <v>1.3383113065140463E-4</v>
      </c>
      <c r="M729" s="521">
        <f t="shared" ca="1" si="131"/>
        <v>1.4832426530244659E-4</v>
      </c>
      <c r="N729" s="550">
        <f t="shared" ca="1" si="132"/>
        <v>4.9863120684107761E-5</v>
      </c>
    </row>
    <row r="730" spans="2:14" x14ac:dyDescent="0.25">
      <c r="B730" s="978"/>
      <c r="C730" s="981"/>
      <c r="D730" s="388" t="s">
        <v>1447</v>
      </c>
      <c r="E730" s="548" t="s">
        <v>596</v>
      </c>
      <c r="F730" s="115">
        <f>F53*'Units CF'!$I$32*('Units CF'!$I$39*'Units CF'!$I$46+'Units CF'!$I$37)*('Units CF'!$I$48*('Units CF'!$I$52*'Units CF'!$I$59*'Units CF'!$I$67+'Units CF'!$I$53*'Units CF'!$I$61*'Units CF'!$I$67+'Units CF'!$I$54*'Units CF'!$I$58*'Units CF'!$I$63*'Units CF'!$I$67)+'Units CF'!$I$49*'Units CF'!$I$56*'Units CF'!$I$58*'Units CF'!$I$63*'Units CF'!$I$67)</f>
        <v>20.607049169014523</v>
      </c>
      <c r="G730" s="115">
        <f ca="1">G53*'Units CF'!$I$32*('Units CF'!$I$39*'Units CF'!$I$46+'Units CF'!$I$37)*('Units CF'!$I$48*('Units CF'!$I$52*'Units CF'!$I$59*'Units CF'!$I$67+'Units CF'!$I$53*'Units CF'!$I$61*'Units CF'!$I$67+'Units CF'!$I$54*'Units CF'!$I$58*'Units CF'!$I$63*'Units CF'!$I$67)+'Units CF'!$I$49*'Units CF'!$I$56*'Units CF'!$I$58*'Units CF'!$I$63*'Units CF'!$I$67)</f>
        <v>199.38519823874742</v>
      </c>
      <c r="H730" s="115">
        <f>H53*'Units CF'!$I$32*('Units CF'!$I$39*'Units CF'!$I$46+'Units CF'!$I$37)*('Units CF'!$I$48*('Units CF'!$I$52*'Units CF'!$I$59*'Units CF'!$I$67+'Units CF'!$I$53*'Units CF'!$I$61*'Units CF'!$I$67+'Units CF'!$I$54*'Units CF'!$I$58*'Units CF'!$I$63*'Units CF'!$I$67)+'Units CF'!$I$49*'Units CF'!$I$56*'Units CF'!$I$58*'Units CF'!$I$63*'Units CF'!$I$67)</f>
        <v>10.559415757528551</v>
      </c>
      <c r="I730" s="115">
        <f t="shared" ca="1" si="127"/>
        <v>230.55166316529048</v>
      </c>
      <c r="J730" s="521">
        <f t="shared" si="128"/>
        <v>1.9222993627812056E-3</v>
      </c>
      <c r="K730" s="521">
        <f t="shared" ca="1" si="129"/>
        <v>1.8599365507345842E-2</v>
      </c>
      <c r="L730" s="521">
        <f t="shared" si="130"/>
        <v>9.8502012663512608E-4</v>
      </c>
      <c r="M730" s="521">
        <f t="shared" ca="1" si="131"/>
        <v>2.1506684996762174E-2</v>
      </c>
      <c r="N730" s="550">
        <f t="shared" ca="1" si="132"/>
        <v>7.2300403937409765E-3</v>
      </c>
    </row>
    <row r="731" spans="2:14" x14ac:dyDescent="0.25">
      <c r="B731" s="978"/>
      <c r="C731" s="981"/>
      <c r="D731" s="388" t="s">
        <v>1448</v>
      </c>
      <c r="E731" s="548" t="s">
        <v>598</v>
      </c>
      <c r="F731" s="115">
        <f>F54*'Units CF'!$I$32*('Units CF'!$I$39*'Units CF'!$I$46+'Units CF'!$I$37)*('Units CF'!$I$48*('Units CF'!$I$52*'Units CF'!$I$59*'Units CF'!$I$67+'Units CF'!$I$53*'Units CF'!$I$61*'Units CF'!$I$67+'Units CF'!$I$54*'Units CF'!$I$58*'Units CF'!$I$63*'Units CF'!$I$67)+'Units CF'!$I$49*'Units CF'!$I$56*'Units CF'!$I$58*'Units CF'!$I$63*'Units CF'!$I$67)</f>
        <v>632.65818838383257</v>
      </c>
      <c r="G731" s="115">
        <f ca="1">G54*'Units CF'!$I$32*('Units CF'!$I$39*'Units CF'!$I$46+'Units CF'!$I$37)*('Units CF'!$I$48*('Units CF'!$I$52*'Units CF'!$I$59*'Units CF'!$I$67+'Units CF'!$I$53*'Units CF'!$I$61*'Units CF'!$I$67+'Units CF'!$I$54*'Units CF'!$I$58*'Units CF'!$I$63*'Units CF'!$I$67)+'Units CF'!$I$49*'Units CF'!$I$56*'Units CF'!$I$58*'Units CF'!$I$63*'Units CF'!$I$67)</f>
        <v>153.93792204303318</v>
      </c>
      <c r="H731" s="115">
        <f>H54*'Units CF'!$I$32*('Units CF'!$I$39*'Units CF'!$I$46+'Units CF'!$I$37)*('Units CF'!$I$48*('Units CF'!$I$52*'Units CF'!$I$59*'Units CF'!$I$67+'Units CF'!$I$53*'Units CF'!$I$61*'Units CF'!$I$67+'Units CF'!$I$54*'Units CF'!$I$58*'Units CF'!$I$63*'Units CF'!$I$67)+'Units CF'!$I$49*'Units CF'!$I$56*'Units CF'!$I$58*'Units CF'!$I$63*'Units CF'!$I$67)</f>
        <v>230.01303128806575</v>
      </c>
      <c r="I731" s="115">
        <f t="shared" ca="1" si="127"/>
        <v>1016.6091417149314</v>
      </c>
      <c r="J731" s="521">
        <f t="shared" si="128"/>
        <v>5.9016622050730647E-2</v>
      </c>
      <c r="K731" s="521">
        <f t="shared" ca="1" si="129"/>
        <v>1.4359880787596379E-2</v>
      </c>
      <c r="L731" s="521">
        <f t="shared" si="130"/>
        <v>2.1456439485827029E-2</v>
      </c>
      <c r="M731" s="521">
        <f t="shared" ca="1" si="131"/>
        <v>9.4832942324154054E-2</v>
      </c>
      <c r="N731" s="550">
        <f t="shared" ca="1" si="132"/>
        <v>3.1880599160873276E-2</v>
      </c>
    </row>
    <row r="732" spans="2:14" x14ac:dyDescent="0.25">
      <c r="B732" s="978"/>
      <c r="C732" s="981"/>
      <c r="D732" s="388" t="s">
        <v>1449</v>
      </c>
      <c r="E732" s="548" t="s">
        <v>599</v>
      </c>
      <c r="F732" s="115">
        <f>F55*'Units CF'!$I$32*('Units CF'!$I$39*'Units CF'!$I$46+'Units CF'!$I$37)*('Units CF'!$I$48*('Units CF'!$I$52*'Units CF'!$I$59*'Units CF'!$I$67+'Units CF'!$I$53*'Units CF'!$I$61*'Units CF'!$I$67+'Units CF'!$I$54*'Units CF'!$I$58*'Units CF'!$I$63*'Units CF'!$I$67)+'Units CF'!$I$49*'Units CF'!$I$56*'Units CF'!$I$58*'Units CF'!$I$63*'Units CF'!$I$67)</f>
        <v>1291.048491672783</v>
      </c>
      <c r="G732" s="115">
        <f ca="1">G55*'Units CF'!$I$32*('Units CF'!$I$39*'Units CF'!$I$46+'Units CF'!$I$37)*('Units CF'!$I$48*('Units CF'!$I$52*'Units CF'!$I$59*'Units CF'!$I$67+'Units CF'!$I$53*'Units CF'!$I$61*'Units CF'!$I$67+'Units CF'!$I$54*'Units CF'!$I$58*'Units CF'!$I$63*'Units CF'!$I$67)+'Units CF'!$I$49*'Units CF'!$I$56*'Units CF'!$I$58*'Units CF'!$I$63*'Units CF'!$I$67)</f>
        <v>5794.0296799836742</v>
      </c>
      <c r="H732" s="115">
        <f>H55*'Units CF'!$I$32*('Units CF'!$I$39*'Units CF'!$I$46+'Units CF'!$I$37)*('Units CF'!$I$48*('Units CF'!$I$52*'Units CF'!$I$59*'Units CF'!$I$67+'Units CF'!$I$53*'Units CF'!$I$61*'Units CF'!$I$67+'Units CF'!$I$54*'Units CF'!$I$58*'Units CF'!$I$63*'Units CF'!$I$67)+'Units CF'!$I$49*'Units CF'!$I$56*'Units CF'!$I$58*'Units CF'!$I$63*'Units CF'!$I$67)</f>
        <v>1097.6229768981059</v>
      </c>
      <c r="I732" s="115">
        <f t="shared" ca="1" si="127"/>
        <v>8182.7011485545627</v>
      </c>
      <c r="J732" s="521">
        <f t="shared" si="128"/>
        <v>0.12043362795455066</v>
      </c>
      <c r="K732" s="521">
        <f t="shared" ca="1" si="129"/>
        <v>0.54048784328205912</v>
      </c>
      <c r="L732" s="521">
        <f t="shared" si="130"/>
        <v>0.10239020306885316</v>
      </c>
      <c r="M732" s="521">
        <f t="shared" ca="1" si="131"/>
        <v>0.76331167430546298</v>
      </c>
      <c r="N732" s="550">
        <f t="shared" ca="1" si="132"/>
        <v>0.25660738691590096</v>
      </c>
    </row>
    <row r="733" spans="2:14" x14ac:dyDescent="0.25">
      <c r="B733" s="978"/>
      <c r="C733" s="981"/>
      <c r="D733" s="388" t="s">
        <v>1450</v>
      </c>
      <c r="E733" s="548" t="s">
        <v>600</v>
      </c>
      <c r="F733" s="115">
        <f>F56*'Units CF'!$I$32*('Units CF'!$I$39*'Units CF'!$I$46+'Units CF'!$I$37)*('Units CF'!$I$48*('Units CF'!$I$52*'Units CF'!$I$59*'Units CF'!$I$67+'Units CF'!$I$53*'Units CF'!$I$61*'Units CF'!$I$67+'Units CF'!$I$54*'Units CF'!$I$58*'Units CF'!$I$63*'Units CF'!$I$67)+'Units CF'!$I$49*'Units CF'!$I$56*'Units CF'!$I$58*'Units CF'!$I$63*'Units CF'!$I$67)</f>
        <v>1058.6850172100374</v>
      </c>
      <c r="G733" s="115">
        <f ca="1">G56*'Units CF'!$I$32*('Units CF'!$I$39*'Units CF'!$I$46+'Units CF'!$I$37)*('Units CF'!$I$48*('Units CF'!$I$52*'Units CF'!$I$59*'Units CF'!$I$67+'Units CF'!$I$53*'Units CF'!$I$61*'Units CF'!$I$67+'Units CF'!$I$54*'Units CF'!$I$58*'Units CF'!$I$63*'Units CF'!$I$67)+'Units CF'!$I$49*'Units CF'!$I$56*'Units CF'!$I$58*'Units CF'!$I$63*'Units CF'!$I$67)</f>
        <v>4.8687208263562105E-2</v>
      </c>
      <c r="H733" s="115">
        <f>H56*'Units CF'!$I$32*('Units CF'!$I$39*'Units CF'!$I$46+'Units CF'!$I$37)*('Units CF'!$I$48*('Units CF'!$I$52*'Units CF'!$I$59*'Units CF'!$I$67+'Units CF'!$I$53*'Units CF'!$I$61*'Units CF'!$I$67+'Units CF'!$I$54*'Units CF'!$I$58*'Units CF'!$I$63*'Units CF'!$I$67)+'Units CF'!$I$49*'Units CF'!$I$56*'Units CF'!$I$58*'Units CF'!$I$63*'Units CF'!$I$67)</f>
        <v>12.456721135078812</v>
      </c>
      <c r="I733" s="115">
        <f t="shared" ca="1" si="127"/>
        <v>1071.1904255533798</v>
      </c>
      <c r="J733" s="521">
        <f t="shared" si="128"/>
        <v>9.8757930709891542E-2</v>
      </c>
      <c r="K733" s="521">
        <f t="shared" ca="1" si="129"/>
        <v>4.5417171887651216E-6</v>
      </c>
      <c r="L733" s="521">
        <f t="shared" si="130"/>
        <v>1.1620075685707847E-3</v>
      </c>
      <c r="M733" s="521">
        <f t="shared" ca="1" si="131"/>
        <v>9.9924479995651086E-2</v>
      </c>
      <c r="N733" s="550">
        <f t="shared" ca="1" si="132"/>
        <v>3.3592254073600156E-2</v>
      </c>
    </row>
    <row r="734" spans="2:14" x14ac:dyDescent="0.25">
      <c r="B734" s="978"/>
      <c r="C734" s="981"/>
      <c r="D734" s="388" t="s">
        <v>1451</v>
      </c>
      <c r="E734" s="548" t="s">
        <v>601</v>
      </c>
      <c r="F734" s="115">
        <f>F57*'Units CF'!$I$32*('Units CF'!$I$39*'Units CF'!$I$46+'Units CF'!$I$37)*('Units CF'!$I$48*('Units CF'!$I$52*'Units CF'!$I$59*'Units CF'!$I$67+'Units CF'!$I$53*'Units CF'!$I$61*'Units CF'!$I$67+'Units CF'!$I$54*'Units CF'!$I$58*'Units CF'!$I$63*'Units CF'!$I$67)+'Units CF'!$I$49*'Units CF'!$I$56*'Units CF'!$I$58*'Units CF'!$I$63*'Units CF'!$I$67)</f>
        <v>8765.712455361343</v>
      </c>
      <c r="G734" s="115">
        <f ca="1">G57*'Units CF'!$I$32*('Units CF'!$I$39*'Units CF'!$I$46+'Units CF'!$I$37)*('Units CF'!$I$48*('Units CF'!$I$52*'Units CF'!$I$59*'Units CF'!$I$67+'Units CF'!$I$53*'Units CF'!$I$61*'Units CF'!$I$67+'Units CF'!$I$54*'Units CF'!$I$58*'Units CF'!$I$63*'Units CF'!$I$67)+'Units CF'!$I$49*'Units CF'!$I$56*'Units CF'!$I$58*'Units CF'!$I$63*'Units CF'!$I$67)</f>
        <v>741.82200124237272</v>
      </c>
      <c r="H734" s="115">
        <f>H57*'Units CF'!$I$32*('Units CF'!$I$39*'Units CF'!$I$46+'Units CF'!$I$37)*('Units CF'!$I$48*('Units CF'!$I$52*'Units CF'!$I$59*'Units CF'!$I$67+'Units CF'!$I$53*'Units CF'!$I$61*'Units CF'!$I$67+'Units CF'!$I$54*'Units CF'!$I$58*'Units CF'!$I$63*'Units CF'!$I$67)+'Units CF'!$I$49*'Units CF'!$I$56*'Units CF'!$I$58*'Units CF'!$I$63*'Units CF'!$I$67)</f>
        <v>6258.7834572133461</v>
      </c>
      <c r="I734" s="115">
        <f t="shared" ca="1" si="127"/>
        <v>15766.317913817064</v>
      </c>
      <c r="J734" s="521">
        <f t="shared" si="128"/>
        <v>0.81769705740311038</v>
      </c>
      <c r="K734" s="521">
        <f t="shared" ca="1" si="129"/>
        <v>6.9199813548728797E-2</v>
      </c>
      <c r="L734" s="521">
        <f t="shared" si="130"/>
        <v>0.58384174041169268</v>
      </c>
      <c r="M734" s="521">
        <f t="shared" ca="1" si="131"/>
        <v>1.4707386113635319</v>
      </c>
      <c r="N734" s="550">
        <f t="shared" ca="1" si="132"/>
        <v>0.49442764286517044</v>
      </c>
    </row>
    <row r="735" spans="2:14" x14ac:dyDescent="0.25">
      <c r="B735" s="978"/>
      <c r="C735" s="981"/>
      <c r="D735" s="388" t="s">
        <v>1452</v>
      </c>
      <c r="E735" s="548" t="s">
        <v>602</v>
      </c>
      <c r="F735" s="115">
        <f>F58*'Units CF'!$I$32*('Units CF'!$I$39*'Units CF'!$I$46+'Units CF'!$I$37)*('Units CF'!$I$48*('Units CF'!$I$52*'Units CF'!$I$59*'Units CF'!$I$67+'Units CF'!$I$53*'Units CF'!$I$61*'Units CF'!$I$67+'Units CF'!$I$54*'Units CF'!$I$58*'Units CF'!$I$63*'Units CF'!$I$67)+'Units CF'!$I$49*'Units CF'!$I$56*'Units CF'!$I$58*'Units CF'!$I$63*'Units CF'!$I$67)</f>
        <v>19.885680570726763</v>
      </c>
      <c r="G735" s="115">
        <f ca="1">G58*'Units CF'!$I$32*('Units CF'!$I$39*'Units CF'!$I$46+'Units CF'!$I$37)*('Units CF'!$I$48*('Units CF'!$I$52*'Units CF'!$I$59*'Units CF'!$I$67+'Units CF'!$I$53*'Units CF'!$I$61*'Units CF'!$I$67+'Units CF'!$I$54*'Units CF'!$I$58*'Units CF'!$I$63*'Units CF'!$I$67)+'Units CF'!$I$49*'Units CF'!$I$56*'Units CF'!$I$58*'Units CF'!$I$63*'Units CF'!$I$67)</f>
        <v>4.1302460599698883</v>
      </c>
      <c r="H735" s="115">
        <f>H58*'Units CF'!$I$32*('Units CF'!$I$39*'Units CF'!$I$46+'Units CF'!$I$37)*('Units CF'!$I$48*('Units CF'!$I$52*'Units CF'!$I$59*'Units CF'!$I$67+'Units CF'!$I$53*'Units CF'!$I$61*'Units CF'!$I$67+'Units CF'!$I$54*'Units CF'!$I$58*'Units CF'!$I$63*'Units CF'!$I$67)+'Units CF'!$I$49*'Units CF'!$I$56*'Units CF'!$I$58*'Units CF'!$I$63*'Units CF'!$I$67)</f>
        <v>41.189606847072049</v>
      </c>
      <c r="I735" s="115">
        <f t="shared" ca="1" si="127"/>
        <v>65.205533477768697</v>
      </c>
      <c r="J735" s="521">
        <f t="shared" si="128"/>
        <v>1.8550075159260041E-3</v>
      </c>
      <c r="K735" s="521">
        <f t="shared" ca="1" si="129"/>
        <v>3.8528414738525077E-4</v>
      </c>
      <c r="L735" s="521">
        <f t="shared" si="130"/>
        <v>3.8423140715552286E-3</v>
      </c>
      <c r="M735" s="521">
        <f t="shared" ca="1" si="131"/>
        <v>6.0826057348664832E-3</v>
      </c>
      <c r="N735" s="550">
        <f t="shared" ca="1" si="132"/>
        <v>2.0448286274200784E-3</v>
      </c>
    </row>
    <row r="736" spans="2:14" x14ac:dyDescent="0.25">
      <c r="B736" s="978"/>
      <c r="C736" s="981"/>
      <c r="D736" s="388" t="s">
        <v>19</v>
      </c>
      <c r="E736" s="548" t="s">
        <v>603</v>
      </c>
      <c r="F736" s="115">
        <f>F59*'Units CF'!$I$32*('Units CF'!$I$39*'Units CF'!$I$46+'Units CF'!$I$37)*('Units CF'!$I$48*('Units CF'!$I$52*'Units CF'!$I$59*'Units CF'!$I$67+'Units CF'!$I$53*'Units CF'!$I$61*'Units CF'!$I$67+'Units CF'!$I$54*'Units CF'!$I$58*'Units CF'!$I$63*'Units CF'!$I$67)+'Units CF'!$I$49*'Units CF'!$I$56*'Units CF'!$I$58*'Units CF'!$I$63*'Units CF'!$I$67)</f>
        <v>314.10746165860382</v>
      </c>
      <c r="G736" s="115">
        <f ca="1">G59*'Units CF'!$I$32*('Units CF'!$I$39*'Units CF'!$I$46+'Units CF'!$I$37)*('Units CF'!$I$48*('Units CF'!$I$52*'Units CF'!$I$59*'Units CF'!$I$67+'Units CF'!$I$53*'Units CF'!$I$61*'Units CF'!$I$67+'Units CF'!$I$54*'Units CF'!$I$58*'Units CF'!$I$63*'Units CF'!$I$67)+'Units CF'!$I$49*'Units CF'!$I$56*'Units CF'!$I$58*'Units CF'!$I$63*'Units CF'!$I$67)</f>
        <v>22.030484614536643</v>
      </c>
      <c r="H736" s="115">
        <f>H59*'Units CF'!$I$32*('Units CF'!$I$39*'Units CF'!$I$46+'Units CF'!$I$37)*('Units CF'!$I$48*('Units CF'!$I$52*'Units CF'!$I$59*'Units CF'!$I$67+'Units CF'!$I$53*'Units CF'!$I$61*'Units CF'!$I$67+'Units CF'!$I$54*'Units CF'!$I$58*'Units CF'!$I$63*'Units CF'!$I$67)+'Units CF'!$I$49*'Units CF'!$I$56*'Units CF'!$I$58*'Units CF'!$I$63*'Units CF'!$I$67)</f>
        <v>259.83677419081511</v>
      </c>
      <c r="I736" s="115">
        <f t="shared" ca="1" si="127"/>
        <v>595.97472046395558</v>
      </c>
      <c r="J736" s="521">
        <f t="shared" si="128"/>
        <v>2.9301069184571253E-2</v>
      </c>
      <c r="K736" s="521">
        <f t="shared" ca="1" si="129"/>
        <v>2.0550825200127466E-3</v>
      </c>
      <c r="L736" s="521">
        <f t="shared" si="130"/>
        <v>2.4238505055113348E-2</v>
      </c>
      <c r="M736" s="521">
        <f t="shared" ca="1" si="131"/>
        <v>5.5594656759697353E-2</v>
      </c>
      <c r="N736" s="550">
        <f t="shared" ca="1" si="132"/>
        <v>1.8689612746422352E-2</v>
      </c>
    </row>
    <row r="737" spans="2:14" x14ac:dyDescent="0.25">
      <c r="B737" s="978"/>
      <c r="C737" s="981"/>
      <c r="D737" s="388" t="s">
        <v>1453</v>
      </c>
      <c r="E737" s="548" t="s">
        <v>604</v>
      </c>
      <c r="F737" s="115">
        <f>F60*'Units CF'!$I$32*('Units CF'!$I$39*'Units CF'!$I$46+'Units CF'!$I$37)*('Units CF'!$I$48*('Units CF'!$I$52*'Units CF'!$I$59*'Units CF'!$I$67+'Units CF'!$I$53*'Units CF'!$I$61*'Units CF'!$I$67+'Units CF'!$I$54*'Units CF'!$I$58*'Units CF'!$I$63*'Units CF'!$I$67)+'Units CF'!$I$49*'Units CF'!$I$56*'Units CF'!$I$58*'Units CF'!$I$63*'Units CF'!$I$67)</f>
        <v>10.858352391224409</v>
      </c>
      <c r="G737" s="115">
        <f ca="1">G60*'Units CF'!$I$32*('Units CF'!$I$39*'Units CF'!$I$46+'Units CF'!$I$37)*('Units CF'!$I$48*('Units CF'!$I$52*'Units CF'!$I$59*'Units CF'!$I$67+'Units CF'!$I$53*'Units CF'!$I$61*'Units CF'!$I$67+'Units CF'!$I$54*'Units CF'!$I$58*'Units CF'!$I$63*'Units CF'!$I$67)+'Units CF'!$I$49*'Units CF'!$I$56*'Units CF'!$I$58*'Units CF'!$I$63*'Units CF'!$I$67)</f>
        <v>27.488075624214435</v>
      </c>
      <c r="H737" s="115">
        <f>H60*'Units CF'!$I$32*('Units CF'!$I$39*'Units CF'!$I$46+'Units CF'!$I$37)*('Units CF'!$I$48*('Units CF'!$I$52*'Units CF'!$I$59*'Units CF'!$I$67+'Units CF'!$I$53*'Units CF'!$I$61*'Units CF'!$I$67+'Units CF'!$I$54*'Units CF'!$I$58*'Units CF'!$I$63*'Units CF'!$I$67)+'Units CF'!$I$49*'Units CF'!$I$56*'Units CF'!$I$58*'Units CF'!$I$63*'Units CF'!$I$67)</f>
        <v>152.10188821165022</v>
      </c>
      <c r="I737" s="115">
        <f t="shared" ca="1" si="127"/>
        <v>190.44831622708907</v>
      </c>
      <c r="J737" s="521">
        <f t="shared" si="128"/>
        <v>1.0129060066440679E-3</v>
      </c>
      <c r="K737" s="521">
        <f t="shared" ca="1" si="129"/>
        <v>2.5641861589752271E-3</v>
      </c>
      <c r="L737" s="521">
        <f t="shared" si="130"/>
        <v>1.4188608974967371E-2</v>
      </c>
      <c r="M737" s="521">
        <f t="shared" ca="1" si="131"/>
        <v>1.7765701140586666E-2</v>
      </c>
      <c r="N737" s="550">
        <f t="shared" ca="1" si="132"/>
        <v>5.9724098292651493E-3</v>
      </c>
    </row>
    <row r="738" spans="2:14" x14ac:dyDescent="0.25">
      <c r="B738" s="978"/>
      <c r="C738" s="981"/>
      <c r="D738" s="388" t="s">
        <v>1454</v>
      </c>
      <c r="E738" s="548" t="s">
        <v>605</v>
      </c>
      <c r="F738" s="115">
        <f>F61*'Units CF'!$I$32*('Units CF'!$I$39*'Units CF'!$I$46+'Units CF'!$I$37)*('Units CF'!$I$48*('Units CF'!$I$52*'Units CF'!$I$59*'Units CF'!$I$67+'Units CF'!$I$53*'Units CF'!$I$61*'Units CF'!$I$67+'Units CF'!$I$54*'Units CF'!$I$58*'Units CF'!$I$63*'Units CF'!$I$67)+'Units CF'!$I$49*'Units CF'!$I$56*'Units CF'!$I$58*'Units CF'!$I$63*'Units CF'!$I$67)</f>
        <v>3.4654839930122274</v>
      </c>
      <c r="G738" s="115">
        <f ca="1">G61*'Units CF'!$I$32*('Units CF'!$I$39*'Units CF'!$I$46+'Units CF'!$I$37)*('Units CF'!$I$48*('Units CF'!$I$52*'Units CF'!$I$59*'Units CF'!$I$67+'Units CF'!$I$53*'Units CF'!$I$61*'Units CF'!$I$67+'Units CF'!$I$54*'Units CF'!$I$58*'Units CF'!$I$63*'Units CF'!$I$67)+'Units CF'!$I$49*'Units CF'!$I$56*'Units CF'!$I$58*'Units CF'!$I$63*'Units CF'!$I$67)</f>
        <v>4.9429222070743606</v>
      </c>
      <c r="H738" s="115">
        <f>H61*'Units CF'!$I$32*('Units CF'!$I$39*'Units CF'!$I$46+'Units CF'!$I$37)*('Units CF'!$I$48*('Units CF'!$I$52*'Units CF'!$I$59*'Units CF'!$I$67+'Units CF'!$I$53*'Units CF'!$I$61*'Units CF'!$I$67+'Units CF'!$I$54*'Units CF'!$I$58*'Units CF'!$I$63*'Units CF'!$I$67)+'Units CF'!$I$49*'Units CF'!$I$56*'Units CF'!$I$58*'Units CF'!$I$63*'Units CF'!$I$67)</f>
        <v>59.986288986573769</v>
      </c>
      <c r="I738" s="115">
        <f t="shared" ca="1" si="127"/>
        <v>68.394695186660357</v>
      </c>
      <c r="J738" s="521">
        <f t="shared" si="128"/>
        <v>3.2327276054218537E-4</v>
      </c>
      <c r="K738" s="521">
        <f t="shared" ca="1" si="129"/>
        <v>4.6109348946589185E-4</v>
      </c>
      <c r="L738" s="521">
        <f t="shared" si="130"/>
        <v>5.5957359129266571E-3</v>
      </c>
      <c r="M738" s="521">
        <f t="shared" ca="1" si="131"/>
        <v>6.3801021629347346E-3</v>
      </c>
      <c r="N738" s="550">
        <f t="shared" ca="1" si="132"/>
        <v>2.1448399119230565E-3</v>
      </c>
    </row>
    <row r="739" spans="2:14" x14ac:dyDescent="0.25">
      <c r="B739" s="978"/>
      <c r="C739" s="981"/>
      <c r="D739" s="388" t="s">
        <v>1455</v>
      </c>
      <c r="E739" s="548" t="s">
        <v>636</v>
      </c>
      <c r="F739" s="115">
        <f>'Units CF'!L35*('Units CF'!$I$39*'Units CF'!$I$46+'Units CF'!$I$37)*('Units CF'!$I$48*('Units CF'!$I$52*'Units CF'!$I$59*'Units CF'!$I$67+'Units CF'!$I$53*'Units CF'!$I$61*'Units CF'!$I$67+'Units CF'!$I$54*'Units CF'!$I$58*'Units CF'!$I$63*'Units CF'!$I$67)+'Units CF'!$I$49*'Units CF'!$I$56*'Units CF'!$I$58*'Units CF'!$I$63*'Units CF'!$I$67)</f>
        <v>136.67871461843799</v>
      </c>
      <c r="G739" s="115">
        <f ca="1">'Units CF'!M35*('Units CF'!$I$39*'Units CF'!$I$46+'Units CF'!$I$37)*('Units CF'!$I$48*('Units CF'!$I$52*'Units CF'!$I$59*'Units CF'!$I$67+'Units CF'!$I$53*'Units CF'!$I$61*'Units CF'!$I$67+'Units CF'!$I$54*'Units CF'!$I$58*'Units CF'!$I$63*'Units CF'!$I$67)+'Units CF'!$I$49*'Units CF'!$I$56*'Units CF'!$I$58*'Units CF'!$I$63*'Units CF'!$I$67)</f>
        <v>387.20973960821516</v>
      </c>
      <c r="H739" s="115">
        <f>'Units CF'!N35*('Units CF'!$I$39*'Units CF'!$I$46+'Units CF'!$I$37)*('Units CF'!$I$48*('Units CF'!$I$52*'Units CF'!$I$59*'Units CF'!$I$67+'Units CF'!$I$53*'Units CF'!$I$61*'Units CF'!$I$67+'Units CF'!$I$54*'Units CF'!$I$58*'Units CF'!$I$63*'Units CF'!$I$67)+'Units CF'!$I$49*'Units CF'!$I$56*'Units CF'!$I$58*'Units CF'!$I$63*'Units CF'!$I$67)</f>
        <v>545.67317216728509</v>
      </c>
      <c r="I739" s="115">
        <f t="shared" ca="1" si="127"/>
        <v>1069.5616263939382</v>
      </c>
      <c r="J739" s="521">
        <f t="shared" si="128"/>
        <v>1.2749880095003545E-2</v>
      </c>
      <c r="K739" s="521">
        <f t="shared" ca="1" si="129"/>
        <v>3.6120311530617087E-2</v>
      </c>
      <c r="L739" s="521">
        <f t="shared" si="130"/>
        <v>5.0902348149933309E-2</v>
      </c>
      <c r="M739" s="521">
        <f t="shared" ca="1" si="131"/>
        <v>9.9772539775553948E-2</v>
      </c>
      <c r="N739" s="550">
        <f t="shared" ca="1" si="132"/>
        <v>3.3541175354174009E-2</v>
      </c>
    </row>
    <row r="740" spans="2:14" x14ac:dyDescent="0.25">
      <c r="B740" s="978"/>
      <c r="C740" s="981"/>
      <c r="D740" s="388" t="s">
        <v>1459</v>
      </c>
      <c r="E740" s="548" t="s">
        <v>641</v>
      </c>
      <c r="F740" s="115">
        <f>'Units CF'!L45*'Units CF'!$I$46*('Units CF'!$I$48*('Units CF'!$I$52*'Units CF'!$I$59*'Units CF'!$I$67+'Units CF'!$I$53*'Units CF'!$I$61*'Units CF'!$I$67+'Units CF'!$I$54*'Units CF'!$I$58*'Units CF'!$I$63*'Units CF'!$I$67)+'Units CF'!$I$49*'Units CF'!$I$56*'Units CF'!$I$58*'Units CF'!$I$63*'Units CF'!$I$67)</f>
        <v>2.0296652588376789</v>
      </c>
      <c r="G740" s="115">
        <f ca="1">'Units CF'!M45*'Units CF'!$I$46*('Units CF'!$I$48*('Units CF'!$I$52*'Units CF'!$I$59*'Units CF'!$I$67+'Units CF'!$I$53*'Units CF'!$I$61*'Units CF'!$I$67+'Units CF'!$I$54*'Units CF'!$I$58*'Units CF'!$I$63*'Units CF'!$I$67)+'Units CF'!$I$49*'Units CF'!$I$56*'Units CF'!$I$58*'Units CF'!$I$63*'Units CF'!$I$67)</f>
        <v>4.2284012804279758</v>
      </c>
      <c r="H740" s="115">
        <f>'Units CF'!N45*'Units CF'!$I$46*('Units CF'!$I$48*('Units CF'!$I$52*'Units CF'!$I$59*'Units CF'!$I$67+'Units CF'!$I$53*'Units CF'!$I$61*'Units CF'!$I$67+'Units CF'!$I$54*'Units CF'!$I$58*'Units CF'!$I$63*'Units CF'!$I$67)+'Units CF'!$I$49*'Units CF'!$I$56*'Units CF'!$I$58*'Units CF'!$I$63*'Units CF'!$I$67)</f>
        <v>28.824181243084297</v>
      </c>
      <c r="I740" s="115">
        <f t="shared" ca="1" si="127"/>
        <v>35.082247782349953</v>
      </c>
      <c r="J740" s="521">
        <f t="shared" si="128"/>
        <v>1.8933444578709692E-4</v>
      </c>
      <c r="K740" s="521">
        <f t="shared" ca="1" si="129"/>
        <v>3.944404179503709E-4</v>
      </c>
      <c r="L740" s="521">
        <f t="shared" si="130"/>
        <v>2.6888228771533859E-3</v>
      </c>
      <c r="M740" s="521">
        <f t="shared" ca="1" si="131"/>
        <v>3.2725977408908538E-3</v>
      </c>
      <c r="N740" s="550">
        <f t="shared" ca="1" si="132"/>
        <v>1.1001701965072021E-3</v>
      </c>
    </row>
    <row r="741" spans="2:14" x14ac:dyDescent="0.25">
      <c r="B741" s="978"/>
      <c r="C741" s="981"/>
      <c r="D741" s="388" t="s">
        <v>1460</v>
      </c>
      <c r="E741" s="548" t="s">
        <v>1443</v>
      </c>
      <c r="F741" s="115">
        <f>'Units CF'!L47*('Units CF'!$I$48*('Units CF'!$I$52*'Units CF'!$I$59*'Units CF'!$I$67+'Units CF'!$I$53*'Units CF'!$I$61*'Units CF'!$I$67+'Units CF'!$I$54*'Units CF'!$I$58*'Units CF'!$I$63*'Units CF'!$I$67)+'Units CF'!$I$49*'Units CF'!$I$56*'Units CF'!$I$58*'Units CF'!$I$63*'Units CF'!$I$67)</f>
        <v>40.903047985258063</v>
      </c>
      <c r="G741" s="115">
        <f ca="1">'Units CF'!M47*('Units CF'!$I$48*('Units CF'!$I$52*'Units CF'!$I$59*'Units CF'!$I$67+'Units CF'!$I$53*'Units CF'!$I$61*'Units CF'!$I$67+'Units CF'!$I$54*'Units CF'!$I$58*'Units CF'!$I$63*'Units CF'!$I$67)+'Units CF'!$I$49*'Units CF'!$I$56*'Units CF'!$I$58*'Units CF'!$I$63*'Units CF'!$I$67)</f>
        <v>40.357733196732177</v>
      </c>
      <c r="H741" s="115">
        <f>'Units CF'!N47*('Units CF'!$I$48*('Units CF'!$I$52*'Units CF'!$I$59*'Units CF'!$I$67+'Units CF'!$I$53*'Units CF'!$I$61*'Units CF'!$I$67+'Units CF'!$I$54*'Units CF'!$I$58*'Units CF'!$I$63*'Units CF'!$I$67)+'Units CF'!$I$49*'Units CF'!$I$56*'Units CF'!$I$58*'Units CF'!$I$63*'Units CF'!$I$67)</f>
        <v>202.44074301982522</v>
      </c>
      <c r="I741" s="115">
        <f t="shared" ca="1" si="127"/>
        <v>283.70152420181546</v>
      </c>
      <c r="J741" s="521">
        <f t="shared" si="128"/>
        <v>3.8155828344457149E-3</v>
      </c>
      <c r="K741" s="521">
        <f t="shared" ca="1" si="129"/>
        <v>3.7647139176056137E-3</v>
      </c>
      <c r="L741" s="521">
        <f t="shared" si="130"/>
        <v>1.8884397669759814E-2</v>
      </c>
      <c r="M741" s="521">
        <f t="shared" ca="1" si="131"/>
        <v>2.6464694421811142E-2</v>
      </c>
      <c r="N741" s="550">
        <f t="shared" ca="1" si="132"/>
        <v>8.8968062584499821E-3</v>
      </c>
    </row>
    <row r="742" spans="2:14" x14ac:dyDescent="0.25">
      <c r="B742" s="978"/>
      <c r="C742" s="981"/>
      <c r="D742" s="388" t="s">
        <v>1462</v>
      </c>
      <c r="E742" s="548" t="s">
        <v>654</v>
      </c>
      <c r="F742" s="115">
        <f>'Units CF'!L51*('Units CF'!$I$52*'Units CF'!$I$59*'Units CF'!$I$67+'Units CF'!$I$53*'Units CF'!$I$61*'Units CF'!$I$67+'Units CF'!$I$54*'Units CF'!$I$58*'Units CF'!$I$63*'Units CF'!$I$67)</f>
        <v>26.237236371704437</v>
      </c>
      <c r="G742" s="115">
        <f ca="1">'Units CF'!M51*('Units CF'!$I$52*'Units CF'!$I$59*'Units CF'!$I$67+'Units CF'!$I$53*'Units CF'!$I$61*'Units CF'!$I$67+'Units CF'!$I$54*'Units CF'!$I$58*'Units CF'!$I$63*'Units CF'!$I$67)</f>
        <v>2.1021543576791104</v>
      </c>
      <c r="H742" s="115">
        <f>'Units CF'!N51*('Units CF'!$I$52*'Units CF'!$I$59*'Units CF'!$I$67+'Units CF'!$I$53*'Units CF'!$I$61*'Units CF'!$I$67+'Units CF'!$I$54*'Units CF'!$I$58*'Units CF'!$I$63*'Units CF'!$I$67)</f>
        <v>797.92185725013076</v>
      </c>
      <c r="I742" s="115">
        <f t="shared" ca="1" si="127"/>
        <v>826.26124797951434</v>
      </c>
      <c r="J742" s="521">
        <f t="shared" si="128"/>
        <v>2.4475033928828766E-3</v>
      </c>
      <c r="K742" s="521">
        <f t="shared" ca="1" si="129"/>
        <v>1.9609648858946924E-4</v>
      </c>
      <c r="L742" s="521">
        <f t="shared" si="130"/>
        <v>7.4433009071840556E-2</v>
      </c>
      <c r="M742" s="521">
        <f t="shared" ca="1" si="131"/>
        <v>7.7076608953312906E-2</v>
      </c>
      <c r="N742" s="550">
        <f t="shared" ca="1" si="132"/>
        <v>2.5911338554915651E-2</v>
      </c>
    </row>
    <row r="743" spans="2:14" x14ac:dyDescent="0.25">
      <c r="B743" s="978"/>
      <c r="C743" s="981"/>
      <c r="D743" s="388" t="s">
        <v>1465</v>
      </c>
      <c r="E743" s="548" t="s">
        <v>642</v>
      </c>
      <c r="F743" s="115">
        <f>'Units CF'!L59*'Units CF'!$I$59*'Units CF'!$I$67</f>
        <v>45.908335267259481</v>
      </c>
      <c r="G743" s="115">
        <f ca="1">'Units CF'!M59*'Units CF'!$I$59*'Units CF'!$I$67</f>
        <v>106.70046352065488</v>
      </c>
      <c r="H743" s="115">
        <f>'Units CF'!N59*'Units CF'!$I$59*'Units CF'!$I$67</f>
        <v>9.9775298944240163</v>
      </c>
      <c r="I743" s="115">
        <f t="shared" ca="1" si="127"/>
        <v>162.58632868233838</v>
      </c>
      <c r="J743" s="521">
        <f t="shared" si="128"/>
        <v>4.2824939614980861E-3</v>
      </c>
      <c r="K743" s="521">
        <f t="shared" ca="1" si="129"/>
        <v>9.9534014478222833E-3</v>
      </c>
      <c r="L743" s="521">
        <f t="shared" si="130"/>
        <v>9.3073972895746425E-4</v>
      </c>
      <c r="M743" s="521">
        <f t="shared" ca="1" si="131"/>
        <v>1.5166635138277833E-2</v>
      </c>
      <c r="N743" s="550">
        <f t="shared" ca="1" si="132"/>
        <v>5.098665122188221E-3</v>
      </c>
    </row>
    <row r="744" spans="2:14" x14ac:dyDescent="0.25">
      <c r="B744" s="978"/>
      <c r="C744" s="981"/>
      <c r="D744" s="388" t="s">
        <v>1466</v>
      </c>
      <c r="E744" s="548" t="s">
        <v>644</v>
      </c>
      <c r="F744" s="115">
        <f>'Units CF'!L61*'Units CF'!$I$67</f>
        <v>29.747508874311034</v>
      </c>
      <c r="G744" s="115">
        <f ca="1">'Units CF'!M61*'Units CF'!$I$67</f>
        <v>42.901565684437493</v>
      </c>
      <c r="H744" s="115">
        <f>'Units CF'!N61*'Units CF'!$I$67</f>
        <v>214.60942091666479</v>
      </c>
      <c r="I744" s="115">
        <f t="shared" ca="1" si="127"/>
        <v>287.25849547541333</v>
      </c>
      <c r="J744" s="521">
        <f t="shared" si="128"/>
        <v>2.7749541860364771E-3</v>
      </c>
      <c r="K744" s="521">
        <f t="shared" ca="1" si="129"/>
        <v>4.0020117242945425E-3</v>
      </c>
      <c r="L744" s="521">
        <f t="shared" si="130"/>
        <v>2.0019535533270971E-2</v>
      </c>
      <c r="M744" s="521">
        <f t="shared" ca="1" si="131"/>
        <v>2.6796501443601989E-2</v>
      </c>
      <c r="N744" s="550">
        <f t="shared" ca="1" si="132"/>
        <v>9.0083519555593169E-3</v>
      </c>
    </row>
    <row r="745" spans="2:14" x14ac:dyDescent="0.25">
      <c r="B745" s="978"/>
      <c r="C745" s="981"/>
      <c r="D745" s="388" t="s">
        <v>1464</v>
      </c>
      <c r="E745" s="548" t="s">
        <v>655</v>
      </c>
      <c r="F745" s="115">
        <f>'Units CF'!L56*'Units CF'!$I$56*'Units CF'!$I$63*'Units CF'!$I$67</f>
        <v>1.1921080045773107</v>
      </c>
      <c r="G745" s="115">
        <f ca="1">'Units CF'!M56*'Units CF'!$I$56*'Units CF'!$I$63*'Units CF'!$I$67</f>
        <v>9.6975764048780361E-2</v>
      </c>
      <c r="H745" s="115">
        <f>'Units CF'!N56*'Units CF'!$I$56*'Units CF'!$I$63*'Units CF'!$I$67</f>
        <v>81.725595003986015</v>
      </c>
      <c r="I745" s="115">
        <f t="shared" ca="1" si="127"/>
        <v>83.0146787726121</v>
      </c>
      <c r="J745" s="521">
        <f t="shared" si="128"/>
        <v>1.1120410490459987E-4</v>
      </c>
      <c r="K745" s="521">
        <f t="shared" ca="1" si="129"/>
        <v>9.0462466463414507E-6</v>
      </c>
      <c r="L745" s="521">
        <f t="shared" si="130"/>
        <v>7.6236562503718295E-3</v>
      </c>
      <c r="M745" s="521">
        <f t="shared" ca="1" si="131"/>
        <v>7.7439066019227712E-3</v>
      </c>
      <c r="N745" s="550">
        <f t="shared" ca="1" si="132"/>
        <v>2.6033188074167709E-3</v>
      </c>
    </row>
    <row r="746" spans="2:14" x14ac:dyDescent="0.25">
      <c r="B746" s="978"/>
      <c r="C746" s="981"/>
      <c r="D746" s="388" t="s">
        <v>1467</v>
      </c>
      <c r="E746" s="548" t="s">
        <v>656</v>
      </c>
      <c r="F746" s="115">
        <f>'Units CF'!L58*'Units CF'!$I$63*'Units CF'!$I$67</f>
        <v>1.4656299922763047</v>
      </c>
      <c r="G746" s="115">
        <f ca="1">'Units CF'!M58*'Units CF'!$I$63*'Units CF'!$I$67</f>
        <v>0.12071776120534866</v>
      </c>
      <c r="H746" s="115">
        <f>'Units CF'!N58*'Units CF'!$I$63*'Units CF'!$I$67</f>
        <v>35.64945079529658</v>
      </c>
      <c r="I746" s="115">
        <f t="shared" ca="1" si="127"/>
        <v>37.235798548778234</v>
      </c>
      <c r="J746" s="521">
        <f t="shared" si="128"/>
        <v>1.3671921569741649E-4</v>
      </c>
      <c r="K746" s="521">
        <f t="shared" ca="1" si="129"/>
        <v>1.1260985187066107E-5</v>
      </c>
      <c r="L746" s="521">
        <f t="shared" si="130"/>
        <v>3.3255084697105019E-3</v>
      </c>
      <c r="M746" s="521">
        <f t="shared" ca="1" si="131"/>
        <v>3.4734886705949843E-3</v>
      </c>
      <c r="N746" s="550">
        <f t="shared" ca="1" si="132"/>
        <v>1.1677049903034431E-3</v>
      </c>
    </row>
    <row r="747" spans="2:14" x14ac:dyDescent="0.25">
      <c r="B747" s="978"/>
      <c r="C747" s="981"/>
      <c r="D747" s="388" t="s">
        <v>1468</v>
      </c>
      <c r="E747" s="548" t="s">
        <v>643</v>
      </c>
      <c r="F747" s="115">
        <f>'Units CF'!L62*'Units CF'!$I$63*'Units CF'!$I$67</f>
        <v>5.4768258790723507</v>
      </c>
      <c r="G747" s="115">
        <f ca="1">'Units CF'!M62*'Units CF'!$I$63*'Units CF'!$I$67</f>
        <v>11.941775939895793</v>
      </c>
      <c r="H747" s="115">
        <f>'Units CF'!N62*'Units CF'!$I$63*'Units CF'!$I$67</f>
        <v>1.0978841833215918</v>
      </c>
      <c r="I747" s="115">
        <f t="shared" ca="1" si="127"/>
        <v>18.516486002289735</v>
      </c>
      <c r="J747" s="521">
        <f t="shared" si="128"/>
        <v>5.1089793648062976E-4</v>
      </c>
      <c r="K747" s="521">
        <f t="shared" ca="1" si="129"/>
        <v>1.1139716361843091E-3</v>
      </c>
      <c r="L747" s="521">
        <f t="shared" si="130"/>
        <v>1.0241456933970072E-4</v>
      </c>
      <c r="M747" s="521">
        <f t="shared" ca="1" si="131"/>
        <v>1.7272841420046395E-3</v>
      </c>
      <c r="N747" s="550">
        <f t="shared" ca="1" si="132"/>
        <v>5.8067220122682249E-4</v>
      </c>
    </row>
    <row r="748" spans="2:14" x14ac:dyDescent="0.25">
      <c r="B748" s="978"/>
      <c r="C748" s="981"/>
      <c r="D748" s="388" t="s">
        <v>1469</v>
      </c>
      <c r="E748" s="548" t="s">
        <v>1444</v>
      </c>
      <c r="F748" s="115">
        <f>'Units CF'!L64*'Units CF'!$I$67</f>
        <v>26.889694449446218</v>
      </c>
      <c r="G748" s="115">
        <f ca="1">'Units CF'!M64*'Units CF'!$I$67</f>
        <v>2.0993966604271868</v>
      </c>
      <c r="H748" s="115">
        <f>'Units CF'!N64*'Units CF'!$I$67</f>
        <v>78.203171073747029</v>
      </c>
      <c r="I748" s="115">
        <f t="shared" ca="1" si="127"/>
        <v>107.19226218362043</v>
      </c>
      <c r="J748" s="521">
        <f t="shared" si="128"/>
        <v>2.5083670195378935E-3</v>
      </c>
      <c r="K748" s="521">
        <f t="shared" ca="1" si="129"/>
        <v>1.958392407114913E-4</v>
      </c>
      <c r="L748" s="521">
        <f t="shared" si="130"/>
        <v>7.2950719285211777E-3</v>
      </c>
      <c r="M748" s="521">
        <f t="shared" ca="1" si="131"/>
        <v>9.999278188770562E-3</v>
      </c>
      <c r="N748" s="550">
        <f t="shared" ca="1" si="132"/>
        <v>3.3615215559231137E-3</v>
      </c>
    </row>
    <row r="749" spans="2:14" x14ac:dyDescent="0.25">
      <c r="B749" s="978"/>
      <c r="C749" s="981"/>
      <c r="D749" s="388" t="s">
        <v>23</v>
      </c>
      <c r="E749" s="548" t="s">
        <v>660</v>
      </c>
      <c r="F749" s="115">
        <f>'Units CF'!L72</f>
        <v>26.181059621600557</v>
      </c>
      <c r="G749" s="115">
        <f ca="1">'Units CF'!M72</f>
        <v>2.0640574715030384</v>
      </c>
      <c r="H749" s="115">
        <f>'Units CF'!N72</f>
        <v>312.64534931002885</v>
      </c>
      <c r="I749" s="115">
        <f t="shared" ca="1" si="127"/>
        <v>340.89046640313245</v>
      </c>
      <c r="J749" s="521">
        <f t="shared" si="128"/>
        <v>2.442263024403037E-3</v>
      </c>
      <c r="K749" s="521">
        <f t="shared" ca="1" si="129"/>
        <v>1.9254267458050731E-4</v>
      </c>
      <c r="L749" s="521">
        <f t="shared" si="130"/>
        <v>2.916467810727881E-2</v>
      </c>
      <c r="M749" s="521">
        <f t="shared" ca="1" si="131"/>
        <v>3.1799483806262352E-2</v>
      </c>
      <c r="N749" s="550">
        <f t="shared" ca="1" si="132"/>
        <v>1.0690236661484649E-2</v>
      </c>
    </row>
    <row r="750" spans="2:14" x14ac:dyDescent="0.25">
      <c r="B750" s="978"/>
      <c r="C750" s="981"/>
      <c r="D750" s="524"/>
      <c r="E750" s="523" t="s">
        <v>410</v>
      </c>
      <c r="F750" s="135">
        <f>SUM(F727:F749)</f>
        <v>13437.325392788398</v>
      </c>
      <c r="G750" s="135">
        <f t="shared" ref="G750:N750" ca="1" si="133">SUM(G727:G749)</f>
        <v>7923.3516734878194</v>
      </c>
      <c r="H750" s="135">
        <f t="shared" si="133"/>
        <v>10527.341618222183</v>
      </c>
      <c r="I750" s="135">
        <f t="shared" ca="1" si="133"/>
        <v>31888.018684498402</v>
      </c>
      <c r="J750" s="526">
        <f t="shared" si="133"/>
        <v>1.2534818463422013</v>
      </c>
      <c r="K750" s="526">
        <f t="shared" ca="1" si="133"/>
        <v>0.73911862625819225</v>
      </c>
      <c r="L750" s="526">
        <f t="shared" si="133"/>
        <v>0.98202813602818884</v>
      </c>
      <c r="M750" s="974">
        <f t="shared" ca="1" si="133"/>
        <v>2.9746286086285831</v>
      </c>
      <c r="N750" s="972">
        <f t="shared" ca="1" si="133"/>
        <v>0.99999999999999989</v>
      </c>
    </row>
    <row r="751" spans="2:14" x14ac:dyDescent="0.25">
      <c r="B751" s="979"/>
      <c r="C751" s="982"/>
      <c r="D751" s="525"/>
      <c r="E751" s="523" t="s">
        <v>309</v>
      </c>
      <c r="F751" s="135"/>
      <c r="G751" s="135"/>
      <c r="H751" s="135"/>
      <c r="I751" s="135"/>
      <c r="J751" s="527">
        <f ca="1">J750/M750</f>
        <v>0.42139104112230807</v>
      </c>
      <c r="K751" s="527">
        <f ca="1">K750/M750</f>
        <v>0.24847425460583936</v>
      </c>
      <c r="L751" s="527">
        <f ca="1">L750/M750</f>
        <v>0.33013470427185232</v>
      </c>
      <c r="M751" s="975"/>
      <c r="N751" s="973"/>
    </row>
    <row r="754" spans="2:14" ht="27.6" x14ac:dyDescent="0.25">
      <c r="B754" s="976" t="s">
        <v>425</v>
      </c>
      <c r="C754" s="523" t="s">
        <v>408</v>
      </c>
      <c r="D754" s="976" t="s">
        <v>411</v>
      </c>
      <c r="E754" s="976" t="s">
        <v>411</v>
      </c>
      <c r="F754" s="522" t="s">
        <v>479</v>
      </c>
      <c r="G754" s="522" t="s">
        <v>480</v>
      </c>
      <c r="H754" s="522" t="s">
        <v>481</v>
      </c>
      <c r="I754" s="522" t="s">
        <v>482</v>
      </c>
      <c r="J754" s="546" t="s">
        <v>484</v>
      </c>
      <c r="K754" s="546" t="s">
        <v>483</v>
      </c>
      <c r="L754" s="546" t="s">
        <v>485</v>
      </c>
      <c r="M754" s="522" t="s">
        <v>486</v>
      </c>
      <c r="N754" s="523" t="s">
        <v>487</v>
      </c>
    </row>
    <row r="755" spans="2:14" x14ac:dyDescent="0.25">
      <c r="B755" s="976"/>
      <c r="C755" s="523" t="s">
        <v>477</v>
      </c>
      <c r="D755" s="976"/>
      <c r="E755" s="976"/>
      <c r="F755" s="523" t="s">
        <v>308</v>
      </c>
      <c r="G755" s="523" t="s">
        <v>308</v>
      </c>
      <c r="H755" s="523" t="s">
        <v>308</v>
      </c>
      <c r="I755" s="523" t="s">
        <v>308</v>
      </c>
      <c r="J755" s="547" t="s">
        <v>310</v>
      </c>
      <c r="K755" s="547" t="s">
        <v>310</v>
      </c>
      <c r="L755" s="547" t="s">
        <v>310</v>
      </c>
      <c r="M755" s="523" t="s">
        <v>310</v>
      </c>
      <c r="N755" s="523" t="s">
        <v>309</v>
      </c>
    </row>
    <row r="756" spans="2:14" x14ac:dyDescent="0.25">
      <c r="B756" s="977" t="s">
        <v>1396</v>
      </c>
      <c r="C756" s="980">
        <f>C697+C727</f>
        <v>56215</v>
      </c>
      <c r="D756" s="388" t="s">
        <v>229</v>
      </c>
      <c r="E756" s="548" t="s">
        <v>594</v>
      </c>
      <c r="F756" s="115">
        <f t="shared" ref="F756:H771" si="134">F697+F727</f>
        <v>2751.9150104918385</v>
      </c>
      <c r="G756" s="115">
        <f t="shared" ca="1" si="134"/>
        <v>56.745102273637215</v>
      </c>
      <c r="H756" s="115">
        <f t="shared" si="134"/>
        <v>390.23251449477567</v>
      </c>
      <c r="I756" s="115">
        <f ca="1">SUM(F756:H756)</f>
        <v>3198.8926272602516</v>
      </c>
      <c r="J756" s="521">
        <f>F756/$C$756</f>
        <v>4.8953393409087227E-2</v>
      </c>
      <c r="K756" s="521">
        <f ca="1">G756/$C$756</f>
        <v>1.0094299079184777E-3</v>
      </c>
      <c r="L756" s="521">
        <f>H756/$C$756</f>
        <v>6.9417862580232262E-3</v>
      </c>
      <c r="M756" s="298">
        <f ca="1">SUM(J756:L756)</f>
        <v>5.6904609575028929E-2</v>
      </c>
      <c r="N756" s="369">
        <f ca="1">M756/$M$779</f>
        <v>1.9153404099220759E-2</v>
      </c>
    </row>
    <row r="757" spans="2:14" x14ac:dyDescent="0.25">
      <c r="B757" s="978"/>
      <c r="C757" s="981"/>
      <c r="D757" s="388" t="s">
        <v>1445</v>
      </c>
      <c r="E757" s="548" t="s">
        <v>597</v>
      </c>
      <c r="F757" s="115">
        <f t="shared" si="134"/>
        <v>2392.5905993865317</v>
      </c>
      <c r="G757" s="115">
        <f t="shared" ca="1" si="134"/>
        <v>1919.6277175610671</v>
      </c>
      <c r="H757" s="115">
        <f t="shared" si="134"/>
        <v>107.53563809856232</v>
      </c>
      <c r="I757" s="115">
        <f t="shared" ref="I757:I778" ca="1" si="135">SUM(F757:H757)</f>
        <v>4419.7539550461615</v>
      </c>
      <c r="J757" s="521">
        <f t="shared" ref="J757:J778" si="136">F757/$C$756</f>
        <v>4.2561426654567851E-2</v>
      </c>
      <c r="K757" s="521">
        <f t="shared" ref="K757:K778" ca="1" si="137">G757/$C$756</f>
        <v>3.4147962600036774E-2</v>
      </c>
      <c r="L757" s="521">
        <f t="shared" ref="L757:L778" si="138">H757/$C$756</f>
        <v>1.9129349479420495E-3</v>
      </c>
      <c r="M757" s="298">
        <f t="shared" ref="M757:M778" ca="1" si="139">SUM(J757:L757)</f>
        <v>7.8622324202546681E-2</v>
      </c>
      <c r="N757" s="369">
        <f t="shared" ref="N757:N778" ca="1" si="140">M757/$M$779</f>
        <v>2.6463324463825839E-2</v>
      </c>
    </row>
    <row r="758" spans="2:14" x14ac:dyDescent="0.25">
      <c r="B758" s="978"/>
      <c r="C758" s="981"/>
      <c r="D758" s="388" t="s">
        <v>1446</v>
      </c>
      <c r="E758" s="548" t="s">
        <v>595</v>
      </c>
      <c r="F758" s="115">
        <f t="shared" si="134"/>
        <v>1.207719034431933E-2</v>
      </c>
      <c r="G758" s="115">
        <f t="shared" ca="1" si="134"/>
        <v>0.8055327972368318</v>
      </c>
      <c r="H758" s="115">
        <f t="shared" si="134"/>
        <v>7.5498966720770584</v>
      </c>
      <c r="I758" s="115">
        <f t="shared" ca="1" si="135"/>
        <v>8.3675066596582095</v>
      </c>
      <c r="J758" s="521">
        <f t="shared" si="136"/>
        <v>2.148392838978801E-7</v>
      </c>
      <c r="K758" s="521">
        <f t="shared" ca="1" si="137"/>
        <v>1.4329499194820454E-5</v>
      </c>
      <c r="L758" s="521">
        <f t="shared" si="138"/>
        <v>1.3430395218495169E-4</v>
      </c>
      <c r="M758" s="298">
        <f t="shared" ca="1" si="139"/>
        <v>1.4884829066367001E-4</v>
      </c>
      <c r="N758" s="369">
        <f t="shared" ca="1" si="140"/>
        <v>5.0100536351111431E-5</v>
      </c>
    </row>
    <row r="759" spans="2:14" x14ac:dyDescent="0.25">
      <c r="B759" s="978"/>
      <c r="C759" s="981"/>
      <c r="D759" s="388" t="s">
        <v>1447</v>
      </c>
      <c r="E759" s="548" t="s">
        <v>596</v>
      </c>
      <c r="F759" s="115">
        <f t="shared" si="134"/>
        <v>108.44383882252848</v>
      </c>
      <c r="G759" s="115">
        <f t="shared" ca="1" si="134"/>
        <v>1049.2572771608829</v>
      </c>
      <c r="H759" s="115">
        <f t="shared" si="134"/>
        <v>55.568537303793661</v>
      </c>
      <c r="I759" s="115">
        <f t="shared" ca="1" si="135"/>
        <v>1213.2696532872051</v>
      </c>
      <c r="J759" s="521">
        <f t="shared" si="136"/>
        <v>1.9290907911149778E-3</v>
      </c>
      <c r="K759" s="521">
        <f t="shared" ca="1" si="137"/>
        <v>1.8665076530479108E-2</v>
      </c>
      <c r="L759" s="521">
        <f t="shared" si="138"/>
        <v>9.885001743981795E-4</v>
      </c>
      <c r="M759" s="298">
        <f t="shared" ca="1" si="139"/>
        <v>2.1582667495992264E-2</v>
      </c>
      <c r="N759" s="369">
        <f t="shared" ca="1" si="140"/>
        <v>7.2644651316834336E-3</v>
      </c>
    </row>
    <row r="760" spans="2:14" x14ac:dyDescent="0.25">
      <c r="B760" s="978"/>
      <c r="C760" s="981"/>
      <c r="D760" s="388" t="s">
        <v>1448</v>
      </c>
      <c r="E760" s="548" t="s">
        <v>598</v>
      </c>
      <c r="F760" s="115">
        <f t="shared" si="134"/>
        <v>3329.3404624865161</v>
      </c>
      <c r="G760" s="115">
        <f t="shared" ca="1" si="134"/>
        <v>810.09265663376732</v>
      </c>
      <c r="H760" s="115">
        <f t="shared" si="134"/>
        <v>1210.4351228311771</v>
      </c>
      <c r="I760" s="115">
        <f t="shared" ca="1" si="135"/>
        <v>5349.8682419514607</v>
      </c>
      <c r="J760" s="521">
        <f t="shared" si="136"/>
        <v>5.9225126078208949E-2</v>
      </c>
      <c r="K760" s="521">
        <f t="shared" ca="1" si="137"/>
        <v>1.4410613833207638E-2</v>
      </c>
      <c r="L760" s="521">
        <f t="shared" si="138"/>
        <v>2.1532244469112817E-2</v>
      </c>
      <c r="M760" s="298">
        <f t="shared" ca="1" si="139"/>
        <v>9.5167984380529397E-2</v>
      </c>
      <c r="N760" s="369">
        <f t="shared" ca="1" si="140"/>
        <v>3.2032393786047379E-2</v>
      </c>
    </row>
    <row r="761" spans="2:14" x14ac:dyDescent="0.25">
      <c r="B761" s="978"/>
      <c r="C761" s="981"/>
      <c r="D761" s="388" t="s">
        <v>1449</v>
      </c>
      <c r="E761" s="548" t="s">
        <v>599</v>
      </c>
      <c r="F761" s="115">
        <f t="shared" si="134"/>
        <v>6794.0952338557072</v>
      </c>
      <c r="G761" s="115">
        <f t="shared" ca="1" si="134"/>
        <v>30490.868226483872</v>
      </c>
      <c r="H761" s="115">
        <f t="shared" si="134"/>
        <v>5776.200571871319</v>
      </c>
      <c r="I761" s="115">
        <f t="shared" ca="1" si="135"/>
        <v>43061.164032210901</v>
      </c>
      <c r="J761" s="521">
        <f t="shared" si="136"/>
        <v>0.12085911649658823</v>
      </c>
      <c r="K761" s="521">
        <f t="shared" ca="1" si="137"/>
        <v>0.54239737127962062</v>
      </c>
      <c r="L761" s="521">
        <f t="shared" si="138"/>
        <v>0.10275194470997633</v>
      </c>
      <c r="M761" s="298">
        <f t="shared" ca="1" si="139"/>
        <v>0.76600843248618511</v>
      </c>
      <c r="N761" s="369">
        <f t="shared" ca="1" si="140"/>
        <v>0.25782918396925153</v>
      </c>
    </row>
    <row r="762" spans="2:14" x14ac:dyDescent="0.25">
      <c r="B762" s="978"/>
      <c r="C762" s="981"/>
      <c r="D762" s="388" t="s">
        <v>1450</v>
      </c>
      <c r="E762" s="548" t="s">
        <v>600</v>
      </c>
      <c r="F762" s="115">
        <f t="shared" si="134"/>
        <v>5571.2909902102901</v>
      </c>
      <c r="G762" s="115">
        <f t="shared" ca="1" si="134"/>
        <v>0.25621464394773891</v>
      </c>
      <c r="H762" s="115">
        <f t="shared" si="134"/>
        <v>65.553037116098253</v>
      </c>
      <c r="I762" s="115">
        <f t="shared" ca="1" si="135"/>
        <v>5637.1002419703364</v>
      </c>
      <c r="J762" s="521">
        <f t="shared" si="136"/>
        <v>9.9106839637290584E-2</v>
      </c>
      <c r="K762" s="521">
        <f t="shared" ca="1" si="137"/>
        <v>4.557762944903298E-6</v>
      </c>
      <c r="L762" s="521">
        <f t="shared" si="138"/>
        <v>1.1661129078733123E-3</v>
      </c>
      <c r="M762" s="298">
        <f t="shared" ca="1" si="139"/>
        <v>0.1002775103081088</v>
      </c>
      <c r="N762" s="369">
        <f t="shared" ca="1" si="140"/>
        <v>3.3752198483368766E-2</v>
      </c>
    </row>
    <row r="763" spans="2:14" x14ac:dyDescent="0.25">
      <c r="B763" s="978"/>
      <c r="C763" s="981"/>
      <c r="D763" s="388" t="s">
        <v>1451</v>
      </c>
      <c r="E763" s="548" t="s">
        <v>601</v>
      </c>
      <c r="F763" s="115">
        <f t="shared" si="134"/>
        <v>46129.239605211027</v>
      </c>
      <c r="G763" s="115">
        <f t="shared" ca="1" si="134"/>
        <v>3903.8110152469003</v>
      </c>
      <c r="H763" s="115">
        <f t="shared" si="134"/>
        <v>32936.617896739357</v>
      </c>
      <c r="I763" s="115">
        <f t="shared" ca="1" si="135"/>
        <v>82969.668517197279</v>
      </c>
      <c r="J763" s="521">
        <f t="shared" si="136"/>
        <v>0.82058595757735531</v>
      </c>
      <c r="K763" s="521">
        <f t="shared" ca="1" si="137"/>
        <v>6.9444294498744119E-2</v>
      </c>
      <c r="L763" s="521">
        <f t="shared" si="138"/>
        <v>0.58590443648028745</v>
      </c>
      <c r="M763" s="298">
        <f t="shared" ca="1" si="139"/>
        <v>1.4759346885563869</v>
      </c>
      <c r="N763" s="369">
        <f t="shared" ca="1" si="140"/>
        <v>0.49678178490452535</v>
      </c>
    </row>
    <row r="764" spans="2:14" x14ac:dyDescent="0.25">
      <c r="B764" s="978"/>
      <c r="C764" s="981"/>
      <c r="D764" s="388" t="s">
        <v>1452</v>
      </c>
      <c r="E764" s="548" t="s">
        <v>602</v>
      </c>
      <c r="F764" s="115">
        <f t="shared" si="134"/>
        <v>104.6476630885482</v>
      </c>
      <c r="G764" s="115">
        <f t="shared" ca="1" si="134"/>
        <v>21.735268079926527</v>
      </c>
      <c r="H764" s="115">
        <f t="shared" si="134"/>
        <v>216.75879207410105</v>
      </c>
      <c r="I764" s="115">
        <f t="shared" ca="1" si="135"/>
        <v>343.14172324257578</v>
      </c>
      <c r="J764" s="521">
        <f t="shared" si="136"/>
        <v>1.8615612041011865E-3</v>
      </c>
      <c r="K764" s="521">
        <f t="shared" ca="1" si="137"/>
        <v>3.8664534519125727E-4</v>
      </c>
      <c r="L764" s="521">
        <f t="shared" si="138"/>
        <v>3.8558888566059069E-3</v>
      </c>
      <c r="M764" s="298">
        <f t="shared" ca="1" si="139"/>
        <v>6.1040954058983509E-3</v>
      </c>
      <c r="N764" s="369">
        <f t="shared" ca="1" si="140"/>
        <v>2.0545647679950478E-3</v>
      </c>
    </row>
    <row r="765" spans="2:14" x14ac:dyDescent="0.25">
      <c r="B765" s="978"/>
      <c r="C765" s="981"/>
      <c r="D765" s="388" t="s">
        <v>19</v>
      </c>
      <c r="E765" s="548" t="s">
        <v>603</v>
      </c>
      <c r="F765" s="115">
        <f t="shared" si="134"/>
        <v>1652.9789716946723</v>
      </c>
      <c r="G765" s="115">
        <f t="shared" ca="1" si="134"/>
        <v>115.93461553502257</v>
      </c>
      <c r="H765" s="115">
        <f t="shared" si="134"/>
        <v>1367.3814736601612</v>
      </c>
      <c r="I765" s="115">
        <f t="shared" ca="1" si="135"/>
        <v>3136.2950608898564</v>
      </c>
      <c r="J765" s="521">
        <f t="shared" si="136"/>
        <v>2.9404589018850347E-2</v>
      </c>
      <c r="K765" s="521">
        <f t="shared" ca="1" si="137"/>
        <v>2.0623430674201293E-3</v>
      </c>
      <c r="L765" s="521">
        <f t="shared" si="138"/>
        <v>2.4324138996000378E-2</v>
      </c>
      <c r="M765" s="298">
        <f t="shared" ca="1" si="139"/>
        <v>5.5791071082270854E-2</v>
      </c>
      <c r="N765" s="369">
        <f t="shared" ca="1" si="140"/>
        <v>1.8778600495591574E-2</v>
      </c>
    </row>
    <row r="766" spans="2:14" x14ac:dyDescent="0.25">
      <c r="B766" s="978"/>
      <c r="C766" s="981"/>
      <c r="D766" s="388" t="s">
        <v>1453</v>
      </c>
      <c r="E766" s="548" t="s">
        <v>604</v>
      </c>
      <c r="F766" s="115">
        <f t="shared" si="134"/>
        <v>57.141680350950907</v>
      </c>
      <c r="G766" s="115">
        <f t="shared" ca="1" si="134"/>
        <v>144.65498762510782</v>
      </c>
      <c r="H766" s="115">
        <f t="shared" si="134"/>
        <v>800.43059608108103</v>
      </c>
      <c r="I766" s="115">
        <f t="shared" ca="1" si="135"/>
        <v>1002.2272640571398</v>
      </c>
      <c r="J766" s="521">
        <f t="shared" si="136"/>
        <v>1.0164845744187656E-3</v>
      </c>
      <c r="K766" s="521">
        <f t="shared" ca="1" si="137"/>
        <v>2.5732453548894035E-3</v>
      </c>
      <c r="L766" s="521">
        <f t="shared" si="138"/>
        <v>1.4238736922193027E-2</v>
      </c>
      <c r="M766" s="298">
        <f t="shared" ca="1" si="139"/>
        <v>1.7828466851501197E-2</v>
      </c>
      <c r="N766" s="369">
        <f t="shared" ca="1" si="140"/>
        <v>6.0008465505088362E-3</v>
      </c>
    </row>
    <row r="767" spans="2:14" x14ac:dyDescent="0.25">
      <c r="B767" s="978"/>
      <c r="C767" s="981"/>
      <c r="D767" s="388" t="s">
        <v>1454</v>
      </c>
      <c r="E767" s="548" t="s">
        <v>605</v>
      </c>
      <c r="F767" s="115">
        <f t="shared" si="134"/>
        <v>18.236982136450276</v>
      </c>
      <c r="G767" s="115">
        <f t="shared" ca="1" si="134"/>
        <v>26.011946433469049</v>
      </c>
      <c r="H767" s="115">
        <f t="shared" si="134"/>
        <v>315.67564094538005</v>
      </c>
      <c r="I767" s="115">
        <f t="shared" ca="1" si="135"/>
        <v>359.92456951529937</v>
      </c>
      <c r="J767" s="521">
        <f t="shared" si="136"/>
        <v>3.2441487390287783E-4</v>
      </c>
      <c r="K767" s="521">
        <f t="shared" ca="1" si="137"/>
        <v>4.6272251949602507E-4</v>
      </c>
      <c r="L767" s="521">
        <f t="shared" si="138"/>
        <v>5.6155054868874867E-3</v>
      </c>
      <c r="M767" s="298">
        <f t="shared" ca="1" si="139"/>
        <v>6.4026428802863898E-3</v>
      </c>
      <c r="N767" s="369">
        <f t="shared" ca="1" si="140"/>
        <v>2.1550522410215766E-3</v>
      </c>
    </row>
    <row r="768" spans="2:14" x14ac:dyDescent="0.25">
      <c r="B768" s="978"/>
      <c r="C768" s="981"/>
      <c r="D768" s="388" t="s">
        <v>1455</v>
      </c>
      <c r="E768" s="548" t="s">
        <v>636</v>
      </c>
      <c r="F768" s="115">
        <f t="shared" si="134"/>
        <v>719.26671193850871</v>
      </c>
      <c r="G768" s="115">
        <f t="shared" ca="1" si="134"/>
        <v>2037.6770224688403</v>
      </c>
      <c r="H768" s="115">
        <f t="shared" si="134"/>
        <v>2871.5850118543085</v>
      </c>
      <c r="I768" s="115">
        <f t="shared" ca="1" si="135"/>
        <v>5628.5287462616579</v>
      </c>
      <c r="J768" s="521">
        <f t="shared" si="136"/>
        <v>1.2794925054496286E-2</v>
      </c>
      <c r="K768" s="521">
        <f t="shared" ca="1" si="137"/>
        <v>3.6247923551878329E-2</v>
      </c>
      <c r="L768" s="521">
        <f t="shared" si="138"/>
        <v>5.1082184681211569E-2</v>
      </c>
      <c r="M768" s="298">
        <f t="shared" ca="1" si="139"/>
        <v>0.10012503328758618</v>
      </c>
      <c r="N768" s="369">
        <f t="shared" ca="1" si="140"/>
        <v>3.370087656038704E-2</v>
      </c>
    </row>
    <row r="769" spans="2:14" x14ac:dyDescent="0.25">
      <c r="B769" s="978"/>
      <c r="C769" s="981"/>
      <c r="D769" s="388" t="s">
        <v>1459</v>
      </c>
      <c r="E769" s="548" t="s">
        <v>641</v>
      </c>
      <c r="F769" s="115">
        <f t="shared" si="134"/>
        <v>10.681038822580959</v>
      </c>
      <c r="G769" s="115">
        <f t="shared" ca="1" si="134"/>
        <v>22.251806319809596</v>
      </c>
      <c r="H769" s="115">
        <f t="shared" si="134"/>
        <v>151.68619433472554</v>
      </c>
      <c r="I769" s="115">
        <f t="shared" ca="1" si="135"/>
        <v>184.6190394771161</v>
      </c>
      <c r="J769" s="521">
        <f t="shared" si="136"/>
        <v>1.9000335893588826E-4</v>
      </c>
      <c r="K769" s="521">
        <f t="shared" ca="1" si="137"/>
        <v>3.9583396459680863E-4</v>
      </c>
      <c r="L769" s="521">
        <f t="shared" si="138"/>
        <v>2.6983224110064138E-3</v>
      </c>
      <c r="M769" s="298">
        <f t="shared" ca="1" si="139"/>
        <v>3.2841597345391106E-3</v>
      </c>
      <c r="N769" s="369">
        <f t="shared" ca="1" si="140"/>
        <v>1.1054084896071478E-3</v>
      </c>
    </row>
    <row r="770" spans="2:14" x14ac:dyDescent="0.25">
      <c r="B770" s="978"/>
      <c r="C770" s="981"/>
      <c r="D770" s="388" t="s">
        <v>1460</v>
      </c>
      <c r="E770" s="548" t="s">
        <v>1443</v>
      </c>
      <c r="F770" s="115">
        <f t="shared" si="134"/>
        <v>215.25078659651675</v>
      </c>
      <c r="G770" s="115">
        <f t="shared" ca="1" si="134"/>
        <v>212.38108756540262</v>
      </c>
      <c r="H770" s="115">
        <f t="shared" si="134"/>
        <v>1065.3369692621884</v>
      </c>
      <c r="I770" s="115">
        <f t="shared" ca="1" si="135"/>
        <v>1492.9688434241077</v>
      </c>
      <c r="J770" s="521">
        <f t="shared" si="136"/>
        <v>3.8290631788048873E-3</v>
      </c>
      <c r="K770" s="521">
        <f t="shared" ca="1" si="137"/>
        <v>3.7780145435453638E-3</v>
      </c>
      <c r="L770" s="521">
        <f t="shared" si="138"/>
        <v>1.8951115703320972E-2</v>
      </c>
      <c r="M770" s="298">
        <f t="shared" ca="1" si="139"/>
        <v>2.6558193425671221E-2</v>
      </c>
      <c r="N770" s="369">
        <f t="shared" ca="1" si="140"/>
        <v>8.9391670486105856E-3</v>
      </c>
    </row>
    <row r="771" spans="2:14" x14ac:dyDescent="0.25">
      <c r="B771" s="978"/>
      <c r="C771" s="981"/>
      <c r="D771" s="388" t="s">
        <v>1462</v>
      </c>
      <c r="E771" s="548" t="s">
        <v>654</v>
      </c>
      <c r="F771" s="115">
        <f t="shared" si="134"/>
        <v>138.07249203442186</v>
      </c>
      <c r="G771" s="115">
        <f t="shared" ca="1" si="134"/>
        <v>11.062510040836242</v>
      </c>
      <c r="H771" s="115">
        <f t="shared" si="134"/>
        <v>4199.0344454903725</v>
      </c>
      <c r="I771" s="115">
        <f t="shared" ca="1" si="135"/>
        <v>4348.1694475656304</v>
      </c>
      <c r="J771" s="521">
        <f t="shared" si="136"/>
        <v>2.4561503519420413E-3</v>
      </c>
      <c r="K771" s="521">
        <f t="shared" ca="1" si="137"/>
        <v>1.9678929184090087E-4</v>
      </c>
      <c r="L771" s="521">
        <f t="shared" si="138"/>
        <v>7.4695978751051717E-2</v>
      </c>
      <c r="M771" s="298">
        <f t="shared" ca="1" si="139"/>
        <v>7.7348918394834654E-2</v>
      </c>
      <c r="N771" s="369">
        <f t="shared" ca="1" si="140"/>
        <v>2.6034711453393974E-2</v>
      </c>
    </row>
    <row r="772" spans="2:14" x14ac:dyDescent="0.25">
      <c r="B772" s="978"/>
      <c r="C772" s="981"/>
      <c r="D772" s="388" t="s">
        <v>1465</v>
      </c>
      <c r="E772" s="548" t="s">
        <v>642</v>
      </c>
      <c r="F772" s="115">
        <f t="shared" ref="F772:H778" si="141">F713+F743</f>
        <v>241.59092694450874</v>
      </c>
      <c r="G772" s="115">
        <f t="shared" ca="1" si="141"/>
        <v>561.50726741223809</v>
      </c>
      <c r="H772" s="115">
        <f t="shared" si="141"/>
        <v>52.50638433690996</v>
      </c>
      <c r="I772" s="115">
        <f t="shared" ca="1" si="135"/>
        <v>855.60457869365678</v>
      </c>
      <c r="J772" s="521">
        <f t="shared" si="136"/>
        <v>4.297623889433581E-3</v>
      </c>
      <c r="K772" s="521">
        <f t="shared" ca="1" si="137"/>
        <v>9.9885665287243273E-3</v>
      </c>
      <c r="L772" s="521">
        <f t="shared" si="138"/>
        <v>9.3402800563746255E-4</v>
      </c>
      <c r="M772" s="298">
        <f t="shared" ca="1" si="139"/>
        <v>1.5220218423795371E-2</v>
      </c>
      <c r="N772" s="369">
        <f t="shared" ca="1" si="140"/>
        <v>5.1229416408698622E-3</v>
      </c>
    </row>
    <row r="773" spans="2:14" x14ac:dyDescent="0.25">
      <c r="B773" s="978"/>
      <c r="C773" s="981"/>
      <c r="D773" s="388" t="s">
        <v>1466</v>
      </c>
      <c r="E773" s="548" t="s">
        <v>644</v>
      </c>
      <c r="F773" s="115">
        <f t="shared" si="141"/>
        <v>156.54517205637322</v>
      </c>
      <c r="G773" s="115">
        <f t="shared" ca="1" si="141"/>
        <v>225.76791253125094</v>
      </c>
      <c r="H773" s="115">
        <f t="shared" si="141"/>
        <v>1129.3741894243242</v>
      </c>
      <c r="I773" s="115">
        <f t="shared" ca="1" si="135"/>
        <v>1511.6872740119484</v>
      </c>
      <c r="J773" s="521">
        <f t="shared" si="136"/>
        <v>2.7847580193253261E-3</v>
      </c>
      <c r="K773" s="521">
        <f t="shared" ca="1" si="137"/>
        <v>4.0161507165569852E-3</v>
      </c>
      <c r="L773" s="521">
        <f t="shared" si="138"/>
        <v>2.0090263976239867E-2</v>
      </c>
      <c r="M773" s="298">
        <f t="shared" ca="1" si="139"/>
        <v>2.6891172712122179E-2</v>
      </c>
      <c r="N773" s="369">
        <f t="shared" ca="1" si="140"/>
        <v>9.0512438535951863E-3</v>
      </c>
    </row>
    <row r="774" spans="2:14" x14ac:dyDescent="0.25">
      <c r="B774" s="978"/>
      <c r="C774" s="981"/>
      <c r="D774" s="388" t="s">
        <v>1464</v>
      </c>
      <c r="E774" s="548" t="s">
        <v>655</v>
      </c>
      <c r="F774" s="115">
        <f t="shared" si="141"/>
        <v>6.2734245571565364</v>
      </c>
      <c r="G774" s="115">
        <f t="shared" ca="1" si="141"/>
        <v>0.51033139388100024</v>
      </c>
      <c r="H774" s="115">
        <f t="shared" si="141"/>
        <v>430.07793981554954</v>
      </c>
      <c r="I774" s="115">
        <f t="shared" ca="1" si="135"/>
        <v>436.8616957665871</v>
      </c>
      <c r="J774" s="521">
        <f t="shared" si="136"/>
        <v>1.1159698580728518E-4</v>
      </c>
      <c r="K774" s="521">
        <f t="shared" ca="1" si="137"/>
        <v>9.0782067754336066E-6</v>
      </c>
      <c r="L774" s="521">
        <f t="shared" si="138"/>
        <v>7.6505904085306334E-3</v>
      </c>
      <c r="M774" s="298">
        <f t="shared" ca="1" si="139"/>
        <v>7.7712656011133521E-3</v>
      </c>
      <c r="N774" s="369">
        <f t="shared" ca="1" si="140"/>
        <v>2.6157141140603652E-3</v>
      </c>
    </row>
    <row r="775" spans="2:14" x14ac:dyDescent="0.25">
      <c r="B775" s="978"/>
      <c r="C775" s="981"/>
      <c r="D775" s="388" t="s">
        <v>1467</v>
      </c>
      <c r="E775" s="548" t="s">
        <v>656</v>
      </c>
      <c r="F775" s="115">
        <f t="shared" si="141"/>
        <v>7.7128239638919665</v>
      </c>
      <c r="G775" s="115">
        <f t="shared" ca="1" si="141"/>
        <v>0.63527278126038267</v>
      </c>
      <c r="H775" s="115">
        <f t="shared" si="141"/>
        <v>187.60392448472433</v>
      </c>
      <c r="I775" s="115">
        <f t="shared" ca="1" si="135"/>
        <v>195.95202122987669</v>
      </c>
      <c r="J775" s="521">
        <f t="shared" si="136"/>
        <v>1.3720224075232531E-4</v>
      </c>
      <c r="K775" s="521">
        <f t="shared" ca="1" si="137"/>
        <v>1.1300769923692657E-5</v>
      </c>
      <c r="L775" s="521">
        <f t="shared" si="138"/>
        <v>3.3372573954411513E-3</v>
      </c>
      <c r="M775" s="298">
        <f t="shared" ca="1" si="139"/>
        <v>3.4857604061171695E-3</v>
      </c>
      <c r="N775" s="369">
        <f t="shared" ca="1" si="140"/>
        <v>1.1732648400547799E-3</v>
      </c>
    </row>
    <row r="776" spans="2:14" x14ac:dyDescent="0.25">
      <c r="B776" s="978"/>
      <c r="C776" s="981"/>
      <c r="D776" s="388" t="s">
        <v>1468</v>
      </c>
      <c r="E776" s="548" t="s">
        <v>643</v>
      </c>
      <c r="F776" s="115">
        <f t="shared" si="141"/>
        <v>28.821594883280316</v>
      </c>
      <c r="G776" s="115">
        <f t="shared" ca="1" si="141"/>
        <v>62.843156953691022</v>
      </c>
      <c r="H776" s="115">
        <f t="shared" si="141"/>
        <v>5.7775751610740524</v>
      </c>
      <c r="I776" s="115">
        <f t="shared" ca="1" si="135"/>
        <v>97.442326998045388</v>
      </c>
      <c r="J776" s="521">
        <f t="shared" si="136"/>
        <v>5.1270292418892317E-4</v>
      </c>
      <c r="K776" s="521">
        <f t="shared" ca="1" si="137"/>
        <v>1.1179072659199684E-3</v>
      </c>
      <c r="L776" s="521">
        <f t="shared" si="138"/>
        <v>1.0277639706615766E-4</v>
      </c>
      <c r="M776" s="298">
        <f t="shared" ca="1" si="139"/>
        <v>1.7333865871750492E-3</v>
      </c>
      <c r="N776" s="369">
        <f t="shared" ca="1" si="140"/>
        <v>5.8343698361655952E-4</v>
      </c>
    </row>
    <row r="777" spans="2:14" x14ac:dyDescent="0.25">
      <c r="B777" s="978"/>
      <c r="C777" s="981"/>
      <c r="D777" s="388" t="s">
        <v>1469</v>
      </c>
      <c r="E777" s="548" t="s">
        <v>1444</v>
      </c>
      <c r="F777" s="115">
        <f t="shared" si="141"/>
        <v>141.50602868689305</v>
      </c>
      <c r="G777" s="115">
        <f t="shared" ca="1" si="141"/>
        <v>11.047997760409475</v>
      </c>
      <c r="H777" s="115">
        <f t="shared" si="141"/>
        <v>411.54131335231864</v>
      </c>
      <c r="I777" s="115">
        <f t="shared" ca="1" si="135"/>
        <v>564.09533979962112</v>
      </c>
      <c r="J777" s="521">
        <f t="shared" si="136"/>
        <v>2.5172290080386558E-3</v>
      </c>
      <c r="K777" s="521">
        <f t="shared" ca="1" si="137"/>
        <v>1.9653113511357244E-4</v>
      </c>
      <c r="L777" s="521">
        <f t="shared" si="138"/>
        <v>7.3208452077260277E-3</v>
      </c>
      <c r="M777" s="298">
        <f t="shared" ca="1" si="139"/>
        <v>1.0034605350878256E-2</v>
      </c>
      <c r="N777" s="369">
        <f t="shared" ca="1" si="140"/>
        <v>3.3775269296622084E-3</v>
      </c>
    </row>
    <row r="778" spans="2:14" x14ac:dyDescent="0.25">
      <c r="B778" s="978"/>
      <c r="C778" s="981"/>
      <c r="D778" s="388" t="s">
        <v>23</v>
      </c>
      <c r="E778" s="548" t="s">
        <v>660</v>
      </c>
      <c r="F778" s="115">
        <f t="shared" si="141"/>
        <v>137.29181591681674</v>
      </c>
      <c r="G778" s="115">
        <f t="shared" ca="1" si="141"/>
        <v>10.75254003533577</v>
      </c>
      <c r="H778" s="115">
        <f t="shared" si="141"/>
        <v>850.66593844573617</v>
      </c>
      <c r="I778" s="115">
        <f t="shared" ca="1" si="135"/>
        <v>998.71029439788867</v>
      </c>
      <c r="J778" s="521">
        <f t="shared" si="136"/>
        <v>2.4422630244030374E-3</v>
      </c>
      <c r="K778" s="521">
        <f t="shared" ca="1" si="137"/>
        <v>1.9127528302651908E-4</v>
      </c>
      <c r="L778" s="521">
        <f t="shared" si="138"/>
        <v>1.5132365711033286E-2</v>
      </c>
      <c r="M778" s="298">
        <f t="shared" ca="1" si="139"/>
        <v>1.7765904018462841E-2</v>
      </c>
      <c r="N778" s="369">
        <f t="shared" ca="1" si="140"/>
        <v>5.9797886567507612E-3</v>
      </c>
    </row>
    <row r="779" spans="2:14" x14ac:dyDescent="0.25">
      <c r="B779" s="978"/>
      <c r="C779" s="981"/>
      <c r="D779" s="524"/>
      <c r="E779" s="523" t="s">
        <v>410</v>
      </c>
      <c r="F779" s="135">
        <f>SUM(F756:F778)</f>
        <v>70712.94593132638</v>
      </c>
      <c r="G779" s="135">
        <f t="shared" ref="G779:N779" ca="1" si="142">SUM(G756:G778)</f>
        <v>41696.23746573778</v>
      </c>
      <c r="H779" s="135">
        <f t="shared" si="142"/>
        <v>54605.129603850124</v>
      </c>
      <c r="I779" s="135">
        <f t="shared" ca="1" si="142"/>
        <v>167014.31300091429</v>
      </c>
      <c r="J779" s="526">
        <f t="shared" si="142"/>
        <v>1.2579017331908984</v>
      </c>
      <c r="K779" s="526">
        <f t="shared" ca="1" si="142"/>
        <v>0.74172796345704528</v>
      </c>
      <c r="L779" s="526">
        <f t="shared" si="142"/>
        <v>0.97136226280975047</v>
      </c>
      <c r="M779" s="974">
        <f t="shared" ca="1" si="142"/>
        <v>2.9709919594576948</v>
      </c>
      <c r="N779" s="972">
        <f t="shared" ca="1" si="142"/>
        <v>0.99999999999999944</v>
      </c>
    </row>
    <row r="780" spans="2:14" x14ac:dyDescent="0.25">
      <c r="B780" s="979"/>
      <c r="C780" s="982"/>
      <c r="D780" s="525"/>
      <c r="E780" s="523" t="s">
        <v>309</v>
      </c>
      <c r="F780" s="135"/>
      <c r="G780" s="135"/>
      <c r="H780" s="135"/>
      <c r="I780" s="135"/>
      <c r="J780" s="527">
        <f ca="1">J779/M779</f>
        <v>0.42339452625799345</v>
      </c>
      <c r="K780" s="527">
        <f ca="1">K779/M779</f>
        <v>0.24965667143455864</v>
      </c>
      <c r="L780" s="527">
        <f ca="1">L779/M779</f>
        <v>0.32694880230744766</v>
      </c>
      <c r="M780" s="975"/>
      <c r="N780" s="973"/>
    </row>
    <row r="782" spans="2:14" x14ac:dyDescent="0.25">
      <c r="B782" s="551" t="s">
        <v>1497</v>
      </c>
    </row>
    <row r="783" spans="2:14" x14ac:dyDescent="0.25">
      <c r="B783" s="560" t="s">
        <v>1498</v>
      </c>
    </row>
    <row r="784" spans="2:14" x14ac:dyDescent="0.25">
      <c r="I784" s="552"/>
    </row>
    <row r="804" spans="1:38" ht="27.6" x14ac:dyDescent="0.25">
      <c r="A804" s="531"/>
      <c r="B804" s="532" t="s">
        <v>1397</v>
      </c>
      <c r="C804" s="533"/>
      <c r="D804" s="534" t="s">
        <v>178</v>
      </c>
      <c r="E804" s="534"/>
      <c r="F804" s="535"/>
      <c r="G804" s="533"/>
      <c r="H804" s="533"/>
      <c r="I804" s="533"/>
      <c r="J804" s="533"/>
      <c r="K804" s="533"/>
      <c r="L804" s="533"/>
      <c r="M804" s="533"/>
      <c r="N804" s="533"/>
      <c r="O804" s="533"/>
      <c r="P804" s="533"/>
      <c r="Q804" s="533"/>
      <c r="R804" s="533"/>
      <c r="S804" s="533"/>
      <c r="T804" s="533"/>
      <c r="U804" s="533"/>
      <c r="V804" s="533"/>
      <c r="W804" s="533"/>
      <c r="X804" s="533"/>
      <c r="Y804" s="533"/>
      <c r="Z804" s="533"/>
      <c r="AA804" s="533"/>
      <c r="AB804" s="533"/>
      <c r="AC804" s="533"/>
      <c r="AD804" s="533"/>
      <c r="AE804" s="533"/>
      <c r="AF804" s="533"/>
      <c r="AG804" s="533"/>
      <c r="AH804" s="533"/>
      <c r="AI804" s="533"/>
      <c r="AJ804" s="533"/>
      <c r="AK804" s="533"/>
      <c r="AL804" s="533"/>
    </row>
    <row r="807" spans="1:38" ht="27.6" x14ac:dyDescent="0.25">
      <c r="B807" s="976" t="s">
        <v>425</v>
      </c>
      <c r="C807" s="523" t="s">
        <v>408</v>
      </c>
      <c r="D807" s="976" t="s">
        <v>411</v>
      </c>
      <c r="E807" s="976" t="s">
        <v>411</v>
      </c>
      <c r="F807" s="522" t="s">
        <v>479</v>
      </c>
      <c r="G807" s="522" t="s">
        <v>480</v>
      </c>
      <c r="H807" s="522" t="s">
        <v>481</v>
      </c>
      <c r="I807" s="522" t="s">
        <v>482</v>
      </c>
      <c r="J807" s="546" t="s">
        <v>484</v>
      </c>
      <c r="K807" s="546" t="s">
        <v>483</v>
      </c>
      <c r="L807" s="546" t="s">
        <v>485</v>
      </c>
      <c r="M807" s="522" t="s">
        <v>486</v>
      </c>
      <c r="N807" s="523" t="s">
        <v>487</v>
      </c>
    </row>
    <row r="808" spans="1:38" x14ac:dyDescent="0.25">
      <c r="B808" s="976"/>
      <c r="C808" s="523" t="s">
        <v>477</v>
      </c>
      <c r="D808" s="976"/>
      <c r="E808" s="976"/>
      <c r="F808" s="523" t="s">
        <v>308</v>
      </c>
      <c r="G808" s="523" t="s">
        <v>308</v>
      </c>
      <c r="H808" s="523" t="s">
        <v>308</v>
      </c>
      <c r="I808" s="523" t="s">
        <v>308</v>
      </c>
      <c r="J808" s="547" t="s">
        <v>310</v>
      </c>
      <c r="K808" s="547" t="s">
        <v>310</v>
      </c>
      <c r="L808" s="547" t="s">
        <v>310</v>
      </c>
      <c r="M808" s="523" t="s">
        <v>310</v>
      </c>
      <c r="N808" s="523" t="s">
        <v>309</v>
      </c>
    </row>
    <row r="809" spans="1:38" x14ac:dyDescent="0.25">
      <c r="B809" s="977" t="s">
        <v>1397</v>
      </c>
      <c r="C809" s="980">
        <f>'Units CF'!F73</f>
        <v>4801</v>
      </c>
      <c r="D809" s="388" t="s">
        <v>229</v>
      </c>
      <c r="E809" s="548" t="s">
        <v>594</v>
      </c>
      <c r="F809" s="115">
        <f>F50*'Units CF'!$I$32*('Units CF'!$I$39*'Units CF'!$I$46+'Units CF'!$I$37)*('Units CF'!$I$48*'Units CF'!$I$54*'Units CF'!$I$62*'Units CF'!$I$68*'Units CF'!$I$73+'Units CF'!$I$49*'Units CF'!$I$56*'Units CF'!$I$62*'Units CF'!$I$68*'Units CF'!$I$73)</f>
        <v>253.30070583409457</v>
      </c>
      <c r="G809" s="115">
        <f ca="1">G50*'Units CF'!$I$32*('Units CF'!$I$39*'Units CF'!$I$46+'Units CF'!$I$37)*('Units CF'!$I$48*'Units CF'!$I$54*'Units CF'!$I$62*'Units CF'!$I$68*'Units CF'!$I$73+'Units CF'!$I$49*'Units CF'!$I$56*'Units CF'!$I$62*'Units CF'!$I$68*'Units CF'!$I$73)</f>
        <v>5.223117139788144</v>
      </c>
      <c r="H809" s="115">
        <f>H50*'Units CF'!$I$32*('Units CF'!$I$39*'Units CF'!$I$46+'Units CF'!$I$37)*('Units CF'!$I$48*'Units CF'!$I$54*'Units CF'!$I$62*'Units CF'!$I$68*'Units CF'!$I$73+'Units CF'!$I$49*'Units CF'!$I$56*'Units CF'!$I$62*'Units CF'!$I$68*'Units CF'!$I$73)</f>
        <v>35.919049456136314</v>
      </c>
      <c r="I809" s="115">
        <f ca="1">SUM(F809:H809)</f>
        <v>294.44287243001901</v>
      </c>
      <c r="J809" s="521">
        <f>F809/$C$809</f>
        <v>5.2759988717786831E-2</v>
      </c>
      <c r="K809" s="521">
        <f ca="1">G809/$C$809</f>
        <v>1.087922753548874E-3</v>
      </c>
      <c r="L809" s="521">
        <f>H809/$C$809</f>
        <v>7.4815766415614066E-3</v>
      </c>
      <c r="M809" s="298">
        <f ca="1">SUM(J809:L809)</f>
        <v>6.132948811289711E-2</v>
      </c>
      <c r="N809" s="369">
        <f ca="1">M809/$M$830</f>
        <v>1.747339184727938E-2</v>
      </c>
    </row>
    <row r="810" spans="1:38" x14ac:dyDescent="0.25">
      <c r="B810" s="978"/>
      <c r="C810" s="981"/>
      <c r="D810" s="388" t="s">
        <v>1445</v>
      </c>
      <c r="E810" s="548" t="s">
        <v>597</v>
      </c>
      <c r="F810" s="115">
        <f>F51*'Units CF'!$I$32*('Units CF'!$I$39*'Units CF'!$I$46+'Units CF'!$I$37)*('Units CF'!$I$48*'Units CF'!$I$54*'Units CF'!$I$62*'Units CF'!$I$68*'Units CF'!$I$73+'Units CF'!$I$49*'Units CF'!$I$56*'Units CF'!$I$62*'Units CF'!$I$68*'Units CF'!$I$73)</f>
        <v>220.22660048949402</v>
      </c>
      <c r="G810" s="115">
        <f ca="1">G51*'Units CF'!$I$32*('Units CF'!$I$39*'Units CF'!$I$46+'Units CF'!$I$37)*('Units CF'!$I$48*'Units CF'!$I$54*'Units CF'!$I$62*'Units CF'!$I$68*'Units CF'!$I$73+'Units CF'!$I$49*'Units CF'!$I$56*'Units CF'!$I$62*'Units CF'!$I$68*'Units CF'!$I$73)</f>
        <v>176.69261366832913</v>
      </c>
      <c r="H810" s="115">
        <f>H51*'Units CF'!$I$32*('Units CF'!$I$39*'Units CF'!$I$46+'Units CF'!$I$37)*('Units CF'!$I$48*'Units CF'!$I$54*'Units CF'!$I$62*'Units CF'!$I$68*'Units CF'!$I$73+'Units CF'!$I$49*'Units CF'!$I$56*'Units CF'!$I$62*'Units CF'!$I$68*'Units CF'!$I$73)</f>
        <v>9.8981447206166795</v>
      </c>
      <c r="I810" s="115">
        <f t="shared" ref="I810:I829" ca="1" si="143">SUM(F810:H810)</f>
        <v>406.81735887843985</v>
      </c>
      <c r="J810" s="521">
        <f t="shared" ref="J810:J829" si="144">F810/$C$809</f>
        <v>4.5870985313370971E-2</v>
      </c>
      <c r="K810" s="521">
        <f t="shared" ref="K810:K829" ca="1" si="145">G810/$C$809</f>
        <v>3.6803293828021062E-2</v>
      </c>
      <c r="L810" s="521">
        <f t="shared" ref="L810:L829" si="146">H810/$C$809</f>
        <v>2.0616839659688981E-3</v>
      </c>
      <c r="M810" s="298">
        <f t="shared" ref="M810:M829" ca="1" si="147">SUM(J810:L810)</f>
        <v>8.4735963107360923E-2</v>
      </c>
      <c r="N810" s="369">
        <f t="shared" ref="N810:N829" ca="1" si="148">M810/$M$830</f>
        <v>2.4142133457985979E-2</v>
      </c>
    </row>
    <row r="811" spans="1:38" x14ac:dyDescent="0.25">
      <c r="B811" s="978"/>
      <c r="C811" s="981"/>
      <c r="D811" s="388" t="s">
        <v>1446</v>
      </c>
      <c r="E811" s="548" t="s">
        <v>595</v>
      </c>
      <c r="F811" s="115">
        <f>F52*'Units CF'!$I$32*('Units CF'!$I$39*'Units CF'!$I$46+'Units CF'!$I$37)*('Units CF'!$I$48*'Units CF'!$I$54*'Units CF'!$I$62*'Units CF'!$I$68*'Units CF'!$I$73+'Units CF'!$I$49*'Units CF'!$I$56*'Units CF'!$I$62*'Units CF'!$I$68*'Units CF'!$I$73)</f>
        <v>1.1116480076766783E-3</v>
      </c>
      <c r="G811" s="115">
        <f ca="1">G52*'Units CF'!$I$32*('Units CF'!$I$39*'Units CF'!$I$46+'Units CF'!$I$37)*('Units CF'!$I$48*'Units CF'!$I$54*'Units CF'!$I$62*'Units CF'!$I$68*'Units CF'!$I$73+'Units CF'!$I$49*'Units CF'!$I$56*'Units CF'!$I$62*'Units CF'!$I$68*'Units CF'!$I$73)</f>
        <v>7.4145467914045249E-2</v>
      </c>
      <c r="H811" s="115">
        <f>H52*'Units CF'!$I$32*('Units CF'!$I$39*'Units CF'!$I$46+'Units CF'!$I$37)*('Units CF'!$I$48*'Units CF'!$I$54*'Units CF'!$I$62*'Units CF'!$I$68*'Units CF'!$I$73+'Units CF'!$I$49*'Units CF'!$I$56*'Units CF'!$I$62*'Units CF'!$I$68*'Units CF'!$I$73)</f>
        <v>0.69493212861606735</v>
      </c>
      <c r="I811" s="115">
        <f t="shared" ca="1" si="143"/>
        <v>0.77018924453778925</v>
      </c>
      <c r="J811" s="521">
        <f t="shared" si="144"/>
        <v>2.3154509637089739E-7</v>
      </c>
      <c r="K811" s="521">
        <f t="shared" ca="1" si="145"/>
        <v>1.5443755033127526E-5</v>
      </c>
      <c r="L811" s="521">
        <f t="shared" si="146"/>
        <v>1.4474737109270306E-4</v>
      </c>
      <c r="M811" s="298">
        <f t="shared" ca="1" si="147"/>
        <v>1.6042267122220148E-4</v>
      </c>
      <c r="N811" s="369">
        <f t="shared" ca="1" si="148"/>
        <v>4.5706042585790308E-5</v>
      </c>
    </row>
    <row r="812" spans="1:38" x14ac:dyDescent="0.25">
      <c r="B812" s="978"/>
      <c r="C812" s="981"/>
      <c r="D812" s="388" t="s">
        <v>1447</v>
      </c>
      <c r="E812" s="548" t="s">
        <v>596</v>
      </c>
      <c r="F812" s="115">
        <f>F53*'Units CF'!$I$32*('Units CF'!$I$39*'Units CF'!$I$46+'Units CF'!$I$37)*('Units CF'!$I$48*'Units CF'!$I$54*'Units CF'!$I$62*'Units CF'!$I$68*'Units CF'!$I$73+'Units CF'!$I$49*'Units CF'!$I$56*'Units CF'!$I$62*'Units CF'!$I$68*'Units CF'!$I$73)</f>
        <v>9.9817402835401694</v>
      </c>
      <c r="G812" s="115">
        <f ca="1">G53*'Units CF'!$I$32*('Units CF'!$I$39*'Units CF'!$I$46+'Units CF'!$I$37)*('Units CF'!$I$48*'Units CF'!$I$54*'Units CF'!$I$62*'Units CF'!$I$68*'Units CF'!$I$73+'Units CF'!$I$49*'Units CF'!$I$56*'Units CF'!$I$62*'Units CF'!$I$68*'Units CF'!$I$73)</f>
        <v>96.579148663065183</v>
      </c>
      <c r="H812" s="115">
        <f>H53*'Units CF'!$I$32*('Units CF'!$I$39*'Units CF'!$I$46+'Units CF'!$I$37)*('Units CF'!$I$48*'Units CF'!$I$54*'Units CF'!$I$62*'Units CF'!$I$68*'Units CF'!$I$73+'Units CF'!$I$49*'Units CF'!$I$56*'Units CF'!$I$62*'Units CF'!$I$68*'Units CF'!$I$73)</f>
        <v>5.1148199226921198</v>
      </c>
      <c r="I812" s="115">
        <f t="shared" ca="1" si="143"/>
        <v>111.67570886929748</v>
      </c>
      <c r="J812" s="521">
        <f t="shared" si="144"/>
        <v>2.0790960807207186E-3</v>
      </c>
      <c r="K812" s="521">
        <f t="shared" ca="1" si="145"/>
        <v>2.0116465041254986E-2</v>
      </c>
      <c r="L812" s="521">
        <f t="shared" si="146"/>
        <v>1.0653655327415371E-3</v>
      </c>
      <c r="M812" s="298">
        <f t="shared" ca="1" si="147"/>
        <v>2.326092665471724E-2</v>
      </c>
      <c r="N812" s="369">
        <f t="shared" ca="1" si="148"/>
        <v>6.6272734156936032E-3</v>
      </c>
    </row>
    <row r="813" spans="1:38" x14ac:dyDescent="0.25">
      <c r="B813" s="978"/>
      <c r="C813" s="981"/>
      <c r="D813" s="388" t="s">
        <v>1448</v>
      </c>
      <c r="E813" s="548" t="s">
        <v>598</v>
      </c>
      <c r="F813" s="115">
        <f>F54*'Units CF'!$I$32*('Units CF'!$I$39*'Units CF'!$I$46+'Units CF'!$I$37)*('Units CF'!$I$48*'Units CF'!$I$54*'Units CF'!$I$62*'Units CF'!$I$68*'Units CF'!$I$73+'Units CF'!$I$49*'Units CF'!$I$56*'Units CF'!$I$62*'Units CF'!$I$68*'Units CF'!$I$73)</f>
        <v>306.44997606925426</v>
      </c>
      <c r="G813" s="115">
        <f ca="1">G54*'Units CF'!$I$32*('Units CF'!$I$39*'Units CF'!$I$46+'Units CF'!$I$37)*('Units CF'!$I$48*'Units CF'!$I$54*'Units CF'!$I$62*'Units CF'!$I$68*'Units CF'!$I$73+'Units CF'!$I$49*'Units CF'!$I$56*'Units CF'!$I$62*'Units CF'!$I$68*'Units CF'!$I$73)</f>
        <v>74.565181313385139</v>
      </c>
      <c r="H813" s="115">
        <f>H54*'Units CF'!$I$32*('Units CF'!$I$39*'Units CF'!$I$46+'Units CF'!$I$37)*('Units CF'!$I$48*'Units CF'!$I$54*'Units CF'!$I$62*'Units CF'!$I$68*'Units CF'!$I$73+'Units CF'!$I$49*'Units CF'!$I$56*'Units CF'!$I$62*'Units CF'!$I$68*'Units CF'!$I$73)</f>
        <v>111.41480380410368</v>
      </c>
      <c r="I813" s="115">
        <f t="shared" ca="1" si="143"/>
        <v>492.42996118674307</v>
      </c>
      <c r="J813" s="521">
        <f t="shared" si="144"/>
        <v>6.3830447004635332E-2</v>
      </c>
      <c r="K813" s="521">
        <f t="shared" ca="1" si="145"/>
        <v>1.5531177111723629E-2</v>
      </c>
      <c r="L813" s="521">
        <f t="shared" si="146"/>
        <v>2.3206582754447758E-2</v>
      </c>
      <c r="M813" s="298">
        <f t="shared" ca="1" si="147"/>
        <v>0.10256820687080671</v>
      </c>
      <c r="N813" s="369">
        <f t="shared" ca="1" si="148"/>
        <v>2.9222720177074661E-2</v>
      </c>
    </row>
    <row r="814" spans="1:38" x14ac:dyDescent="0.25">
      <c r="B814" s="978"/>
      <c r="C814" s="981"/>
      <c r="D814" s="388" t="s">
        <v>1449</v>
      </c>
      <c r="E814" s="548" t="s">
        <v>599</v>
      </c>
      <c r="F814" s="115">
        <f>F55*'Units CF'!$I$32*('Units CF'!$I$39*'Units CF'!$I$46+'Units CF'!$I$37)*('Units CF'!$I$48*'Units CF'!$I$54*'Units CF'!$I$62*'Units CF'!$I$68*'Units CF'!$I$73+'Units CF'!$I$49*'Units CF'!$I$56*'Units CF'!$I$62*'Units CF'!$I$68*'Units CF'!$I$73)</f>
        <v>625.36419608835604</v>
      </c>
      <c r="G814" s="115">
        <f ca="1">G55*'Units CF'!$I$32*('Units CF'!$I$39*'Units CF'!$I$46+'Units CF'!$I$37)*('Units CF'!$I$48*'Units CF'!$I$54*'Units CF'!$I$62*'Units CF'!$I$68*'Units CF'!$I$73+'Units CF'!$I$49*'Units CF'!$I$56*'Units CF'!$I$62*'Units CF'!$I$68*'Units CF'!$I$73)</f>
        <v>2806.5395965416706</v>
      </c>
      <c r="H814" s="115">
        <f>H55*'Units CF'!$I$32*('Units CF'!$I$39*'Units CF'!$I$46+'Units CF'!$I$37)*('Units CF'!$I$48*'Units CF'!$I$54*'Units CF'!$I$62*'Units CF'!$I$68*'Units CF'!$I$73+'Units CF'!$I$49*'Units CF'!$I$56*'Units CF'!$I$62*'Units CF'!$I$68*'Units CF'!$I$73)</f>
        <v>531.67182718800939</v>
      </c>
      <c r="I814" s="115">
        <f t="shared" ca="1" si="143"/>
        <v>3963.5756198180361</v>
      </c>
      <c r="J814" s="521">
        <f t="shared" si="144"/>
        <v>0.13025707062869318</v>
      </c>
      <c r="K814" s="521">
        <f t="shared" ca="1" si="145"/>
        <v>0.58457396303721532</v>
      </c>
      <c r="L814" s="521">
        <f t="shared" si="146"/>
        <v>0.11074189276984157</v>
      </c>
      <c r="M814" s="298">
        <f t="shared" ca="1" si="147"/>
        <v>0.82557292643575009</v>
      </c>
      <c r="N814" s="369">
        <f t="shared" ca="1" si="148"/>
        <v>0.23521408193660487</v>
      </c>
    </row>
    <row r="815" spans="1:38" x14ac:dyDescent="0.25">
      <c r="B815" s="978"/>
      <c r="C815" s="981"/>
      <c r="D815" s="388" t="s">
        <v>1450</v>
      </c>
      <c r="E815" s="548" t="s">
        <v>600</v>
      </c>
      <c r="F815" s="115">
        <f>F56*'Units CF'!$I$32*('Units CF'!$I$39*'Units CF'!$I$46+'Units CF'!$I$37)*('Units CF'!$I$48*'Units CF'!$I$54*'Units CF'!$I$62*'Units CF'!$I$68*'Units CF'!$I$73+'Units CF'!$I$49*'Units CF'!$I$56*'Units CF'!$I$62*'Units CF'!$I$68*'Units CF'!$I$73)</f>
        <v>512.81087346341349</v>
      </c>
      <c r="G815" s="115">
        <f ca="1">G56*'Units CF'!$I$32*('Units CF'!$I$39*'Units CF'!$I$46+'Units CF'!$I$37)*('Units CF'!$I$48*'Units CF'!$I$54*'Units CF'!$I$62*'Units CF'!$I$68*'Units CF'!$I$73+'Units CF'!$I$49*'Units CF'!$I$56*'Units CF'!$I$62*'Units CF'!$I$68*'Units CF'!$I$73)</f>
        <v>2.358334102236475E-2</v>
      </c>
      <c r="H815" s="115">
        <f>H56*'Units CF'!$I$32*('Units CF'!$I$39*'Units CF'!$I$46+'Units CF'!$I$37)*('Units CF'!$I$48*'Units CF'!$I$54*'Units CF'!$I$62*'Units CF'!$I$68*'Units CF'!$I$73+'Units CF'!$I$49*'Units CF'!$I$56*'Units CF'!$I$62*'Units CF'!$I$68*'Units CF'!$I$73)</f>
        <v>6.0338457066334357</v>
      </c>
      <c r="I815" s="115">
        <f t="shared" ca="1" si="143"/>
        <v>518.86830251106926</v>
      </c>
      <c r="J815" s="521">
        <f t="shared" si="144"/>
        <v>0.10681334585782409</v>
      </c>
      <c r="K815" s="521">
        <f t="shared" ca="1" si="145"/>
        <v>4.9121726770182773E-6</v>
      </c>
      <c r="L815" s="521">
        <f t="shared" si="146"/>
        <v>1.2567893577657646E-3</v>
      </c>
      <c r="M815" s="298">
        <f t="shared" ca="1" si="147"/>
        <v>0.10807504738826688</v>
      </c>
      <c r="N815" s="369">
        <f t="shared" ca="1" si="148"/>
        <v>3.0791674772373514E-2</v>
      </c>
    </row>
    <row r="816" spans="1:38" x14ac:dyDescent="0.25">
      <c r="B816" s="978"/>
      <c r="C816" s="981"/>
      <c r="D816" s="388" t="s">
        <v>1451</v>
      </c>
      <c r="E816" s="548" t="s">
        <v>601</v>
      </c>
      <c r="F816" s="115">
        <f>F57*'Units CF'!$I$32*('Units CF'!$I$39*'Units CF'!$I$46+'Units CF'!$I$37)*('Units CF'!$I$48*'Units CF'!$I$54*'Units CF'!$I$62*'Units CF'!$I$68*'Units CF'!$I$73+'Units CF'!$I$49*'Units CF'!$I$56*'Units CF'!$I$62*'Units CF'!$I$68*'Units CF'!$I$73)</f>
        <v>4245.9774037504485</v>
      </c>
      <c r="G816" s="115">
        <f ca="1">G57*'Units CF'!$I$32*('Units CF'!$I$39*'Units CF'!$I$46+'Units CF'!$I$37)*('Units CF'!$I$48*'Units CF'!$I$54*'Units CF'!$I$62*'Units CF'!$I$68*'Units CF'!$I$73+'Units CF'!$I$49*'Units CF'!$I$56*'Units CF'!$I$62*'Units CF'!$I$68*'Units CF'!$I$73)</f>
        <v>359.32726186490123</v>
      </c>
      <c r="H816" s="115">
        <f>H57*'Units CF'!$I$32*('Units CF'!$I$39*'Units CF'!$I$46+'Units CF'!$I$37)*('Units CF'!$I$48*'Units CF'!$I$54*'Units CF'!$I$62*'Units CF'!$I$68*'Units CF'!$I$73+'Units CF'!$I$49*'Units CF'!$I$56*'Units CF'!$I$62*'Units CF'!$I$68*'Units CF'!$I$73)</f>
        <v>3031.6592370128701</v>
      </c>
      <c r="I816" s="115">
        <f t="shared" ca="1" si="143"/>
        <v>7636.9639026282202</v>
      </c>
      <c r="J816" s="521">
        <f t="shared" si="144"/>
        <v>0.88439437695281164</v>
      </c>
      <c r="K816" s="521">
        <f t="shared" ca="1" si="145"/>
        <v>7.4844253669006711E-2</v>
      </c>
      <c r="L816" s="521">
        <f t="shared" si="146"/>
        <v>0.6314641193528161</v>
      </c>
      <c r="M816" s="298">
        <f t="shared" ca="1" si="147"/>
        <v>1.5907027499746345</v>
      </c>
      <c r="N816" s="369">
        <f t="shared" ca="1" si="148"/>
        <v>0.4532073121446224</v>
      </c>
    </row>
    <row r="817" spans="2:14" x14ac:dyDescent="0.25">
      <c r="B817" s="978"/>
      <c r="C817" s="981"/>
      <c r="D817" s="388" t="s">
        <v>1452</v>
      </c>
      <c r="E817" s="548" t="s">
        <v>602</v>
      </c>
      <c r="F817" s="115">
        <f>F58*'Units CF'!$I$32*('Units CF'!$I$39*'Units CF'!$I$46+'Units CF'!$I$37)*('Units CF'!$I$48*'Units CF'!$I$54*'Units CF'!$I$62*'Units CF'!$I$68*'Units CF'!$I$73+'Units CF'!$I$49*'Units CF'!$I$56*'Units CF'!$I$62*'Units CF'!$I$68*'Units CF'!$I$73)</f>
        <v>9.6323203380762248</v>
      </c>
      <c r="G817" s="115">
        <f ca="1">G58*'Units CF'!$I$32*('Units CF'!$I$39*'Units CF'!$I$46+'Units CF'!$I$37)*('Units CF'!$I$48*'Units CF'!$I$54*'Units CF'!$I$62*'Units CF'!$I$68*'Units CF'!$I$73+'Units CF'!$I$49*'Units CF'!$I$56*'Units CF'!$I$62*'Units CF'!$I$68*'Units CF'!$I$73)</f>
        <v>2.0006281898780984</v>
      </c>
      <c r="H817" s="115">
        <f>H58*'Units CF'!$I$32*('Units CF'!$I$39*'Units CF'!$I$46+'Units CF'!$I$37)*('Units CF'!$I$48*'Units CF'!$I$54*'Units CF'!$I$62*'Units CF'!$I$68*'Units CF'!$I$73+'Units CF'!$I$49*'Units CF'!$I$56*'Units CF'!$I$62*'Units CF'!$I$68*'Units CF'!$I$73)</f>
        <v>19.951617262446842</v>
      </c>
      <c r="I817" s="115">
        <f t="shared" ca="1" si="143"/>
        <v>31.584565790401165</v>
      </c>
      <c r="J817" s="521">
        <f t="shared" si="144"/>
        <v>2.0063154213864247E-3</v>
      </c>
      <c r="K817" s="521">
        <f t="shared" ca="1" si="145"/>
        <v>4.1671072482359891E-4</v>
      </c>
      <c r="L817" s="521">
        <f t="shared" si="146"/>
        <v>4.1557211544359183E-3</v>
      </c>
      <c r="M817" s="298">
        <f t="shared" ca="1" si="147"/>
        <v>6.5787473006459415E-3</v>
      </c>
      <c r="N817" s="369">
        <f t="shared" ca="1" si="148"/>
        <v>1.874351686040639E-3</v>
      </c>
    </row>
    <row r="818" spans="2:14" x14ac:dyDescent="0.25">
      <c r="B818" s="978"/>
      <c r="C818" s="981"/>
      <c r="D818" s="388" t="s">
        <v>19</v>
      </c>
      <c r="E818" s="548" t="s">
        <v>603</v>
      </c>
      <c r="F818" s="115">
        <f>F59*'Units CF'!$I$32*('Units CF'!$I$39*'Units CF'!$I$46+'Units CF'!$I$37)*('Units CF'!$I$48*'Units CF'!$I$54*'Units CF'!$I$62*'Units CF'!$I$68*'Units CF'!$I$73+'Units CF'!$I$49*'Units CF'!$I$56*'Units CF'!$I$62*'Units CF'!$I$68*'Units CF'!$I$73)</f>
        <v>152.14886312362665</v>
      </c>
      <c r="G818" s="115">
        <f ca="1">G59*'Units CF'!$I$32*('Units CF'!$I$39*'Units CF'!$I$46+'Units CF'!$I$37)*('Units CF'!$I$48*'Units CF'!$I$54*'Units CF'!$I$62*'Units CF'!$I$68*'Units CF'!$I$73+'Units CF'!$I$49*'Units CF'!$I$56*'Units CF'!$I$62*'Units CF'!$I$68*'Units CF'!$I$73)</f>
        <v>10.671230700681081</v>
      </c>
      <c r="H818" s="115">
        <f>H59*'Units CF'!$I$32*('Units CF'!$I$39*'Units CF'!$I$46+'Units CF'!$I$37)*('Units CF'!$I$48*'Units CF'!$I$54*'Units CF'!$I$62*'Units CF'!$I$68*'Units CF'!$I$73+'Units CF'!$I$49*'Units CF'!$I$56*'Units CF'!$I$62*'Units CF'!$I$68*'Units CF'!$I$73)</f>
        <v>125.86096994350126</v>
      </c>
      <c r="I818" s="115">
        <f t="shared" ca="1" si="143"/>
        <v>288.68106376780901</v>
      </c>
      <c r="J818" s="521">
        <f t="shared" si="144"/>
        <v>3.1691077509607715E-2</v>
      </c>
      <c r="K818" s="521">
        <f t="shared" ca="1" si="145"/>
        <v>2.222709998058963E-3</v>
      </c>
      <c r="L818" s="521">
        <f t="shared" si="146"/>
        <v>2.6215573827015469E-2</v>
      </c>
      <c r="M818" s="298">
        <f t="shared" ca="1" si="147"/>
        <v>6.0129361334682149E-2</v>
      </c>
      <c r="N818" s="369">
        <f t="shared" ca="1" si="148"/>
        <v>1.7131463582305762E-2</v>
      </c>
    </row>
    <row r="819" spans="2:14" x14ac:dyDescent="0.25">
      <c r="B819" s="978"/>
      <c r="C819" s="981"/>
      <c r="D819" s="388" t="s">
        <v>1453</v>
      </c>
      <c r="E819" s="548" t="s">
        <v>604</v>
      </c>
      <c r="F819" s="115">
        <f>F60*'Units CF'!$I$32*('Units CF'!$I$39*'Units CF'!$I$46+'Units CF'!$I$37)*('Units CF'!$I$48*'Units CF'!$I$54*'Units CF'!$I$62*'Units CF'!$I$68*'Units CF'!$I$73+'Units CF'!$I$49*'Units CF'!$I$56*'Units CF'!$I$62*'Units CF'!$I$68*'Units CF'!$I$73)</f>
        <v>5.2596202681619859</v>
      </c>
      <c r="G819" s="115">
        <f ca="1">G60*'Units CF'!$I$32*('Units CF'!$I$39*'Units CF'!$I$46+'Units CF'!$I$37)*('Units CF'!$I$48*'Units CF'!$I$54*'Units CF'!$I$62*'Units CF'!$I$68*'Units CF'!$I$73+'Units CF'!$I$49*'Units CF'!$I$56*'Units CF'!$I$62*'Units CF'!$I$68*'Units CF'!$I$73)</f>
        <v>13.314804537264139</v>
      </c>
      <c r="H819" s="115">
        <f>H60*'Units CF'!$I$32*('Units CF'!$I$39*'Units CF'!$I$46+'Units CF'!$I$37)*('Units CF'!$I$48*'Units CF'!$I$54*'Units CF'!$I$62*'Units CF'!$I$68*'Units CF'!$I$73+'Units CF'!$I$49*'Units CF'!$I$56*'Units CF'!$I$62*'Units CF'!$I$68*'Units CF'!$I$73)</f>
        <v>73.675834531788922</v>
      </c>
      <c r="I819" s="115">
        <f t="shared" ca="1" si="143"/>
        <v>92.250259337215056</v>
      </c>
      <c r="J819" s="521">
        <f t="shared" si="144"/>
        <v>1.0955259879529234E-3</v>
      </c>
      <c r="K819" s="521">
        <f t="shared" ca="1" si="145"/>
        <v>2.773339832798196E-3</v>
      </c>
      <c r="L819" s="521">
        <f t="shared" si="146"/>
        <v>1.5345935124305128E-2</v>
      </c>
      <c r="M819" s="298">
        <f t="shared" ca="1" si="147"/>
        <v>1.9214800945056249E-2</v>
      </c>
      <c r="N819" s="369">
        <f t="shared" ca="1" si="148"/>
        <v>5.4744912522730954E-3</v>
      </c>
    </row>
    <row r="820" spans="2:14" x14ac:dyDescent="0.25">
      <c r="B820" s="978"/>
      <c r="C820" s="981"/>
      <c r="D820" s="388" t="s">
        <v>1454</v>
      </c>
      <c r="E820" s="548" t="s">
        <v>605</v>
      </c>
      <c r="F820" s="115">
        <f>F61*'Units CF'!$I$32*('Units CF'!$I$39*'Units CF'!$I$46+'Units CF'!$I$37)*('Units CF'!$I$48*'Units CF'!$I$54*'Units CF'!$I$62*'Units CF'!$I$68*'Units CF'!$I$73+'Units CF'!$I$49*'Units CF'!$I$56*'Units CF'!$I$62*'Units CF'!$I$68*'Units CF'!$I$73)</f>
        <v>1.6786275847309018</v>
      </c>
      <c r="G820" s="115">
        <f ca="1">G61*'Units CF'!$I$32*('Units CF'!$I$39*'Units CF'!$I$46+'Units CF'!$I$37)*('Units CF'!$I$48*'Units CF'!$I$54*'Units CF'!$I$62*'Units CF'!$I$68*'Units CF'!$I$73+'Units CF'!$I$49*'Units CF'!$I$56*'Units CF'!$I$62*'Units CF'!$I$68*'Units CF'!$I$73)</f>
        <v>2.3942761192100814</v>
      </c>
      <c r="H820" s="115">
        <f>H61*'Units CF'!$I$32*('Units CF'!$I$39*'Units CF'!$I$46+'Units CF'!$I$37)*('Units CF'!$I$48*'Units CF'!$I$54*'Units CF'!$I$62*'Units CF'!$I$68*'Units CF'!$I$73+'Units CF'!$I$49*'Units CF'!$I$56*'Units CF'!$I$62*'Units CF'!$I$68*'Units CF'!$I$73)</f>
        <v>29.05644337170278</v>
      </c>
      <c r="I820" s="115">
        <f t="shared" ca="1" si="143"/>
        <v>33.129347075643764</v>
      </c>
      <c r="J820" s="521">
        <f t="shared" si="144"/>
        <v>3.4964123822764045E-4</v>
      </c>
      <c r="K820" s="521">
        <f t="shared" ca="1" si="145"/>
        <v>4.9870362824621566E-4</v>
      </c>
      <c r="L820" s="521">
        <f t="shared" si="146"/>
        <v>6.0521648347641697E-3</v>
      </c>
      <c r="M820" s="298">
        <f t="shared" ca="1" si="147"/>
        <v>6.900509701238026E-3</v>
      </c>
      <c r="N820" s="369">
        <f t="shared" ca="1" si="148"/>
        <v>1.9660250503595635E-3</v>
      </c>
    </row>
    <row r="821" spans="2:14" x14ac:dyDescent="0.25">
      <c r="B821" s="978"/>
      <c r="C821" s="981"/>
      <c r="D821" s="388" t="s">
        <v>1455</v>
      </c>
      <c r="E821" s="548" t="s">
        <v>636</v>
      </c>
      <c r="F821" s="115">
        <f>'Units CF'!L35*('Units CF'!$I$39*'Units CF'!$I$46+'Units CF'!$I$37)*('Units CF'!$I$48*'Units CF'!$I$54*'Units CF'!$I$62*'Units CF'!$I$68*'Units CF'!$I$73+'Units CF'!$I$49*'Units CF'!$I$56*'Units CF'!$I$62*'Units CF'!$I$68*'Units CF'!$I$73)</f>
        <v>66.20508450383808</v>
      </c>
      <c r="G821" s="115">
        <f ca="1">'Units CF'!M35*('Units CF'!$I$39*'Units CF'!$I$46+'Units CF'!$I$37)*('Units CF'!$I$48*'Units CF'!$I$54*'Units CF'!$I$62*'Units CF'!$I$68*'Units CF'!$I$73+'Units CF'!$I$49*'Units CF'!$I$56*'Units CF'!$I$62*'Units CF'!$I$68*'Units CF'!$I$73)</f>
        <v>187.5584914815465</v>
      </c>
      <c r="H821" s="115">
        <f>'Units CF'!N35*('Units CF'!$I$39*'Units CF'!$I$46+'Units CF'!$I$37)*('Units CF'!$I$48*'Units CF'!$I$54*'Units CF'!$I$62*'Units CF'!$I$68*'Units CF'!$I$73+'Units CF'!$I$49*'Units CF'!$I$56*'Units CF'!$I$62*'Units CF'!$I$68*'Units CF'!$I$73)</f>
        <v>264.31576105807954</v>
      </c>
      <c r="I821" s="115">
        <f t="shared" ca="1" si="143"/>
        <v>518.07933704346419</v>
      </c>
      <c r="J821" s="521">
        <f t="shared" si="144"/>
        <v>1.3789853052247048E-2</v>
      </c>
      <c r="K821" s="521">
        <f t="shared" ca="1" si="145"/>
        <v>3.9066546861392729E-2</v>
      </c>
      <c r="L821" s="521">
        <f t="shared" si="146"/>
        <v>5.5054313905036359E-2</v>
      </c>
      <c r="M821" s="298">
        <f t="shared" ca="1" si="147"/>
        <v>0.10791071381867613</v>
      </c>
      <c r="N821" s="369">
        <f t="shared" ca="1" si="148"/>
        <v>3.0744854475262352E-2</v>
      </c>
    </row>
    <row r="822" spans="2:14" x14ac:dyDescent="0.25">
      <c r="B822" s="978"/>
      <c r="C822" s="981"/>
      <c r="D822" s="388" t="s">
        <v>1459</v>
      </c>
      <c r="E822" s="548" t="s">
        <v>641</v>
      </c>
      <c r="F822" s="115">
        <f>'Units CF'!L45*'Units CF'!$I$46*('Units CF'!$I$48*'Units CF'!$I$54*'Units CF'!$I$62*'Units CF'!$I$68*'Units CF'!$I$73+'Units CF'!$I$49*'Units CF'!$I$56*'Units CF'!$I$62*'Units CF'!$I$68*'Units CF'!$I$73)</f>
        <v>0.98313889145783528</v>
      </c>
      <c r="G822" s="115">
        <f ca="1">'Units CF'!M45*'Units CF'!$I$46*('Units CF'!$I$48*'Units CF'!$I$54*'Units CF'!$I$62*'Units CF'!$I$68*'Units CF'!$I$73+'Units CF'!$I$49*'Units CF'!$I$56*'Units CF'!$I$62*'Units CF'!$I$68*'Units CF'!$I$73)</f>
        <v>2.0481730814368304</v>
      </c>
      <c r="H822" s="115">
        <f>'Units CF'!N45*'Units CF'!$I$46*('Units CF'!$I$48*'Units CF'!$I$54*'Units CF'!$I$62*'Units CF'!$I$68*'Units CF'!$I$73+'Units CF'!$I$49*'Units CF'!$I$56*'Units CF'!$I$62*'Units CF'!$I$68*'Units CF'!$I$73)</f>
        <v>13.961993718478457</v>
      </c>
      <c r="I822" s="115">
        <f t="shared" ca="1" si="143"/>
        <v>16.993305691373124</v>
      </c>
      <c r="J822" s="521">
        <f t="shared" si="144"/>
        <v>2.0477794031614982E-4</v>
      </c>
      <c r="K822" s="521">
        <f t="shared" ca="1" si="145"/>
        <v>4.2661384741446163E-4</v>
      </c>
      <c r="L822" s="521">
        <f t="shared" si="146"/>
        <v>2.9081428282604575E-3</v>
      </c>
      <c r="M822" s="298">
        <f t="shared" ca="1" si="147"/>
        <v>3.5395346159910689E-3</v>
      </c>
      <c r="N822" s="369">
        <f t="shared" ca="1" si="148"/>
        <v>1.0084492338884436E-3</v>
      </c>
    </row>
    <row r="823" spans="2:14" x14ac:dyDescent="0.25">
      <c r="B823" s="978"/>
      <c r="C823" s="981"/>
      <c r="D823" s="388" t="s">
        <v>1460</v>
      </c>
      <c r="E823" s="548" t="s">
        <v>1443</v>
      </c>
      <c r="F823" s="115">
        <f>'Units CF'!L47*('Units CF'!$I$48*'Units CF'!$I$54*'Units CF'!$I$62*'Units CF'!$I$68*'Units CF'!$I$73+'Units CF'!$I$49*'Units CF'!$I$56*'Units CF'!$I$62*'Units CF'!$I$68*'Units CF'!$I$73)</f>
        <v>19.812812520869624</v>
      </c>
      <c r="G823" s="115">
        <f ca="1">'Units CF'!M47*('Units CF'!$I$48*'Units CF'!$I$54*'Units CF'!$I$62*'Units CF'!$I$68*'Units CF'!$I$73+'Units CF'!$I$49*'Units CF'!$I$56*'Units CF'!$I$62*'Units CF'!$I$68*'Units CF'!$I$73)</f>
        <v>19.548670355380761</v>
      </c>
      <c r="H823" s="115">
        <f>'Units CF'!N47*('Units CF'!$I$48*'Units CF'!$I$54*'Units CF'!$I$62*'Units CF'!$I$68*'Units CF'!$I$73+'Units CF'!$I$49*'Units CF'!$I$56*'Units CF'!$I$62*'Units CF'!$I$68*'Units CF'!$I$73)</f>
        <v>98.059207946628476</v>
      </c>
      <c r="I823" s="115">
        <f t="shared" ca="1" si="143"/>
        <v>137.42069082287887</v>
      </c>
      <c r="J823" s="521">
        <f t="shared" si="144"/>
        <v>4.1268095231971726E-3</v>
      </c>
      <c r="K823" s="521">
        <f t="shared" ca="1" si="145"/>
        <v>4.0717913675027617E-3</v>
      </c>
      <c r="L823" s="521">
        <f t="shared" si="146"/>
        <v>2.042474650002676E-2</v>
      </c>
      <c r="M823" s="298">
        <f t="shared" ca="1" si="147"/>
        <v>2.8623347390726694E-2</v>
      </c>
      <c r="N823" s="369">
        <f t="shared" ca="1" si="148"/>
        <v>8.1550813536595025E-3</v>
      </c>
    </row>
    <row r="824" spans="2:14" x14ac:dyDescent="0.25">
      <c r="B824" s="978"/>
      <c r="C824" s="981"/>
      <c r="D824" s="388" t="s">
        <v>1462</v>
      </c>
      <c r="E824" s="548" t="s">
        <v>654</v>
      </c>
      <c r="F824" s="115">
        <f>'Units CF'!L51*'Units CF'!$I$54*'Units CF'!$I$62*'Units CF'!$I$68*'Units CF'!$I$73</f>
        <v>1.9564948622148748</v>
      </c>
      <c r="G824" s="115">
        <f ca="1">'Units CF'!M51*'Units CF'!$I$54*'Units CF'!$I$62*'Units CF'!$I$68*'Units CF'!$I$73</f>
        <v>0.15675638021149588</v>
      </c>
      <c r="H824" s="115">
        <f>'Units CF'!N51*'Units CF'!$I$54*'Units CF'!$I$62*'Units CF'!$I$68*'Units CF'!$I$73</f>
        <v>59.500550745597309</v>
      </c>
      <c r="I824" s="115">
        <f t="shared" ca="1" si="143"/>
        <v>61.613801988023681</v>
      </c>
      <c r="J824" s="521">
        <f t="shared" si="144"/>
        <v>4.0751819667045921E-4</v>
      </c>
      <c r="K824" s="521">
        <f t="shared" ca="1" si="145"/>
        <v>3.2650776965527155E-5</v>
      </c>
      <c r="L824" s="521">
        <f t="shared" si="146"/>
        <v>1.2393366120724288E-2</v>
      </c>
      <c r="M824" s="298">
        <f t="shared" ca="1" si="147"/>
        <v>1.2833535094360273E-2</v>
      </c>
      <c r="N824" s="369">
        <f t="shared" ca="1" si="148"/>
        <v>3.6564040299304499E-3</v>
      </c>
    </row>
    <row r="825" spans="2:14" x14ac:dyDescent="0.25">
      <c r="B825" s="978"/>
      <c r="C825" s="981"/>
      <c r="D825" s="388" t="s">
        <v>1464</v>
      </c>
      <c r="E825" s="548" t="s">
        <v>655</v>
      </c>
      <c r="F825" s="115">
        <f>'Units CF'!L56*'Units CF'!$I$56*'Units CF'!$I$62*'Units CF'!$I$68*'Units CF'!$I$73</f>
        <v>10.054355354088218</v>
      </c>
      <c r="G825" s="115">
        <f ca="1">'Units CF'!M56*'Units CF'!$I$56*'Units CF'!$I$62*'Units CF'!$I$68*'Units CF'!$I$73</f>
        <v>0.81790306644771638</v>
      </c>
      <c r="H825" s="115">
        <f>'Units CF'!N56*'Units CF'!$I$56*'Units CF'!$I$62*'Units CF'!$I$68*'Units CF'!$I$73</f>
        <v>689.28165110821828</v>
      </c>
      <c r="I825" s="115">
        <f t="shared" ca="1" si="143"/>
        <v>700.15390952875418</v>
      </c>
      <c r="J825" s="521">
        <f t="shared" si="144"/>
        <v>2.0942210693789248E-3</v>
      </c>
      <c r="K825" s="521">
        <f t="shared" ca="1" si="145"/>
        <v>1.7036098030571056E-4</v>
      </c>
      <c r="L825" s="521">
        <f t="shared" si="146"/>
        <v>0.14357043347390508</v>
      </c>
      <c r="M825" s="298">
        <f t="shared" ca="1" si="147"/>
        <v>0.14583501552358971</v>
      </c>
      <c r="N825" s="369">
        <f t="shared" ca="1" si="148"/>
        <v>4.1549871843164478E-2</v>
      </c>
    </row>
    <row r="826" spans="2:14" x14ac:dyDescent="0.25">
      <c r="B826" s="978"/>
      <c r="C826" s="981"/>
      <c r="D826" s="388" t="s">
        <v>1467</v>
      </c>
      <c r="E826" s="548" t="s">
        <v>656</v>
      </c>
      <c r="F826" s="115">
        <f>'Units CF'!L58*'Units CF'!$I$62*'Units CF'!$I$68*'Units CF'!$I$73</f>
        <v>12.361266515596055</v>
      </c>
      <c r="G826" s="115">
        <f ca="1">'Units CF'!M58*'Units CF'!$I$62*'Units CF'!$I$68*'Units CF'!$I$73</f>
        <v>1.0181453895520982</v>
      </c>
      <c r="H826" s="115">
        <f>'Units CF'!N58*'Units CF'!$I$62*'Units CF'!$I$68*'Units CF'!$I$73</f>
        <v>300.67095019723911</v>
      </c>
      <c r="I826" s="115">
        <f t="shared" ca="1" si="143"/>
        <v>314.05036210238728</v>
      </c>
      <c r="J826" s="521">
        <f t="shared" si="144"/>
        <v>2.5747274558625402E-3</v>
      </c>
      <c r="K826" s="521">
        <f t="shared" ca="1" si="145"/>
        <v>2.1206944168966843E-4</v>
      </c>
      <c r="L826" s="521">
        <f t="shared" si="146"/>
        <v>6.2626734054830061E-2</v>
      </c>
      <c r="M826" s="298">
        <f t="shared" ca="1" si="147"/>
        <v>6.5413530952382268E-2</v>
      </c>
      <c r="N826" s="369">
        <f t="shared" ca="1" si="148"/>
        <v>1.8636976984726383E-2</v>
      </c>
    </row>
    <row r="827" spans="2:14" x14ac:dyDescent="0.25">
      <c r="B827" s="978"/>
      <c r="C827" s="981"/>
      <c r="D827" s="388" t="s">
        <v>1468</v>
      </c>
      <c r="E827" s="548" t="s">
        <v>643</v>
      </c>
      <c r="F827" s="115">
        <f>'Units CF'!L62*'Units CF'!$I$62*'Units CF'!$I$68*'Units CF'!$I$73</f>
        <v>46.192084432974596</v>
      </c>
      <c r="G827" s="115">
        <f ca="1">'Units CF'!M62*'Units CF'!$I$62*'Units CF'!$I$68*'Units CF'!$I$73</f>
        <v>100.71810473345961</v>
      </c>
      <c r="H827" s="115">
        <f>'Units CF'!N62*'Units CF'!$I$62*'Units CF'!$I$68*'Units CF'!$I$73</f>
        <v>9.2596624419631972</v>
      </c>
      <c r="I827" s="115">
        <f t="shared" ca="1" si="143"/>
        <v>156.16985160839741</v>
      </c>
      <c r="J827" s="521">
        <f t="shared" si="144"/>
        <v>9.6213464763538013E-3</v>
      </c>
      <c r="K827" s="521">
        <f t="shared" ca="1" si="145"/>
        <v>2.0978567951147598E-2</v>
      </c>
      <c r="L827" s="521">
        <f t="shared" si="146"/>
        <v>1.9286945307151005E-3</v>
      </c>
      <c r="M827" s="298">
        <f t="shared" ca="1" si="147"/>
        <v>3.25286089582165E-2</v>
      </c>
      <c r="N827" s="369">
        <f t="shared" ca="1" si="148"/>
        <v>9.2677298973625755E-3</v>
      </c>
    </row>
    <row r="828" spans="2:14" x14ac:dyDescent="0.25">
      <c r="B828" s="978"/>
      <c r="C828" s="981"/>
      <c r="D828" s="388" t="s">
        <v>1470</v>
      </c>
      <c r="E828" s="548" t="s">
        <v>657</v>
      </c>
      <c r="F828" s="115">
        <f>'Units CF'!L68*'Units CF'!$I$68*'Units CF'!$I$73</f>
        <v>12.100569731371287</v>
      </c>
      <c r="G828" s="115">
        <f ca="1">'Units CF'!M68*'Units CF'!$I$68*'Units CF'!$I$73</f>
        <v>0.95832945358909738</v>
      </c>
      <c r="H828" s="115">
        <f>'Units CF'!N68*'Units CF'!$I$68*'Units CF'!$I$73</f>
        <v>425.80925512973761</v>
      </c>
      <c r="I828" s="115">
        <f t="shared" ca="1" si="143"/>
        <v>438.86815431469802</v>
      </c>
      <c r="J828" s="521">
        <f t="shared" si="144"/>
        <v>2.5204269384235135E-3</v>
      </c>
      <c r="K828" s="521">
        <f t="shared" ca="1" si="145"/>
        <v>1.9961038400106174E-4</v>
      </c>
      <c r="L828" s="521">
        <f t="shared" si="146"/>
        <v>8.8691784030355672E-2</v>
      </c>
      <c r="M828" s="298">
        <f t="shared" ca="1" si="147"/>
        <v>9.1411821352780254E-2</v>
      </c>
      <c r="N828" s="369">
        <f t="shared" ca="1" si="148"/>
        <v>2.6044153035002023E-2</v>
      </c>
    </row>
    <row r="829" spans="2:14" x14ac:dyDescent="0.25">
      <c r="B829" s="978"/>
      <c r="C829" s="981"/>
      <c r="D829" s="388" t="s">
        <v>1472</v>
      </c>
      <c r="E829" s="548" t="s">
        <v>645</v>
      </c>
      <c r="F829" s="115">
        <f>'Units CF'!L73*'Units CF'!$I$73</f>
        <v>88.924741100170593</v>
      </c>
      <c r="G829" s="115">
        <f ca="1">'Units CF'!M73*'Units CF'!$I$73</f>
        <v>15.083131465166501</v>
      </c>
      <c r="H829" s="115">
        <f>'Units CF'!N73*'Units CF'!$I$73</f>
        <v>532.38182008714944</v>
      </c>
      <c r="I829" s="115">
        <f t="shared" ca="1" si="143"/>
        <v>636.38969265248647</v>
      </c>
      <c r="J829" s="521">
        <f t="shared" si="144"/>
        <v>1.8522128952337135E-2</v>
      </c>
      <c r="K829" s="521">
        <f t="shared" ca="1" si="145"/>
        <v>3.1416645417968133E-3</v>
      </c>
      <c r="L829" s="521">
        <f t="shared" si="146"/>
        <v>0.11088977714791698</v>
      </c>
      <c r="M829" s="298">
        <f t="shared" ca="1" si="147"/>
        <v>0.13255357064205092</v>
      </c>
      <c r="N829" s="369">
        <f t="shared" ca="1" si="148"/>
        <v>3.7765853781804408E-2</v>
      </c>
    </row>
    <row r="830" spans="2:14" x14ac:dyDescent="0.25">
      <c r="B830" s="978"/>
      <c r="C830" s="981"/>
      <c r="D830" s="524"/>
      <c r="E830" s="523" t="s">
        <v>410</v>
      </c>
      <c r="F830" s="135">
        <f>SUM(F809:F829)</f>
        <v>6601.4225868537851</v>
      </c>
      <c r="G830" s="135">
        <f t="shared" ref="G830:N830" ca="1" si="149">SUM(G809:G829)</f>
        <v>3875.3132929538997</v>
      </c>
      <c r="H830" s="135">
        <f t="shared" si="149"/>
        <v>6374.1923774822089</v>
      </c>
      <c r="I830" s="135">
        <f t="shared" ca="1" si="149"/>
        <v>16850.928257289892</v>
      </c>
      <c r="J830" s="526">
        <f t="shared" si="149"/>
        <v>1.3750099118629007</v>
      </c>
      <c r="K830" s="526">
        <f t="shared" ca="1" si="149"/>
        <v>0.80718877170462433</v>
      </c>
      <c r="L830" s="526">
        <f t="shared" si="149"/>
        <v>1.327680145278527</v>
      </c>
      <c r="M830" s="974">
        <f t="shared" ca="1" si="149"/>
        <v>3.5098788288460523</v>
      </c>
      <c r="N830" s="972">
        <f t="shared" ca="1" si="149"/>
        <v>1</v>
      </c>
    </row>
    <row r="831" spans="2:14" x14ac:dyDescent="0.25">
      <c r="B831" s="979"/>
      <c r="C831" s="982"/>
      <c r="D831" s="525"/>
      <c r="E831" s="523" t="s">
        <v>309</v>
      </c>
      <c r="F831" s="135"/>
      <c r="G831" s="135"/>
      <c r="H831" s="135"/>
      <c r="I831" s="135"/>
      <c r="J831" s="527">
        <f ca="1">J830/M830</f>
        <v>0.39175423965133421</v>
      </c>
      <c r="K831" s="527">
        <f ca="1">K830/M830</f>
        <v>0.22997625019721973</v>
      </c>
      <c r="L831" s="527">
        <f ca="1">L830/M830</f>
        <v>0.37826951015144594</v>
      </c>
      <c r="M831" s="975"/>
      <c r="N831" s="973"/>
    </row>
    <row r="858" spans="1:38" ht="27.6" x14ac:dyDescent="0.25">
      <c r="A858" s="531"/>
      <c r="B858" s="532" t="s">
        <v>1398</v>
      </c>
      <c r="C858" s="533"/>
      <c r="D858" s="534" t="s">
        <v>179</v>
      </c>
      <c r="E858" s="534"/>
      <c r="F858" s="535"/>
      <c r="G858" s="533"/>
      <c r="H858" s="533"/>
      <c r="I858" s="533"/>
      <c r="J858" s="533"/>
      <c r="K858" s="533"/>
      <c r="L858" s="533"/>
      <c r="M858" s="533"/>
      <c r="N858" s="533"/>
      <c r="O858" s="533"/>
      <c r="P858" s="533"/>
      <c r="Q858" s="533"/>
      <c r="R858" s="533"/>
      <c r="S858" s="533"/>
      <c r="T858" s="533"/>
      <c r="U858" s="533"/>
      <c r="V858" s="533"/>
      <c r="W858" s="533"/>
      <c r="X858" s="533"/>
      <c r="Y858" s="533"/>
      <c r="Z858" s="533"/>
      <c r="AA858" s="533"/>
      <c r="AB858" s="533"/>
      <c r="AC858" s="533"/>
      <c r="AD858" s="533"/>
      <c r="AE858" s="533"/>
      <c r="AF858" s="533"/>
      <c r="AG858" s="533"/>
      <c r="AH858" s="533"/>
      <c r="AI858" s="533"/>
      <c r="AJ858" s="533"/>
      <c r="AK858" s="533"/>
      <c r="AL858" s="533"/>
    </row>
    <row r="861" spans="1:38" ht="27.6" x14ac:dyDescent="0.25">
      <c r="B861" s="976" t="s">
        <v>425</v>
      </c>
      <c r="C861" s="523" t="s">
        <v>408</v>
      </c>
      <c r="D861" s="976" t="s">
        <v>411</v>
      </c>
      <c r="E861" s="976" t="s">
        <v>411</v>
      </c>
      <c r="F861" s="522" t="s">
        <v>479</v>
      </c>
      <c r="G861" s="522" t="s">
        <v>480</v>
      </c>
      <c r="H861" s="522" t="s">
        <v>481</v>
      </c>
      <c r="I861" s="522" t="s">
        <v>482</v>
      </c>
      <c r="J861" s="546" t="s">
        <v>484</v>
      </c>
      <c r="K861" s="546" t="s">
        <v>483</v>
      </c>
      <c r="L861" s="546" t="s">
        <v>485</v>
      </c>
      <c r="M861" s="522" t="s">
        <v>486</v>
      </c>
      <c r="N861" s="523" t="s">
        <v>487</v>
      </c>
    </row>
    <row r="862" spans="1:38" x14ac:dyDescent="0.25">
      <c r="B862" s="976"/>
      <c r="C862" s="523" t="s">
        <v>477</v>
      </c>
      <c r="D862" s="976"/>
      <c r="E862" s="976"/>
      <c r="F862" s="523" t="s">
        <v>308</v>
      </c>
      <c r="G862" s="523" t="s">
        <v>308</v>
      </c>
      <c r="H862" s="523" t="s">
        <v>308</v>
      </c>
      <c r="I862" s="523" t="s">
        <v>308</v>
      </c>
      <c r="J862" s="547" t="s">
        <v>310</v>
      </c>
      <c r="K862" s="547" t="s">
        <v>310</v>
      </c>
      <c r="L862" s="547" t="s">
        <v>310</v>
      </c>
      <c r="M862" s="523" t="s">
        <v>310</v>
      </c>
      <c r="N862" s="523" t="s">
        <v>309</v>
      </c>
    </row>
    <row r="863" spans="1:38" x14ac:dyDescent="0.25">
      <c r="B863" s="977" t="s">
        <v>1398</v>
      </c>
      <c r="C863" s="980">
        <f>'Units CF'!F75</f>
        <v>98700</v>
      </c>
      <c r="D863" s="388" t="s">
        <v>229</v>
      </c>
      <c r="E863" s="548" t="s">
        <v>594</v>
      </c>
      <c r="F863" s="115">
        <f>F50*'Units CF'!$I$32*('Units CF'!$I$39*'Units CF'!$I$46+'Units CF'!$I$37)*('Units CF'!$I$48*'Units CF'!$I$54*'Units CF'!$I$62*'Units CF'!$I$68*'Units CF'!$I$74+'Units CF'!$I$49*'Units CF'!$I$56*'Units CF'!$I$62*'Units CF'!$I$68*'Units CF'!$I$74)</f>
        <v>5327.9674606657027</v>
      </c>
      <c r="G863" s="115">
        <f ca="1">G50*'Units CF'!$I$32*('Units CF'!$I$39*'Units CF'!$I$46+'Units CF'!$I$37)*('Units CF'!$I$48*'Units CF'!$I$54*'Units CF'!$I$62*'Units CF'!$I$68*'Units CF'!$I$74+'Units CF'!$I$49*'Units CF'!$I$56*'Units CF'!$I$62*'Units CF'!$I$68*'Units CF'!$I$74)</f>
        <v>109.86387926713303</v>
      </c>
      <c r="H863" s="115">
        <f>H50*'Units CF'!$I$32*('Units CF'!$I$39*'Units CF'!$I$46+'Units CF'!$I$37)*('Units CF'!$I$48*'Units CF'!$I$54*'Units CF'!$I$62*'Units CF'!$I$68*'Units CF'!$I$74+'Units CF'!$I$49*'Units CF'!$I$56*'Units CF'!$I$62*'Units CF'!$I$68*'Units CF'!$I$74)</f>
        <v>755.52701714807858</v>
      </c>
      <c r="I863" s="115">
        <f ca="1">SUM(F863:H863)</f>
        <v>6193.3583570809142</v>
      </c>
      <c r="J863" s="521">
        <f>F863/$C$863</f>
        <v>5.3981433238760916E-2</v>
      </c>
      <c r="K863" s="521">
        <f ca="1">G863/$C$863</f>
        <v>1.1131092124329587E-3</v>
      </c>
      <c r="L863" s="521">
        <f>H863/$C$863</f>
        <v>7.6547823419258216E-3</v>
      </c>
      <c r="M863" s="298">
        <f ca="1">SUM(J863:L863)</f>
        <v>6.2749324793119704E-2</v>
      </c>
      <c r="N863" s="369">
        <f ca="1">M863/$M$885</f>
        <v>1.7442104725513694E-2</v>
      </c>
    </row>
    <row r="864" spans="1:38" x14ac:dyDescent="0.25">
      <c r="B864" s="978"/>
      <c r="C864" s="981"/>
      <c r="D864" s="388" t="s">
        <v>1445</v>
      </c>
      <c r="E864" s="548" t="s">
        <v>597</v>
      </c>
      <c r="F864" s="115">
        <f>F51*'Units CF'!$I$32*('Units CF'!$I$39*'Units CF'!$I$46+'Units CF'!$I$37)*('Units CF'!$I$48*'Units CF'!$I$54*'Units CF'!$I$62*'Units CF'!$I$68*'Units CF'!$I$74+'Units CF'!$I$49*'Units CF'!$I$56*'Units CF'!$I$62*'Units CF'!$I$68*'Units CF'!$I$74)</f>
        <v>4632.2814518707673</v>
      </c>
      <c r="G864" s="115">
        <f ca="1">G51*'Units CF'!$I$32*('Units CF'!$I$39*'Units CF'!$I$46+'Units CF'!$I$37)*('Units CF'!$I$48*'Units CF'!$I$54*'Units CF'!$I$62*'Units CF'!$I$68*'Units CF'!$I$74+'Units CF'!$I$49*'Units CF'!$I$56*'Units CF'!$I$62*'Units CF'!$I$68*'Units CF'!$I$74)</f>
        <v>3716.5806272227064</v>
      </c>
      <c r="H864" s="115">
        <f>H51*'Units CF'!$I$32*('Units CF'!$I$39*'Units CF'!$I$46+'Units CF'!$I$37)*('Units CF'!$I$48*'Units CF'!$I$54*'Units CF'!$I$62*'Units CF'!$I$68*'Units CF'!$I$74+'Units CF'!$I$49*'Units CF'!$I$56*'Units CF'!$I$62*'Units CF'!$I$68*'Units CF'!$I$74)</f>
        <v>208.19915530336917</v>
      </c>
      <c r="I864" s="115">
        <f t="shared" ref="I864:I884" ca="1" si="150">SUM(F864:H864)</f>
        <v>8557.0612343968423</v>
      </c>
      <c r="J864" s="521">
        <f t="shared" ref="J864:J884" si="151">F864/$C$863</f>
        <v>4.6932942774779808E-2</v>
      </c>
      <c r="K864" s="521">
        <f t="shared" ref="K864:K884" ca="1" si="152">G864/$C$863</f>
        <v>3.7655325503776156E-2</v>
      </c>
      <c r="L864" s="521">
        <f t="shared" ref="L864:L884" si="153">H864/$C$863</f>
        <v>2.1094139341780059E-3</v>
      </c>
      <c r="M864" s="298">
        <f t="shared" ref="M864:M884" ca="1" si="154">SUM(J864:L864)</f>
        <v>8.6697682212733967E-2</v>
      </c>
      <c r="N864" s="369">
        <f t="shared" ref="N864:N884" ca="1" si="155">M864/$M$885</f>
        <v>2.409890556750053E-2</v>
      </c>
    </row>
    <row r="865" spans="2:14" x14ac:dyDescent="0.25">
      <c r="B865" s="978"/>
      <c r="C865" s="981"/>
      <c r="D865" s="388" t="s">
        <v>1446</v>
      </c>
      <c r="E865" s="548" t="s">
        <v>595</v>
      </c>
      <c r="F865" s="115">
        <f>F52*'Units CF'!$I$32*('Units CF'!$I$39*'Units CF'!$I$46+'Units CF'!$I$37)*('Units CF'!$I$48*'Units CF'!$I$54*'Units CF'!$I$62*'Units CF'!$I$68*'Units CF'!$I$74+'Units CF'!$I$49*'Units CF'!$I$56*'Units CF'!$I$62*'Units CF'!$I$68*'Units CF'!$I$74)</f>
        <v>2.3382581557015072E-2</v>
      </c>
      <c r="G865" s="115">
        <f ca="1">G52*'Units CF'!$I$32*('Units CF'!$I$39*'Units CF'!$I$46+'Units CF'!$I$37)*('Units CF'!$I$48*'Units CF'!$I$54*'Units CF'!$I$62*'Units CF'!$I$68*'Units CF'!$I$74+'Units CF'!$I$49*'Units CF'!$I$56*'Units CF'!$I$62*'Units CF'!$I$68*'Units CF'!$I$74)</f>
        <v>1.5595876020203829</v>
      </c>
      <c r="H865" s="115">
        <f>H52*'Units CF'!$I$32*('Units CF'!$I$39*'Units CF'!$I$46+'Units CF'!$I$37)*('Units CF'!$I$48*'Units CF'!$I$54*'Units CF'!$I$62*'Units CF'!$I$68*'Units CF'!$I$74+'Units CF'!$I$49*'Units CF'!$I$56*'Units CF'!$I$62*'Units CF'!$I$68*'Units CF'!$I$74)</f>
        <v>14.617313269796616</v>
      </c>
      <c r="I865" s="115">
        <f t="shared" ca="1" si="150"/>
        <v>16.200283453374013</v>
      </c>
      <c r="J865" s="521">
        <f t="shared" si="151"/>
        <v>2.3690558821697136E-7</v>
      </c>
      <c r="K865" s="521">
        <f t="shared" ca="1" si="152"/>
        <v>1.5801292826954233E-5</v>
      </c>
      <c r="L865" s="521">
        <f t="shared" si="153"/>
        <v>1.4809841205467696E-4</v>
      </c>
      <c r="M865" s="298">
        <f t="shared" ca="1" si="154"/>
        <v>1.6413661046984818E-4</v>
      </c>
      <c r="N865" s="369">
        <f t="shared" ca="1" si="155"/>
        <v>4.5624203265050064E-5</v>
      </c>
    </row>
    <row r="866" spans="2:14" x14ac:dyDescent="0.25">
      <c r="B866" s="978"/>
      <c r="C866" s="981"/>
      <c r="D866" s="388" t="s">
        <v>1447</v>
      </c>
      <c r="E866" s="548" t="s">
        <v>596</v>
      </c>
      <c r="F866" s="115">
        <f>F53*'Units CF'!$I$32*('Units CF'!$I$39*'Units CF'!$I$46+'Units CF'!$I$37)*('Units CF'!$I$48*'Units CF'!$I$54*'Units CF'!$I$62*'Units CF'!$I$68*'Units CF'!$I$74+'Units CF'!$I$49*'Units CF'!$I$56*'Units CF'!$I$62*'Units CF'!$I$68*'Units CF'!$I$74)</f>
        <v>209.95751771158174</v>
      </c>
      <c r="G866" s="115">
        <f ca="1">G53*'Units CF'!$I$32*('Units CF'!$I$39*'Units CF'!$I$46+'Units CF'!$I$37)*('Units CF'!$I$48*'Units CF'!$I$54*'Units CF'!$I$62*'Units CF'!$I$68*'Units CF'!$I$74+'Units CF'!$I$49*'Units CF'!$I$56*'Units CF'!$I$62*'Units CF'!$I$68*'Units CF'!$I$74)</f>
        <v>2031.4612221911345</v>
      </c>
      <c r="H866" s="115">
        <f>H53*'Units CF'!$I$32*('Units CF'!$I$39*'Units CF'!$I$46+'Units CF'!$I$37)*('Units CF'!$I$48*'Units CF'!$I$54*'Units CF'!$I$62*'Units CF'!$I$68*'Units CF'!$I$74+'Units CF'!$I$49*'Units CF'!$I$56*'Units CF'!$I$62*'Units CF'!$I$68*'Units CF'!$I$74)</f>
        <v>107.58593832390412</v>
      </c>
      <c r="I866" s="115">
        <f t="shared" ca="1" si="150"/>
        <v>2349.0046782266204</v>
      </c>
      <c r="J866" s="521">
        <f t="shared" si="151"/>
        <v>2.1272291561457118E-3</v>
      </c>
      <c r="K866" s="521">
        <f t="shared" ca="1" si="152"/>
        <v>2.0582180569312408E-2</v>
      </c>
      <c r="L866" s="521">
        <f t="shared" si="153"/>
        <v>1.0900297702523213E-3</v>
      </c>
      <c r="M866" s="298">
        <f t="shared" ca="1" si="154"/>
        <v>2.3799439495710444E-2</v>
      </c>
      <c r="N866" s="369">
        <f t="shared" ca="1" si="155"/>
        <v>6.6154068981826609E-3</v>
      </c>
    </row>
    <row r="867" spans="2:14" x14ac:dyDescent="0.25">
      <c r="B867" s="978"/>
      <c r="C867" s="981"/>
      <c r="D867" s="388" t="s">
        <v>1448</v>
      </c>
      <c r="E867" s="548" t="s">
        <v>598</v>
      </c>
      <c r="F867" s="115">
        <f>F54*'Units CF'!$I$32*('Units CF'!$I$39*'Units CF'!$I$46+'Units CF'!$I$37)*('Units CF'!$I$48*'Units CF'!$I$54*'Units CF'!$I$62*'Units CF'!$I$68*'Units CF'!$I$74+'Units CF'!$I$49*'Units CF'!$I$56*'Units CF'!$I$62*'Units CF'!$I$68*'Units CF'!$I$74)</f>
        <v>6445.917690763099</v>
      </c>
      <c r="G867" s="115">
        <f ca="1">G54*'Units CF'!$I$32*('Units CF'!$I$39*'Units CF'!$I$46+'Units CF'!$I$37)*('Units CF'!$I$48*'Units CF'!$I$54*'Units CF'!$I$62*'Units CF'!$I$68*'Units CF'!$I$74+'Units CF'!$I$49*'Units CF'!$I$56*'Units CF'!$I$62*'Units CF'!$I$68*'Units CF'!$I$74)</f>
        <v>1568.4159206274105</v>
      </c>
      <c r="H867" s="115">
        <f>H54*'Units CF'!$I$32*('Units CF'!$I$39*'Units CF'!$I$46+'Units CF'!$I$37)*('Units CF'!$I$48*'Units CF'!$I$54*'Units CF'!$I$62*'Units CF'!$I$68*'Units CF'!$I$74+'Units CF'!$I$49*'Units CF'!$I$56*'Units CF'!$I$62*'Units CF'!$I$68*'Units CF'!$I$74)</f>
        <v>2343.5167594579066</v>
      </c>
      <c r="I867" s="115">
        <f t="shared" ca="1" si="150"/>
        <v>10357.850370848417</v>
      </c>
      <c r="J867" s="521">
        <f t="shared" si="151"/>
        <v>6.5308183290406274E-2</v>
      </c>
      <c r="K867" s="521">
        <f t="shared" ca="1" si="152"/>
        <v>1.5890738810814695E-2</v>
      </c>
      <c r="L867" s="521">
        <f t="shared" si="153"/>
        <v>2.3743837481843024E-2</v>
      </c>
      <c r="M867" s="298">
        <f t="shared" ca="1" si="154"/>
        <v>0.104942759583064</v>
      </c>
      <c r="N867" s="369">
        <f t="shared" ca="1" si="155"/>
        <v>2.9170395201334642E-2</v>
      </c>
    </row>
    <row r="868" spans="2:14" x14ac:dyDescent="0.25">
      <c r="B868" s="978"/>
      <c r="C868" s="981"/>
      <c r="D868" s="388" t="s">
        <v>1449</v>
      </c>
      <c r="E868" s="548" t="s">
        <v>599</v>
      </c>
      <c r="F868" s="115">
        <f>F55*'Units CF'!$I$32*('Units CF'!$I$39*'Units CF'!$I$46+'Units CF'!$I$37)*('Units CF'!$I$48*'Units CF'!$I$54*'Units CF'!$I$62*'Units CF'!$I$68*'Units CF'!$I$74+'Units CF'!$I$49*'Units CF'!$I$56*'Units CF'!$I$62*'Units CF'!$I$68*'Units CF'!$I$74)</f>
        <v>13154.010277438581</v>
      </c>
      <c r="G868" s="115">
        <f ca="1">G55*'Units CF'!$I$32*('Units CF'!$I$39*'Units CF'!$I$46+'Units CF'!$I$37)*('Units CF'!$I$48*'Units CF'!$I$54*'Units CF'!$I$62*'Units CF'!$I$68*'Units CF'!$I$74+'Units CF'!$I$49*'Units CF'!$I$56*'Units CF'!$I$62*'Units CF'!$I$68*'Units CF'!$I$74)</f>
        <v>59033.201657313184</v>
      </c>
      <c r="H868" s="115">
        <f>H55*'Units CF'!$I$32*('Units CF'!$I$39*'Units CF'!$I$46+'Units CF'!$I$37)*('Units CF'!$I$48*'Units CF'!$I$54*'Units CF'!$I$62*'Units CF'!$I$68*'Units CF'!$I$74+'Units CF'!$I$49*'Units CF'!$I$56*'Units CF'!$I$62*'Units CF'!$I$68*'Units CF'!$I$74)</f>
        <v>11183.270041362452</v>
      </c>
      <c r="I868" s="115">
        <f t="shared" ca="1" si="150"/>
        <v>83370.481976114228</v>
      </c>
      <c r="J868" s="521">
        <f t="shared" si="151"/>
        <v>0.13327264718782758</v>
      </c>
      <c r="K868" s="521">
        <f t="shared" ca="1" si="152"/>
        <v>0.5981074129413696</v>
      </c>
      <c r="L868" s="521">
        <f t="shared" si="153"/>
        <v>0.1133056741779377</v>
      </c>
      <c r="M868" s="298">
        <f t="shared" ca="1" si="154"/>
        <v>0.84468573430713489</v>
      </c>
      <c r="N868" s="369">
        <f t="shared" ca="1" si="155"/>
        <v>0.23479291747770209</v>
      </c>
    </row>
    <row r="869" spans="2:14" x14ac:dyDescent="0.25">
      <c r="B869" s="978"/>
      <c r="C869" s="981"/>
      <c r="D869" s="388" t="s">
        <v>1450</v>
      </c>
      <c r="E869" s="548" t="s">
        <v>600</v>
      </c>
      <c r="F869" s="115">
        <f>F56*'Units CF'!$I$32*('Units CF'!$I$39*'Units CF'!$I$46+'Units CF'!$I$37)*('Units CF'!$I$48*'Units CF'!$I$54*'Units CF'!$I$62*'Units CF'!$I$68*'Units CF'!$I$74+'Units CF'!$I$49*'Units CF'!$I$56*'Units CF'!$I$62*'Units CF'!$I$68*'Units CF'!$I$74)</f>
        <v>10786.545731452365</v>
      </c>
      <c r="G869" s="115">
        <f ca="1">G56*'Units CF'!$I$32*('Units CF'!$I$39*'Units CF'!$I$46+'Units CF'!$I$37)*('Units CF'!$I$48*'Units CF'!$I$54*'Units CF'!$I$62*'Units CF'!$I$68*'Units CF'!$I$74+'Units CF'!$I$49*'Units CF'!$I$56*'Units CF'!$I$62*'Units CF'!$I$68*'Units CF'!$I$74)</f>
        <v>0.49605575778869065</v>
      </c>
      <c r="H869" s="115">
        <f>H56*'Units CF'!$I$32*('Units CF'!$I$39*'Units CF'!$I$46+'Units CF'!$I$37)*('Units CF'!$I$48*'Units CF'!$I$54*'Units CF'!$I$62*'Units CF'!$I$68*'Units CF'!$I$74+'Units CF'!$I$49*'Units CF'!$I$56*'Units CF'!$I$62*'Units CF'!$I$68*'Units CF'!$I$74)</f>
        <v>126.91687329397573</v>
      </c>
      <c r="I869" s="115">
        <f t="shared" ca="1" si="150"/>
        <v>10913.95866050413</v>
      </c>
      <c r="J869" s="521">
        <f t="shared" si="151"/>
        <v>0.10928617762363085</v>
      </c>
      <c r="K869" s="521">
        <f t="shared" ca="1" si="152"/>
        <v>5.0258942025196619E-6</v>
      </c>
      <c r="L869" s="521">
        <f t="shared" si="153"/>
        <v>1.2858852410737155E-3</v>
      </c>
      <c r="M869" s="298">
        <f t="shared" ca="1" si="154"/>
        <v>0.11057708875890709</v>
      </c>
      <c r="N869" s="369">
        <f t="shared" ca="1" si="155"/>
        <v>3.0736540492412708E-2</v>
      </c>
    </row>
    <row r="870" spans="2:14" x14ac:dyDescent="0.25">
      <c r="B870" s="978"/>
      <c r="C870" s="981"/>
      <c r="D870" s="388" t="s">
        <v>1451</v>
      </c>
      <c r="E870" s="548" t="s">
        <v>601</v>
      </c>
      <c r="F870" s="115">
        <f>F57*'Units CF'!$I$32*('Units CF'!$I$39*'Units CF'!$I$46+'Units CF'!$I$37)*('Units CF'!$I$48*'Units CF'!$I$54*'Units CF'!$I$62*'Units CF'!$I$68*'Units CF'!$I$74+'Units CF'!$I$49*'Units CF'!$I$56*'Units CF'!$I$62*'Units CF'!$I$68*'Units CF'!$I$74)</f>
        <v>89310.566156579676</v>
      </c>
      <c r="G870" s="115">
        <f ca="1">G57*'Units CF'!$I$32*('Units CF'!$I$39*'Units CF'!$I$46+'Units CF'!$I$37)*('Units CF'!$I$48*'Units CF'!$I$54*'Units CF'!$I$62*'Units CF'!$I$68*'Units CF'!$I$74+'Units CF'!$I$49*'Units CF'!$I$56*'Units CF'!$I$62*'Units CF'!$I$68*'Units CF'!$I$74)</f>
        <v>7558.1469567646427</v>
      </c>
      <c r="H870" s="115">
        <f>H57*'Units CF'!$I$32*('Units CF'!$I$39*'Units CF'!$I$46+'Units CF'!$I$37)*('Units CF'!$I$48*'Units CF'!$I$54*'Units CF'!$I$62*'Units CF'!$I$68*'Units CF'!$I$74+'Units CF'!$I$49*'Units CF'!$I$56*'Units CF'!$I$62*'Units CF'!$I$68*'Units CF'!$I$74)</f>
        <v>63768.404092844125</v>
      </c>
      <c r="I870" s="115">
        <f t="shared" ca="1" si="150"/>
        <v>160637.11720618844</v>
      </c>
      <c r="J870" s="521">
        <f t="shared" si="151"/>
        <v>0.90486895802005751</v>
      </c>
      <c r="K870" s="521">
        <f t="shared" ca="1" si="152"/>
        <v>7.6576970179986242E-2</v>
      </c>
      <c r="L870" s="521">
        <f t="shared" si="153"/>
        <v>0.64608312150804581</v>
      </c>
      <c r="M870" s="298">
        <f t="shared" ca="1" si="154"/>
        <v>1.6275290497080896</v>
      </c>
      <c r="N870" s="369">
        <f t="shared" ca="1" si="155"/>
        <v>0.45239581816084973</v>
      </c>
    </row>
    <row r="871" spans="2:14" x14ac:dyDescent="0.25">
      <c r="B871" s="978"/>
      <c r="C871" s="981"/>
      <c r="D871" s="388" t="s">
        <v>1452</v>
      </c>
      <c r="E871" s="548" t="s">
        <v>602</v>
      </c>
      <c r="F871" s="115">
        <f>F58*'Units CF'!$I$32*('Units CF'!$I$39*'Units CF'!$I$46+'Units CF'!$I$37)*('Units CF'!$I$48*'Units CF'!$I$54*'Units CF'!$I$62*'Units CF'!$I$68*'Units CF'!$I$74+'Units CF'!$I$49*'Units CF'!$I$56*'Units CF'!$I$62*'Units CF'!$I$68*'Units CF'!$I$74)</f>
        <v>202.60776282870808</v>
      </c>
      <c r="G871" s="115">
        <f ca="1">G58*'Units CF'!$I$32*('Units CF'!$I$39*'Units CF'!$I$46+'Units CF'!$I$37)*('Units CF'!$I$48*'Units CF'!$I$54*'Units CF'!$I$62*'Units CF'!$I$68*'Units CF'!$I$74+'Units CF'!$I$49*'Units CF'!$I$56*'Units CF'!$I$62*'Units CF'!$I$68*'Units CF'!$I$74)</f>
        <v>42.081532546311131</v>
      </c>
      <c r="H871" s="115">
        <f>H58*'Units CF'!$I$32*('Units CF'!$I$39*'Units CF'!$I$46+'Units CF'!$I$37)*('Units CF'!$I$48*'Units CF'!$I$54*'Units CF'!$I$62*'Units CF'!$I$68*'Units CF'!$I$74+'Units CF'!$I$49*'Units CF'!$I$56*'Units CF'!$I$62*'Units CF'!$I$68*'Units CF'!$I$74)</f>
        <v>419.66550078071111</v>
      </c>
      <c r="I871" s="115">
        <f t="shared" ca="1" si="150"/>
        <v>664.35479615573036</v>
      </c>
      <c r="J871" s="521">
        <f t="shared" si="151"/>
        <v>2.0527635544955224E-3</v>
      </c>
      <c r="K871" s="521">
        <f t="shared" ca="1" si="152"/>
        <v>4.2635797919261532E-4</v>
      </c>
      <c r="L871" s="521">
        <f t="shared" si="153"/>
        <v>4.251930099095351E-3</v>
      </c>
      <c r="M871" s="298">
        <f t="shared" ca="1" si="154"/>
        <v>6.7310516327834889E-3</v>
      </c>
      <c r="N871" s="369">
        <f t="shared" ca="1" si="155"/>
        <v>1.8709955506122442E-3</v>
      </c>
    </row>
    <row r="872" spans="2:14" x14ac:dyDescent="0.25">
      <c r="B872" s="978"/>
      <c r="C872" s="981"/>
      <c r="D872" s="388" t="s">
        <v>19</v>
      </c>
      <c r="E872" s="548" t="s">
        <v>603</v>
      </c>
      <c r="F872" s="115">
        <f>F59*'Units CF'!$I$32*('Units CF'!$I$39*'Units CF'!$I$46+'Units CF'!$I$37)*('Units CF'!$I$48*'Units CF'!$I$54*'Units CF'!$I$62*'Units CF'!$I$68*'Units CF'!$I$74+'Units CF'!$I$49*'Units CF'!$I$56*'Units CF'!$I$62*'Units CF'!$I$68*'Units CF'!$I$74)</f>
        <v>3200.3234623077351</v>
      </c>
      <c r="G872" s="115">
        <f ca="1">G59*'Units CF'!$I$32*('Units CF'!$I$39*'Units CF'!$I$46+'Units CF'!$I$37)*('Units CF'!$I$48*'Units CF'!$I$54*'Units CF'!$I$62*'Units CF'!$I$68*'Units CF'!$I$74+'Units CF'!$I$49*'Units CF'!$I$56*'Units CF'!$I$62*'Units CF'!$I$68*'Units CF'!$I$74)</f>
        <v>224.46036915398432</v>
      </c>
      <c r="H872" s="115">
        <f>H59*'Units CF'!$I$32*('Units CF'!$I$39*'Units CF'!$I$46+'Units CF'!$I$37)*('Units CF'!$I$48*'Units CF'!$I$54*'Units CF'!$I$62*'Units CF'!$I$68*'Units CF'!$I$74+'Units CF'!$I$49*'Units CF'!$I$56*'Units CF'!$I$62*'Units CF'!$I$68*'Units CF'!$I$74)</f>
        <v>2647.3797229211568</v>
      </c>
      <c r="I872" s="115">
        <f t="shared" ca="1" si="150"/>
        <v>6072.1635543828761</v>
      </c>
      <c r="J872" s="521">
        <f t="shared" si="151"/>
        <v>3.2424756457018596E-2</v>
      </c>
      <c r="K872" s="521">
        <f t="shared" ca="1" si="152"/>
        <v>2.2741678739005501E-3</v>
      </c>
      <c r="L872" s="521">
        <f t="shared" si="153"/>
        <v>2.6822489593932693E-2</v>
      </c>
      <c r="M872" s="298">
        <f t="shared" ca="1" si="154"/>
        <v>6.1521413924851838E-2</v>
      </c>
      <c r="N872" s="369">
        <f t="shared" ca="1" si="155"/>
        <v>1.7100788702934386E-2</v>
      </c>
    </row>
    <row r="873" spans="2:14" x14ac:dyDescent="0.25">
      <c r="B873" s="978"/>
      <c r="C873" s="981"/>
      <c r="D873" s="388" t="s">
        <v>1453</v>
      </c>
      <c r="E873" s="548" t="s">
        <v>604</v>
      </c>
      <c r="F873" s="115">
        <f>F60*'Units CF'!$I$32*('Units CF'!$I$39*'Units CF'!$I$46+'Units CF'!$I$37)*('Units CF'!$I$48*'Units CF'!$I$54*'Units CF'!$I$62*'Units CF'!$I$68*'Units CF'!$I$74+'Units CF'!$I$49*'Units CF'!$I$56*'Units CF'!$I$62*'Units CF'!$I$68*'Units CF'!$I$74)</f>
        <v>110.63169189342598</v>
      </c>
      <c r="G873" s="115">
        <f ca="1">G60*'Units CF'!$I$32*('Units CF'!$I$39*'Units CF'!$I$46+'Units CF'!$I$37)*('Units CF'!$I$48*'Units CF'!$I$54*'Units CF'!$I$62*'Units CF'!$I$68*'Units CF'!$I$74+'Units CF'!$I$49*'Units CF'!$I$56*'Units CF'!$I$62*'Units CF'!$I$68*'Units CF'!$I$74)</f>
        <v>280.0657230151258</v>
      </c>
      <c r="H873" s="115">
        <f>H60*'Units CF'!$I$32*('Units CF'!$I$39*'Units CF'!$I$46+'Units CF'!$I$37)*('Units CF'!$I$48*'Units CF'!$I$54*'Units CF'!$I$62*'Units CF'!$I$68*'Units CF'!$I$74+'Units CF'!$I$49*'Units CF'!$I$56*'Units CF'!$I$62*'Units CF'!$I$68*'Units CF'!$I$74)</f>
        <v>1549.7092585279534</v>
      </c>
      <c r="I873" s="115">
        <f t="shared" ca="1" si="150"/>
        <v>1940.4066734365051</v>
      </c>
      <c r="J873" s="521">
        <f t="shared" si="151"/>
        <v>1.1208884690316716E-3</v>
      </c>
      <c r="K873" s="521">
        <f t="shared" ca="1" si="152"/>
        <v>2.8375453193021866E-3</v>
      </c>
      <c r="L873" s="521">
        <f t="shared" si="153"/>
        <v>1.57012082930897E-2</v>
      </c>
      <c r="M873" s="298">
        <f t="shared" ca="1" si="154"/>
        <v>1.9659642081423557E-2</v>
      </c>
      <c r="N873" s="369">
        <f t="shared" ca="1" si="155"/>
        <v>5.4646888581007386E-3</v>
      </c>
    </row>
    <row r="874" spans="2:14" x14ac:dyDescent="0.25">
      <c r="B874" s="978"/>
      <c r="C874" s="981"/>
      <c r="D874" s="388" t="s">
        <v>1454</v>
      </c>
      <c r="E874" s="548" t="s">
        <v>605</v>
      </c>
      <c r="F874" s="115">
        <f>F61*'Units CF'!$I$32*('Units CF'!$I$39*'Units CF'!$I$46+'Units CF'!$I$37)*('Units CF'!$I$48*'Units CF'!$I$54*'Units CF'!$I$62*'Units CF'!$I$68*'Units CF'!$I$74+'Units CF'!$I$49*'Units CF'!$I$56*'Units CF'!$I$62*'Units CF'!$I$68*'Units CF'!$I$74)</f>
        <v>35.308520442418263</v>
      </c>
      <c r="G874" s="115">
        <f ca="1">G61*'Units CF'!$I$32*('Units CF'!$I$39*'Units CF'!$I$46+'Units CF'!$I$37)*('Units CF'!$I$48*'Units CF'!$I$54*'Units CF'!$I$62*'Units CF'!$I$68*'Units CF'!$I$74+'Units CF'!$I$49*'Units CF'!$I$56*'Units CF'!$I$62*'Units CF'!$I$68*'Units CF'!$I$74)</f>
        <v>50.361585898444083</v>
      </c>
      <c r="H874" s="115">
        <f>H61*'Units CF'!$I$32*('Units CF'!$I$39*'Units CF'!$I$46+'Units CF'!$I$37)*('Units CF'!$I$48*'Units CF'!$I$54*'Units CF'!$I$62*'Units CF'!$I$68*'Units CF'!$I$74+'Units CF'!$I$49*'Units CF'!$I$56*'Units CF'!$I$62*'Units CF'!$I$68*'Units CF'!$I$74)</f>
        <v>611.17786583865973</v>
      </c>
      <c r="I874" s="115">
        <f t="shared" ca="1" si="150"/>
        <v>696.84797217952212</v>
      </c>
      <c r="J874" s="521">
        <f t="shared" si="151"/>
        <v>3.5773576942673015E-4</v>
      </c>
      <c r="K874" s="521">
        <f t="shared" ca="1" si="152"/>
        <v>5.1024909724867358E-4</v>
      </c>
      <c r="L874" s="521">
        <f t="shared" si="153"/>
        <v>6.1922782759742624E-3</v>
      </c>
      <c r="M874" s="298">
        <f t="shared" ca="1" si="154"/>
        <v>7.0602631426496662E-3</v>
      </c>
      <c r="N874" s="369">
        <f t="shared" ca="1" si="155"/>
        <v>1.9625047684542177E-3</v>
      </c>
    </row>
    <row r="875" spans="2:14" x14ac:dyDescent="0.25">
      <c r="B875" s="978"/>
      <c r="C875" s="981"/>
      <c r="D875" s="388" t="s">
        <v>1455</v>
      </c>
      <c r="E875" s="548" t="s">
        <v>636</v>
      </c>
      <c r="F875" s="115">
        <f>'Units CF'!L35*('Units CF'!$I$39*'Units CF'!$I$46+'Units CF'!$I$37)*('Units CF'!$I$48*'Units CF'!$I$54*'Units CF'!$I$62*'Units CF'!$I$68*'Units CF'!$I$74+'Units CF'!$I$49*'Units CF'!$I$56*'Units CF'!$I$62*'Units CF'!$I$68*'Units CF'!$I$74)</f>
        <v>1392.5683104811683</v>
      </c>
      <c r="G875" s="115">
        <f ca="1">'Units CF'!M35*('Units CF'!$I$39*'Units CF'!$I$46+'Units CF'!$I$37)*('Units CF'!$I$48*'Units CF'!$I$54*'Units CF'!$I$62*'Units CF'!$I$68*'Units CF'!$I$74+'Units CF'!$I$49*'Units CF'!$I$56*'Units CF'!$I$62*'Units CF'!$I$68*'Units CF'!$I$74)</f>
        <v>3945.1352347977449</v>
      </c>
      <c r="H875" s="115">
        <f>'Units CF'!N35*('Units CF'!$I$39*'Units CF'!$I$46+'Units CF'!$I$37)*('Units CF'!$I$48*'Units CF'!$I$54*'Units CF'!$I$62*'Units CF'!$I$68*'Units CF'!$I$74+'Units CF'!$I$49*'Units CF'!$I$56*'Units CF'!$I$62*'Units CF'!$I$68*'Units CF'!$I$74)</f>
        <v>5559.6598897000958</v>
      </c>
      <c r="I875" s="115">
        <f t="shared" ca="1" si="150"/>
        <v>10897.363434979008</v>
      </c>
      <c r="J875" s="521">
        <f t="shared" si="151"/>
        <v>1.4109101423314774E-2</v>
      </c>
      <c r="K875" s="521">
        <f t="shared" ca="1" si="152"/>
        <v>3.9970975023280092E-2</v>
      </c>
      <c r="L875" s="521">
        <f t="shared" si="153"/>
        <v>5.6328874262412322E-2</v>
      </c>
      <c r="M875" s="298">
        <f t="shared" ca="1" si="154"/>
        <v>0.11040895070900719</v>
      </c>
      <c r="N875" s="369">
        <f t="shared" ca="1" si="155"/>
        <v>3.0689804029759658E-2</v>
      </c>
    </row>
    <row r="876" spans="2:14" x14ac:dyDescent="0.25">
      <c r="B876" s="978"/>
      <c r="C876" s="981"/>
      <c r="D876" s="388" t="s">
        <v>1459</v>
      </c>
      <c r="E876" s="548" t="s">
        <v>641</v>
      </c>
      <c r="F876" s="115">
        <f>'Units CF'!L45*'Units CF'!$I$46*('Units CF'!$I$48*'Units CF'!$I$54*'Units CF'!$I$62*'Units CF'!$I$68*'Units CF'!$I$74+'Units CF'!$I$49*'Units CF'!$I$56*'Units CF'!$I$62*'Units CF'!$I$68*'Units CF'!$I$74)</f>
        <v>20.679500302826387</v>
      </c>
      <c r="G876" s="115">
        <f ca="1">'Units CF'!M45*'Units CF'!$I$46*('Units CF'!$I$48*'Units CF'!$I$54*'Units CF'!$I$62*'Units CF'!$I$68*'Units CF'!$I$74+'Units CF'!$I$49*'Units CF'!$I$56*'Units CF'!$I$62*'Units CF'!$I$68*'Units CF'!$I$74)</f>
        <v>43.08159938114941</v>
      </c>
      <c r="H876" s="115">
        <f>'Units CF'!N45*'Units CF'!$I$46*('Units CF'!$I$48*'Units CF'!$I$54*'Units CF'!$I$62*'Units CF'!$I$68*'Units CF'!$I$74+'Units CF'!$I$49*'Units CF'!$I$56*'Units CF'!$I$62*'Units CF'!$I$68*'Units CF'!$I$74)</f>
        <v>293.67880351188228</v>
      </c>
      <c r="I876" s="115">
        <f t="shared" ca="1" si="150"/>
        <v>357.43990319585805</v>
      </c>
      <c r="J876" s="521">
        <f t="shared" si="151"/>
        <v>2.0951874673582965E-4</v>
      </c>
      <c r="K876" s="521">
        <f t="shared" ca="1" si="152"/>
        <v>4.3649036860333746E-4</v>
      </c>
      <c r="L876" s="521">
        <f t="shared" si="153"/>
        <v>2.9754691338589895E-3</v>
      </c>
      <c r="M876" s="298">
        <f t="shared" ca="1" si="154"/>
        <v>3.6214782491981569E-3</v>
      </c>
      <c r="N876" s="369">
        <f t="shared" ca="1" si="155"/>
        <v>1.0066435470331982E-3</v>
      </c>
    </row>
    <row r="877" spans="2:14" x14ac:dyDescent="0.25">
      <c r="B877" s="978"/>
      <c r="C877" s="981"/>
      <c r="D877" s="388" t="s">
        <v>1460</v>
      </c>
      <c r="E877" s="548" t="s">
        <v>1443</v>
      </c>
      <c r="F877" s="115">
        <f>'Units CF'!L47*('Units CF'!$I$48*'Units CF'!$I$54*'Units CF'!$I$62*'Units CF'!$I$68*'Units CF'!$I$74+'Units CF'!$I$49*'Units CF'!$I$56*'Units CF'!$I$62*'Units CF'!$I$68*'Units CF'!$I$74)</f>
        <v>416.74585970006638</v>
      </c>
      <c r="G877" s="115">
        <f ca="1">'Units CF'!M47*('Units CF'!$I$48*'Units CF'!$I$54*'Units CF'!$I$62*'Units CF'!$I$68*'Units CF'!$I$74+'Units CF'!$I$49*'Units CF'!$I$56*'Units CF'!$I$62*'Units CF'!$I$68*'Units CF'!$I$74)</f>
        <v>411.18985124726635</v>
      </c>
      <c r="H877" s="115">
        <f>'Units CF'!N47*('Units CF'!$I$48*'Units CF'!$I$54*'Units CF'!$I$62*'Units CF'!$I$68*'Units CF'!$I$74+'Units CF'!$I$49*'Units CF'!$I$56*'Units CF'!$I$62*'Units CF'!$I$68*'Units CF'!$I$74)</f>
        <v>2062.593025305202</v>
      </c>
      <c r="I877" s="115">
        <f t="shared" ca="1" si="150"/>
        <v>2890.5287362525346</v>
      </c>
      <c r="J877" s="521">
        <f t="shared" si="151"/>
        <v>4.2223491357656169E-3</v>
      </c>
      <c r="K877" s="521">
        <f t="shared" ca="1" si="152"/>
        <v>4.1660572568112094E-3</v>
      </c>
      <c r="L877" s="521">
        <f t="shared" si="153"/>
        <v>2.0897599040579553E-2</v>
      </c>
      <c r="M877" s="298">
        <f t="shared" ca="1" si="154"/>
        <v>2.9286005433156379E-2</v>
      </c>
      <c r="N877" s="369">
        <f t="shared" ca="1" si="155"/>
        <v>8.1404792074047227E-3</v>
      </c>
    </row>
    <row r="878" spans="2:14" x14ac:dyDescent="0.25">
      <c r="B878" s="978"/>
      <c r="C878" s="981"/>
      <c r="D878" s="388" t="s">
        <v>1462</v>
      </c>
      <c r="E878" s="548" t="s">
        <v>654</v>
      </c>
      <c r="F878" s="115">
        <f>'Units CF'!L51*'Units CF'!$I$54*'Units CF'!$I$58*'Units CF'!$I$62*'Units CF'!$I$68*'Units CF'!$I$74</f>
        <v>41.153225090766327</v>
      </c>
      <c r="G878" s="115">
        <f ca="1">'Units CF'!M51*'Units CF'!$I$54*'Units CF'!$I$58*'Units CF'!$I$62*'Units CF'!$I$68*'Units CF'!$I$74</f>
        <v>3.2972387118637596</v>
      </c>
      <c r="H878" s="115">
        <f>'Units CF'!N51*'Units CF'!$I$54*'Units CF'!$I$58*'Units CF'!$I$62*'Units CF'!$I$68*'Units CF'!$I$74</f>
        <v>1251.5440777013423</v>
      </c>
      <c r="I878" s="115">
        <f t="shared" ca="1" si="150"/>
        <v>1295.9945415039724</v>
      </c>
      <c r="J878" s="521">
        <f t="shared" si="151"/>
        <v>4.1695263516480574E-4</v>
      </c>
      <c r="K878" s="521">
        <f t="shared" ca="1" si="152"/>
        <v>3.3406673879065449E-5</v>
      </c>
      <c r="L878" s="521">
        <f t="shared" si="153"/>
        <v>1.2680284475190904E-2</v>
      </c>
      <c r="M878" s="298">
        <f t="shared" ca="1" si="154"/>
        <v>1.3130643784234775E-2</v>
      </c>
      <c r="N878" s="369">
        <f t="shared" ca="1" si="155"/>
        <v>3.6498570264002343E-3</v>
      </c>
    </row>
    <row r="879" spans="2:14" x14ac:dyDescent="0.25">
      <c r="B879" s="978"/>
      <c r="C879" s="981"/>
      <c r="D879" s="388" t="s">
        <v>1464</v>
      </c>
      <c r="E879" s="548" t="s">
        <v>655</v>
      </c>
      <c r="F879" s="115">
        <f>'Units CF'!L56*'Units CF'!$I$56*'Units CF'!$I$58*'Units CF'!$I$62*'Units CF'!$I$68*'Units CF'!$I$74</f>
        <v>211.48491469123073</v>
      </c>
      <c r="G879" s="115">
        <f ca="1">'Units CF'!M56*'Units CF'!$I$56*'Units CF'!$I$58*'Units CF'!$I$62*'Units CF'!$I$68*'Units CF'!$I$74</f>
        <v>17.203903596172182</v>
      </c>
      <c r="H879" s="115">
        <f>'Units CF'!N56*'Units CF'!$I$56*'Units CF'!$I$58*'Units CF'!$I$62*'Units CF'!$I$68*'Units CF'!$I$74</f>
        <v>14498.460224362305</v>
      </c>
      <c r="I879" s="115">
        <f t="shared" ca="1" si="150"/>
        <v>14727.149042649708</v>
      </c>
      <c r="J879" s="521">
        <f t="shared" si="151"/>
        <v>2.1427043028493489E-3</v>
      </c>
      <c r="K879" s="521">
        <f t="shared" ca="1" si="152"/>
        <v>1.7430500097438887E-4</v>
      </c>
      <c r="L879" s="521">
        <f t="shared" si="153"/>
        <v>0.14689422719718648</v>
      </c>
      <c r="M879" s="298">
        <f t="shared" ca="1" si="154"/>
        <v>0.1492112365010102</v>
      </c>
      <c r="N879" s="369">
        <f t="shared" ca="1" si="155"/>
        <v>4.1475474387245914E-2</v>
      </c>
    </row>
    <row r="880" spans="2:14" x14ac:dyDescent="0.25">
      <c r="B880" s="978"/>
      <c r="C880" s="981"/>
      <c r="D880" s="388" t="s">
        <v>1467</v>
      </c>
      <c r="E880" s="548" t="s">
        <v>656</v>
      </c>
      <c r="F880" s="115">
        <f>'Units CF'!L58*'Units CF'!$I$58*'Units CF'!$I$62*'Units CF'!$I$68*'Units CF'!$I$74</f>
        <v>260.00885213027863</v>
      </c>
      <c r="G880" s="115">
        <f ca="1">'Units CF'!M58*'Units CF'!$I$58*'Units CF'!$I$62*'Units CF'!$I$68*'Units CF'!$I$74</f>
        <v>21.415832569031167</v>
      </c>
      <c r="H880" s="115">
        <f>'Units CF'!N58*'Units CF'!$I$58*'Units CF'!$I$62*'Units CF'!$I$68*'Units CF'!$I$74</f>
        <v>6324.3607385270134</v>
      </c>
      <c r="I880" s="115">
        <f t="shared" ca="1" si="150"/>
        <v>6605.7854232263235</v>
      </c>
      <c r="J880" s="521">
        <f t="shared" si="151"/>
        <v>2.6343348746735423E-3</v>
      </c>
      <c r="K880" s="521">
        <f t="shared" ca="1" si="152"/>
        <v>2.1697905338430767E-4</v>
      </c>
      <c r="L880" s="521">
        <f t="shared" si="153"/>
        <v>6.4076603227224041E-2</v>
      </c>
      <c r="M880" s="298">
        <f t="shared" ca="1" si="154"/>
        <v>6.6927917155281888E-2</v>
      </c>
      <c r="N880" s="369">
        <f t="shared" ca="1" si="155"/>
        <v>1.8603606396270411E-2</v>
      </c>
    </row>
    <row r="881" spans="2:14" x14ac:dyDescent="0.25">
      <c r="B881" s="978"/>
      <c r="C881" s="981"/>
      <c r="D881" s="388" t="s">
        <v>1468</v>
      </c>
      <c r="E881" s="548" t="s">
        <v>643</v>
      </c>
      <c r="F881" s="115">
        <f>'Units CF'!L62*'Units CF'!$I$62*'Units CF'!$I$68*'Units CF'!$I$74</f>
        <v>971.61167391458855</v>
      </c>
      <c r="G881" s="115">
        <f ca="1">'Units CF'!M62*'Units CF'!$I$62*'Units CF'!$I$68*'Units CF'!$I$74</f>
        <v>2118.52068454664</v>
      </c>
      <c r="H881" s="115">
        <f>'Units CF'!N62*'Units CF'!$I$62*'Units CF'!$I$68*'Units CF'!$I$74</f>
        <v>194.76921718426442</v>
      </c>
      <c r="I881" s="115">
        <f t="shared" ca="1" si="150"/>
        <v>3284.9015756454933</v>
      </c>
      <c r="J881" s="521">
        <f t="shared" si="151"/>
        <v>9.8440899079492248E-3</v>
      </c>
      <c r="K881" s="521">
        <f t="shared" ca="1" si="152"/>
        <v>2.1464241991354001E-2</v>
      </c>
      <c r="L881" s="521">
        <f t="shared" si="153"/>
        <v>1.973345665494067E-3</v>
      </c>
      <c r="M881" s="298">
        <f t="shared" ca="1" si="154"/>
        <v>3.3281677564797288E-2</v>
      </c>
      <c r="N881" s="369">
        <f t="shared" ca="1" si="155"/>
        <v>9.2511354893435351E-3</v>
      </c>
    </row>
    <row r="882" spans="2:14" x14ac:dyDescent="0.25">
      <c r="B882" s="978"/>
      <c r="C882" s="981"/>
      <c r="D882" s="388" t="s">
        <v>1470</v>
      </c>
      <c r="E882" s="548" t="s">
        <v>657</v>
      </c>
      <c r="F882" s="115">
        <f>'Units CF'!L68*'Units CF'!$I$68*'Units CF'!$I$74</f>
        <v>254.52531437669847</v>
      </c>
      <c r="G882" s="115">
        <f ca="1">'Units CF'!M68*'Units CF'!$I$68*'Units CF'!$I$74</f>
        <v>20.15765462834722</v>
      </c>
      <c r="H882" s="115">
        <f>'Units CF'!N68*'Units CF'!$I$68*'Units CF'!$I$74</f>
        <v>8956.5398103054686</v>
      </c>
      <c r="I882" s="115">
        <f t="shared" ca="1" si="150"/>
        <v>9231.2227793105139</v>
      </c>
      <c r="J882" s="521">
        <f t="shared" si="151"/>
        <v>2.5787772479908661E-3</v>
      </c>
      <c r="K882" s="521">
        <f t="shared" ca="1" si="152"/>
        <v>2.0423155651820891E-4</v>
      </c>
      <c r="L882" s="521">
        <f t="shared" si="153"/>
        <v>9.0745084197623796E-2</v>
      </c>
      <c r="M882" s="298">
        <f t="shared" ca="1" si="154"/>
        <v>9.352809300213287E-2</v>
      </c>
      <c r="N882" s="369">
        <f t="shared" ca="1" si="155"/>
        <v>2.5997519468124324E-2</v>
      </c>
    </row>
    <row r="883" spans="2:14" x14ac:dyDescent="0.25">
      <c r="B883" s="978"/>
      <c r="C883" s="981"/>
      <c r="D883" s="388" t="s">
        <v>1472</v>
      </c>
      <c r="E883" s="548" t="s">
        <v>645</v>
      </c>
      <c r="F883" s="115">
        <f>'Units CF'!L73*'Units CF'!$I$74</f>
        <v>1870.4571922517659</v>
      </c>
      <c r="G883" s="115">
        <f ca="1">'Units CF'!M73*'Units CF'!$I$74</f>
        <v>317.26099375335122</v>
      </c>
      <c r="H883" s="115">
        <f>'Units CF'!N73*'Units CF'!$I$74</f>
        <v>11198.204145282398</v>
      </c>
      <c r="I883" s="115">
        <f t="shared" ca="1" si="150"/>
        <v>13385.922331287515</v>
      </c>
      <c r="J883" s="521">
        <f t="shared" si="151"/>
        <v>1.8950934065367436E-2</v>
      </c>
      <c r="K883" s="521">
        <f t="shared" ca="1" si="152"/>
        <v>3.2143970998313193E-3</v>
      </c>
      <c r="L883" s="521">
        <f t="shared" si="153"/>
        <v>0.11345698222170615</v>
      </c>
      <c r="M883" s="298">
        <f t="shared" ca="1" si="154"/>
        <v>0.13562231338690489</v>
      </c>
      <c r="N883" s="369">
        <f t="shared" ca="1" si="155"/>
        <v>3.7698231829742454E-2</v>
      </c>
    </row>
    <row r="884" spans="2:14" x14ac:dyDescent="0.25">
      <c r="B884" s="978"/>
      <c r="C884" s="981"/>
      <c r="D884" s="388" t="s">
        <v>1473</v>
      </c>
      <c r="E884" s="548" t="s">
        <v>1384</v>
      </c>
      <c r="F884" s="115">
        <f>'Units CF'!L75</f>
        <v>241.05136050857973</v>
      </c>
      <c r="G884" s="115">
        <f ca="1">'Units CF'!M75</f>
        <v>18.805503734413218</v>
      </c>
      <c r="H884" s="115">
        <f>'Units CF'!N75</f>
        <v>375.93609771981681</v>
      </c>
      <c r="I884" s="115">
        <f t="shared" ca="1" si="150"/>
        <v>635.79296196280984</v>
      </c>
      <c r="J884" s="521">
        <f t="shared" si="151"/>
        <v>2.442263024403037E-3</v>
      </c>
      <c r="K884" s="521">
        <f t="shared" ca="1" si="152"/>
        <v>1.905319527296172E-4</v>
      </c>
      <c r="L884" s="521">
        <f t="shared" si="153"/>
        <v>3.8088763700082759E-3</v>
      </c>
      <c r="M884" s="298">
        <f t="shared" ca="1" si="154"/>
        <v>6.4416713471409301E-3</v>
      </c>
      <c r="N884" s="369">
        <f t="shared" ca="1" si="155"/>
        <v>1.7905580118129422E-3</v>
      </c>
    </row>
    <row r="885" spans="2:14" x14ac:dyDescent="0.25">
      <c r="B885" s="978"/>
      <c r="C885" s="981"/>
      <c r="D885" s="524"/>
      <c r="E885" s="523" t="s">
        <v>410</v>
      </c>
      <c r="F885" s="135">
        <f>SUM(F863:F884)</f>
        <v>139096.42730998358</v>
      </c>
      <c r="G885" s="135">
        <f t="shared" ref="G885:N885" ca="1" si="156">SUM(G863:G884)</f>
        <v>81532.763614325901</v>
      </c>
      <c r="H885" s="135">
        <f t="shared" si="156"/>
        <v>134451.71556867191</v>
      </c>
      <c r="I885" s="135">
        <f t="shared" ca="1" si="156"/>
        <v>355080.90649298124</v>
      </c>
      <c r="J885" s="526">
        <f t="shared" si="156"/>
        <v>1.4092849778113838</v>
      </c>
      <c r="K885" s="526">
        <f t="shared" ca="1" si="156"/>
        <v>0.82606650065173104</v>
      </c>
      <c r="L885" s="526">
        <f t="shared" si="156"/>
        <v>1.3622260949206877</v>
      </c>
      <c r="M885" s="974">
        <f t="shared" ca="1" si="156"/>
        <v>3.5975775733838025</v>
      </c>
      <c r="N885" s="972">
        <f t="shared" ca="1" si="156"/>
        <v>0.99999999999999978</v>
      </c>
    </row>
    <row r="886" spans="2:14" x14ac:dyDescent="0.25">
      <c r="B886" s="979"/>
      <c r="C886" s="982"/>
      <c r="D886" s="525"/>
      <c r="E886" s="523" t="s">
        <v>309</v>
      </c>
      <c r="F886" s="135"/>
      <c r="G886" s="135"/>
      <c r="H886" s="135"/>
      <c r="I886" s="135"/>
      <c r="J886" s="527">
        <f ca="1">J885/M885</f>
        <v>0.39173164415905598</v>
      </c>
      <c r="K886" s="527">
        <f ca="1">K885/M885</f>
        <v>0.22961742555970824</v>
      </c>
      <c r="L886" s="527">
        <f ca="1">L885/M885</f>
        <v>0.37865093028123581</v>
      </c>
      <c r="M886" s="975"/>
      <c r="N886" s="973"/>
    </row>
    <row r="912" spans="1:38" ht="27.6" x14ac:dyDescent="0.25">
      <c r="A912" s="531"/>
      <c r="B912" s="532" t="s">
        <v>1399</v>
      </c>
      <c r="C912" s="533"/>
      <c r="D912" s="534" t="s">
        <v>1346</v>
      </c>
      <c r="E912" s="534"/>
      <c r="F912" s="535"/>
      <c r="G912" s="533"/>
      <c r="H912" s="533"/>
      <c r="I912" s="533"/>
      <c r="J912" s="533"/>
      <c r="K912" s="533"/>
      <c r="L912" s="533"/>
      <c r="M912" s="533"/>
      <c r="N912" s="533"/>
      <c r="O912" s="533"/>
      <c r="P912" s="533"/>
      <c r="Q912" s="533"/>
      <c r="R912" s="533"/>
      <c r="S912" s="533"/>
      <c r="T912" s="533"/>
      <c r="U912" s="533"/>
      <c r="V912" s="533"/>
      <c r="W912" s="533"/>
      <c r="X912" s="533"/>
      <c r="Y912" s="533"/>
      <c r="Z912" s="533"/>
      <c r="AA912" s="533"/>
      <c r="AB912" s="533"/>
      <c r="AC912" s="533"/>
      <c r="AD912" s="533"/>
      <c r="AE912" s="533"/>
      <c r="AF912" s="533"/>
      <c r="AG912" s="533"/>
      <c r="AH912" s="533"/>
      <c r="AI912" s="533"/>
      <c r="AJ912" s="533"/>
      <c r="AK912" s="533"/>
      <c r="AL912" s="533"/>
    </row>
    <row r="915" spans="2:14" ht="27.6" x14ac:dyDescent="0.25">
      <c r="B915" s="976" t="s">
        <v>425</v>
      </c>
      <c r="C915" s="523" t="s">
        <v>408</v>
      </c>
      <c r="D915" s="976" t="s">
        <v>411</v>
      </c>
      <c r="E915" s="976" t="s">
        <v>411</v>
      </c>
      <c r="F915" s="522" t="s">
        <v>479</v>
      </c>
      <c r="G915" s="522" t="s">
        <v>480</v>
      </c>
      <c r="H915" s="522" t="s">
        <v>481</v>
      </c>
      <c r="I915" s="522" t="s">
        <v>482</v>
      </c>
      <c r="J915" s="546" t="s">
        <v>484</v>
      </c>
      <c r="K915" s="546" t="s">
        <v>483</v>
      </c>
      <c r="L915" s="546" t="s">
        <v>485</v>
      </c>
      <c r="M915" s="522" t="s">
        <v>486</v>
      </c>
      <c r="N915" s="523" t="s">
        <v>487</v>
      </c>
    </row>
    <row r="916" spans="2:14" x14ac:dyDescent="0.25">
      <c r="B916" s="976"/>
      <c r="C916" s="523" t="s">
        <v>477</v>
      </c>
      <c r="D916" s="976"/>
      <c r="E916" s="976"/>
      <c r="F916" s="523" t="s">
        <v>308</v>
      </c>
      <c r="G916" s="523" t="s">
        <v>308</v>
      </c>
      <c r="H916" s="523" t="s">
        <v>308</v>
      </c>
      <c r="I916" s="523" t="s">
        <v>308</v>
      </c>
      <c r="J916" s="547" t="s">
        <v>310</v>
      </c>
      <c r="K916" s="547" t="s">
        <v>310</v>
      </c>
      <c r="L916" s="547" t="s">
        <v>310</v>
      </c>
      <c r="M916" s="523" t="s">
        <v>310</v>
      </c>
      <c r="N916" s="523" t="s">
        <v>309</v>
      </c>
    </row>
    <row r="917" spans="2:14" x14ac:dyDescent="0.25">
      <c r="B917" s="977" t="s">
        <v>1399</v>
      </c>
      <c r="C917" s="980">
        <f>'Units CF'!F77</f>
        <v>76118.12</v>
      </c>
      <c r="D917" s="388" t="s">
        <v>229</v>
      </c>
      <c r="E917" s="548" t="s">
        <v>594</v>
      </c>
      <c r="F917" s="115">
        <f>F50*'Units CF'!$I$32*('Units CF'!$I$39*'Units CF'!$I$46+'Units CF'!$I$37)*('Units CF'!$I$48*'Units CF'!$I$51*'Units CF'!$I$77)</f>
        <v>3595.9081155395129</v>
      </c>
      <c r="G917" s="115">
        <f ca="1">G50*'Units CF'!$I$32*('Units CF'!$I$39*'Units CF'!$I$46+'Units CF'!$I$37)*('Units CF'!$I$48*'Units CF'!$I$51*'Units CF'!$I$77)</f>
        <v>74.148428641487243</v>
      </c>
      <c r="H917" s="115">
        <f>H50*'Units CF'!$I$32*('Units CF'!$I$39*'Units CF'!$I$46+'Units CF'!$I$37)*('Units CF'!$I$48*'Units CF'!$I$51*'Units CF'!$I$77)</f>
        <v>509.91409998826924</v>
      </c>
      <c r="I917" s="115">
        <f ca="1">SUM(F917:H917)</f>
        <v>4179.9706441692688</v>
      </c>
      <c r="J917" s="521">
        <f>F917/$C$917</f>
        <v>4.7241157762954643E-2</v>
      </c>
      <c r="K917" s="521">
        <f ca="1">G917/$C$917</f>
        <v>9.7412322639454636E-4</v>
      </c>
      <c r="L917" s="521">
        <f>H917/$C$917</f>
        <v>6.6989844203754539E-3</v>
      </c>
      <c r="M917" s="298">
        <f ca="1">SUM(J917:L917)</f>
        <v>5.4914265409724647E-2</v>
      </c>
      <c r="N917" s="369">
        <f ca="1">M917/$M$934</f>
        <v>1.9022546450159949E-2</v>
      </c>
    </row>
    <row r="918" spans="2:14" x14ac:dyDescent="0.25">
      <c r="B918" s="978"/>
      <c r="C918" s="981"/>
      <c r="D918" s="388" t="s">
        <v>1445</v>
      </c>
      <c r="E918" s="548" t="s">
        <v>597</v>
      </c>
      <c r="F918" s="115">
        <f>F51*'Units CF'!$I$32*('Units CF'!$I$39*'Units CF'!$I$46+'Units CF'!$I$37)*('Units CF'!$I$48*'Units CF'!$I$51*'Units CF'!$I$77)</f>
        <v>3126.3814182836632</v>
      </c>
      <c r="G918" s="115">
        <f ca="1">G51*'Units CF'!$I$32*('Units CF'!$I$39*'Units CF'!$I$46+'Units CF'!$I$37)*('Units CF'!$I$48*'Units CF'!$I$51*'Units CF'!$I$77)</f>
        <v>2508.3641253727246</v>
      </c>
      <c r="H918" s="115">
        <f>H51*'Units CF'!$I$32*('Units CF'!$I$39*'Units CF'!$I$46+'Units CF'!$I$37)*('Units CF'!$I$48*'Units CF'!$I$51*'Units CF'!$I$77)</f>
        <v>140.51606691124849</v>
      </c>
      <c r="I918" s="115">
        <f t="shared" ref="I918:I933" ca="1" si="157">SUM(F918:H918)</f>
        <v>5775.2616105676361</v>
      </c>
      <c r="J918" s="521">
        <f t="shared" ref="J918:J933" si="158">F918/$C$917</f>
        <v>4.107276189012108E-2</v>
      </c>
      <c r="K918" s="521">
        <f t="shared" ref="K918:K933" ca="1" si="159">G918/$C$917</f>
        <v>3.2953574331220016E-2</v>
      </c>
      <c r="L918" s="521">
        <f t="shared" ref="L918:L933" si="160">H918/$C$917</f>
        <v>1.8460265034297811E-3</v>
      </c>
      <c r="M918" s="298">
        <f t="shared" ref="M918:M933" ca="1" si="161">SUM(J918:L918)</f>
        <v>7.5872362724770881E-2</v>
      </c>
      <c r="N918" s="369">
        <f t="shared" ref="N918:N933" ca="1" si="162">M918/$M$934</f>
        <v>2.6282524831147971E-2</v>
      </c>
    </row>
    <row r="919" spans="2:14" x14ac:dyDescent="0.25">
      <c r="B919" s="978"/>
      <c r="C919" s="981"/>
      <c r="D919" s="388" t="s">
        <v>1446</v>
      </c>
      <c r="E919" s="548" t="s">
        <v>595</v>
      </c>
      <c r="F919" s="115">
        <f>F52*'Units CF'!$I$32*('Units CF'!$I$39*'Units CF'!$I$46+'Units CF'!$I$37)*('Units CF'!$I$48*'Units CF'!$I$51*'Units CF'!$I$77)</f>
        <v>1.578118023502896E-2</v>
      </c>
      <c r="G919" s="115">
        <f ca="1">G52*'Units CF'!$I$32*('Units CF'!$I$39*'Units CF'!$I$46+'Units CF'!$I$37)*('Units CF'!$I$48*'Units CF'!$I$51*'Units CF'!$I$77)</f>
        <v>1.0525840775872897</v>
      </c>
      <c r="H919" s="115">
        <f>H52*'Units CF'!$I$32*('Units CF'!$I$39*'Units CF'!$I$46+'Units CF'!$I$37)*('Units CF'!$I$48*'Units CF'!$I$51*'Units CF'!$I$77)</f>
        <v>9.8653972274218145</v>
      </c>
      <c r="I919" s="115">
        <f t="shared" ca="1" si="157"/>
        <v>10.933762485244133</v>
      </c>
      <c r="J919" s="521">
        <f t="shared" si="158"/>
        <v>2.0732488184191835E-7</v>
      </c>
      <c r="K919" s="521">
        <f t="shared" ca="1" si="159"/>
        <v>1.3828298407623437E-5</v>
      </c>
      <c r="L919" s="521">
        <f t="shared" si="160"/>
        <v>1.2960642258928379E-4</v>
      </c>
      <c r="M919" s="298">
        <f t="shared" ca="1" si="161"/>
        <v>1.4364204587874916E-4</v>
      </c>
      <c r="N919" s="369">
        <f t="shared" ca="1" si="162"/>
        <v>4.9758245321818158E-5</v>
      </c>
    </row>
    <row r="920" spans="2:14" x14ac:dyDescent="0.25">
      <c r="B920" s="978"/>
      <c r="C920" s="981"/>
      <c r="D920" s="388" t="s">
        <v>1447</v>
      </c>
      <c r="E920" s="548" t="s">
        <v>596</v>
      </c>
      <c r="F920" s="115">
        <f>F53*'Units CF'!$I$32*('Units CF'!$I$39*'Units CF'!$I$46+'Units CF'!$I$37)*('Units CF'!$I$48*'Units CF'!$I$51*'Units CF'!$I$77)</f>
        <v>141.70280645131339</v>
      </c>
      <c r="G920" s="115">
        <f ca="1">G53*'Units CF'!$I$32*('Units CF'!$I$39*'Units CF'!$I$46+'Units CF'!$I$37)*('Units CF'!$I$48*'Units CF'!$I$51*'Units CF'!$I$77)</f>
        <v>1371.0571525089986</v>
      </c>
      <c r="H920" s="115">
        <f>H53*'Units CF'!$I$32*('Units CF'!$I$39*'Units CF'!$I$46+'Units CF'!$I$37)*('Units CF'!$I$48*'Units CF'!$I$51*'Units CF'!$I$77)</f>
        <v>72.61101941649676</v>
      </c>
      <c r="I920" s="115">
        <f t="shared" ca="1" si="157"/>
        <v>1585.3709783768086</v>
      </c>
      <c r="J920" s="521">
        <f t="shared" si="158"/>
        <v>1.861617266050625E-3</v>
      </c>
      <c r="K920" s="521">
        <f t="shared" ca="1" si="159"/>
        <v>1.8012230892053019E-2</v>
      </c>
      <c r="L920" s="521">
        <f t="shared" si="160"/>
        <v>9.5392554908734959E-4</v>
      </c>
      <c r="M920" s="298">
        <f t="shared" ca="1" si="161"/>
        <v>2.0827773707190994E-2</v>
      </c>
      <c r="N920" s="369">
        <f t="shared" ca="1" si="162"/>
        <v>7.2148337019964761E-3</v>
      </c>
    </row>
    <row r="921" spans="2:14" x14ac:dyDescent="0.25">
      <c r="B921" s="978"/>
      <c r="C921" s="981"/>
      <c r="D921" s="388" t="s">
        <v>1448</v>
      </c>
      <c r="E921" s="548" t="s">
        <v>598</v>
      </c>
      <c r="F921" s="115">
        <f>F54*'Units CF'!$I$32*('Units CF'!$I$39*'Units CF'!$I$46+'Units CF'!$I$37)*('Units CF'!$I$48*'Units CF'!$I$51*'Units CF'!$I$77)</f>
        <v>4350.4259189711065</v>
      </c>
      <c r="G921" s="115">
        <f ca="1">G54*'Units CF'!$I$32*('Units CF'!$I$39*'Units CF'!$I$46+'Units CF'!$I$37)*('Units CF'!$I$48*'Units CF'!$I$51*'Units CF'!$I$77)</f>
        <v>1058.5424139998045</v>
      </c>
      <c r="H921" s="115">
        <f>H54*'Units CF'!$I$32*('Units CF'!$I$39*'Units CF'!$I$46+'Units CF'!$I$37)*('Units CF'!$I$48*'Units CF'!$I$51*'Units CF'!$I$77)</f>
        <v>1581.6671172358524</v>
      </c>
      <c r="I921" s="115">
        <f t="shared" ca="1" si="157"/>
        <v>6990.6354502067643</v>
      </c>
      <c r="J921" s="521">
        <f t="shared" si="158"/>
        <v>5.7153617548240901E-2</v>
      </c>
      <c r="K921" s="521">
        <f t="shared" ca="1" si="159"/>
        <v>1.3906575911225927E-2</v>
      </c>
      <c r="L921" s="521">
        <f t="shared" si="160"/>
        <v>2.0779114319111565E-2</v>
      </c>
      <c r="M921" s="298">
        <f t="shared" ca="1" si="161"/>
        <v>9.1839307778578405E-2</v>
      </c>
      <c r="N921" s="369">
        <f t="shared" ca="1" si="162"/>
        <v>3.181354580879394E-2</v>
      </c>
    </row>
    <row r="922" spans="2:14" x14ac:dyDescent="0.25">
      <c r="B922" s="978"/>
      <c r="C922" s="981"/>
      <c r="D922" s="388" t="s">
        <v>1449</v>
      </c>
      <c r="E922" s="548" t="s">
        <v>599</v>
      </c>
      <c r="F922" s="115">
        <f>F55*'Units CF'!$I$32*('Units CF'!$I$39*'Units CF'!$I$46+'Units CF'!$I$37)*('Units CF'!$I$48*'Units CF'!$I$51*'Units CF'!$I$77)</f>
        <v>8877.7967691682534</v>
      </c>
      <c r="G922" s="115">
        <f ca="1">G55*'Units CF'!$I$32*('Units CF'!$I$39*'Units CF'!$I$46+'Units CF'!$I$37)*('Units CF'!$I$48*'Units CF'!$I$51*'Units CF'!$I$77)</f>
        <v>39842.204460327172</v>
      </c>
      <c r="H922" s="115">
        <f>H55*'Units CF'!$I$32*('Units CF'!$I$39*'Units CF'!$I$46+'Units CF'!$I$37)*('Units CF'!$I$48*'Units CF'!$I$51*'Units CF'!$I$77)</f>
        <v>7547.7209267679355</v>
      </c>
      <c r="I922" s="115">
        <f t="shared" ca="1" si="157"/>
        <v>56267.722156263357</v>
      </c>
      <c r="J922" s="521">
        <f t="shared" si="158"/>
        <v>0.11663184494267927</v>
      </c>
      <c r="K922" s="521">
        <f t="shared" ca="1" si="159"/>
        <v>0.52342601814557654</v>
      </c>
      <c r="L922" s="521">
        <f t="shared" si="160"/>
        <v>9.9158005042267669E-2</v>
      </c>
      <c r="M922" s="298">
        <f t="shared" ca="1" si="161"/>
        <v>0.73921586813052353</v>
      </c>
      <c r="N922" s="369">
        <f t="shared" ca="1" si="162"/>
        <v>0.25606767355059668</v>
      </c>
    </row>
    <row r="923" spans="2:14" x14ac:dyDescent="0.25">
      <c r="B923" s="978"/>
      <c r="C923" s="981"/>
      <c r="D923" s="388" t="s">
        <v>1450</v>
      </c>
      <c r="E923" s="548" t="s">
        <v>600</v>
      </c>
      <c r="F923" s="115">
        <f>F56*'Units CF'!$I$32*('Units CF'!$I$39*'Units CF'!$I$46+'Units CF'!$I$37)*('Units CF'!$I$48*'Units CF'!$I$51*'Units CF'!$I$77)</f>
        <v>7279.9670081921549</v>
      </c>
      <c r="G923" s="115">
        <f ca="1">G56*'Units CF'!$I$32*('Units CF'!$I$39*'Units CF'!$I$46+'Units CF'!$I$37)*('Units CF'!$I$48*'Units CF'!$I$51*'Units CF'!$I$77)</f>
        <v>0.33479388497796542</v>
      </c>
      <c r="H923" s="115">
        <f>H56*'Units CF'!$I$32*('Units CF'!$I$39*'Units CF'!$I$46+'Units CF'!$I$37)*('Units CF'!$I$48*'Units CF'!$I$51*'Units CF'!$I$77)</f>
        <v>85.657695555761663</v>
      </c>
      <c r="I923" s="115">
        <f t="shared" ca="1" si="157"/>
        <v>7365.9594976328954</v>
      </c>
      <c r="J923" s="521">
        <f t="shared" si="158"/>
        <v>9.5640394273954155E-2</v>
      </c>
      <c r="K923" s="521">
        <f t="shared" ca="1" si="159"/>
        <v>4.3983467402763687E-6</v>
      </c>
      <c r="L923" s="521">
        <f t="shared" si="160"/>
        <v>1.1253259480891234E-3</v>
      </c>
      <c r="M923" s="298">
        <f t="shared" ca="1" si="161"/>
        <v>9.677011856878355E-2</v>
      </c>
      <c r="N923" s="369">
        <f t="shared" ca="1" si="162"/>
        <v>3.3521600657452938E-2</v>
      </c>
    </row>
    <row r="924" spans="2:14" x14ac:dyDescent="0.25">
      <c r="B924" s="978"/>
      <c r="C924" s="981"/>
      <c r="D924" s="388" t="s">
        <v>1451</v>
      </c>
      <c r="E924" s="548" t="s">
        <v>601</v>
      </c>
      <c r="F924" s="115">
        <f>F57*'Units CF'!$I$32*('Units CF'!$I$39*'Units CF'!$I$46+'Units CF'!$I$37)*('Units CF'!$I$48*'Units CF'!$I$51*'Units CF'!$I$77)</f>
        <v>60276.755069699131</v>
      </c>
      <c r="G924" s="115">
        <f ca="1">G57*'Units CF'!$I$32*('Units CF'!$I$39*'Units CF'!$I$46+'Units CF'!$I$37)*('Units CF'!$I$48*'Units CF'!$I$51*'Units CF'!$I$77)</f>
        <v>5101.0825762202467</v>
      </c>
      <c r="H924" s="115">
        <f>H57*'Units CF'!$I$32*('Units CF'!$I$39*'Units CF'!$I$46+'Units CF'!$I$37)*('Units CF'!$I$48*'Units CF'!$I$51*'Units CF'!$I$77)</f>
        <v>43038.048465072781</v>
      </c>
      <c r="I924" s="115">
        <f t="shared" ca="1" si="157"/>
        <v>108415.88611099216</v>
      </c>
      <c r="J924" s="521">
        <f t="shared" si="158"/>
        <v>0.79188444314834805</v>
      </c>
      <c r="K924" s="521">
        <f t="shared" ca="1" si="159"/>
        <v>6.7015351616937557E-2</v>
      </c>
      <c r="L924" s="521">
        <f t="shared" si="160"/>
        <v>0.5654113431213591</v>
      </c>
      <c r="M924" s="298">
        <f t="shared" ca="1" si="161"/>
        <v>1.4243111378866447</v>
      </c>
      <c r="N924" s="369">
        <f t="shared" ca="1" si="162"/>
        <v>0.49338773045174605</v>
      </c>
    </row>
    <row r="925" spans="2:14" x14ac:dyDescent="0.25">
      <c r="B925" s="978"/>
      <c r="C925" s="981"/>
      <c r="D925" s="388" t="s">
        <v>1452</v>
      </c>
      <c r="E925" s="548" t="s">
        <v>602</v>
      </c>
      <c r="F925" s="115">
        <f>F58*'Units CF'!$I$32*('Units CF'!$I$39*'Units CF'!$I$46+'Units CF'!$I$37)*('Units CF'!$I$48*'Units CF'!$I$51*'Units CF'!$I$77)</f>
        <v>136.74237014503584</v>
      </c>
      <c r="G925" s="115">
        <f ca="1">G58*'Units CF'!$I$32*('Units CF'!$I$39*'Units CF'!$I$46+'Units CF'!$I$37)*('Units CF'!$I$48*'Units CF'!$I$51*'Units CF'!$I$77)</f>
        <v>28.401322927507799</v>
      </c>
      <c r="H925" s="115">
        <f>H58*'Units CF'!$I$32*('Units CF'!$I$39*'Units CF'!$I$46+'Units CF'!$I$37)*('Units CF'!$I$48*'Units CF'!$I$51*'Units CF'!$I$77)</f>
        <v>283.23719902763088</v>
      </c>
      <c r="I925" s="115">
        <f t="shared" ca="1" si="157"/>
        <v>448.38089210017449</v>
      </c>
      <c r="J925" s="521">
        <f t="shared" si="158"/>
        <v>1.7964496514763612E-3</v>
      </c>
      <c r="K925" s="521">
        <f t="shared" ca="1" si="159"/>
        <v>3.7312170778137715E-4</v>
      </c>
      <c r="L925" s="521">
        <f t="shared" si="160"/>
        <v>3.7210219988043701E-3</v>
      </c>
      <c r="M925" s="298">
        <f t="shared" ca="1" si="161"/>
        <v>5.890593358062109E-3</v>
      </c>
      <c r="N925" s="369">
        <f t="shared" ca="1" si="162"/>
        <v>2.0405278107006549E-3</v>
      </c>
    </row>
    <row r="926" spans="2:14" x14ac:dyDescent="0.25">
      <c r="B926" s="978"/>
      <c r="C926" s="981"/>
      <c r="D926" s="388" t="s">
        <v>19</v>
      </c>
      <c r="E926" s="548" t="s">
        <v>603</v>
      </c>
      <c r="F926" s="115">
        <f>F59*'Units CF'!$I$32*('Units CF'!$I$39*'Units CF'!$I$46+'Units CF'!$I$37)*('Units CF'!$I$48*'Units CF'!$I$51*'Units CF'!$I$77)</f>
        <v>2159.936072324665</v>
      </c>
      <c r="G926" s="115">
        <f ca="1">G59*'Units CF'!$I$32*('Units CF'!$I$39*'Units CF'!$I$46+'Units CF'!$I$37)*('Units CF'!$I$48*'Units CF'!$I$51*'Units CF'!$I$77)</f>
        <v>151.49095204064164</v>
      </c>
      <c r="H926" s="115">
        <f>H59*'Units CF'!$I$32*('Units CF'!$I$39*'Units CF'!$I$46+'Units CF'!$I$37)*('Units CF'!$I$48*'Units CF'!$I$51*'Units CF'!$I$77)</f>
        <v>1786.7478172206202</v>
      </c>
      <c r="I926" s="115">
        <f t="shared" ca="1" si="157"/>
        <v>4098.1748415859274</v>
      </c>
      <c r="J926" s="521">
        <f t="shared" si="158"/>
        <v>2.8376109030604869E-2</v>
      </c>
      <c r="K926" s="521">
        <f t="shared" ca="1" si="159"/>
        <v>1.9902087970727817E-3</v>
      </c>
      <c r="L926" s="521">
        <f t="shared" si="160"/>
        <v>2.3473357161482973E-2</v>
      </c>
      <c r="M926" s="298">
        <f t="shared" ca="1" si="161"/>
        <v>5.3839674989160625E-2</v>
      </c>
      <c r="N926" s="369">
        <f t="shared" ca="1" si="162"/>
        <v>1.8650303535908817E-2</v>
      </c>
    </row>
    <row r="927" spans="2:14" x14ac:dyDescent="0.25">
      <c r="B927" s="978"/>
      <c r="C927" s="981"/>
      <c r="D927" s="388" t="s">
        <v>1453</v>
      </c>
      <c r="E927" s="548" t="s">
        <v>604</v>
      </c>
      <c r="F927" s="115">
        <f>F60*'Units CF'!$I$32*('Units CF'!$I$39*'Units CF'!$I$46+'Units CF'!$I$37)*('Units CF'!$I$48*'Units CF'!$I$51*'Units CF'!$I$77)</f>
        <v>74.666634444072145</v>
      </c>
      <c r="G927" s="115">
        <f ca="1">G60*'Units CF'!$I$32*('Units CF'!$I$39*'Units CF'!$I$46+'Units CF'!$I$37)*('Units CF'!$I$48*'Units CF'!$I$51*'Units CF'!$I$77)</f>
        <v>189.01966157066232</v>
      </c>
      <c r="H927" s="115">
        <f>H60*'Units CF'!$I$32*('Units CF'!$I$39*'Units CF'!$I$46+'Units CF'!$I$37)*('Units CF'!$I$48*'Units CF'!$I$51*'Units CF'!$I$77)</f>
        <v>1045.9170669880777</v>
      </c>
      <c r="I927" s="115">
        <f t="shared" ca="1" si="157"/>
        <v>1309.6033630028123</v>
      </c>
      <c r="J927" s="521">
        <f t="shared" si="158"/>
        <v>9.8093114286154398E-4</v>
      </c>
      <c r="K927" s="521">
        <f t="shared" ca="1" si="159"/>
        <v>2.4832413303253198E-3</v>
      </c>
      <c r="L927" s="521">
        <f t="shared" si="160"/>
        <v>1.3740710713665522E-2</v>
      </c>
      <c r="M927" s="298">
        <f t="shared" ca="1" si="161"/>
        <v>1.7204883186852385E-2</v>
      </c>
      <c r="N927" s="369">
        <f t="shared" ca="1" si="162"/>
        <v>5.959848268015217E-3</v>
      </c>
    </row>
    <row r="928" spans="2:14" x14ac:dyDescent="0.25">
      <c r="B928" s="978"/>
      <c r="C928" s="981"/>
      <c r="D928" s="388" t="s">
        <v>1454</v>
      </c>
      <c r="E928" s="548" t="s">
        <v>605</v>
      </c>
      <c r="F928" s="115">
        <f>F61*'Units CF'!$I$32*('Units CF'!$I$39*'Units CF'!$I$46+'Units CF'!$I$37)*('Units CF'!$I$48*'Units CF'!$I$51*'Units CF'!$I$77)</f>
        <v>23.83013712901333</v>
      </c>
      <c r="G928" s="115">
        <f ca="1">G61*'Units CF'!$I$32*('Units CF'!$I$39*'Units CF'!$I$46+'Units CF'!$I$37)*('Units CF'!$I$48*'Units CF'!$I$51*'Units CF'!$I$77)</f>
        <v>33.989628649313929</v>
      </c>
      <c r="H928" s="115">
        <f>H61*'Units CF'!$I$32*('Units CF'!$I$39*'Units CF'!$I$46+'Units CF'!$I$37)*('Units CF'!$I$48*'Units CF'!$I$51*'Units CF'!$I$77)</f>
        <v>412.49115427832578</v>
      </c>
      <c r="I928" s="115">
        <f t="shared" ca="1" si="157"/>
        <v>470.31092005665306</v>
      </c>
      <c r="J928" s="521">
        <f t="shared" si="158"/>
        <v>3.130678625406583E-4</v>
      </c>
      <c r="K928" s="521">
        <f t="shared" ca="1" si="159"/>
        <v>4.4653794194225938E-4</v>
      </c>
      <c r="L928" s="521">
        <f t="shared" si="160"/>
        <v>5.4190927768358677E-3</v>
      </c>
      <c r="M928" s="298">
        <f t="shared" ca="1" si="161"/>
        <v>6.1786985813187855E-3</v>
      </c>
      <c r="N928" s="369">
        <f t="shared" ca="1" si="162"/>
        <v>2.1403287449577725E-3</v>
      </c>
    </row>
    <row r="929" spans="2:14" x14ac:dyDescent="0.25">
      <c r="B929" s="978"/>
      <c r="C929" s="981"/>
      <c r="D929" s="388" t="s">
        <v>1455</v>
      </c>
      <c r="E929" s="548" t="s">
        <v>636</v>
      </c>
      <c r="F929" s="115">
        <f>'Units CF'!L35*('Units CF'!$I$39*'Units CF'!$I$46+'Units CF'!$I$37)*('Units CF'!$I$48*'Units CF'!$I$51*'Units CF'!$I$77)</f>
        <v>939.86078670171025</v>
      </c>
      <c r="G929" s="115">
        <f ca="1">'Units CF'!M35*('Units CF'!$I$39*'Units CF'!$I$46+'Units CF'!$I$37)*('Units CF'!$I$48*'Units CF'!$I$51*'Units CF'!$I$77)</f>
        <v>2662.6183272406056</v>
      </c>
      <c r="H929" s="115">
        <f>'Units CF'!N35*('Units CF'!$I$39*'Units CF'!$I$46+'Units CF'!$I$37)*('Units CF'!$I$48*'Units CF'!$I$51*'Units CF'!$I$77)</f>
        <v>3752.2800701403276</v>
      </c>
      <c r="I929" s="115">
        <f t="shared" ca="1" si="157"/>
        <v>7354.7591840826435</v>
      </c>
      <c r="J929" s="521">
        <f t="shared" si="158"/>
        <v>1.2347398841454707E-2</v>
      </c>
      <c r="K929" s="521">
        <f t="shared" ca="1" si="159"/>
        <v>3.498008525749987E-2</v>
      </c>
      <c r="L929" s="521">
        <f t="shared" si="160"/>
        <v>4.9295490615642215E-2</v>
      </c>
      <c r="M929" s="298">
        <f t="shared" ca="1" si="161"/>
        <v>9.6622974714596799E-2</v>
      </c>
      <c r="N929" s="369">
        <f t="shared" ca="1" si="162"/>
        <v>3.3470629370115502E-2</v>
      </c>
    </row>
    <row r="930" spans="2:14" x14ac:dyDescent="0.25">
      <c r="B930" s="978"/>
      <c r="C930" s="981"/>
      <c r="D930" s="388" t="s">
        <v>1459</v>
      </c>
      <c r="E930" s="548" t="s">
        <v>641</v>
      </c>
      <c r="F930" s="115">
        <f>'Units CF'!L45*'Units CF'!$I$46*'Units CF'!$I$48*'Units CF'!$I$51*'Units CF'!$I$77</f>
        <v>13.956838797011745</v>
      </c>
      <c r="G930" s="115">
        <f ca="1">'Units CF'!M45*'Units CF'!$I$46*'Units CF'!$I$48*'Units CF'!$I$51*'Units CF'!$I$77</f>
        <v>29.076279836315113</v>
      </c>
      <c r="H930" s="115">
        <f>'Units CF'!N45*'Units CF'!$I$46*'Units CF'!$I$48*'Units CF'!$I$51*'Units CF'!$I$77</f>
        <v>198.20729024842137</v>
      </c>
      <c r="I930" s="115">
        <f t="shared" ca="1" si="157"/>
        <v>241.24040888174824</v>
      </c>
      <c r="J930" s="521">
        <f t="shared" si="158"/>
        <v>1.8335763937695447E-4</v>
      </c>
      <c r="K930" s="521">
        <f t="shared" ca="1" si="159"/>
        <v>3.8198893819651764E-4</v>
      </c>
      <c r="L930" s="521">
        <f t="shared" si="160"/>
        <v>2.6039435846342681E-3</v>
      </c>
      <c r="M930" s="298">
        <f t="shared" ca="1" si="161"/>
        <v>3.1692901622077402E-3</v>
      </c>
      <c r="N930" s="369">
        <f t="shared" ca="1" si="162"/>
        <v>1.0978562469116709E-3</v>
      </c>
    </row>
    <row r="931" spans="2:14" x14ac:dyDescent="0.25">
      <c r="B931" s="978"/>
      <c r="C931" s="981"/>
      <c r="D931" s="388" t="s">
        <v>1460</v>
      </c>
      <c r="E931" s="548" t="s">
        <v>1443</v>
      </c>
      <c r="F931" s="115">
        <f>'Units CF'!L47*'Units CF'!$I$48*'Units CF'!$I$51*'Units CF'!$I$77</f>
        <v>281.26669880707567</v>
      </c>
      <c r="G931" s="115">
        <f ca="1">'Units CF'!M47*'Units CF'!$I$48*'Units CF'!$I$51*'Units CF'!$I$77</f>
        <v>277.51688313479048</v>
      </c>
      <c r="H931" s="115">
        <f>'Units CF'!N47*'Units CF'!$I$48*'Units CF'!$I$51*'Units CF'!$I$77</f>
        <v>1392.068373822889</v>
      </c>
      <c r="I931" s="115">
        <f t="shared" ca="1" si="157"/>
        <v>1950.8519557647551</v>
      </c>
      <c r="J931" s="521">
        <f t="shared" si="158"/>
        <v>3.6951345987929771E-3</v>
      </c>
      <c r="K931" s="521">
        <f t="shared" ca="1" si="159"/>
        <v>3.6458714841458312E-3</v>
      </c>
      <c r="L931" s="521">
        <f t="shared" si="160"/>
        <v>1.8288265314788242E-2</v>
      </c>
      <c r="M931" s="298">
        <f t="shared" ca="1" si="161"/>
        <v>2.5629271397727051E-2</v>
      </c>
      <c r="N931" s="369">
        <f t="shared" ca="1" si="162"/>
        <v>8.8780939162063748E-3</v>
      </c>
    </row>
    <row r="932" spans="2:14" x14ac:dyDescent="0.25">
      <c r="B932" s="978"/>
      <c r="C932" s="981"/>
      <c r="D932" s="388" t="s">
        <v>1462</v>
      </c>
      <c r="E932" s="548" t="s">
        <v>654</v>
      </c>
      <c r="F932" s="115">
        <f>'Units CF'!L51*'Units CF'!$I$51*'Units CF'!$I$77</f>
        <v>189.71910065551742</v>
      </c>
      <c r="G932" s="115">
        <f ca="1">'Units CF'!M51*'Units CF'!$I$51*'Units CF'!$I$77</f>
        <v>15.200489431427471</v>
      </c>
      <c r="H932" s="115">
        <f>'Units CF'!N51*'Units CF'!$I$51*'Units CF'!$I$77</f>
        <v>5769.7013132881593</v>
      </c>
      <c r="I932" s="115">
        <f t="shared" ca="1" si="157"/>
        <v>5974.6209033751038</v>
      </c>
      <c r="J932" s="521">
        <f t="shared" si="158"/>
        <v>2.4924301947488645E-3</v>
      </c>
      <c r="K932" s="521">
        <f t="shared" ca="1" si="159"/>
        <v>1.9969607015290803E-4</v>
      </c>
      <c r="L932" s="521">
        <f t="shared" si="160"/>
        <v>7.5799314450858218E-2</v>
      </c>
      <c r="M932" s="298">
        <f t="shared" ca="1" si="161"/>
        <v>7.8491440715759989E-2</v>
      </c>
      <c r="N932" s="369">
        <f t="shared" ca="1" si="162"/>
        <v>2.7189785128057253E-2</v>
      </c>
    </row>
    <row r="933" spans="2:14" x14ac:dyDescent="0.25">
      <c r="B933" s="978"/>
      <c r="C933" s="981"/>
      <c r="D933" s="388" t="s">
        <v>26</v>
      </c>
      <c r="E933" s="548" t="s">
        <v>646</v>
      </c>
      <c r="F933" s="115">
        <f>'Units CF'!L76*'Units CF'!$I$77</f>
        <v>6121.577838139191</v>
      </c>
      <c r="G933" s="115">
        <f ca="1">'Units CF'!M76*'Units CF'!$I$77</f>
        <v>15.853124823445867</v>
      </c>
      <c r="H933" s="115">
        <f>'Units CF'!N76*'Units CF'!$I$77</f>
        <v>1160.5884112645833</v>
      </c>
      <c r="I933" s="115">
        <f t="shared" ca="1" si="157"/>
        <v>7298.0193742272204</v>
      </c>
      <c r="J933" s="521">
        <f t="shared" si="158"/>
        <v>8.0422083968169356E-2</v>
      </c>
      <c r="K933" s="521">
        <f t="shared" ca="1" si="159"/>
        <v>2.082700521695211E-4</v>
      </c>
      <c r="L933" s="521">
        <f t="shared" si="160"/>
        <v>1.5247202785152647E-2</v>
      </c>
      <c r="M933" s="298">
        <f t="shared" ca="1" si="161"/>
        <v>9.5877556805491523E-2</v>
      </c>
      <c r="N933" s="369">
        <f t="shared" ca="1" si="162"/>
        <v>3.3212413281910762E-2</v>
      </c>
    </row>
    <row r="934" spans="2:14" x14ac:dyDescent="0.25">
      <c r="B934" s="978"/>
      <c r="C934" s="981"/>
      <c r="D934" s="524"/>
      <c r="E934" s="523" t="s">
        <v>410</v>
      </c>
      <c r="F934" s="135">
        <f>SUM(F917:F933)</f>
        <v>97590.509364628655</v>
      </c>
      <c r="G934" s="135">
        <f t="shared" ref="G934:N934" ca="1" si="163">SUM(G917:G933)</f>
        <v>53359.953204687707</v>
      </c>
      <c r="H934" s="135">
        <f t="shared" si="163"/>
        <v>68787.239484454796</v>
      </c>
      <c r="I934" s="135">
        <f t="shared" ca="1" si="163"/>
        <v>219737.70205377115</v>
      </c>
      <c r="J934" s="526">
        <f t="shared" si="163"/>
        <v>1.2820930070872569</v>
      </c>
      <c r="K934" s="526">
        <f t="shared" ca="1" si="163"/>
        <v>0.70101512234784191</v>
      </c>
      <c r="L934" s="526">
        <f t="shared" si="163"/>
        <v>0.90369073072817363</v>
      </c>
      <c r="M934" s="974">
        <f t="shared" ca="1" si="163"/>
        <v>2.8867988601632728</v>
      </c>
      <c r="N934" s="972">
        <f t="shared" ca="1" si="163"/>
        <v>0.99999999999999978</v>
      </c>
    </row>
    <row r="935" spans="2:14" x14ac:dyDescent="0.25">
      <c r="B935" s="979"/>
      <c r="C935" s="982"/>
      <c r="D935" s="525"/>
      <c r="E935" s="523" t="s">
        <v>309</v>
      </c>
      <c r="F935" s="135"/>
      <c r="G935" s="135"/>
      <c r="H935" s="135"/>
      <c r="I935" s="135"/>
      <c r="J935" s="527">
        <f ca="1">J934/M934</f>
        <v>0.44412273566394017</v>
      </c>
      <c r="K935" s="527">
        <f ca="1">K934/M934</f>
        <v>0.24283476483990077</v>
      </c>
      <c r="L935" s="527">
        <f ca="1">L934/M934</f>
        <v>0.31304249949615898</v>
      </c>
      <c r="M935" s="975"/>
      <c r="N935" s="973"/>
    </row>
    <row r="966" spans="1:38" ht="27.6" x14ac:dyDescent="0.25">
      <c r="A966" s="531"/>
      <c r="B966" s="532" t="s">
        <v>1400</v>
      </c>
      <c r="C966" s="533"/>
      <c r="D966" s="534" t="s">
        <v>175</v>
      </c>
      <c r="E966" s="534"/>
      <c r="F966" s="535"/>
      <c r="G966" s="533"/>
      <c r="H966" s="533"/>
      <c r="I966" s="533"/>
      <c r="J966" s="533"/>
      <c r="K966" s="533"/>
      <c r="L966" s="533"/>
      <c r="M966" s="533"/>
      <c r="N966" s="533"/>
      <c r="O966" s="533"/>
      <c r="P966" s="533"/>
      <c r="Q966" s="533"/>
      <c r="R966" s="533"/>
      <c r="S966" s="533"/>
      <c r="T966" s="533"/>
      <c r="U966" s="533"/>
      <c r="V966" s="533"/>
      <c r="W966" s="533"/>
      <c r="X966" s="533"/>
      <c r="Y966" s="533"/>
      <c r="Z966" s="533"/>
      <c r="AA966" s="533"/>
      <c r="AB966" s="533"/>
      <c r="AC966" s="533"/>
      <c r="AD966" s="533"/>
      <c r="AE966" s="533"/>
      <c r="AF966" s="533"/>
      <c r="AG966" s="533"/>
      <c r="AH966" s="533"/>
      <c r="AI966" s="533"/>
      <c r="AJ966" s="533"/>
      <c r="AK966" s="533"/>
      <c r="AL966" s="533"/>
    </row>
    <row r="969" spans="1:38" ht="27.6" x14ac:dyDescent="0.25">
      <c r="B969" s="976" t="s">
        <v>425</v>
      </c>
      <c r="C969" s="523" t="s">
        <v>408</v>
      </c>
      <c r="D969" s="976" t="s">
        <v>411</v>
      </c>
      <c r="E969" s="976" t="s">
        <v>411</v>
      </c>
      <c r="F969" s="522" t="s">
        <v>479</v>
      </c>
      <c r="G969" s="522" t="s">
        <v>480</v>
      </c>
      <c r="H969" s="522" t="s">
        <v>481</v>
      </c>
      <c r="I969" s="522" t="s">
        <v>482</v>
      </c>
      <c r="J969" s="546" t="s">
        <v>484</v>
      </c>
      <c r="K969" s="546" t="s">
        <v>483</v>
      </c>
      <c r="L969" s="546" t="s">
        <v>485</v>
      </c>
      <c r="M969" s="522" t="s">
        <v>486</v>
      </c>
      <c r="N969" s="523" t="s">
        <v>487</v>
      </c>
    </row>
    <row r="970" spans="1:38" x14ac:dyDescent="0.25">
      <c r="B970" s="976"/>
      <c r="C970" s="523" t="s">
        <v>477</v>
      </c>
      <c r="D970" s="976"/>
      <c r="E970" s="976"/>
      <c r="F970" s="523" t="s">
        <v>308</v>
      </c>
      <c r="G970" s="523" t="s">
        <v>308</v>
      </c>
      <c r="H970" s="523" t="s">
        <v>308</v>
      </c>
      <c r="I970" s="523" t="s">
        <v>308</v>
      </c>
      <c r="J970" s="547" t="s">
        <v>310</v>
      </c>
      <c r="K970" s="547" t="s">
        <v>310</v>
      </c>
      <c r="L970" s="547" t="s">
        <v>310</v>
      </c>
      <c r="M970" s="523" t="s">
        <v>310</v>
      </c>
      <c r="N970" s="523" t="s">
        <v>309</v>
      </c>
    </row>
    <row r="971" spans="1:38" x14ac:dyDescent="0.25">
      <c r="B971" s="977" t="s">
        <v>1400</v>
      </c>
      <c r="C971" s="980">
        <f>'Units CF'!F78</f>
        <v>103158</v>
      </c>
      <c r="D971" s="388" t="s">
        <v>229</v>
      </c>
      <c r="E971" s="548" t="s">
        <v>594</v>
      </c>
      <c r="F971" s="115">
        <f>F50*'Units CF'!$I$32*('Units CF'!$I$39*'Units CF'!$I$46+'Units CF'!$I$37)*('Units CF'!$I$48*'Units CF'!$I$51*'Units CF'!$I$76)</f>
        <v>4735.0609384140907</v>
      </c>
      <c r="G971" s="115">
        <f ca="1">G50*'Units CF'!$I$32*('Units CF'!$I$39*'Units CF'!$I$46+'Units CF'!$I$37)*('Units CF'!$I$48*'Units CF'!$I$51*'Units CF'!$I$76)</f>
        <v>97.638014327408328</v>
      </c>
      <c r="H971" s="115">
        <f>H50*'Units CF'!$I$32*('Units CF'!$I$39*'Units CF'!$I$46+'Units CF'!$I$37)*('Units CF'!$I$48*'Units CF'!$I$51*'Units CF'!$I$76)</f>
        <v>671.45050964094912</v>
      </c>
      <c r="I971" s="115">
        <f ca="1">SUM(F971:H971)</f>
        <v>5504.1494623824483</v>
      </c>
      <c r="J971" s="521">
        <f>F971/$C$971</f>
        <v>4.5901054095795681E-2</v>
      </c>
      <c r="K971" s="521">
        <f ca="1">G971/$C$971</f>
        <v>9.4648998940856095E-4</v>
      </c>
      <c r="L971" s="521">
        <f>H971/$C$971</f>
        <v>6.5089523802414661E-3</v>
      </c>
      <c r="M971" s="298">
        <f ca="1">SUM(J971:L971)</f>
        <v>5.3356496465445713E-2</v>
      </c>
      <c r="N971" s="369">
        <f ca="1">M971/$M$989</f>
        <v>1.7056599096292948E-2</v>
      </c>
    </row>
    <row r="972" spans="1:38" x14ac:dyDescent="0.25">
      <c r="B972" s="978"/>
      <c r="C972" s="981"/>
      <c r="D972" s="388" t="s">
        <v>1445</v>
      </c>
      <c r="E972" s="548" t="s">
        <v>597</v>
      </c>
      <c r="F972" s="115">
        <f>F51*'Units CF'!$I$32*('Units CF'!$I$39*'Units CF'!$I$46+'Units CF'!$I$37)*('Units CF'!$I$48*'Units CF'!$I$51*'Units CF'!$I$76)</f>
        <v>4116.7922139961456</v>
      </c>
      <c r="G972" s="115">
        <f ca="1">G51*'Units CF'!$I$32*('Units CF'!$I$39*'Units CF'!$I$46+'Units CF'!$I$37)*('Units CF'!$I$48*'Units CF'!$I$51*'Units CF'!$I$76)</f>
        <v>3302.9923478980795</v>
      </c>
      <c r="H972" s="115">
        <f>H51*'Units CF'!$I$32*('Units CF'!$I$39*'Units CF'!$I$46+'Units CF'!$I$37)*('Units CF'!$I$48*'Units CF'!$I$51*'Units CF'!$I$76)</f>
        <v>185.03035068547828</v>
      </c>
      <c r="I972" s="115">
        <f t="shared" ref="I972:I988" ca="1" si="164">SUM(F972:H972)</f>
        <v>7604.8149125797026</v>
      </c>
      <c r="J972" s="521">
        <f t="shared" ref="J972:J988" si="165">F972/$C$971</f>
        <v>3.9907638903392328E-2</v>
      </c>
      <c r="K972" s="521">
        <f t="shared" ref="K972:K988" ca="1" si="166">G972/$C$971</f>
        <v>3.2018770700266382E-2</v>
      </c>
      <c r="L972" s="521">
        <f t="shared" ref="L972:L988" si="167">H972/$C$971</f>
        <v>1.7936597325023584E-3</v>
      </c>
      <c r="M972" s="298">
        <f t="shared" ref="M972:M988" ca="1" si="168">SUM(J972:L972)</f>
        <v>7.3720069336161057E-2</v>
      </c>
      <c r="N972" s="369">
        <f t="shared" ref="N972:N988" ca="1" si="169">M972/$M$989</f>
        <v>2.3566271238070025E-2</v>
      </c>
    </row>
    <row r="973" spans="1:38" x14ac:dyDescent="0.25">
      <c r="B973" s="978"/>
      <c r="C973" s="981"/>
      <c r="D973" s="388" t="s">
        <v>1446</v>
      </c>
      <c r="E973" s="548" t="s">
        <v>595</v>
      </c>
      <c r="F973" s="115">
        <f>F52*'Units CF'!$I$32*('Units CF'!$I$39*'Units CF'!$I$46+'Units CF'!$I$37)*('Units CF'!$I$48*'Units CF'!$I$51*'Units CF'!$I$76)</f>
        <v>2.0780522664091146E-2</v>
      </c>
      <c r="G973" s="115">
        <f ca="1">G52*'Units CF'!$I$32*('Units CF'!$I$39*'Units CF'!$I$46+'Units CF'!$I$37)*('Units CF'!$I$48*'Units CF'!$I$51*'Units CF'!$I$76)</f>
        <v>1.3860336777355111</v>
      </c>
      <c r="H973" s="115">
        <f>H52*'Units CF'!$I$32*('Units CF'!$I$39*'Units CF'!$I$46+'Units CF'!$I$37)*('Units CF'!$I$48*'Units CF'!$I$51*'Units CF'!$I$76)</f>
        <v>12.990670382158825</v>
      </c>
      <c r="I973" s="115">
        <f t="shared" ca="1" si="164"/>
        <v>14.397484582558427</v>
      </c>
      <c r="J973" s="521">
        <f t="shared" si="165"/>
        <v>2.0144363659717275E-7</v>
      </c>
      <c r="K973" s="521">
        <f t="shared" ca="1" si="166"/>
        <v>1.3436027043326849E-5</v>
      </c>
      <c r="L973" s="521">
        <f t="shared" si="167"/>
        <v>1.2592983949047892E-4</v>
      </c>
      <c r="M973" s="298">
        <f t="shared" ca="1" si="168"/>
        <v>1.3956731017040293E-4</v>
      </c>
      <c r="N973" s="369">
        <f t="shared" ca="1" si="169"/>
        <v>4.4615816521352748E-5</v>
      </c>
    </row>
    <row r="974" spans="1:38" x14ac:dyDescent="0.25">
      <c r="B974" s="978"/>
      <c r="C974" s="981"/>
      <c r="D974" s="388" t="s">
        <v>1447</v>
      </c>
      <c r="E974" s="548" t="s">
        <v>596</v>
      </c>
      <c r="F974" s="115">
        <f>F53*'Units CF'!$I$32*('Units CF'!$I$39*'Units CF'!$I$46+'Units CF'!$I$37)*('Units CF'!$I$48*'Units CF'!$I$51*'Units CF'!$I$76)</f>
        <v>186.59303912458199</v>
      </c>
      <c r="G974" s="115">
        <f ca="1">G53*'Units CF'!$I$32*('Units CF'!$I$39*'Units CF'!$I$46+'Units CF'!$I$37)*('Units CF'!$I$48*'Units CF'!$I$51*'Units CF'!$I$76)</f>
        <v>1805.396288943989</v>
      </c>
      <c r="H974" s="115">
        <f>H53*'Units CF'!$I$32*('Units CF'!$I$39*'Units CF'!$I$46+'Units CF'!$I$37)*('Units CF'!$I$48*'Units CF'!$I$51*'Units CF'!$I$76)</f>
        <v>95.613567057426366</v>
      </c>
      <c r="I974" s="115">
        <f t="shared" ca="1" si="164"/>
        <v>2087.6028951259973</v>
      </c>
      <c r="J974" s="521">
        <f t="shared" si="165"/>
        <v>1.8088082274237769E-3</v>
      </c>
      <c r="K974" s="521">
        <f t="shared" ca="1" si="166"/>
        <v>1.750127269764816E-2</v>
      </c>
      <c r="L974" s="521">
        <f t="shared" si="167"/>
        <v>9.2686526549008675E-4</v>
      </c>
      <c r="M974" s="298">
        <f t="shared" ca="1" si="168"/>
        <v>2.0236946190562023E-2</v>
      </c>
      <c r="N974" s="369">
        <f t="shared" ca="1" si="169"/>
        <v>6.4691930874660707E-3</v>
      </c>
    </row>
    <row r="975" spans="1:38" x14ac:dyDescent="0.25">
      <c r="B975" s="978"/>
      <c r="C975" s="981"/>
      <c r="D975" s="388" t="s">
        <v>1448</v>
      </c>
      <c r="E975" s="548" t="s">
        <v>598</v>
      </c>
      <c r="F975" s="115">
        <f>F54*'Units CF'!$I$32*('Units CF'!$I$39*'Units CF'!$I$46+'Units CF'!$I$37)*('Units CF'!$I$48*'Units CF'!$I$51*'Units CF'!$I$76)</f>
        <v>5728.6035050129904</v>
      </c>
      <c r="G975" s="115">
        <f ca="1">G54*'Units CF'!$I$32*('Units CF'!$I$39*'Units CF'!$I$46+'Units CF'!$I$37)*('Units CF'!$I$48*'Units CF'!$I$51*'Units CF'!$I$76)</f>
        <v>1393.8795639757373</v>
      </c>
      <c r="H975" s="115">
        <f>H54*'Units CF'!$I$32*('Units CF'!$I$39*'Units CF'!$I$46+'Units CF'!$I$37)*('Units CF'!$I$48*'Units CF'!$I$51*'Units CF'!$I$76)</f>
        <v>2082.7256825704089</v>
      </c>
      <c r="I975" s="115">
        <f t="shared" ca="1" si="164"/>
        <v>9205.2087515591375</v>
      </c>
      <c r="J975" s="521">
        <f t="shared" si="165"/>
        <v>5.5532324250305264E-2</v>
      </c>
      <c r="K975" s="521">
        <f t="shared" ca="1" si="166"/>
        <v>1.351208402620967E-2</v>
      </c>
      <c r="L975" s="521">
        <f t="shared" si="167"/>
        <v>2.0189667137501782E-2</v>
      </c>
      <c r="M975" s="298">
        <f t="shared" ca="1" si="168"/>
        <v>8.923407541401672E-2</v>
      </c>
      <c r="N975" s="369">
        <f t="shared" ca="1" si="169"/>
        <v>2.8525670740974132E-2</v>
      </c>
    </row>
    <row r="976" spans="1:38" x14ac:dyDescent="0.25">
      <c r="B976" s="978"/>
      <c r="C976" s="981"/>
      <c r="D976" s="388" t="s">
        <v>1449</v>
      </c>
      <c r="E976" s="548" t="s">
        <v>599</v>
      </c>
      <c r="F976" s="115">
        <f>F55*'Units CF'!$I$32*('Units CF'!$I$39*'Units CF'!$I$46+'Units CF'!$I$37)*('Units CF'!$I$48*'Units CF'!$I$51*'Units CF'!$I$76)</f>
        <v>11690.206576527162</v>
      </c>
      <c r="G976" s="115">
        <f ca="1">G55*'Units CF'!$I$32*('Units CF'!$I$39*'Units CF'!$I$46+'Units CF'!$I$37)*('Units CF'!$I$48*'Units CF'!$I$51*'Units CF'!$I$76)</f>
        <v>52463.872818423755</v>
      </c>
      <c r="H976" s="115">
        <f>H55*'Units CF'!$I$32*('Units CF'!$I$39*'Units CF'!$I$46+'Units CF'!$I$37)*('Units CF'!$I$48*'Units CF'!$I$51*'Units CF'!$I$76)</f>
        <v>9938.7741249409974</v>
      </c>
      <c r="I976" s="115">
        <f t="shared" ca="1" si="164"/>
        <v>74092.853519891913</v>
      </c>
      <c r="J976" s="521">
        <f t="shared" si="165"/>
        <v>0.1133233154629516</v>
      </c>
      <c r="K976" s="521">
        <f t="shared" ca="1" si="166"/>
        <v>0.50857783999712824</v>
      </c>
      <c r="L976" s="521">
        <f t="shared" si="167"/>
        <v>9.6345161063039197E-2</v>
      </c>
      <c r="M976" s="298">
        <f t="shared" ca="1" si="168"/>
        <v>0.71824631652311899</v>
      </c>
      <c r="N976" s="369">
        <f t="shared" ca="1" si="169"/>
        <v>0.22960352131174425</v>
      </c>
    </row>
    <row r="977" spans="2:14" x14ac:dyDescent="0.25">
      <c r="B977" s="978"/>
      <c r="C977" s="981"/>
      <c r="D977" s="388" t="s">
        <v>1450</v>
      </c>
      <c r="E977" s="548" t="s">
        <v>600</v>
      </c>
      <c r="F977" s="115">
        <f>F56*'Units CF'!$I$32*('Units CF'!$I$39*'Units CF'!$I$46+'Units CF'!$I$37)*('Units CF'!$I$48*'Units CF'!$I$51*'Units CF'!$I$76)</f>
        <v>9586.1980634235661</v>
      </c>
      <c r="G977" s="115">
        <f ca="1">G56*'Units CF'!$I$32*('Units CF'!$I$39*'Units CF'!$I$46+'Units CF'!$I$37)*('Units CF'!$I$48*'Units CF'!$I$51*'Units CF'!$I$76)</f>
        <v>0.4408537137888513</v>
      </c>
      <c r="H977" s="115">
        <f>H56*'Units CF'!$I$32*('Units CF'!$I$39*'Units CF'!$I$46+'Units CF'!$I$37)*('Units CF'!$I$48*'Units CF'!$I$51*'Units CF'!$I$76)</f>
        <v>112.7933182018473</v>
      </c>
      <c r="I977" s="115">
        <f t="shared" ca="1" si="164"/>
        <v>9699.4322353392035</v>
      </c>
      <c r="J977" s="521">
        <f t="shared" si="165"/>
        <v>9.2927335382845408E-2</v>
      </c>
      <c r="K977" s="521">
        <f t="shared" ca="1" si="166"/>
        <v>4.273577558588295E-6</v>
      </c>
      <c r="L977" s="521">
        <f t="shared" si="167"/>
        <v>1.0934034995041325E-3</v>
      </c>
      <c r="M977" s="298">
        <f t="shared" ca="1" si="168"/>
        <v>9.4025012459908131E-2</v>
      </c>
      <c r="N977" s="369">
        <f t="shared" ca="1" si="169"/>
        <v>3.0057201068124994E-2</v>
      </c>
    </row>
    <row r="978" spans="2:14" x14ac:dyDescent="0.25">
      <c r="B978" s="978"/>
      <c r="C978" s="981"/>
      <c r="D978" s="388" t="s">
        <v>1451</v>
      </c>
      <c r="E978" s="548" t="s">
        <v>601</v>
      </c>
      <c r="F978" s="115">
        <f>F57*'Units CF'!$I$32*('Units CF'!$I$39*'Units CF'!$I$46+'Units CF'!$I$37)*('Units CF'!$I$48*'Units CF'!$I$51*'Units CF'!$I$76)</f>
        <v>79371.913645814522</v>
      </c>
      <c r="G978" s="115">
        <f ca="1">G57*'Units CF'!$I$32*('Units CF'!$I$39*'Units CF'!$I$46+'Units CF'!$I$37)*('Units CF'!$I$48*'Units CF'!$I$51*'Units CF'!$I$76)</f>
        <v>6717.0617474638302</v>
      </c>
      <c r="H978" s="115">
        <f>H57*'Units CF'!$I$32*('Units CF'!$I$39*'Units CF'!$I$46+'Units CF'!$I$37)*('Units CF'!$I$48*'Units CF'!$I$51*'Units CF'!$I$76)</f>
        <v>56672.132769989672</v>
      </c>
      <c r="I978" s="115">
        <f t="shared" ca="1" si="164"/>
        <v>142761.10816326801</v>
      </c>
      <c r="J978" s="521">
        <f t="shared" si="165"/>
        <v>0.76942082674939916</v>
      </c>
      <c r="K978" s="521">
        <f t="shared" ca="1" si="166"/>
        <v>6.5114307639386471E-2</v>
      </c>
      <c r="L978" s="521">
        <f t="shared" si="167"/>
        <v>0.54937215504361925</v>
      </c>
      <c r="M978" s="298">
        <f t="shared" ca="1" si="168"/>
        <v>1.3839072894324049</v>
      </c>
      <c r="N978" s="369">
        <f t="shared" ca="1" si="169"/>
        <v>0.4423969598073722</v>
      </c>
    </row>
    <row r="979" spans="2:14" x14ac:dyDescent="0.25">
      <c r="B979" s="978"/>
      <c r="C979" s="981"/>
      <c r="D979" s="388" t="s">
        <v>1452</v>
      </c>
      <c r="E979" s="548" t="s">
        <v>602</v>
      </c>
      <c r="F979" s="115">
        <f>F58*'Units CF'!$I$32*('Units CF'!$I$39*'Units CF'!$I$46+'Units CF'!$I$37)*('Units CF'!$I$48*'Units CF'!$I$51*'Units CF'!$I$76)</f>
        <v>180.06117917803778</v>
      </c>
      <c r="G979" s="115">
        <f ca="1">G58*'Units CF'!$I$32*('Units CF'!$I$39*'Units CF'!$I$46+'Units CF'!$I$37)*('Units CF'!$I$48*'Units CF'!$I$51*'Units CF'!$I$76)</f>
        <v>37.39861822724847</v>
      </c>
      <c r="H979" s="115">
        <f>H58*'Units CF'!$I$32*('Units CF'!$I$39*'Units CF'!$I$46+'Units CF'!$I$37)*('Units CF'!$I$48*'Units CF'!$I$51*'Units CF'!$I$76)</f>
        <v>372.96431230427407</v>
      </c>
      <c r="I979" s="115">
        <f t="shared" ca="1" si="164"/>
        <v>590.4241097095603</v>
      </c>
      <c r="J979" s="521">
        <f t="shared" si="165"/>
        <v>1.7454892415327728E-3</v>
      </c>
      <c r="K979" s="521">
        <f t="shared" ca="1" si="166"/>
        <v>3.6253725573633138E-4</v>
      </c>
      <c r="L979" s="521">
        <f t="shared" si="167"/>
        <v>3.6154666851264477E-3</v>
      </c>
      <c r="M979" s="298">
        <f t="shared" ca="1" si="168"/>
        <v>5.7234931823955514E-3</v>
      </c>
      <c r="N979" s="369">
        <f t="shared" ca="1" si="169"/>
        <v>1.8296427822188216E-3</v>
      </c>
    </row>
    <row r="980" spans="2:14" x14ac:dyDescent="0.25">
      <c r="B980" s="978"/>
      <c r="C980" s="981"/>
      <c r="D980" s="388" t="s">
        <v>19</v>
      </c>
      <c r="E980" s="548" t="s">
        <v>603</v>
      </c>
      <c r="F980" s="115">
        <f>F59*'Units CF'!$I$32*('Units CF'!$I$39*'Units CF'!$I$46+'Units CF'!$I$37)*('Units CF'!$I$48*'Units CF'!$I$51*'Units CF'!$I$76)</f>
        <v>2844.1852786334612</v>
      </c>
      <c r="G980" s="115">
        <f ca="1">G59*'Units CF'!$I$32*('Units CF'!$I$39*'Units CF'!$I$46+'Units CF'!$I$37)*('Units CF'!$I$48*'Units CF'!$I$51*'Units CF'!$I$76)</f>
        <v>199.48198521284559</v>
      </c>
      <c r="H980" s="115">
        <f>H59*'Units CF'!$I$32*('Units CF'!$I$39*'Units CF'!$I$46+'Units CF'!$I$37)*('Units CF'!$I$48*'Units CF'!$I$51*'Units CF'!$I$76)</f>
        <v>2352.7741878489701</v>
      </c>
      <c r="I980" s="115">
        <f t="shared" ca="1" si="164"/>
        <v>5396.4414516952766</v>
      </c>
      <c r="J980" s="521">
        <f t="shared" si="165"/>
        <v>2.7571155689655298E-2</v>
      </c>
      <c r="K980" s="521">
        <f t="shared" ca="1" si="166"/>
        <v>1.933751965071498E-3</v>
      </c>
      <c r="L980" s="521">
        <f t="shared" si="167"/>
        <v>2.2807481609268987E-2</v>
      </c>
      <c r="M980" s="298">
        <f t="shared" ca="1" si="168"/>
        <v>5.2312389263995784E-2</v>
      </c>
      <c r="N980" s="369">
        <f t="shared" ca="1" si="169"/>
        <v>1.672282684495675E-2</v>
      </c>
    </row>
    <row r="981" spans="2:14" x14ac:dyDescent="0.25">
      <c r="B981" s="978"/>
      <c r="C981" s="981"/>
      <c r="D981" s="388" t="s">
        <v>1453</v>
      </c>
      <c r="E981" s="548" t="s">
        <v>604</v>
      </c>
      <c r="F981" s="115">
        <f>F60*'Units CF'!$I$32*('Units CF'!$I$39*'Units CF'!$I$46+'Units CF'!$I$37)*('Units CF'!$I$48*'Units CF'!$I$51*'Units CF'!$I$76)</f>
        <v>98.320383279850589</v>
      </c>
      <c r="G981" s="115">
        <f ca="1">G60*'Units CF'!$I$32*('Units CF'!$I$39*'Units CF'!$I$46+'Units CF'!$I$37)*('Units CF'!$I$48*'Units CF'!$I$51*'Units CF'!$I$76)</f>
        <v>248.89946776663112</v>
      </c>
      <c r="H981" s="115">
        <f>H60*'Units CF'!$I$32*('Units CF'!$I$39*'Units CF'!$I$46+'Units CF'!$I$37)*('Units CF'!$I$48*'Units CF'!$I$51*'Units CF'!$I$76)</f>
        <v>1377.2546154096694</v>
      </c>
      <c r="I981" s="115">
        <f t="shared" ca="1" si="164"/>
        <v>1724.4744664561513</v>
      </c>
      <c r="J981" s="521">
        <f t="shared" si="165"/>
        <v>9.5310478372836419E-4</v>
      </c>
      <c r="K981" s="521">
        <f t="shared" ca="1" si="166"/>
        <v>2.4127985010045862E-3</v>
      </c>
      <c r="L981" s="521">
        <f t="shared" si="167"/>
        <v>1.3350923974967229E-2</v>
      </c>
      <c r="M981" s="298">
        <f t="shared" ca="1" si="168"/>
        <v>1.6716827259700178E-2</v>
      </c>
      <c r="N981" s="369">
        <f t="shared" ca="1" si="169"/>
        <v>5.3439082327180597E-3</v>
      </c>
    </row>
    <row r="982" spans="2:14" x14ac:dyDescent="0.25">
      <c r="B982" s="978"/>
      <c r="C982" s="981"/>
      <c r="D982" s="388" t="s">
        <v>1454</v>
      </c>
      <c r="E982" s="548" t="s">
        <v>605</v>
      </c>
      <c r="F982" s="115">
        <f>F61*'Units CF'!$I$32*('Units CF'!$I$39*'Units CF'!$I$46+'Units CF'!$I$37)*('Units CF'!$I$48*'Units CF'!$I$51*'Units CF'!$I$76)</f>
        <v>31.37932000793429</v>
      </c>
      <c r="G982" s="115">
        <f ca="1">G61*'Units CF'!$I$32*('Units CF'!$I$39*'Units CF'!$I$46+'Units CF'!$I$37)*('Units CF'!$I$48*'Units CF'!$I$51*'Units CF'!$I$76)</f>
        <v>44.757251230380724</v>
      </c>
      <c r="H982" s="115">
        <f>H61*'Units CF'!$I$32*('Units CF'!$I$39*'Units CF'!$I$46+'Units CF'!$I$37)*('Units CF'!$I$48*'Units CF'!$I$51*'Units CF'!$I$76)</f>
        <v>543.16481103177364</v>
      </c>
      <c r="I982" s="115">
        <f t="shared" ca="1" si="164"/>
        <v>619.30138227008865</v>
      </c>
      <c r="J982" s="521">
        <f t="shared" si="165"/>
        <v>3.0418697539632688E-4</v>
      </c>
      <c r="K982" s="521">
        <f t="shared" ca="1" si="166"/>
        <v>4.3387087022219047E-4</v>
      </c>
      <c r="L982" s="521">
        <f t="shared" si="167"/>
        <v>5.2653677953408713E-3</v>
      </c>
      <c r="M982" s="298">
        <f t="shared" ca="1" si="168"/>
        <v>6.0034256409593886E-3</v>
      </c>
      <c r="N982" s="369">
        <f t="shared" ca="1" si="169"/>
        <v>1.9191294621183378E-3</v>
      </c>
    </row>
    <row r="983" spans="2:14" x14ac:dyDescent="0.25">
      <c r="B983" s="978"/>
      <c r="C983" s="981"/>
      <c r="D983" s="388" t="s">
        <v>1455</v>
      </c>
      <c r="E983" s="548" t="s">
        <v>636</v>
      </c>
      <c r="F983" s="115">
        <f>'Units CF'!L35*('Units CF'!$I$39*'Units CF'!$I$46+'Units CF'!$I$37)*('Units CF'!$I$48*'Units CF'!$I$51*'Units CF'!$I$76)</f>
        <v>1237.600615940851</v>
      </c>
      <c r="G983" s="115">
        <f ca="1">'Units CF'!M35*('Units CF'!$I$39*'Units CF'!$I$46+'Units CF'!$I$37)*('Units CF'!$I$48*'Units CF'!$I$51*'Units CF'!$I$76)</f>
        <v>3506.1129567630419</v>
      </c>
      <c r="H983" s="115">
        <f>'Units CF'!N35*('Units CF'!$I$39*'Units CF'!$I$46+'Units CF'!$I$37)*('Units CF'!$I$48*'Units CF'!$I$51*'Units CF'!$I$76)</f>
        <v>4940.9701858984881</v>
      </c>
      <c r="I983" s="115">
        <f t="shared" ca="1" si="164"/>
        <v>9684.6837586023812</v>
      </c>
      <c r="J983" s="521">
        <f t="shared" si="165"/>
        <v>1.1997136586021936E-2</v>
      </c>
      <c r="K983" s="521">
        <f t="shared" ca="1" si="166"/>
        <v>3.3987795001483564E-2</v>
      </c>
      <c r="L983" s="521">
        <f t="shared" si="167"/>
        <v>4.7897111090739332E-2</v>
      </c>
      <c r="M983" s="298">
        <f t="shared" ca="1" si="168"/>
        <v>9.3882042678244834E-2</v>
      </c>
      <c r="N983" s="369">
        <f t="shared" ca="1" si="169"/>
        <v>3.0011497575387337E-2</v>
      </c>
    </row>
    <row r="984" spans="2:14" x14ac:dyDescent="0.25">
      <c r="B984" s="978"/>
      <c r="C984" s="981"/>
      <c r="D984" s="388" t="s">
        <v>1459</v>
      </c>
      <c r="E984" s="548" t="s">
        <v>641</v>
      </c>
      <c r="F984" s="115">
        <f>'Units CF'!L45*'Units CF'!$I$46*'Units CF'!$I$48*'Units CF'!$I$51*'Units CF'!$I$76</f>
        <v>18.378245519089777</v>
      </c>
      <c r="G984" s="115">
        <f ca="1">'Units CF'!M45*'Units CF'!$I$46*'Units CF'!$I$48*'Units CF'!$I$51*'Units CF'!$I$76</f>
        <v>38.287395690775703</v>
      </c>
      <c r="H984" s="115">
        <f>'Units CF'!N45*'Units CF'!$I$46*'Units CF'!$I$48*'Units CF'!$I$51*'Units CF'!$I$76</f>
        <v>260.99765834072002</v>
      </c>
      <c r="I984" s="115">
        <f t="shared" ca="1" si="164"/>
        <v>317.66329955058552</v>
      </c>
      <c r="J984" s="521">
        <f t="shared" si="165"/>
        <v>1.7815627987252349E-4</v>
      </c>
      <c r="K984" s="521">
        <f t="shared" ca="1" si="166"/>
        <v>3.7115294684634935E-4</v>
      </c>
      <c r="L984" s="521">
        <f t="shared" si="167"/>
        <v>2.5300767593470215E-3</v>
      </c>
      <c r="M984" s="298">
        <f t="shared" ca="1" si="168"/>
        <v>3.0793859860658943E-3</v>
      </c>
      <c r="N984" s="369">
        <f t="shared" ca="1" si="169"/>
        <v>9.8439469804925748E-4</v>
      </c>
    </row>
    <row r="985" spans="2:14" x14ac:dyDescent="0.25">
      <c r="B985" s="978"/>
      <c r="C985" s="981"/>
      <c r="D985" s="388" t="s">
        <v>1460</v>
      </c>
      <c r="E985" s="548" t="s">
        <v>1443</v>
      </c>
      <c r="F985" s="115">
        <f>'Units CF'!L47*'Units CF'!$I$48*'Units CF'!$I$51*'Units CF'!$I$76</f>
        <v>370.36957452908825</v>
      </c>
      <c r="G985" s="115">
        <f ca="1">'Units CF'!M47*'Units CF'!$I$48*'Units CF'!$I$51*'Units CF'!$I$76</f>
        <v>365.43184944113045</v>
      </c>
      <c r="H985" s="115">
        <f>'Units CF'!N47*'Units CF'!$I$48*'Units CF'!$I$51*'Units CF'!$I$76</f>
        <v>1833.0636848048116</v>
      </c>
      <c r="I985" s="115">
        <f t="shared" ca="1" si="164"/>
        <v>2568.8651087750304</v>
      </c>
      <c r="J985" s="521">
        <f t="shared" si="165"/>
        <v>3.5903136405231609E-3</v>
      </c>
      <c r="K985" s="521">
        <f t="shared" ca="1" si="166"/>
        <v>3.5424479869824005E-3</v>
      </c>
      <c r="L985" s="521">
        <f t="shared" si="167"/>
        <v>1.7769476771600956E-2</v>
      </c>
      <c r="M985" s="298">
        <f t="shared" ca="1" si="168"/>
        <v>2.4902238399106519E-2</v>
      </c>
      <c r="N985" s="369">
        <f t="shared" ca="1" si="169"/>
        <v>7.960558228348881E-3</v>
      </c>
    </row>
    <row r="986" spans="2:14" x14ac:dyDescent="0.25">
      <c r="B986" s="978"/>
      <c r="C986" s="981"/>
      <c r="D986" s="388" t="s">
        <v>1462</v>
      </c>
      <c r="E986" s="548" t="s">
        <v>654</v>
      </c>
      <c r="F986" s="115">
        <f>'Units CF'!L51*'Units CF'!$I$51*'Units CF'!$I$76</f>
        <v>249.82048314941724</v>
      </c>
      <c r="G986" s="115">
        <f ca="1">'Units CF'!M51*'Units CF'!$I$51*'Units CF'!$I$76</f>
        <v>20.015873998696321</v>
      </c>
      <c r="H986" s="115">
        <f>'Units CF'!N51*'Units CF'!$I$51*'Units CF'!$I$76</f>
        <v>7597.4931608529987</v>
      </c>
      <c r="I986" s="115">
        <f t="shared" ca="1" si="164"/>
        <v>7867.3295180011119</v>
      </c>
      <c r="J986" s="521">
        <f t="shared" si="165"/>
        <v>2.421726702237512E-3</v>
      </c>
      <c r="K986" s="521">
        <f t="shared" ca="1" si="166"/>
        <v>1.9403123362896063E-4</v>
      </c>
      <c r="L986" s="521">
        <f t="shared" si="167"/>
        <v>7.3649093243888006E-2</v>
      </c>
      <c r="M986" s="298">
        <f t="shared" ca="1" si="168"/>
        <v>7.6264851179754484E-2</v>
      </c>
      <c r="N986" s="369">
        <f t="shared" ca="1" si="169"/>
        <v>2.4379767748692834E-2</v>
      </c>
    </row>
    <row r="987" spans="2:14" x14ac:dyDescent="0.25">
      <c r="B987" s="978"/>
      <c r="C987" s="981"/>
      <c r="D987" s="388" t="s">
        <v>26</v>
      </c>
      <c r="E987" s="548" t="s">
        <v>646</v>
      </c>
      <c r="F987" s="115">
        <f>'Units CF'!L76*'Units CF'!$I$76</f>
        <v>8060.841148185269</v>
      </c>
      <c r="G987" s="115">
        <f ca="1">'Units CF'!M76*'Units CF'!$I$76</f>
        <v>20.875258680529111</v>
      </c>
      <c r="H987" s="115">
        <f>'Units CF'!N76*'Units CF'!$I$76</f>
        <v>1528.2528571869484</v>
      </c>
      <c r="I987" s="115">
        <f t="shared" ca="1" si="164"/>
        <v>9609.9692640527464</v>
      </c>
      <c r="J987" s="521">
        <f t="shared" si="165"/>
        <v>7.8140727313298713E-2</v>
      </c>
      <c r="K987" s="521">
        <f t="shared" ca="1" si="166"/>
        <v>2.0236199500309342E-4</v>
      </c>
      <c r="L987" s="521">
        <f t="shared" si="167"/>
        <v>1.4814680947545981E-2</v>
      </c>
      <c r="M987" s="298">
        <f t="shared" ca="1" si="168"/>
        <v>9.3157770255847788E-2</v>
      </c>
      <c r="N987" s="369">
        <f t="shared" ca="1" si="169"/>
        <v>2.9779967674369048E-2</v>
      </c>
    </row>
    <row r="988" spans="2:14" x14ac:dyDescent="0.25">
      <c r="B988" s="978"/>
      <c r="C988" s="981"/>
      <c r="D988" s="388" t="s">
        <v>1474</v>
      </c>
      <c r="E988" s="548" t="s">
        <v>647</v>
      </c>
      <c r="F988" s="115">
        <f>'Units CF'!L78</f>
        <v>11272.236972317896</v>
      </c>
      <c r="G988" s="115">
        <f ca="1">'Units CF'!M78</f>
        <v>4756.7748412802266</v>
      </c>
      <c r="H988" s="115">
        <f>'Units CF'!N78</f>
        <v>17321.385108580867</v>
      </c>
      <c r="I988" s="115">
        <f t="shared" ca="1" si="164"/>
        <v>33350.396922178988</v>
      </c>
      <c r="J988" s="521">
        <f t="shared" si="165"/>
        <v>0.10927157343412916</v>
      </c>
      <c r="K988" s="521">
        <f t="shared" ca="1" si="166"/>
        <v>4.6111545796547304E-2</v>
      </c>
      <c r="L988" s="521">
        <f t="shared" si="167"/>
        <v>0.16791121491867686</v>
      </c>
      <c r="M988" s="298">
        <f t="shared" ca="1" si="168"/>
        <v>0.32329433414935332</v>
      </c>
      <c r="N988" s="369">
        <f t="shared" ca="1" si="169"/>
        <v>0.10334827458657479</v>
      </c>
    </row>
    <row r="989" spans="2:14" x14ac:dyDescent="0.25">
      <c r="B989" s="978"/>
      <c r="C989" s="981"/>
      <c r="D989" s="524"/>
      <c r="E989" s="523" t="s">
        <v>410</v>
      </c>
      <c r="F989" s="135">
        <f>SUM(F971:F988)</f>
        <v>139778.58196357664</v>
      </c>
      <c r="G989" s="135">
        <f t="shared" ref="G989:N989" ca="1" si="170">SUM(G971:G988)</f>
        <v>75020.70316671583</v>
      </c>
      <c r="H989" s="135">
        <f t="shared" si="170"/>
        <v>107899.83157572849</v>
      </c>
      <c r="I989" s="135">
        <f t="shared" ca="1" si="170"/>
        <v>322699.1167060209</v>
      </c>
      <c r="J989" s="526">
        <f t="shared" si="170"/>
        <v>1.3549950751621458</v>
      </c>
      <c r="K989" s="526">
        <f t="shared" ca="1" si="170"/>
        <v>0.72724076820717565</v>
      </c>
      <c r="L989" s="526">
        <f t="shared" si="170"/>
        <v>1.0459666877578906</v>
      </c>
      <c r="M989" s="974">
        <f t="shared" ca="1" si="170"/>
        <v>3.1282025311272115</v>
      </c>
      <c r="N989" s="972">
        <f t="shared" ca="1" si="170"/>
        <v>1</v>
      </c>
    </row>
    <row r="990" spans="2:14" x14ac:dyDescent="0.25">
      <c r="B990" s="979"/>
      <c r="C990" s="982"/>
      <c r="D990" s="525"/>
      <c r="E990" s="523" t="s">
        <v>309</v>
      </c>
      <c r="F990" s="135"/>
      <c r="G990" s="135"/>
      <c r="H990" s="135"/>
      <c r="I990" s="135"/>
      <c r="J990" s="527">
        <f ca="1">J989/M989</f>
        <v>0.43315452298220891</v>
      </c>
      <c r="K990" s="527">
        <f ca="1">K989/M989</f>
        <v>0.23247879923718459</v>
      </c>
      <c r="L990" s="527">
        <f ca="1">L989/M989</f>
        <v>0.33436667778060669</v>
      </c>
      <c r="M990" s="975"/>
      <c r="N990" s="973"/>
    </row>
    <row r="1019" spans="1:38" ht="27.6" x14ac:dyDescent="0.25">
      <c r="A1019" s="531"/>
      <c r="B1019" s="533"/>
      <c r="C1019" s="533"/>
      <c r="D1019" s="533"/>
      <c r="E1019" s="533"/>
      <c r="F1019" s="535"/>
      <c r="G1019" s="533"/>
      <c r="H1019" s="533"/>
      <c r="I1019" s="533"/>
      <c r="J1019" s="533"/>
      <c r="K1019" s="533"/>
      <c r="L1019" s="533"/>
      <c r="M1019" s="533"/>
      <c r="N1019" s="533"/>
      <c r="O1019" s="533"/>
      <c r="P1019" s="533"/>
      <c r="Q1019" s="533"/>
      <c r="R1019" s="533"/>
      <c r="S1019" s="533"/>
      <c r="T1019" s="533"/>
      <c r="U1019" s="533"/>
      <c r="V1019" s="533"/>
      <c r="W1019" s="533"/>
      <c r="X1019" s="533"/>
      <c r="Y1019" s="533"/>
      <c r="Z1019" s="533"/>
      <c r="AA1019" s="533"/>
      <c r="AB1019" s="533"/>
      <c r="AC1019" s="533"/>
      <c r="AD1019" s="533"/>
      <c r="AE1019" s="533"/>
      <c r="AF1019" s="533"/>
      <c r="AG1019" s="533"/>
      <c r="AH1019" s="533"/>
      <c r="AI1019" s="533"/>
      <c r="AJ1019" s="533"/>
      <c r="AK1019" s="533"/>
      <c r="AL1019" s="533"/>
    </row>
  </sheetData>
  <mergeCells count="172">
    <mergeCell ref="O13:P13"/>
    <mergeCell ref="R13:S13"/>
    <mergeCell ref="B7:F13"/>
    <mergeCell ref="I7:J7"/>
    <mergeCell ref="L7:M7"/>
    <mergeCell ref="O7:P7"/>
    <mergeCell ref="R7:S7"/>
    <mergeCell ref="I9:J9"/>
    <mergeCell ref="L9:M9"/>
    <mergeCell ref="O9:P9"/>
    <mergeCell ref="R9:S9"/>
    <mergeCell ref="I11:J11"/>
    <mergeCell ref="L11:M11"/>
    <mergeCell ref="O11:P11"/>
    <mergeCell ref="R11:S11"/>
    <mergeCell ref="B101:B102"/>
    <mergeCell ref="E101:E102"/>
    <mergeCell ref="B103:B117"/>
    <mergeCell ref="C103:C117"/>
    <mergeCell ref="M116:M117"/>
    <mergeCell ref="M62:M63"/>
    <mergeCell ref="N62:N63"/>
    <mergeCell ref="I13:J13"/>
    <mergeCell ref="L13:M13"/>
    <mergeCell ref="B50:B63"/>
    <mergeCell ref="B48:B49"/>
    <mergeCell ref="E48:E49"/>
    <mergeCell ref="C50:C63"/>
    <mergeCell ref="B21:B35"/>
    <mergeCell ref="D48:D49"/>
    <mergeCell ref="D101:D102"/>
    <mergeCell ref="B209:B210"/>
    <mergeCell ref="E209:E210"/>
    <mergeCell ref="B211:B226"/>
    <mergeCell ref="C211:C226"/>
    <mergeCell ref="B230:B231"/>
    <mergeCell ref="E230:E231"/>
    <mergeCell ref="N116:N117"/>
    <mergeCell ref="B155:B156"/>
    <mergeCell ref="E155:E156"/>
    <mergeCell ref="B157:B172"/>
    <mergeCell ref="C157:C172"/>
    <mergeCell ref="M171:M172"/>
    <mergeCell ref="N171:N172"/>
    <mergeCell ref="D155:D156"/>
    <mergeCell ref="D209:D210"/>
    <mergeCell ref="D230:D231"/>
    <mergeCell ref="M225:M226"/>
    <mergeCell ref="N225:N226"/>
    <mergeCell ref="B273:B274"/>
    <mergeCell ref="E273:E274"/>
    <mergeCell ref="B275:B292"/>
    <mergeCell ref="C275:C292"/>
    <mergeCell ref="M291:M292"/>
    <mergeCell ref="B232:B247"/>
    <mergeCell ref="C232:C247"/>
    <mergeCell ref="B251:B252"/>
    <mergeCell ref="E251:E252"/>
    <mergeCell ref="B253:B268"/>
    <mergeCell ref="C253:C268"/>
    <mergeCell ref="D251:D252"/>
    <mergeCell ref="D273:D274"/>
    <mergeCell ref="M246:M247"/>
    <mergeCell ref="B379:B380"/>
    <mergeCell ref="E379:E380"/>
    <mergeCell ref="B381:B397"/>
    <mergeCell ref="C381:C397"/>
    <mergeCell ref="M396:M397"/>
    <mergeCell ref="N291:N292"/>
    <mergeCell ref="B326:B327"/>
    <mergeCell ref="E326:E327"/>
    <mergeCell ref="B328:B343"/>
    <mergeCell ref="C328:C343"/>
    <mergeCell ref="M342:M343"/>
    <mergeCell ref="N342:N343"/>
    <mergeCell ref="D326:D327"/>
    <mergeCell ref="D379:D380"/>
    <mergeCell ref="B455:B456"/>
    <mergeCell ref="E455:E456"/>
    <mergeCell ref="B457:B474"/>
    <mergeCell ref="C457:C474"/>
    <mergeCell ref="B479:B480"/>
    <mergeCell ref="E479:E480"/>
    <mergeCell ref="N396:N397"/>
    <mergeCell ref="B432:B433"/>
    <mergeCell ref="E432:E433"/>
    <mergeCell ref="B434:B451"/>
    <mergeCell ref="C434:C451"/>
    <mergeCell ref="D432:D433"/>
    <mergeCell ref="D455:D456"/>
    <mergeCell ref="D479:D480"/>
    <mergeCell ref="B534:B557"/>
    <mergeCell ref="C534:C557"/>
    <mergeCell ref="M556:M557"/>
    <mergeCell ref="N556:N557"/>
    <mergeCell ref="B586:B587"/>
    <mergeCell ref="E586:E587"/>
    <mergeCell ref="B481:B499"/>
    <mergeCell ref="C481:C499"/>
    <mergeCell ref="M498:M499"/>
    <mergeCell ref="N498:N499"/>
    <mergeCell ref="B532:B533"/>
    <mergeCell ref="E532:E533"/>
    <mergeCell ref="D532:D533"/>
    <mergeCell ref="D586:D587"/>
    <mergeCell ref="B642:B666"/>
    <mergeCell ref="C642:C666"/>
    <mergeCell ref="M665:M666"/>
    <mergeCell ref="N665:N666"/>
    <mergeCell ref="B695:B696"/>
    <mergeCell ref="E695:E696"/>
    <mergeCell ref="B588:B609"/>
    <mergeCell ref="C588:C609"/>
    <mergeCell ref="M608:M609"/>
    <mergeCell ref="N608:N609"/>
    <mergeCell ref="B640:B641"/>
    <mergeCell ref="E640:E641"/>
    <mergeCell ref="D640:D641"/>
    <mergeCell ref="D695:D696"/>
    <mergeCell ref="B754:B755"/>
    <mergeCell ref="E754:E755"/>
    <mergeCell ref="B756:B780"/>
    <mergeCell ref="C756:C780"/>
    <mergeCell ref="M779:M780"/>
    <mergeCell ref="B697:B721"/>
    <mergeCell ref="C697:C721"/>
    <mergeCell ref="B725:B726"/>
    <mergeCell ref="E725:E726"/>
    <mergeCell ref="B727:B751"/>
    <mergeCell ref="C727:C751"/>
    <mergeCell ref="D725:D726"/>
    <mergeCell ref="D754:D755"/>
    <mergeCell ref="M750:M751"/>
    <mergeCell ref="B861:B862"/>
    <mergeCell ref="E861:E862"/>
    <mergeCell ref="B863:B886"/>
    <mergeCell ref="C863:C886"/>
    <mergeCell ref="M885:M886"/>
    <mergeCell ref="N779:N780"/>
    <mergeCell ref="B807:B808"/>
    <mergeCell ref="E807:E808"/>
    <mergeCell ref="B809:B831"/>
    <mergeCell ref="C809:C831"/>
    <mergeCell ref="M830:M831"/>
    <mergeCell ref="N830:N831"/>
    <mergeCell ref="D807:D808"/>
    <mergeCell ref="D861:D862"/>
    <mergeCell ref="N989:N990"/>
    <mergeCell ref="B969:B970"/>
    <mergeCell ref="E969:E970"/>
    <mergeCell ref="B971:B990"/>
    <mergeCell ref="C971:C990"/>
    <mergeCell ref="M989:M990"/>
    <mergeCell ref="N885:N886"/>
    <mergeCell ref="B915:B916"/>
    <mergeCell ref="E915:E916"/>
    <mergeCell ref="B917:B935"/>
    <mergeCell ref="C917:C935"/>
    <mergeCell ref="M934:M935"/>
    <mergeCell ref="N934:N935"/>
    <mergeCell ref="D915:D916"/>
    <mergeCell ref="D969:D970"/>
    <mergeCell ref="N750:N751"/>
    <mergeCell ref="N246:N247"/>
    <mergeCell ref="M267:M268"/>
    <mergeCell ref="N267:N268"/>
    <mergeCell ref="M450:M451"/>
    <mergeCell ref="N450:N451"/>
    <mergeCell ref="M473:M474"/>
    <mergeCell ref="N473:N474"/>
    <mergeCell ref="M720:M721"/>
    <mergeCell ref="N720:N72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0FA96-2CC6-4C09-B68C-893725C13547}">
  <sheetPr>
    <tabColor rgb="FF7030A0"/>
  </sheetPr>
  <dimension ref="B7:C43"/>
  <sheetViews>
    <sheetView rightToLeft="1" zoomScale="85" zoomScaleNormal="85" workbookViewId="0">
      <selection activeCell="J20" sqref="J20"/>
    </sheetView>
  </sheetViews>
  <sheetFormatPr defaultColWidth="8.8984375" defaultRowHeight="13.8" x14ac:dyDescent="0.25"/>
  <cols>
    <col min="1" max="1" width="11.09765625" style="5" customWidth="1"/>
    <col min="2" max="2" width="25.796875" style="5" bestFit="1" customWidth="1"/>
    <col min="3" max="3" width="70.796875" style="5" customWidth="1"/>
    <col min="4" max="16384" width="8.8984375" style="5"/>
  </cols>
  <sheetData>
    <row r="7" spans="2:3" ht="30" customHeight="1" x14ac:dyDescent="0.25">
      <c r="B7" s="281" t="s">
        <v>1360</v>
      </c>
      <c r="C7" s="281"/>
    </row>
    <row r="8" spans="2:3" s="40" customFormat="1" ht="16.2" x14ac:dyDescent="0.25">
      <c r="B8" s="138" t="s">
        <v>350</v>
      </c>
      <c r="C8" s="138" t="s">
        <v>353</v>
      </c>
    </row>
    <row r="9" spans="2:3" s="40" customFormat="1" ht="16.2" x14ac:dyDescent="0.25">
      <c r="B9" s="204" t="s">
        <v>47</v>
      </c>
      <c r="C9" s="202" t="s">
        <v>863</v>
      </c>
    </row>
    <row r="10" spans="2:3" s="40" customFormat="1" ht="16.2" x14ac:dyDescent="0.25">
      <c r="B10" s="204" t="s">
        <v>48</v>
      </c>
      <c r="C10" s="202" t="s">
        <v>864</v>
      </c>
    </row>
    <row r="11" spans="2:3" s="40" customFormat="1" ht="16.2" x14ac:dyDescent="0.25">
      <c r="B11" s="204" t="s">
        <v>49</v>
      </c>
      <c r="C11" s="202" t="s">
        <v>865</v>
      </c>
    </row>
    <row r="12" spans="2:3" s="40" customFormat="1" ht="16.2" x14ac:dyDescent="0.25">
      <c r="B12" s="204" t="s">
        <v>50</v>
      </c>
      <c r="C12" s="202" t="s">
        <v>866</v>
      </c>
    </row>
    <row r="13" spans="2:3" s="40" customFormat="1" ht="16.2" x14ac:dyDescent="0.25">
      <c r="B13" s="204" t="s">
        <v>354</v>
      </c>
      <c r="C13" s="202" t="s">
        <v>867</v>
      </c>
    </row>
    <row r="14" spans="2:3" s="40" customFormat="1" ht="16.2" x14ac:dyDescent="0.25">
      <c r="B14" s="204" t="s">
        <v>355</v>
      </c>
      <c r="C14" s="202" t="s">
        <v>871</v>
      </c>
    </row>
    <row r="15" spans="2:3" s="40" customFormat="1" ht="16.2" x14ac:dyDescent="0.25">
      <c r="B15" s="204" t="s">
        <v>356</v>
      </c>
      <c r="C15" s="202" t="s">
        <v>870</v>
      </c>
    </row>
    <row r="16" spans="2:3" s="40" customFormat="1" ht="16.2" x14ac:dyDescent="0.25">
      <c r="B16" s="204" t="s">
        <v>358</v>
      </c>
      <c r="C16" s="202" t="s">
        <v>868</v>
      </c>
    </row>
    <row r="17" spans="2:3" s="40" customFormat="1" ht="16.2" x14ac:dyDescent="0.25">
      <c r="B17" s="204" t="s">
        <v>359</v>
      </c>
      <c r="C17" s="202" t="s">
        <v>869</v>
      </c>
    </row>
    <row r="18" spans="2:3" s="40" customFormat="1" ht="16.2" x14ac:dyDescent="0.25">
      <c r="B18" s="204" t="s">
        <v>619</v>
      </c>
      <c r="C18" s="202" t="s">
        <v>1171</v>
      </c>
    </row>
    <row r="19" spans="2:3" s="40" customFormat="1" ht="16.2" x14ac:dyDescent="0.25">
      <c r="B19" s="204" t="s">
        <v>966</v>
      </c>
      <c r="C19" s="202" t="s">
        <v>967</v>
      </c>
    </row>
    <row r="20" spans="2:3" s="40" customFormat="1" ht="16.2" x14ac:dyDescent="0.25">
      <c r="B20" s="204" t="s">
        <v>962</v>
      </c>
      <c r="C20" s="202" t="s">
        <v>968</v>
      </c>
    </row>
    <row r="21" spans="2:3" s="40" customFormat="1" ht="16.2" x14ac:dyDescent="0.25">
      <c r="B21" s="204" t="s">
        <v>53</v>
      </c>
      <c r="C21" s="202" t="s">
        <v>872</v>
      </c>
    </row>
    <row r="22" spans="2:3" s="40" customFormat="1" ht="16.2" x14ac:dyDescent="0.25">
      <c r="B22" s="204" t="s">
        <v>1123</v>
      </c>
      <c r="C22" s="202" t="s">
        <v>1153</v>
      </c>
    </row>
    <row r="23" spans="2:3" s="40" customFormat="1" ht="16.2" x14ac:dyDescent="0.25">
      <c r="B23" s="204" t="s">
        <v>357</v>
      </c>
      <c r="C23" s="202" t="s">
        <v>873</v>
      </c>
    </row>
    <row r="24" spans="2:3" s="40" customFormat="1" ht="16.2" x14ac:dyDescent="0.25"/>
    <row r="25" spans="2:3" s="40" customFormat="1" ht="16.2" x14ac:dyDescent="0.25"/>
    <row r="26" spans="2:3" s="40" customFormat="1" ht="16.2" x14ac:dyDescent="0.25"/>
    <row r="27" spans="2:3" s="40" customFormat="1" ht="16.2" x14ac:dyDescent="0.25"/>
    <row r="28" spans="2:3" s="40" customFormat="1" ht="16.2" x14ac:dyDescent="0.25"/>
    <row r="29" spans="2:3" s="40" customFormat="1" ht="16.2" x14ac:dyDescent="0.25"/>
    <row r="30" spans="2:3" s="40" customFormat="1" ht="16.2" x14ac:dyDescent="0.25"/>
    <row r="31" spans="2:3" s="40" customFormat="1" ht="16.2" x14ac:dyDescent="0.25"/>
    <row r="32" spans="2:3" s="40" customFormat="1" ht="16.2" x14ac:dyDescent="0.25"/>
    <row r="33" s="40" customFormat="1" ht="16.2" x14ac:dyDescent="0.25"/>
    <row r="34" s="40" customFormat="1" ht="16.2" x14ac:dyDescent="0.25"/>
    <row r="35" s="40" customFormat="1" ht="16.2" x14ac:dyDescent="0.25"/>
    <row r="36" s="40" customFormat="1" ht="16.2" x14ac:dyDescent="0.25"/>
    <row r="37" s="40" customFormat="1" ht="16.2" x14ac:dyDescent="0.25"/>
    <row r="38" s="40" customFormat="1" ht="16.2" x14ac:dyDescent="0.25"/>
    <row r="39" s="40" customFormat="1" ht="16.2" x14ac:dyDescent="0.25"/>
    <row r="40" s="40" customFormat="1" ht="16.2" x14ac:dyDescent="0.25"/>
    <row r="41" s="40" customFormat="1" ht="16.2" x14ac:dyDescent="0.25"/>
    <row r="42" s="40" customFormat="1" ht="16.2" x14ac:dyDescent="0.25"/>
    <row r="43" s="40" customFormat="1" ht="16.2" x14ac:dyDescent="0.25"/>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090F8-8471-434A-B9A1-2C7EB14AEDD0}">
  <dimension ref="B7:Q111"/>
  <sheetViews>
    <sheetView rightToLeft="1" zoomScale="70" zoomScaleNormal="70" workbookViewId="0">
      <selection activeCell="V11" sqref="V11"/>
    </sheetView>
  </sheetViews>
  <sheetFormatPr defaultColWidth="8.8984375" defaultRowHeight="16.2" x14ac:dyDescent="0.25"/>
  <cols>
    <col min="1" max="1" width="12.296875" style="3" customWidth="1"/>
    <col min="2" max="2" width="16.69921875" style="3" customWidth="1"/>
    <col min="3" max="3" width="33.3984375" style="3" customWidth="1"/>
    <col min="4" max="4" width="9" style="3" customWidth="1"/>
    <col min="5" max="5" width="8.8984375" style="3" customWidth="1"/>
    <col min="6" max="6" width="14.296875" style="3" bestFit="1" customWidth="1"/>
    <col min="7" max="7" width="11.59765625" style="3" customWidth="1"/>
    <col min="8" max="8" width="14.69921875" style="3" customWidth="1"/>
    <col min="9" max="9" width="11.19921875" style="3" customWidth="1"/>
    <col min="10" max="12" width="10.09765625" style="3" customWidth="1"/>
    <col min="13" max="15" width="13.59765625" style="3" customWidth="1"/>
    <col min="16" max="16" width="12.296875" style="3" customWidth="1"/>
    <col min="17" max="17" width="26.296875" style="3" customWidth="1"/>
    <col min="18" max="16384" width="8.8984375" style="3"/>
  </cols>
  <sheetData>
    <row r="7" spans="2:17" s="279" customFormat="1" ht="30" customHeight="1" x14ac:dyDescent="0.25">
      <c r="B7" s="616" t="s">
        <v>47</v>
      </c>
      <c r="C7" s="614"/>
      <c r="D7" s="614"/>
      <c r="E7" s="614"/>
      <c r="F7" s="614"/>
      <c r="G7" s="614"/>
      <c r="H7" s="614"/>
      <c r="I7" s="614"/>
      <c r="J7" s="614"/>
      <c r="K7" s="614"/>
      <c r="L7" s="614"/>
      <c r="M7" s="614"/>
      <c r="N7" s="614"/>
      <c r="O7" s="614"/>
      <c r="P7" s="614"/>
      <c r="Q7" s="615"/>
    </row>
    <row r="8" spans="2:17" x14ac:dyDescent="0.25">
      <c r="B8" s="1014" t="s">
        <v>335</v>
      </c>
      <c r="C8" s="1014" t="s">
        <v>411</v>
      </c>
      <c r="D8" s="1014" t="s">
        <v>398</v>
      </c>
      <c r="E8" s="1014" t="s">
        <v>400</v>
      </c>
      <c r="F8" s="1014" t="s">
        <v>401</v>
      </c>
      <c r="G8" s="1014" t="s">
        <v>402</v>
      </c>
      <c r="H8" s="1014" t="s">
        <v>403</v>
      </c>
      <c r="I8" s="1013" t="s">
        <v>404</v>
      </c>
      <c r="J8" s="976" t="s">
        <v>405</v>
      </c>
      <c r="K8" s="976"/>
      <c r="L8" s="976"/>
      <c r="M8" s="976" t="s">
        <v>406</v>
      </c>
      <c r="N8" s="976"/>
      <c r="O8" s="976"/>
      <c r="P8" s="976"/>
      <c r="Q8" s="1014" t="s">
        <v>715</v>
      </c>
    </row>
    <row r="9" spans="2:17" ht="16.8" customHeight="1" x14ac:dyDescent="0.25">
      <c r="B9" s="1007"/>
      <c r="C9" s="1007"/>
      <c r="D9" s="1007"/>
      <c r="E9" s="1007"/>
      <c r="F9" s="1007"/>
      <c r="G9" s="1007"/>
      <c r="H9" s="1007"/>
      <c r="I9" s="1013"/>
      <c r="J9" s="355" t="s">
        <v>9</v>
      </c>
      <c r="K9" s="355" t="s">
        <v>10</v>
      </c>
      <c r="L9" s="355" t="s">
        <v>11</v>
      </c>
      <c r="M9" s="355" t="s">
        <v>9</v>
      </c>
      <c r="N9" s="355" t="s">
        <v>10</v>
      </c>
      <c r="O9" s="355" t="s">
        <v>11</v>
      </c>
      <c r="P9" s="355" t="s">
        <v>1</v>
      </c>
      <c r="Q9" s="1007"/>
    </row>
    <row r="10" spans="2:17" ht="16.8" customHeight="1" x14ac:dyDescent="0.25">
      <c r="B10" s="1008"/>
      <c r="C10" s="1008"/>
      <c r="D10" s="1008"/>
      <c r="E10" s="1008"/>
      <c r="F10" s="1008"/>
      <c r="G10" s="1008"/>
      <c r="H10" s="1008"/>
      <c r="I10" s="373" t="s">
        <v>255</v>
      </c>
      <c r="J10" s="373" t="s">
        <v>13</v>
      </c>
      <c r="K10" s="373" t="s">
        <v>14</v>
      </c>
      <c r="L10" s="373" t="s">
        <v>15</v>
      </c>
      <c r="M10" s="355" t="s">
        <v>219</v>
      </c>
      <c r="N10" s="355" t="s">
        <v>220</v>
      </c>
      <c r="O10" s="355" t="s">
        <v>221</v>
      </c>
      <c r="P10" s="374" t="s">
        <v>222</v>
      </c>
      <c r="Q10" s="1008"/>
    </row>
    <row r="11" spans="2:17" x14ac:dyDescent="0.25">
      <c r="B11" s="356" t="s">
        <v>510</v>
      </c>
      <c r="C11" s="356" t="s">
        <v>773</v>
      </c>
      <c r="D11" s="384"/>
      <c r="E11" s="354">
        <v>10200</v>
      </c>
      <c r="F11" s="684">
        <v>1.6E-2</v>
      </c>
      <c r="G11" s="354" t="str">
        <f>VLOOKUP(H11,Settings!$B$30:$F$36,5,0)</f>
        <v>ton</v>
      </c>
      <c r="H11" s="376" t="s">
        <v>770</v>
      </c>
      <c r="I11" s="82">
        <f>VLOOKUP(H11,Settings!$B$30:$C$36,2,FALSE)</f>
        <v>5</v>
      </c>
      <c r="J11" s="83">
        <f>VLOOKUP(H11,Settings!$B$46:$E$52,2,FALSE)</f>
        <v>7</v>
      </c>
      <c r="K11" s="83">
        <f>VLOOKUP(H11,Settings!$B$46:$E$52,3,FALSE)</f>
        <v>9.9999999999999995E-7</v>
      </c>
      <c r="L11" s="83">
        <f>VLOOKUP(H11,Settings!$B$46:$E$52,4,FALSE)</f>
        <v>9.9999999999999995E-8</v>
      </c>
      <c r="M11" s="60">
        <f t="shared" ref="M11:M43" si="0">F11*I11*J11</f>
        <v>0.56000000000000005</v>
      </c>
      <c r="N11" s="60">
        <f t="shared" ref="N11:N43" si="1">F11*I11*K11</f>
        <v>8.0000000000000002E-8</v>
      </c>
      <c r="O11" s="60">
        <f t="shared" ref="O11:O43" si="2">F11*I11*L11</f>
        <v>8.0000000000000005E-9</v>
      </c>
      <c r="P11" s="41">
        <f>M11+(N11*Settings!$C$24)+(O11*Settings!$D$24)</f>
        <v>0.56000434399999999</v>
      </c>
      <c r="Q11" s="174" t="s">
        <v>721</v>
      </c>
    </row>
    <row r="12" spans="2:17" x14ac:dyDescent="0.25">
      <c r="B12" s="356" t="s">
        <v>337</v>
      </c>
      <c r="C12" s="356" t="s">
        <v>773</v>
      </c>
      <c r="D12" s="384"/>
      <c r="E12" s="354">
        <v>10203</v>
      </c>
      <c r="F12" s="684">
        <v>2.387</v>
      </c>
      <c r="G12" s="354" t="str">
        <f>VLOOKUP(H12,Settings!$B$30:$F$36,5,0)</f>
        <v>ton</v>
      </c>
      <c r="H12" s="376" t="s">
        <v>771</v>
      </c>
      <c r="I12" s="82">
        <f>VLOOKUP(H12,Settings!$B$30:$C$36,2,FALSE)</f>
        <v>4</v>
      </c>
      <c r="J12" s="83">
        <f>VLOOKUP(H12,Settings!$B$46:$E$52,2,FALSE)</f>
        <v>6</v>
      </c>
      <c r="K12" s="83">
        <f>VLOOKUP(H12,Settings!$B$46:$E$52,3,FALSE)</f>
        <v>2.7999999999999999E-6</v>
      </c>
      <c r="L12" s="83">
        <f>VLOOKUP(H12,Settings!$B$46:$E$52,4,FALSE)</f>
        <v>5.6000000000000004E-7</v>
      </c>
      <c r="M12" s="60">
        <f t="shared" si="0"/>
        <v>57.287999999999997</v>
      </c>
      <c r="N12" s="60">
        <f t="shared" si="1"/>
        <v>2.6734399999999999E-5</v>
      </c>
      <c r="O12" s="60">
        <f t="shared" si="2"/>
        <v>5.3468800000000007E-6</v>
      </c>
      <c r="P12" s="41">
        <f>M12+(N12*Settings!$C$24)+(O12*Settings!$D$24)</f>
        <v>57.290181527039998</v>
      </c>
      <c r="Q12" s="174" t="s">
        <v>721</v>
      </c>
    </row>
    <row r="13" spans="2:17" x14ac:dyDescent="0.25">
      <c r="B13" s="356" t="s">
        <v>338</v>
      </c>
      <c r="C13" s="356" t="s">
        <v>773</v>
      </c>
      <c r="D13" s="384"/>
      <c r="E13" s="354">
        <v>10203</v>
      </c>
      <c r="F13" s="684">
        <v>6.0229999999999997</v>
      </c>
      <c r="G13" s="354" t="str">
        <f>VLOOKUP(H13,Settings!$B$30:$F$36,5,0)</f>
        <v>ton</v>
      </c>
      <c r="H13" s="376" t="s">
        <v>771</v>
      </c>
      <c r="I13" s="82">
        <f>VLOOKUP(H13,Settings!$B$30:$C$36,2,FALSE)</f>
        <v>4</v>
      </c>
      <c r="J13" s="83">
        <f>VLOOKUP(H13,Settings!$B$46:$E$52,2,FALSE)</f>
        <v>6</v>
      </c>
      <c r="K13" s="83">
        <f>VLOOKUP(H13,Settings!$B$46:$E$52,3,FALSE)</f>
        <v>2.7999999999999999E-6</v>
      </c>
      <c r="L13" s="83">
        <f>VLOOKUP(H13,Settings!$B$46:$E$52,4,FALSE)</f>
        <v>5.6000000000000004E-7</v>
      </c>
      <c r="M13" s="60">
        <f t="shared" si="0"/>
        <v>144.55199999999999</v>
      </c>
      <c r="N13" s="60">
        <f t="shared" si="1"/>
        <v>6.7457599999999989E-5</v>
      </c>
      <c r="O13" s="60">
        <f t="shared" si="2"/>
        <v>1.3491520000000001E-5</v>
      </c>
      <c r="P13" s="41">
        <f>M13+(N13*Settings!$C$24)+(O13*Settings!$D$24)</f>
        <v>144.55750454016001</v>
      </c>
      <c r="Q13" s="174" t="s">
        <v>721</v>
      </c>
    </row>
    <row r="14" spans="2:17" x14ac:dyDescent="0.25">
      <c r="B14" s="356" t="s">
        <v>339</v>
      </c>
      <c r="C14" s="356" t="s">
        <v>773</v>
      </c>
      <c r="D14" s="384"/>
      <c r="E14" s="354">
        <v>10203</v>
      </c>
      <c r="F14" s="684">
        <v>2.794</v>
      </c>
      <c r="G14" s="354" t="str">
        <f>VLOOKUP(H14,Settings!$B$30:$F$36,5,0)</f>
        <v>ton</v>
      </c>
      <c r="H14" s="376" t="s">
        <v>771</v>
      </c>
      <c r="I14" s="82">
        <f>VLOOKUP(H14,Settings!$B$30:$C$36,2,FALSE)</f>
        <v>4</v>
      </c>
      <c r="J14" s="83">
        <f>VLOOKUP(H14,Settings!$B$46:$E$52,2,FALSE)</f>
        <v>6</v>
      </c>
      <c r="K14" s="83">
        <f>VLOOKUP(H14,Settings!$B$46:$E$52,3,FALSE)</f>
        <v>2.7999999999999999E-6</v>
      </c>
      <c r="L14" s="83">
        <f>VLOOKUP(H14,Settings!$B$46:$E$52,4,FALSE)</f>
        <v>5.6000000000000004E-7</v>
      </c>
      <c r="M14" s="60">
        <f t="shared" si="0"/>
        <v>67.055999999999997</v>
      </c>
      <c r="N14" s="60">
        <f t="shared" si="1"/>
        <v>3.12928E-5</v>
      </c>
      <c r="O14" s="60">
        <f t="shared" si="2"/>
        <v>6.2585600000000003E-6</v>
      </c>
      <c r="P14" s="41">
        <f>M14+(N14*Settings!$C$24)+(O14*Settings!$D$24)</f>
        <v>67.058553492480002</v>
      </c>
      <c r="Q14" s="174" t="s">
        <v>721</v>
      </c>
    </row>
    <row r="15" spans="2:17" x14ac:dyDescent="0.25">
      <c r="B15" s="356" t="s">
        <v>340</v>
      </c>
      <c r="C15" s="356" t="s">
        <v>773</v>
      </c>
      <c r="D15" s="384"/>
      <c r="E15" s="354">
        <v>10203</v>
      </c>
      <c r="F15" s="684">
        <v>14.561999999999999</v>
      </c>
      <c r="G15" s="354" t="str">
        <f>VLOOKUP(H15,Settings!$B$30:$F$36,5,0)</f>
        <v>ton</v>
      </c>
      <c r="H15" s="376" t="s">
        <v>771</v>
      </c>
      <c r="I15" s="82">
        <f>VLOOKUP(H15,Settings!$B$30:$C$36,2,FALSE)</f>
        <v>4</v>
      </c>
      <c r="J15" s="83">
        <f>VLOOKUP(H15,Settings!$B$46:$E$52,2,FALSE)</f>
        <v>6</v>
      </c>
      <c r="K15" s="83">
        <f>VLOOKUP(H15,Settings!$B$46:$E$52,3,FALSE)</f>
        <v>2.7999999999999999E-6</v>
      </c>
      <c r="L15" s="83">
        <f>VLOOKUP(H15,Settings!$B$46:$E$52,4,FALSE)</f>
        <v>5.6000000000000004E-7</v>
      </c>
      <c r="M15" s="60">
        <f t="shared" si="0"/>
        <v>349.488</v>
      </c>
      <c r="N15" s="60">
        <f t="shared" si="1"/>
        <v>1.6309439999999999E-4</v>
      </c>
      <c r="O15" s="60">
        <f t="shared" si="2"/>
        <v>3.2618879999999999E-5</v>
      </c>
      <c r="P15" s="41">
        <f>M15+(N15*Settings!$C$24)+(O15*Settings!$D$24)</f>
        <v>349.50130850303998</v>
      </c>
      <c r="Q15" s="174" t="s">
        <v>721</v>
      </c>
    </row>
    <row r="16" spans="2:17" x14ac:dyDescent="0.25">
      <c r="B16" s="356" t="s">
        <v>341</v>
      </c>
      <c r="C16" s="356" t="s">
        <v>773</v>
      </c>
      <c r="D16" s="384"/>
      <c r="E16" s="354">
        <v>10203</v>
      </c>
      <c r="F16" s="684">
        <v>0.59399999999999997</v>
      </c>
      <c r="G16" s="354" t="str">
        <f>VLOOKUP(H16,Settings!$B$30:$F$36,5,0)</f>
        <v>ton</v>
      </c>
      <c r="H16" s="376" t="s">
        <v>771</v>
      </c>
      <c r="I16" s="82">
        <f>VLOOKUP(H16,Settings!$B$30:$C$36,2,FALSE)</f>
        <v>4</v>
      </c>
      <c r="J16" s="83">
        <f>VLOOKUP(H16,Settings!$B$46:$E$52,2,FALSE)</f>
        <v>6</v>
      </c>
      <c r="K16" s="83">
        <f>VLOOKUP(H16,Settings!$B$46:$E$52,3,FALSE)</f>
        <v>2.7999999999999999E-6</v>
      </c>
      <c r="L16" s="83">
        <f>VLOOKUP(H16,Settings!$B$46:$E$52,4,FALSE)</f>
        <v>5.6000000000000004E-7</v>
      </c>
      <c r="M16" s="60">
        <f t="shared" si="0"/>
        <v>14.256</v>
      </c>
      <c r="N16" s="60">
        <f t="shared" si="1"/>
        <v>6.6527999999999992E-6</v>
      </c>
      <c r="O16" s="60">
        <f t="shared" si="2"/>
        <v>1.33056E-6</v>
      </c>
      <c r="P16" s="41">
        <f>M16+(N16*Settings!$C$24)+(O16*Settings!$D$24)</f>
        <v>14.25654286848</v>
      </c>
      <c r="Q16" s="174" t="s">
        <v>721</v>
      </c>
    </row>
    <row r="17" spans="2:17" x14ac:dyDescent="0.25">
      <c r="B17" s="356" t="s">
        <v>342</v>
      </c>
      <c r="C17" s="356" t="s">
        <v>773</v>
      </c>
      <c r="D17" s="384"/>
      <c r="E17" s="354">
        <v>10203</v>
      </c>
      <c r="F17" s="684">
        <v>9.9000000000000005E-2</v>
      </c>
      <c r="G17" s="354" t="str">
        <f>VLOOKUP(H17,Settings!$B$30:$F$36,5,0)</f>
        <v>ton</v>
      </c>
      <c r="H17" s="376" t="s">
        <v>771</v>
      </c>
      <c r="I17" s="82">
        <f>VLOOKUP(H17,Settings!$B$30:$C$36,2,FALSE)</f>
        <v>4</v>
      </c>
      <c r="J17" s="83">
        <f>VLOOKUP(H17,Settings!$B$46:$E$52,2,FALSE)</f>
        <v>6</v>
      </c>
      <c r="K17" s="83">
        <f>VLOOKUP(H17,Settings!$B$46:$E$52,3,FALSE)</f>
        <v>2.7999999999999999E-6</v>
      </c>
      <c r="L17" s="83">
        <f>VLOOKUP(H17,Settings!$B$46:$E$52,4,FALSE)</f>
        <v>5.6000000000000004E-7</v>
      </c>
      <c r="M17" s="60">
        <f t="shared" si="0"/>
        <v>2.3760000000000003</v>
      </c>
      <c r="N17" s="60">
        <f t="shared" si="1"/>
        <v>1.1088000000000001E-6</v>
      </c>
      <c r="O17" s="60">
        <f t="shared" si="2"/>
        <v>2.2176000000000002E-7</v>
      </c>
      <c r="P17" s="41">
        <f>M17+(N17*Settings!$C$24)+(O17*Settings!$D$24)</f>
        <v>2.3760904780800001</v>
      </c>
      <c r="Q17" s="174" t="s">
        <v>721</v>
      </c>
    </row>
    <row r="18" spans="2:17" x14ac:dyDescent="0.25">
      <c r="B18" s="356" t="s">
        <v>343</v>
      </c>
      <c r="C18" s="356" t="s">
        <v>773</v>
      </c>
      <c r="D18" s="384"/>
      <c r="E18" s="354">
        <v>10203</v>
      </c>
      <c r="F18" s="684">
        <v>0.69199999999999995</v>
      </c>
      <c r="G18" s="354" t="str">
        <f>VLOOKUP(H18,Settings!$B$30:$F$36,5,0)</f>
        <v>ton</v>
      </c>
      <c r="H18" s="376" t="s">
        <v>771</v>
      </c>
      <c r="I18" s="82">
        <f>VLOOKUP(H18,Settings!$B$30:$C$36,2,FALSE)</f>
        <v>4</v>
      </c>
      <c r="J18" s="83">
        <f>VLOOKUP(H18,Settings!$B$46:$E$52,2,FALSE)</f>
        <v>6</v>
      </c>
      <c r="K18" s="83">
        <f>VLOOKUP(H18,Settings!$B$46:$E$52,3,FALSE)</f>
        <v>2.7999999999999999E-6</v>
      </c>
      <c r="L18" s="83">
        <f>VLOOKUP(H18,Settings!$B$46:$E$52,4,FALSE)</f>
        <v>5.6000000000000004E-7</v>
      </c>
      <c r="M18" s="60">
        <f t="shared" si="0"/>
        <v>16.607999999999997</v>
      </c>
      <c r="N18" s="60">
        <f t="shared" si="1"/>
        <v>7.7503999999999995E-6</v>
      </c>
      <c r="O18" s="60">
        <f t="shared" si="2"/>
        <v>1.5500800000000001E-6</v>
      </c>
      <c r="P18" s="41">
        <f>M18+(N18*Settings!$C$24)+(O18*Settings!$D$24)</f>
        <v>16.608632432639997</v>
      </c>
      <c r="Q18" s="174" t="s">
        <v>721</v>
      </c>
    </row>
    <row r="19" spans="2:17" x14ac:dyDescent="0.25">
      <c r="B19" s="356" t="s">
        <v>510</v>
      </c>
      <c r="C19" s="356" t="s">
        <v>773</v>
      </c>
      <c r="D19" s="384"/>
      <c r="E19" s="354">
        <v>10203</v>
      </c>
      <c r="F19" s="684">
        <v>4.5590000000000002</v>
      </c>
      <c r="G19" s="354" t="str">
        <f>VLOOKUP(H19,Settings!$B$30:$F$36,5,0)</f>
        <v>ton</v>
      </c>
      <c r="H19" s="376" t="s">
        <v>771</v>
      </c>
      <c r="I19" s="82">
        <f>VLOOKUP(H19,Settings!$B$30:$C$36,2,FALSE)</f>
        <v>4</v>
      </c>
      <c r="J19" s="83">
        <f>VLOOKUP(H19,Settings!$B$46:$E$52,2,FALSE)</f>
        <v>6</v>
      </c>
      <c r="K19" s="83">
        <f>VLOOKUP(H19,Settings!$B$46:$E$52,3,FALSE)</f>
        <v>2.7999999999999999E-6</v>
      </c>
      <c r="L19" s="83">
        <f>VLOOKUP(H19,Settings!$B$46:$E$52,4,FALSE)</f>
        <v>5.6000000000000004E-7</v>
      </c>
      <c r="M19" s="60">
        <f t="shared" si="0"/>
        <v>109.416</v>
      </c>
      <c r="N19" s="60">
        <f t="shared" si="1"/>
        <v>5.1060799999999997E-5</v>
      </c>
      <c r="O19" s="60">
        <f t="shared" si="2"/>
        <v>1.0212160000000001E-5</v>
      </c>
      <c r="P19" s="41">
        <f>M19+(N19*Settings!$C$24)+(O19*Settings!$D$24)</f>
        <v>109.42016656128</v>
      </c>
      <c r="Q19" s="174" t="s">
        <v>721</v>
      </c>
    </row>
    <row r="20" spans="2:17" x14ac:dyDescent="0.25">
      <c r="B20" s="356" t="s">
        <v>337</v>
      </c>
      <c r="C20" s="356" t="s">
        <v>773</v>
      </c>
      <c r="D20" s="384"/>
      <c r="E20" s="354">
        <v>10350</v>
      </c>
      <c r="F20" s="684">
        <v>0</v>
      </c>
      <c r="G20" s="354" t="str">
        <f>VLOOKUP(H20,Settings!$B$30:$F$36,5,0)</f>
        <v>ton</v>
      </c>
      <c r="H20" s="376" t="s">
        <v>772</v>
      </c>
      <c r="I20" s="82">
        <f>VLOOKUP(H20,Settings!$B$30:$C$36,2,FALSE)</f>
        <v>5</v>
      </c>
      <c r="J20" s="83">
        <f>VLOOKUP(H20,Settings!$B$46:$E$52,2,FALSE)</f>
        <v>6</v>
      </c>
      <c r="K20" s="83">
        <f>VLOOKUP(H20,Settings!$B$46:$E$52,3,FALSE)</f>
        <v>0</v>
      </c>
      <c r="L20" s="83">
        <f>VLOOKUP(H20,Settings!$B$46:$E$52,4,FALSE)</f>
        <v>0</v>
      </c>
      <c r="M20" s="60">
        <f t="shared" si="0"/>
        <v>0</v>
      </c>
      <c r="N20" s="60">
        <f t="shared" si="1"/>
        <v>0</v>
      </c>
      <c r="O20" s="60">
        <f t="shared" si="2"/>
        <v>0</v>
      </c>
      <c r="P20" s="41">
        <f>M20+(N20*Settings!$C$24)+(O20*Settings!$D$24)</f>
        <v>0</v>
      </c>
      <c r="Q20" s="174" t="s">
        <v>721</v>
      </c>
    </row>
    <row r="21" spans="2:17" x14ac:dyDescent="0.25">
      <c r="B21" s="356" t="s">
        <v>338</v>
      </c>
      <c r="C21" s="356" t="s">
        <v>773</v>
      </c>
      <c r="D21" s="384"/>
      <c r="E21" s="354">
        <v>10350</v>
      </c>
      <c r="F21" s="684">
        <v>0</v>
      </c>
      <c r="G21" s="354" t="str">
        <f>VLOOKUP(H21,Settings!$B$30:$F$36,5,0)</f>
        <v>ton</v>
      </c>
      <c r="H21" s="376" t="s">
        <v>772</v>
      </c>
      <c r="I21" s="82">
        <f>VLOOKUP(H21,Settings!$B$30:$C$36,2,FALSE)</f>
        <v>5</v>
      </c>
      <c r="J21" s="83">
        <f>VLOOKUP(H21,Settings!$B$46:$E$52,2,FALSE)</f>
        <v>6</v>
      </c>
      <c r="K21" s="83">
        <f>VLOOKUP(H21,Settings!$B$46:$E$52,3,FALSE)</f>
        <v>0</v>
      </c>
      <c r="L21" s="83">
        <f>VLOOKUP(H21,Settings!$B$46:$E$52,4,FALSE)</f>
        <v>0</v>
      </c>
      <c r="M21" s="60">
        <f t="shared" si="0"/>
        <v>0</v>
      </c>
      <c r="N21" s="60">
        <f t="shared" si="1"/>
        <v>0</v>
      </c>
      <c r="O21" s="60">
        <f t="shared" si="2"/>
        <v>0</v>
      </c>
      <c r="P21" s="41">
        <f>M21+(N21*Settings!$C$24)+(O21*Settings!$D$24)</f>
        <v>0</v>
      </c>
      <c r="Q21" s="174" t="s">
        <v>721</v>
      </c>
    </row>
    <row r="22" spans="2:17" x14ac:dyDescent="0.25">
      <c r="B22" s="356" t="s">
        <v>339</v>
      </c>
      <c r="C22" s="356" t="s">
        <v>773</v>
      </c>
      <c r="D22" s="384"/>
      <c r="E22" s="354">
        <v>10350</v>
      </c>
      <c r="F22" s="684">
        <v>0</v>
      </c>
      <c r="G22" s="354" t="str">
        <f>VLOOKUP(H22,Settings!$B$30:$F$36,5,0)</f>
        <v>ton</v>
      </c>
      <c r="H22" s="376" t="s">
        <v>772</v>
      </c>
      <c r="I22" s="82">
        <f>VLOOKUP(H22,Settings!$B$30:$C$36,2,FALSE)</f>
        <v>5</v>
      </c>
      <c r="J22" s="83">
        <f>VLOOKUP(H22,Settings!$B$46:$E$52,2,FALSE)</f>
        <v>6</v>
      </c>
      <c r="K22" s="83">
        <f>VLOOKUP(H22,Settings!$B$46:$E$52,3,FALSE)</f>
        <v>0</v>
      </c>
      <c r="L22" s="83">
        <f>VLOOKUP(H22,Settings!$B$46:$E$52,4,FALSE)</f>
        <v>0</v>
      </c>
      <c r="M22" s="60">
        <f t="shared" si="0"/>
        <v>0</v>
      </c>
      <c r="N22" s="60">
        <f t="shared" si="1"/>
        <v>0</v>
      </c>
      <c r="O22" s="60">
        <f t="shared" si="2"/>
        <v>0</v>
      </c>
      <c r="P22" s="41">
        <f>M22+(N22*Settings!$C$24)+(O22*Settings!$D$24)</f>
        <v>0</v>
      </c>
      <c r="Q22" s="174" t="s">
        <v>721</v>
      </c>
    </row>
    <row r="23" spans="2:17" x14ac:dyDescent="0.25">
      <c r="B23" s="356" t="s">
        <v>340</v>
      </c>
      <c r="C23" s="356" t="s">
        <v>773</v>
      </c>
      <c r="D23" s="384"/>
      <c r="E23" s="354">
        <v>10350</v>
      </c>
      <c r="F23" s="684">
        <v>0</v>
      </c>
      <c r="G23" s="354" t="str">
        <f>VLOOKUP(H23,Settings!$B$30:$F$36,5,0)</f>
        <v>ton</v>
      </c>
      <c r="H23" s="376" t="s">
        <v>772</v>
      </c>
      <c r="I23" s="82">
        <f>VLOOKUP(H23,Settings!$B$30:$C$36,2,FALSE)</f>
        <v>5</v>
      </c>
      <c r="J23" s="83">
        <f>VLOOKUP(H23,Settings!$B$46:$E$52,2,FALSE)</f>
        <v>6</v>
      </c>
      <c r="K23" s="83">
        <f>VLOOKUP(H23,Settings!$B$46:$E$52,3,FALSE)</f>
        <v>0</v>
      </c>
      <c r="L23" s="83">
        <f>VLOOKUP(H23,Settings!$B$46:$E$52,4,FALSE)</f>
        <v>0</v>
      </c>
      <c r="M23" s="60">
        <f t="shared" si="0"/>
        <v>0</v>
      </c>
      <c r="N23" s="60">
        <f t="shared" si="1"/>
        <v>0</v>
      </c>
      <c r="O23" s="60">
        <f t="shared" si="2"/>
        <v>0</v>
      </c>
      <c r="P23" s="41">
        <f>M23+(N23*Settings!$C$24)+(O23*Settings!$D$24)</f>
        <v>0</v>
      </c>
      <c r="Q23" s="174" t="s">
        <v>721</v>
      </c>
    </row>
    <row r="24" spans="2:17" x14ac:dyDescent="0.25">
      <c r="B24" s="356" t="s">
        <v>341</v>
      </c>
      <c r="C24" s="356" t="s">
        <v>773</v>
      </c>
      <c r="D24" s="384"/>
      <c r="E24" s="354">
        <v>10350</v>
      </c>
      <c r="F24" s="684">
        <v>0</v>
      </c>
      <c r="G24" s="354" t="str">
        <f>VLOOKUP(H24,Settings!$B$30:$F$36,5,0)</f>
        <v>ton</v>
      </c>
      <c r="H24" s="376" t="s">
        <v>772</v>
      </c>
      <c r="I24" s="82">
        <f>VLOOKUP(H24,Settings!$B$30:$C$36,2,FALSE)</f>
        <v>5</v>
      </c>
      <c r="J24" s="83">
        <f>VLOOKUP(H24,Settings!$B$46:$E$52,2,FALSE)</f>
        <v>6</v>
      </c>
      <c r="K24" s="83">
        <f>VLOOKUP(H24,Settings!$B$46:$E$52,3,FALSE)</f>
        <v>0</v>
      </c>
      <c r="L24" s="83">
        <f>VLOOKUP(H24,Settings!$B$46:$E$52,4,FALSE)</f>
        <v>0</v>
      </c>
      <c r="M24" s="60">
        <f t="shared" si="0"/>
        <v>0</v>
      </c>
      <c r="N24" s="60">
        <f t="shared" si="1"/>
        <v>0</v>
      </c>
      <c r="O24" s="60">
        <f t="shared" si="2"/>
        <v>0</v>
      </c>
      <c r="P24" s="41">
        <f>M24+(N24*Settings!$C$24)+(O24*Settings!$D$24)</f>
        <v>0</v>
      </c>
      <c r="Q24" s="174" t="s">
        <v>721</v>
      </c>
    </row>
    <row r="25" spans="2:17" x14ac:dyDescent="0.25">
      <c r="B25" s="356" t="s">
        <v>342</v>
      </c>
      <c r="C25" s="356" t="s">
        <v>773</v>
      </c>
      <c r="D25" s="384"/>
      <c r="E25" s="354">
        <v>10350</v>
      </c>
      <c r="F25" s="684">
        <v>0</v>
      </c>
      <c r="G25" s="354" t="str">
        <f>VLOOKUP(H25,Settings!$B$30:$F$36,5,0)</f>
        <v>ton</v>
      </c>
      <c r="H25" s="376" t="s">
        <v>772</v>
      </c>
      <c r="I25" s="82">
        <f>VLOOKUP(H25,Settings!$B$30:$C$36,2,FALSE)</f>
        <v>5</v>
      </c>
      <c r="J25" s="83">
        <f>VLOOKUP(H25,Settings!$B$46:$E$52,2,FALSE)</f>
        <v>6</v>
      </c>
      <c r="K25" s="83">
        <f>VLOOKUP(H25,Settings!$B$46:$E$52,3,FALSE)</f>
        <v>0</v>
      </c>
      <c r="L25" s="83">
        <f>VLOOKUP(H25,Settings!$B$46:$E$52,4,FALSE)</f>
        <v>0</v>
      </c>
      <c r="M25" s="60">
        <f t="shared" si="0"/>
        <v>0</v>
      </c>
      <c r="N25" s="60">
        <f t="shared" si="1"/>
        <v>0</v>
      </c>
      <c r="O25" s="60">
        <f t="shared" si="2"/>
        <v>0</v>
      </c>
      <c r="P25" s="41">
        <f>M25+(N25*Settings!$C$24)+(O25*Settings!$D$24)</f>
        <v>0</v>
      </c>
      <c r="Q25" s="174" t="s">
        <v>721</v>
      </c>
    </row>
    <row r="26" spans="2:17" x14ac:dyDescent="0.25">
      <c r="B26" s="356" t="s">
        <v>343</v>
      </c>
      <c r="C26" s="356" t="s">
        <v>773</v>
      </c>
      <c r="D26" s="384"/>
      <c r="E26" s="354">
        <v>10350</v>
      </c>
      <c r="F26" s="684">
        <v>1.0999999999999999E-2</v>
      </c>
      <c r="G26" s="354" t="str">
        <f>VLOOKUP(H26,Settings!$B$30:$F$36,5,0)</f>
        <v>ton</v>
      </c>
      <c r="H26" s="376" t="s">
        <v>772</v>
      </c>
      <c r="I26" s="82">
        <f>VLOOKUP(H26,Settings!$B$30:$C$36,2,FALSE)</f>
        <v>5</v>
      </c>
      <c r="J26" s="83">
        <f>VLOOKUP(H26,Settings!$B$46:$E$52,2,FALSE)</f>
        <v>6</v>
      </c>
      <c r="K26" s="83">
        <f>VLOOKUP(H26,Settings!$B$46:$E$52,3,FALSE)</f>
        <v>0</v>
      </c>
      <c r="L26" s="83">
        <f>VLOOKUP(H26,Settings!$B$46:$E$52,4,FALSE)</f>
        <v>0</v>
      </c>
      <c r="M26" s="60">
        <f t="shared" si="0"/>
        <v>0.32999999999999996</v>
      </c>
      <c r="N26" s="60">
        <f t="shared" si="1"/>
        <v>0</v>
      </c>
      <c r="O26" s="60">
        <f t="shared" si="2"/>
        <v>0</v>
      </c>
      <c r="P26" s="41">
        <f>M26+(N26*Settings!$C$24)+(O26*Settings!$D$24)</f>
        <v>0.32999999999999996</v>
      </c>
      <c r="Q26" s="174" t="s">
        <v>721</v>
      </c>
    </row>
    <row r="27" spans="2:17" x14ac:dyDescent="0.25">
      <c r="B27" s="356" t="s">
        <v>510</v>
      </c>
      <c r="C27" s="356" t="s">
        <v>773</v>
      </c>
      <c r="D27" s="384"/>
      <c r="E27" s="354">
        <v>10350</v>
      </c>
      <c r="F27" s="684">
        <v>6.3E-2</v>
      </c>
      <c r="G27" s="354" t="str">
        <f>VLOOKUP(H27,Settings!$B$30:$F$36,5,0)</f>
        <v>ton</v>
      </c>
      <c r="H27" s="376" t="s">
        <v>772</v>
      </c>
      <c r="I27" s="82">
        <f>VLOOKUP(H27,Settings!$B$30:$C$36,2,FALSE)</f>
        <v>5</v>
      </c>
      <c r="J27" s="83">
        <f>VLOOKUP(H27,Settings!$B$46:$E$52,2,FALSE)</f>
        <v>6</v>
      </c>
      <c r="K27" s="83">
        <f>VLOOKUP(H27,Settings!$B$46:$E$52,3,FALSE)</f>
        <v>0</v>
      </c>
      <c r="L27" s="83">
        <f>VLOOKUP(H27,Settings!$B$46:$E$52,4,FALSE)</f>
        <v>0</v>
      </c>
      <c r="M27" s="60">
        <f t="shared" si="0"/>
        <v>1.8900000000000001</v>
      </c>
      <c r="N27" s="60">
        <f t="shared" si="1"/>
        <v>0</v>
      </c>
      <c r="O27" s="60">
        <f t="shared" si="2"/>
        <v>0</v>
      </c>
      <c r="P27" s="41">
        <f>M27+(N27*Settings!$C$24)+(O27*Settings!$D$24)</f>
        <v>1.8900000000000001</v>
      </c>
      <c r="Q27" s="174" t="s">
        <v>721</v>
      </c>
    </row>
    <row r="28" spans="2:17" x14ac:dyDescent="0.25">
      <c r="B28" s="91" t="str">
        <f>VLOOKUP(D28,'Unit List'!$B$9:$E$241,4,0)</f>
        <v>Utility</v>
      </c>
      <c r="C28" s="377" t="str">
        <f>VLOOKUP(D28,'Unit List'!$B$9:$D$241,3,0)</f>
        <v>Steam Production</v>
      </c>
      <c r="D28" s="414">
        <v>5120</v>
      </c>
      <c r="E28" s="376">
        <v>20120</v>
      </c>
      <c r="F28" s="607">
        <v>12300000</v>
      </c>
      <c r="G28" s="354" t="str">
        <f>VLOOKUP(H28,Settings!$B$30:$F$36,5,0)</f>
        <v>Lit</v>
      </c>
      <c r="H28" s="376" t="s">
        <v>534</v>
      </c>
      <c r="I28" s="82">
        <f>VLOOKUP(H28,Settings!$B$30:$C$36,2,FALSE)</f>
        <v>0.01</v>
      </c>
      <c r="J28" s="83">
        <f>VLOOKUP(H28,Settings!$B$46:$E$52,2,FALSE)</f>
        <v>7.4099999999999999E-2</v>
      </c>
      <c r="K28" s="83">
        <f>VLOOKUP(H28,Settings!$B$46:$E$52,3,FALSE)</f>
        <v>3.0000000000000001E-6</v>
      </c>
      <c r="L28" s="83">
        <f>VLOOKUP(H28,Settings!$B$46:$E$52,4,FALSE)</f>
        <v>5.9999999999999997E-7</v>
      </c>
      <c r="M28" s="60">
        <f t="shared" si="0"/>
        <v>9114.2999999999993</v>
      </c>
      <c r="N28" s="60">
        <f t="shared" si="1"/>
        <v>0.36899999999999999</v>
      </c>
      <c r="O28" s="60">
        <f t="shared" si="2"/>
        <v>7.3799999999999991E-2</v>
      </c>
      <c r="P28" s="41">
        <f>M28+(N28*Settings!$C$24)+(O28*Settings!$D$24)</f>
        <v>9144.4103999999988</v>
      </c>
      <c r="Q28" s="174"/>
    </row>
    <row r="29" spans="2:17" x14ac:dyDescent="0.25">
      <c r="B29" s="91" t="str">
        <f>VLOOKUP(D29,'Unit List'!$B$9:$E$241,4,0)</f>
        <v>Iron Making</v>
      </c>
      <c r="C29" s="377" t="str">
        <f>VLOOKUP(D29,'Unit List'!$B$9:$D$241,3,0)</f>
        <v>Lime Making</v>
      </c>
      <c r="D29" s="732">
        <v>1120</v>
      </c>
      <c r="E29" s="376">
        <v>23180</v>
      </c>
      <c r="F29" s="375">
        <v>39288.571000000004</v>
      </c>
      <c r="G29" s="354" t="str">
        <f>VLOOKUP(H29,Settings!$B$30:$F$36,5,0)</f>
        <v>kNm3</v>
      </c>
      <c r="H29" s="376" t="s">
        <v>465</v>
      </c>
      <c r="I29" s="82">
        <f>VLOOKUP(H29,Settings!$B$30:$C$36,2,FALSE)</f>
        <v>15</v>
      </c>
      <c r="J29" s="83">
        <f>VLOOKUP(H29,Settings!$B$46:$E$52,2,FALSE)</f>
        <v>5.6099999999999997E-2</v>
      </c>
      <c r="K29" s="83">
        <f>VLOOKUP(H29,Settings!$B$46:$E$52,3,FALSE)</f>
        <v>9.9999999999999995E-7</v>
      </c>
      <c r="L29" s="83">
        <f>VLOOKUP(H29,Settings!$B$46:$E$52,4,FALSE)</f>
        <v>9.9999999999999995E-8</v>
      </c>
      <c r="M29" s="60">
        <f t="shared" si="0"/>
        <v>33061.332496499999</v>
      </c>
      <c r="N29" s="60">
        <f t="shared" si="1"/>
        <v>0.58932856500000008</v>
      </c>
      <c r="O29" s="60">
        <f t="shared" si="2"/>
        <v>5.8932856500000005E-2</v>
      </c>
      <c r="P29" s="41">
        <f>M29+(N29*Settings!$C$24)+(O29*Settings!$D$24)</f>
        <v>33093.333037579498</v>
      </c>
      <c r="Q29" s="174"/>
    </row>
    <row r="30" spans="2:17" x14ac:dyDescent="0.25">
      <c r="B30" s="91" t="str">
        <f>VLOOKUP(D30,'Unit List'!$B$9:$E$241,4,0)</f>
        <v>Iron Making</v>
      </c>
      <c r="C30" s="377" t="str">
        <f>VLOOKUP(D30,'Unit List'!$B$9:$D$241,3,0)</f>
        <v>Dolomite Making</v>
      </c>
      <c r="D30" s="732">
        <v>1140</v>
      </c>
      <c r="E30" s="376">
        <v>23180</v>
      </c>
      <c r="F30" s="375">
        <v>17136.383000000002</v>
      </c>
      <c r="G30" s="354" t="str">
        <f>VLOOKUP(H30,Settings!$B$30:$F$36,5,0)</f>
        <v>kNm3</v>
      </c>
      <c r="H30" s="376" t="s">
        <v>465</v>
      </c>
      <c r="I30" s="82">
        <f>VLOOKUP(H30,Settings!$B$30:$C$36,2,FALSE)</f>
        <v>15</v>
      </c>
      <c r="J30" s="83">
        <f>VLOOKUP(H30,Settings!$B$46:$E$52,2,FALSE)</f>
        <v>5.6099999999999997E-2</v>
      </c>
      <c r="K30" s="83">
        <f>VLOOKUP(H30,Settings!$B$46:$E$52,3,FALSE)</f>
        <v>9.9999999999999995E-7</v>
      </c>
      <c r="L30" s="83">
        <f>VLOOKUP(H30,Settings!$B$46:$E$52,4,FALSE)</f>
        <v>9.9999999999999995E-8</v>
      </c>
      <c r="M30" s="60">
        <f t="shared" si="0"/>
        <v>14420.266294500001</v>
      </c>
      <c r="N30" s="60">
        <f t="shared" si="1"/>
        <v>0.25704574499999999</v>
      </c>
      <c r="O30" s="60">
        <f t="shared" si="2"/>
        <v>2.5704574500000001E-2</v>
      </c>
      <c r="P30" s="41">
        <f>M30+(N30*Settings!$C$24)+(O30*Settings!$D$24)</f>
        <v>14434.223878453502</v>
      </c>
      <c r="Q30" s="174"/>
    </row>
    <row r="31" spans="2:17" x14ac:dyDescent="0.25">
      <c r="B31" s="91" t="str">
        <f>VLOOKUP(D31,'Unit List'!$B$9:$E$241,4,0)</f>
        <v>Iron Making</v>
      </c>
      <c r="C31" s="377" t="str">
        <f>VLOOKUP(D31,'Unit List'!$B$9:$D$241,3,0)</f>
        <v>Pelletizing</v>
      </c>
      <c r="D31" s="732">
        <v>1210</v>
      </c>
      <c r="E31" s="376">
        <v>23180</v>
      </c>
      <c r="F31" s="375">
        <v>93739.760999999999</v>
      </c>
      <c r="G31" s="354" t="str">
        <f>VLOOKUP(H31,Settings!$B$30:$F$36,5,0)</f>
        <v>kNm3</v>
      </c>
      <c r="H31" s="376" t="s">
        <v>465</v>
      </c>
      <c r="I31" s="82">
        <f>VLOOKUP(H31,Settings!$B$30:$C$36,2,FALSE)</f>
        <v>15</v>
      </c>
      <c r="J31" s="83">
        <f>VLOOKUP(H31,Settings!$B$46:$E$52,2,FALSE)</f>
        <v>5.6099999999999997E-2</v>
      </c>
      <c r="K31" s="83">
        <f>VLOOKUP(H31,Settings!$B$46:$E$52,3,FALSE)</f>
        <v>9.9999999999999995E-7</v>
      </c>
      <c r="L31" s="83">
        <f>VLOOKUP(H31,Settings!$B$46:$E$52,4,FALSE)</f>
        <v>9.9999999999999995E-8</v>
      </c>
      <c r="M31" s="60">
        <f t="shared" si="0"/>
        <v>78882.008881499991</v>
      </c>
      <c r="N31" s="60">
        <f t="shared" si="1"/>
        <v>1.4060964149999999</v>
      </c>
      <c r="O31" s="60">
        <f t="shared" si="2"/>
        <v>0.14060964149999999</v>
      </c>
      <c r="P31" s="41">
        <f>M31+(N31*Settings!$C$24)+(O31*Settings!$D$24)</f>
        <v>78958.359916834481</v>
      </c>
      <c r="Q31" s="174"/>
    </row>
    <row r="32" spans="2:17" x14ac:dyDescent="0.25">
      <c r="B32" s="91" t="str">
        <f>VLOOKUP(D32,'Unit List'!$B$9:$E$241,4,0)</f>
        <v>Steel Making</v>
      </c>
      <c r="C32" s="377" t="str">
        <f>VLOOKUP(D32,'Unit List'!$B$9:$D$241,3,0)</f>
        <v>EAFs</v>
      </c>
      <c r="D32" s="732">
        <v>2210</v>
      </c>
      <c r="E32" s="376">
        <v>23180</v>
      </c>
      <c r="F32" s="375">
        <v>961.12799999999993</v>
      </c>
      <c r="G32" s="354" t="str">
        <f>VLOOKUP(H32,Settings!$B$30:$F$36,5,0)</f>
        <v>kNm3</v>
      </c>
      <c r="H32" s="376" t="s">
        <v>465</v>
      </c>
      <c r="I32" s="82">
        <f>VLOOKUP(H32,Settings!$B$30:$C$36,2,FALSE)</f>
        <v>15</v>
      </c>
      <c r="J32" s="83">
        <f>VLOOKUP(H32,Settings!$B$46:$E$52,2,FALSE)</f>
        <v>5.6099999999999997E-2</v>
      </c>
      <c r="K32" s="83">
        <f>VLOOKUP(H32,Settings!$B$46:$E$52,3,FALSE)</f>
        <v>9.9999999999999995E-7</v>
      </c>
      <c r="L32" s="83">
        <f>VLOOKUP(H32,Settings!$B$46:$E$52,4,FALSE)</f>
        <v>9.9999999999999995E-8</v>
      </c>
      <c r="M32" s="60">
        <f t="shared" si="0"/>
        <v>808.78921199999991</v>
      </c>
      <c r="N32" s="60">
        <f t="shared" si="1"/>
        <v>1.4416919999999998E-2</v>
      </c>
      <c r="O32" s="60">
        <f t="shared" si="2"/>
        <v>1.4416919999999998E-3</v>
      </c>
      <c r="P32" s="41">
        <f>M32+(N32*Settings!$C$24)+(O32*Settings!$D$24)</f>
        <v>809.57205075599995</v>
      </c>
      <c r="Q32" s="174"/>
    </row>
    <row r="33" spans="2:17" x14ac:dyDescent="0.25">
      <c r="B33" s="91" t="str">
        <f>VLOOKUP(D33,'Unit List'!$B$9:$E$241,4,0)</f>
        <v>Steel Making</v>
      </c>
      <c r="C33" s="377" t="str">
        <f>VLOOKUP(D33,'Unit List'!$B$9:$D$241,3,0)</f>
        <v>De-gassing</v>
      </c>
      <c r="D33" s="732">
        <v>2220</v>
      </c>
      <c r="E33" s="376">
        <v>23180</v>
      </c>
      <c r="F33" s="375">
        <v>2883.3880000000004</v>
      </c>
      <c r="G33" s="354" t="str">
        <f>VLOOKUP(H33,Settings!$B$30:$F$36,5,0)</f>
        <v>kNm3</v>
      </c>
      <c r="H33" s="376" t="s">
        <v>465</v>
      </c>
      <c r="I33" s="82">
        <f>VLOOKUP(H33,Settings!$B$30:$C$36,2,FALSE)</f>
        <v>15</v>
      </c>
      <c r="J33" s="83">
        <f>VLOOKUP(H33,Settings!$B$46:$E$52,2,FALSE)</f>
        <v>5.6099999999999997E-2</v>
      </c>
      <c r="K33" s="83">
        <f>VLOOKUP(H33,Settings!$B$46:$E$52,3,FALSE)</f>
        <v>9.9999999999999995E-7</v>
      </c>
      <c r="L33" s="83">
        <f>VLOOKUP(H33,Settings!$B$46:$E$52,4,FALSE)</f>
        <v>9.9999999999999995E-8</v>
      </c>
      <c r="M33" s="60">
        <f t="shared" si="0"/>
        <v>2426.3710020000003</v>
      </c>
      <c r="N33" s="60">
        <f t="shared" si="1"/>
        <v>4.3250820000000002E-2</v>
      </c>
      <c r="O33" s="60">
        <f t="shared" si="2"/>
        <v>4.3250820000000009E-3</v>
      </c>
      <c r="P33" s="41">
        <f>M33+(N33*Settings!$C$24)+(O33*Settings!$D$24)</f>
        <v>2428.7195215260003</v>
      </c>
      <c r="Q33" s="174"/>
    </row>
    <row r="34" spans="2:17" x14ac:dyDescent="0.25">
      <c r="B34" s="91" t="str">
        <f>VLOOKUP(D34,'Unit List'!$B$9:$E$241,4,0)</f>
        <v>Steel Making</v>
      </c>
      <c r="C34" s="377" t="str">
        <f>VLOOKUP(D34,'Unit List'!$B$9:$D$241,3,0)</f>
        <v>Laddle Furnaces</v>
      </c>
      <c r="D34" s="732">
        <v>2301</v>
      </c>
      <c r="E34" s="376">
        <v>23180</v>
      </c>
      <c r="F34" s="375">
        <v>15378.068000000001</v>
      </c>
      <c r="G34" s="354" t="str">
        <f>VLOOKUP(H34,Settings!$B$30:$F$36,5,0)</f>
        <v>kNm3</v>
      </c>
      <c r="H34" s="376" t="s">
        <v>465</v>
      </c>
      <c r="I34" s="82">
        <f>VLOOKUP(H34,Settings!$B$30:$C$36,2,FALSE)</f>
        <v>15</v>
      </c>
      <c r="J34" s="83">
        <f>VLOOKUP(H34,Settings!$B$46:$E$52,2,FALSE)</f>
        <v>5.6099999999999997E-2</v>
      </c>
      <c r="K34" s="83">
        <f>VLOOKUP(H34,Settings!$B$46:$E$52,3,FALSE)</f>
        <v>9.9999999999999995E-7</v>
      </c>
      <c r="L34" s="83">
        <f>VLOOKUP(H34,Settings!$B$46:$E$52,4,FALSE)</f>
        <v>9.9999999999999995E-8</v>
      </c>
      <c r="M34" s="60">
        <f t="shared" si="0"/>
        <v>12940.644222000001</v>
      </c>
      <c r="N34" s="60">
        <f t="shared" si="1"/>
        <v>0.23067102</v>
      </c>
      <c r="O34" s="60">
        <f t="shared" si="2"/>
        <v>2.3067102000000003E-2</v>
      </c>
      <c r="P34" s="41">
        <f>M34+(N34*Settings!$C$24)+(O34*Settings!$D$24)</f>
        <v>12953.169658386001</v>
      </c>
      <c r="Q34" s="174"/>
    </row>
    <row r="35" spans="2:17" x14ac:dyDescent="0.25">
      <c r="B35" s="91" t="str">
        <f>VLOOKUP(D35,'Unit List'!$B$9:$E$241,4,0)</f>
        <v>Steel Making</v>
      </c>
      <c r="C35" s="377" t="str">
        <f>VLOOKUP(D35,'Unit List'!$B$9:$D$241,3,0)</f>
        <v>Casting Machines</v>
      </c>
      <c r="D35" s="732">
        <v>2410</v>
      </c>
      <c r="E35" s="376">
        <v>23180</v>
      </c>
      <c r="F35" s="375">
        <v>18718.137000000002</v>
      </c>
      <c r="G35" s="354" t="str">
        <f>VLOOKUP(H35,Settings!$B$30:$F$36,5,0)</f>
        <v>kNm3</v>
      </c>
      <c r="H35" s="376" t="s">
        <v>465</v>
      </c>
      <c r="I35" s="82">
        <f>VLOOKUP(H35,Settings!$B$30:$C$36,2,FALSE)</f>
        <v>15</v>
      </c>
      <c r="J35" s="83">
        <f>VLOOKUP(H35,Settings!$B$46:$E$52,2,FALSE)</f>
        <v>5.6099999999999997E-2</v>
      </c>
      <c r="K35" s="83">
        <f>VLOOKUP(H35,Settings!$B$46:$E$52,3,FALSE)</f>
        <v>9.9999999999999995E-7</v>
      </c>
      <c r="L35" s="83">
        <f>VLOOKUP(H35,Settings!$B$46:$E$52,4,FALSE)</f>
        <v>9.9999999999999995E-8</v>
      </c>
      <c r="M35" s="60">
        <f t="shared" si="0"/>
        <v>15751.312285500002</v>
      </c>
      <c r="N35" s="60">
        <f t="shared" si="1"/>
        <v>0.28077205500000002</v>
      </c>
      <c r="O35" s="60">
        <f t="shared" si="2"/>
        <v>2.8077205500000004E-2</v>
      </c>
      <c r="P35" s="41">
        <f>M35+(N35*Settings!$C$24)+(O35*Settings!$D$24)</f>
        <v>15766.558208086501</v>
      </c>
      <c r="Q35" s="174"/>
    </row>
    <row r="36" spans="2:17" x14ac:dyDescent="0.25">
      <c r="B36" s="91" t="str">
        <f>VLOOKUP(D36,'Unit List'!$B$9:$E$241,4,0)</f>
        <v>Steel Making</v>
      </c>
      <c r="C36" s="377" t="str">
        <f>VLOOKUP(D36,'Unit List'!$B$9:$D$241,3,0)</f>
        <v>Slab Cooling</v>
      </c>
      <c r="D36" s="732">
        <v>2510</v>
      </c>
      <c r="E36" s="376">
        <v>23180</v>
      </c>
      <c r="F36" s="375">
        <v>3303.0850000000005</v>
      </c>
      <c r="G36" s="354" t="str">
        <f>VLOOKUP(H36,Settings!$B$30:$F$36,5,0)</f>
        <v>kNm3</v>
      </c>
      <c r="H36" s="376" t="s">
        <v>465</v>
      </c>
      <c r="I36" s="82">
        <f>VLOOKUP(H36,Settings!$B$30:$C$36,2,FALSE)</f>
        <v>15</v>
      </c>
      <c r="J36" s="83">
        <f>VLOOKUP(H36,Settings!$B$46:$E$52,2,FALSE)</f>
        <v>5.6099999999999997E-2</v>
      </c>
      <c r="K36" s="83">
        <f>VLOOKUP(H36,Settings!$B$46:$E$52,3,FALSE)</f>
        <v>9.9999999999999995E-7</v>
      </c>
      <c r="L36" s="83">
        <f>VLOOKUP(H36,Settings!$B$46:$E$52,4,FALSE)</f>
        <v>9.9999999999999995E-8</v>
      </c>
      <c r="M36" s="60">
        <f t="shared" si="0"/>
        <v>2779.5460275000005</v>
      </c>
      <c r="N36" s="60">
        <f t="shared" si="1"/>
        <v>4.9546275000000008E-2</v>
      </c>
      <c r="O36" s="60">
        <f t="shared" si="2"/>
        <v>4.9546275000000002E-3</v>
      </c>
      <c r="P36" s="41">
        <f>M36+(N36*Settings!$C$24)+(O36*Settings!$D$24)</f>
        <v>2782.2363902325005</v>
      </c>
      <c r="Q36" s="174"/>
    </row>
    <row r="37" spans="2:17" x14ac:dyDescent="0.25">
      <c r="B37" s="91" t="str">
        <f>VLOOKUP(D37,'Unit List'!$B$9:$E$241,4,0)</f>
        <v>Hot Rolling</v>
      </c>
      <c r="C37" s="377" t="str">
        <f>VLOOKUP(D37,'Unit List'!$B$9:$D$241,3,0)</f>
        <v>Hot Rolling Mill</v>
      </c>
      <c r="D37" s="732">
        <v>3101</v>
      </c>
      <c r="E37" s="376">
        <v>23180</v>
      </c>
      <c r="F37" s="375">
        <v>208.33899999999997</v>
      </c>
      <c r="G37" s="354" t="str">
        <f>VLOOKUP(H37,Settings!$B$30:$F$36,5,0)</f>
        <v>kNm3</v>
      </c>
      <c r="H37" s="376" t="s">
        <v>465</v>
      </c>
      <c r="I37" s="82">
        <f>VLOOKUP(H37,Settings!$B$30:$C$36,2,FALSE)</f>
        <v>15</v>
      </c>
      <c r="J37" s="83">
        <f>VLOOKUP(H37,Settings!$B$46:$E$52,2,FALSE)</f>
        <v>5.6099999999999997E-2</v>
      </c>
      <c r="K37" s="83">
        <f>VLOOKUP(H37,Settings!$B$46:$E$52,3,FALSE)</f>
        <v>9.9999999999999995E-7</v>
      </c>
      <c r="L37" s="83">
        <f>VLOOKUP(H37,Settings!$B$46:$E$52,4,FALSE)</f>
        <v>9.9999999999999995E-8</v>
      </c>
      <c r="M37" s="60">
        <f t="shared" si="0"/>
        <v>175.31726849999995</v>
      </c>
      <c r="N37" s="60">
        <f t="shared" si="1"/>
        <v>3.1250849999999992E-3</v>
      </c>
      <c r="O37" s="60">
        <f t="shared" si="2"/>
        <v>3.1250849999999992E-4</v>
      </c>
      <c r="P37" s="41">
        <f>M37+(N37*Settings!$C$24)+(O37*Settings!$D$24)</f>
        <v>175.48696061549995</v>
      </c>
      <c r="Q37" s="174"/>
    </row>
    <row r="38" spans="2:17" x14ac:dyDescent="0.25">
      <c r="B38" s="91" t="str">
        <f>VLOOKUP(D38,'Unit List'!$B$9:$E$241,4,0)</f>
        <v>Hot Rolling</v>
      </c>
      <c r="C38" s="377" t="str">
        <f>VLOOKUP(D38,'Unit List'!$B$9:$D$241,3,0)</f>
        <v>Hot Rolling Mill</v>
      </c>
      <c r="D38" s="732">
        <v>3210</v>
      </c>
      <c r="E38" s="376">
        <v>23180</v>
      </c>
      <c r="F38" s="375">
        <v>200005.16699999999</v>
      </c>
      <c r="G38" s="354" t="str">
        <f>VLOOKUP(H38,Settings!$B$30:$F$36,5,0)</f>
        <v>kNm3</v>
      </c>
      <c r="H38" s="376" t="s">
        <v>465</v>
      </c>
      <c r="I38" s="82">
        <f>VLOOKUP(H38,Settings!$B$30:$C$36,2,FALSE)</f>
        <v>15</v>
      </c>
      <c r="J38" s="83">
        <f>VLOOKUP(H38,Settings!$B$46:$E$52,2,FALSE)</f>
        <v>5.6099999999999997E-2</v>
      </c>
      <c r="K38" s="83">
        <f>VLOOKUP(H38,Settings!$B$46:$E$52,3,FALSE)</f>
        <v>9.9999999999999995E-7</v>
      </c>
      <c r="L38" s="83">
        <f>VLOOKUP(H38,Settings!$B$46:$E$52,4,FALSE)</f>
        <v>9.9999999999999995E-8</v>
      </c>
      <c r="M38" s="60">
        <f t="shared" si="0"/>
        <v>168304.3480305</v>
      </c>
      <c r="N38" s="60">
        <f t="shared" si="1"/>
        <v>3.0000775049999997</v>
      </c>
      <c r="O38" s="60">
        <f t="shared" si="2"/>
        <v>0.30000775049999995</v>
      </c>
      <c r="P38" s="41">
        <f>M38+(N38*Settings!$C$24)+(O38*Settings!$D$24)</f>
        <v>168467.2522390215</v>
      </c>
      <c r="Q38" s="174"/>
    </row>
    <row r="39" spans="2:17" x14ac:dyDescent="0.25">
      <c r="B39" s="91" t="str">
        <f>VLOOKUP(D39,'Unit List'!$B$9:$E$241,4,0)</f>
        <v>Hot Rolling</v>
      </c>
      <c r="C39" s="377" t="str">
        <f>VLOOKUP(D39,'Unit List'!$B$9:$D$241,3,0)</f>
        <v>Hot Rolling Mill</v>
      </c>
      <c r="D39" s="732">
        <v>3310</v>
      </c>
      <c r="E39" s="376">
        <v>23180</v>
      </c>
      <c r="F39" s="375">
        <v>1041.6940000000002</v>
      </c>
      <c r="G39" s="354" t="str">
        <f>VLOOKUP(H39,Settings!$B$30:$F$36,5,0)</f>
        <v>kNm3</v>
      </c>
      <c r="H39" s="376" t="s">
        <v>465</v>
      </c>
      <c r="I39" s="82">
        <f>VLOOKUP(H39,Settings!$B$30:$C$36,2,FALSE)</f>
        <v>15</v>
      </c>
      <c r="J39" s="83">
        <f>VLOOKUP(H39,Settings!$B$46:$E$52,2,FALSE)</f>
        <v>5.6099999999999997E-2</v>
      </c>
      <c r="K39" s="83">
        <f>VLOOKUP(H39,Settings!$B$46:$E$52,3,FALSE)</f>
        <v>9.9999999999999995E-7</v>
      </c>
      <c r="L39" s="83">
        <f>VLOOKUP(H39,Settings!$B$46:$E$52,4,FALSE)</f>
        <v>9.9999999999999995E-8</v>
      </c>
      <c r="M39" s="60">
        <f t="shared" si="0"/>
        <v>876.58550100000014</v>
      </c>
      <c r="N39" s="60">
        <f t="shared" si="1"/>
        <v>1.5625410000000003E-2</v>
      </c>
      <c r="O39" s="60">
        <f t="shared" si="2"/>
        <v>1.5625410000000002E-3</v>
      </c>
      <c r="P39" s="41">
        <f>M39+(N39*Settings!$C$24)+(O39*Settings!$D$24)</f>
        <v>877.43396076300019</v>
      </c>
      <c r="Q39" s="174"/>
    </row>
    <row r="40" spans="2:17" x14ac:dyDescent="0.25">
      <c r="B40" s="91" t="str">
        <f>VLOOKUP(D40,'Unit List'!$B$9:$E$241,4,0)</f>
        <v>Hot Rolling</v>
      </c>
      <c r="C40" s="377" t="str">
        <f>VLOOKUP(D40,'Unit List'!$B$9:$D$241,3,0)</f>
        <v>Shearing Line 1</v>
      </c>
      <c r="D40" s="732">
        <v>3410</v>
      </c>
      <c r="E40" s="376">
        <v>23180</v>
      </c>
      <c r="F40" s="375">
        <v>3125.0819999999999</v>
      </c>
      <c r="G40" s="354" t="str">
        <f>VLOOKUP(H40,Settings!$B$30:$F$36,5,0)</f>
        <v>kNm3</v>
      </c>
      <c r="H40" s="376" t="s">
        <v>465</v>
      </c>
      <c r="I40" s="82">
        <f>VLOOKUP(H40,Settings!$B$30:$C$36,2,FALSE)</f>
        <v>15</v>
      </c>
      <c r="J40" s="83">
        <f>VLOOKUP(H40,Settings!$B$46:$E$52,2,FALSE)</f>
        <v>5.6099999999999997E-2</v>
      </c>
      <c r="K40" s="83">
        <f>VLOOKUP(H40,Settings!$B$46:$E$52,3,FALSE)</f>
        <v>9.9999999999999995E-7</v>
      </c>
      <c r="L40" s="83">
        <f>VLOOKUP(H40,Settings!$B$46:$E$52,4,FALSE)</f>
        <v>9.9999999999999995E-8</v>
      </c>
      <c r="M40" s="60">
        <f t="shared" si="0"/>
        <v>2629.7565029999996</v>
      </c>
      <c r="N40" s="60">
        <f t="shared" si="1"/>
        <v>4.6876229999999991E-2</v>
      </c>
      <c r="O40" s="60">
        <f t="shared" si="2"/>
        <v>4.6876229999999993E-3</v>
      </c>
      <c r="P40" s="41">
        <f>M40+(N40*Settings!$C$24)+(O40*Settings!$D$24)</f>
        <v>2632.3018822889994</v>
      </c>
      <c r="Q40" s="174"/>
    </row>
    <row r="41" spans="2:17" x14ac:dyDescent="0.25">
      <c r="B41" s="91" t="str">
        <f>VLOOKUP(D41,'Unit List'!$B$9:$E$241,4,0)</f>
        <v>Hot Rolling</v>
      </c>
      <c r="C41" s="377" t="str">
        <f>VLOOKUP(D41,'Unit List'!$B$9:$D$241,3,0)</f>
        <v>Shearing Line 1</v>
      </c>
      <c r="D41" s="732">
        <v>3420</v>
      </c>
      <c r="E41" s="376">
        <v>23180</v>
      </c>
      <c r="F41" s="375">
        <v>833.35400000000004</v>
      </c>
      <c r="G41" s="354" t="str">
        <f>VLOOKUP(H41,Settings!$B$30:$F$36,5,0)</f>
        <v>kNm3</v>
      </c>
      <c r="H41" s="376" t="s">
        <v>465</v>
      </c>
      <c r="I41" s="82">
        <f>VLOOKUP(H41,Settings!$B$30:$C$36,2,FALSE)</f>
        <v>15</v>
      </c>
      <c r="J41" s="83">
        <f>VLOOKUP(H41,Settings!$B$46:$E$52,2,FALSE)</f>
        <v>5.6099999999999997E-2</v>
      </c>
      <c r="K41" s="83">
        <f>VLOOKUP(H41,Settings!$B$46:$E$52,3,FALSE)</f>
        <v>9.9999999999999995E-7</v>
      </c>
      <c r="L41" s="83">
        <f>VLOOKUP(H41,Settings!$B$46:$E$52,4,FALSE)</f>
        <v>9.9999999999999995E-8</v>
      </c>
      <c r="M41" s="60">
        <f t="shared" si="0"/>
        <v>701.26739100000009</v>
      </c>
      <c r="N41" s="60">
        <f t="shared" si="1"/>
        <v>1.2500310000000001E-2</v>
      </c>
      <c r="O41" s="60">
        <f t="shared" si="2"/>
        <v>1.250031E-3</v>
      </c>
      <c r="P41" s="41">
        <f>M41+(N41*Settings!$C$24)+(O41*Settings!$D$24)</f>
        <v>701.94615783300014</v>
      </c>
      <c r="Q41" s="174"/>
    </row>
    <row r="42" spans="2:17" x14ac:dyDescent="0.25">
      <c r="B42" s="91" t="str">
        <f>VLOOKUP(D42,'Unit List'!$B$9:$E$241,4,0)</f>
        <v>Hot Rolling</v>
      </c>
      <c r="C42" s="377" t="str">
        <f>VLOOKUP(D42,'Unit List'!$B$9:$D$241,3,0)</f>
        <v>Shearing Line 2</v>
      </c>
      <c r="D42" s="732">
        <v>3430</v>
      </c>
      <c r="E42" s="376">
        <v>23180</v>
      </c>
      <c r="F42" s="375">
        <v>625.01600000000008</v>
      </c>
      <c r="G42" s="354" t="str">
        <f>VLOOKUP(H42,Settings!$B$30:$F$36,5,0)</f>
        <v>kNm3</v>
      </c>
      <c r="H42" s="376" t="s">
        <v>465</v>
      </c>
      <c r="I42" s="82">
        <f>VLOOKUP(H42,Settings!$B$30:$C$36,2,FALSE)</f>
        <v>15</v>
      </c>
      <c r="J42" s="83">
        <f>VLOOKUP(H42,Settings!$B$46:$E$52,2,FALSE)</f>
        <v>5.6099999999999997E-2</v>
      </c>
      <c r="K42" s="83">
        <f>VLOOKUP(H42,Settings!$B$46:$E$52,3,FALSE)</f>
        <v>9.9999999999999995E-7</v>
      </c>
      <c r="L42" s="83">
        <f>VLOOKUP(H42,Settings!$B$46:$E$52,4,FALSE)</f>
        <v>9.9999999999999995E-8</v>
      </c>
      <c r="M42" s="60">
        <f t="shared" si="0"/>
        <v>525.95096400000011</v>
      </c>
      <c r="N42" s="60">
        <f t="shared" si="1"/>
        <v>9.3752400000000017E-3</v>
      </c>
      <c r="O42" s="60">
        <f t="shared" si="2"/>
        <v>9.3752400000000013E-4</v>
      </c>
      <c r="P42" s="41">
        <f>M42+(N42*Settings!$C$24)+(O42*Settings!$D$24)</f>
        <v>526.46003953200011</v>
      </c>
      <c r="Q42" s="174"/>
    </row>
    <row r="43" spans="2:17" x14ac:dyDescent="0.25">
      <c r="B43" s="91" t="str">
        <f>VLOOKUP(D43,'Unit List'!$B$9:$E$241,4,0)</f>
        <v>Hot Rolling</v>
      </c>
      <c r="C43" s="377" t="str">
        <f>VLOOKUP(D43,'Unit List'!$B$9:$D$241,3,0)</f>
        <v>Heavy Shearing Line</v>
      </c>
      <c r="D43" s="732">
        <v>3440</v>
      </c>
      <c r="E43" s="376">
        <v>23180</v>
      </c>
      <c r="F43" s="375">
        <v>625.01600000000008</v>
      </c>
      <c r="G43" s="354" t="str">
        <f>VLOOKUP(H43,Settings!$B$30:$F$36,5,0)</f>
        <v>kNm3</v>
      </c>
      <c r="H43" s="376" t="s">
        <v>465</v>
      </c>
      <c r="I43" s="82">
        <f>VLOOKUP(H43,Settings!$B$30:$C$36,2,FALSE)</f>
        <v>15</v>
      </c>
      <c r="J43" s="83">
        <f>VLOOKUP(H43,Settings!$B$46:$E$52,2,FALSE)</f>
        <v>5.6099999999999997E-2</v>
      </c>
      <c r="K43" s="83">
        <f>VLOOKUP(H43,Settings!$B$46:$E$52,3,FALSE)</f>
        <v>9.9999999999999995E-7</v>
      </c>
      <c r="L43" s="83">
        <f>VLOOKUP(H43,Settings!$B$46:$E$52,4,FALSE)</f>
        <v>9.9999999999999995E-8</v>
      </c>
      <c r="M43" s="60">
        <f t="shared" si="0"/>
        <v>525.95096400000011</v>
      </c>
      <c r="N43" s="60">
        <f t="shared" si="1"/>
        <v>9.3752400000000017E-3</v>
      </c>
      <c r="O43" s="60">
        <f t="shared" si="2"/>
        <v>9.3752400000000013E-4</v>
      </c>
      <c r="P43" s="41">
        <f>M43+(N43*Settings!$C$24)+(O43*Settings!$D$24)</f>
        <v>526.46003953200011</v>
      </c>
      <c r="Q43" s="174"/>
    </row>
    <row r="44" spans="2:17" x14ac:dyDescent="0.25">
      <c r="B44" s="91" t="str">
        <f>VLOOKUP(D44,'Unit List'!$B$9:$E$241,4,0)</f>
        <v>Hot Rolling</v>
      </c>
      <c r="C44" s="377" t="str">
        <f>VLOOKUP(D44,'Unit List'!$B$9:$D$241,3,0)</f>
        <v>Skin Pass Mill</v>
      </c>
      <c r="D44" s="732">
        <v>3450</v>
      </c>
      <c r="E44" s="376">
        <v>23180</v>
      </c>
      <c r="F44" s="375">
        <v>833.35400000000004</v>
      </c>
      <c r="G44" s="354" t="str">
        <f>VLOOKUP(H44,Settings!$B$30:$F$36,5,0)</f>
        <v>kNm3</v>
      </c>
      <c r="H44" s="376" t="s">
        <v>465</v>
      </c>
      <c r="I44" s="82">
        <f>VLOOKUP(H44,Settings!$B$30:$C$36,2,FALSE)</f>
        <v>15</v>
      </c>
      <c r="J44" s="83">
        <f>VLOOKUP(H44,Settings!$B$46:$E$52,2,FALSE)</f>
        <v>5.6099999999999997E-2</v>
      </c>
      <c r="K44" s="83">
        <f>VLOOKUP(H44,Settings!$B$46:$E$52,3,FALSE)</f>
        <v>9.9999999999999995E-7</v>
      </c>
      <c r="L44" s="83">
        <f>VLOOKUP(H44,Settings!$B$46:$E$52,4,FALSE)</f>
        <v>9.9999999999999995E-8</v>
      </c>
      <c r="M44" s="60">
        <f t="shared" ref="M44:M95" si="3">F44*I44*J44</f>
        <v>701.26739100000009</v>
      </c>
      <c r="N44" s="60">
        <f t="shared" ref="N44:N95" si="4">F44*I44*K44</f>
        <v>1.2500310000000001E-2</v>
      </c>
      <c r="O44" s="60">
        <f t="shared" ref="O44:O95" si="5">F44*I44*L44</f>
        <v>1.250031E-3</v>
      </c>
      <c r="P44" s="41">
        <f>M44+(N44*Settings!$C$24)+(O44*Settings!$D$24)</f>
        <v>701.94615783300014</v>
      </c>
      <c r="Q44" s="174"/>
    </row>
    <row r="45" spans="2:17" x14ac:dyDescent="0.25">
      <c r="B45" s="91" t="str">
        <f>VLOOKUP(D45,'Unit List'!$B$9:$E$241,4,0)</f>
        <v>Hot Rolling</v>
      </c>
      <c r="C45" s="377" t="str">
        <f>VLOOKUP(D45,'Unit List'!$B$9:$D$241,3,0)</f>
        <v>Skin Pass Mill</v>
      </c>
      <c r="D45" s="732">
        <v>3460</v>
      </c>
      <c r="E45" s="376">
        <v>23180</v>
      </c>
      <c r="F45" s="375">
        <v>1041.6940000000002</v>
      </c>
      <c r="G45" s="354" t="str">
        <f>VLOOKUP(H45,Settings!$B$30:$F$36,5,0)</f>
        <v>kNm3</v>
      </c>
      <c r="H45" s="376" t="s">
        <v>465</v>
      </c>
      <c r="I45" s="82">
        <f>VLOOKUP(H45,Settings!$B$30:$C$36,2,FALSE)</f>
        <v>15</v>
      </c>
      <c r="J45" s="83">
        <f>VLOOKUP(H45,Settings!$B$46:$E$52,2,FALSE)</f>
        <v>5.6099999999999997E-2</v>
      </c>
      <c r="K45" s="83">
        <f>VLOOKUP(H45,Settings!$B$46:$E$52,3,FALSE)</f>
        <v>9.9999999999999995E-7</v>
      </c>
      <c r="L45" s="83">
        <f>VLOOKUP(H45,Settings!$B$46:$E$52,4,FALSE)</f>
        <v>9.9999999999999995E-8</v>
      </c>
      <c r="M45" s="60">
        <f t="shared" si="3"/>
        <v>876.58550100000014</v>
      </c>
      <c r="N45" s="60">
        <f t="shared" si="4"/>
        <v>1.5625410000000003E-2</v>
      </c>
      <c r="O45" s="60">
        <f t="shared" si="5"/>
        <v>1.5625410000000002E-3</v>
      </c>
      <c r="P45" s="41">
        <f>M45+(N45*Settings!$C$24)+(O45*Settings!$D$24)</f>
        <v>877.43396076300019</v>
      </c>
      <c r="Q45" s="174"/>
    </row>
    <row r="46" spans="2:17" x14ac:dyDescent="0.25">
      <c r="B46" s="91" t="str">
        <f>VLOOKUP(D46,'Unit List'!$B$9:$E$241,4,0)</f>
        <v>Cold Rolling</v>
      </c>
      <c r="C46" s="377" t="str">
        <f>VLOOKUP(D46,'Unit List'!$B$9:$D$241,3,0)</f>
        <v>Pickling Line 1,2</v>
      </c>
      <c r="D46" s="732">
        <v>4230</v>
      </c>
      <c r="E46" s="376">
        <v>23180</v>
      </c>
      <c r="F46" s="375">
        <v>2967.8539999999998</v>
      </c>
      <c r="G46" s="354" t="str">
        <f>VLOOKUP(H46,Settings!$B$30:$F$36,5,0)</f>
        <v>kNm3</v>
      </c>
      <c r="H46" s="376" t="s">
        <v>465</v>
      </c>
      <c r="I46" s="82">
        <f>VLOOKUP(H46,Settings!$B$30:$C$36,2,FALSE)</f>
        <v>15</v>
      </c>
      <c r="J46" s="83">
        <f>VLOOKUP(H46,Settings!$B$46:$E$52,2,FALSE)</f>
        <v>5.6099999999999997E-2</v>
      </c>
      <c r="K46" s="83">
        <f>VLOOKUP(H46,Settings!$B$46:$E$52,3,FALSE)</f>
        <v>9.9999999999999995E-7</v>
      </c>
      <c r="L46" s="83">
        <f>VLOOKUP(H46,Settings!$B$46:$E$52,4,FALSE)</f>
        <v>9.9999999999999995E-8</v>
      </c>
      <c r="M46" s="60">
        <f t="shared" si="3"/>
        <v>2497.4491409999996</v>
      </c>
      <c r="N46" s="60">
        <f t="shared" si="4"/>
        <v>4.4517809999999998E-2</v>
      </c>
      <c r="O46" s="60">
        <f t="shared" si="5"/>
        <v>4.4517809999999993E-3</v>
      </c>
      <c r="P46" s="41">
        <f>M46+(N46*Settings!$C$24)+(O46*Settings!$D$24)</f>
        <v>2499.8664580829995</v>
      </c>
      <c r="Q46" s="174"/>
    </row>
    <row r="47" spans="2:17" x14ac:dyDescent="0.25">
      <c r="B47" s="91" t="str">
        <f>VLOOKUP(D47,'Unit List'!$B$9:$E$241,4,0)</f>
        <v>Cold Rolling</v>
      </c>
      <c r="C47" s="377" t="str">
        <f>VLOOKUP(D47,'Unit List'!$B$9:$D$241,3,0)</f>
        <v>Pickling Line 1,2</v>
      </c>
      <c r="D47" s="732">
        <v>4235</v>
      </c>
      <c r="E47" s="376">
        <v>23180</v>
      </c>
      <c r="F47" s="375">
        <v>3954.1310000000003</v>
      </c>
      <c r="G47" s="354" t="str">
        <f>VLOOKUP(H47,Settings!$B$30:$F$36,5,0)</f>
        <v>kNm3</v>
      </c>
      <c r="H47" s="376" t="s">
        <v>465</v>
      </c>
      <c r="I47" s="82">
        <f>VLOOKUP(H47,Settings!$B$30:$C$36,2,FALSE)</f>
        <v>15</v>
      </c>
      <c r="J47" s="83">
        <f>VLOOKUP(H47,Settings!$B$46:$E$52,2,FALSE)</f>
        <v>5.6099999999999997E-2</v>
      </c>
      <c r="K47" s="83">
        <f>VLOOKUP(H47,Settings!$B$46:$E$52,3,FALSE)</f>
        <v>9.9999999999999995E-7</v>
      </c>
      <c r="L47" s="83">
        <f>VLOOKUP(H47,Settings!$B$46:$E$52,4,FALSE)</f>
        <v>9.9999999999999995E-8</v>
      </c>
      <c r="M47" s="60">
        <f t="shared" si="3"/>
        <v>3327.4012364999999</v>
      </c>
      <c r="N47" s="60">
        <f t="shared" si="4"/>
        <v>5.9311965000000001E-2</v>
      </c>
      <c r="O47" s="60">
        <f t="shared" si="5"/>
        <v>5.9311965000000003E-3</v>
      </c>
      <c r="P47" s="41">
        <f>M47+(N47*Settings!$C$24)+(O47*Settings!$D$24)</f>
        <v>3330.6218761994996</v>
      </c>
      <c r="Q47" s="174"/>
    </row>
    <row r="48" spans="2:17" x14ac:dyDescent="0.25">
      <c r="B48" s="91" t="str">
        <f>VLOOKUP(D48,'Unit List'!$B$9:$E$241,4,0)</f>
        <v>Cold Rolling</v>
      </c>
      <c r="C48" s="377" t="str">
        <f>VLOOKUP(D48,'Unit List'!$B$9:$D$241,3,0)</f>
        <v>Box Annealing 1</v>
      </c>
      <c r="D48" s="732">
        <v>4410</v>
      </c>
      <c r="E48" s="376">
        <v>23180</v>
      </c>
      <c r="F48" s="375">
        <v>10891.096000000003</v>
      </c>
      <c r="G48" s="354" t="str">
        <f>VLOOKUP(H48,Settings!$B$30:$F$36,5,0)</f>
        <v>kNm3</v>
      </c>
      <c r="H48" s="376" t="s">
        <v>465</v>
      </c>
      <c r="I48" s="82">
        <f>VLOOKUP(H48,Settings!$B$30:$C$36,2,FALSE)</f>
        <v>15</v>
      </c>
      <c r="J48" s="83">
        <f>VLOOKUP(H48,Settings!$B$46:$E$52,2,FALSE)</f>
        <v>5.6099999999999997E-2</v>
      </c>
      <c r="K48" s="83">
        <f>VLOOKUP(H48,Settings!$B$46:$E$52,3,FALSE)</f>
        <v>9.9999999999999995E-7</v>
      </c>
      <c r="L48" s="83">
        <f>VLOOKUP(H48,Settings!$B$46:$E$52,4,FALSE)</f>
        <v>9.9999999999999995E-8</v>
      </c>
      <c r="M48" s="60">
        <f t="shared" si="3"/>
        <v>9164.8572840000033</v>
      </c>
      <c r="N48" s="60">
        <f t="shared" si="4"/>
        <v>0.16336644000000006</v>
      </c>
      <c r="O48" s="60">
        <f t="shared" si="5"/>
        <v>1.6336644000000004E-2</v>
      </c>
      <c r="P48" s="41">
        <f>M48+(N48*Settings!$C$24)+(O48*Settings!$D$24)</f>
        <v>9173.7280816920029</v>
      </c>
      <c r="Q48" s="174"/>
    </row>
    <row r="49" spans="2:17" x14ac:dyDescent="0.25">
      <c r="B49" s="91" t="str">
        <f>VLOOKUP(D49,'Unit List'!$B$9:$E$241,4,0)</f>
        <v>Cold Rolling</v>
      </c>
      <c r="C49" s="377" t="str">
        <f>VLOOKUP(D49,'Unit List'!$B$9:$D$241,3,0)</f>
        <v>Box Annealing 3</v>
      </c>
      <c r="D49" s="732">
        <v>4415</v>
      </c>
      <c r="E49" s="376">
        <v>23180</v>
      </c>
      <c r="F49" s="375">
        <v>4522.4440000000004</v>
      </c>
      <c r="G49" s="354" t="str">
        <f>VLOOKUP(H49,Settings!$B$30:$F$36,5,0)</f>
        <v>kNm3</v>
      </c>
      <c r="H49" s="376" t="s">
        <v>465</v>
      </c>
      <c r="I49" s="82">
        <f>VLOOKUP(H49,Settings!$B$30:$C$36,2,FALSE)</f>
        <v>15</v>
      </c>
      <c r="J49" s="83">
        <f>VLOOKUP(H49,Settings!$B$46:$E$52,2,FALSE)</f>
        <v>5.6099999999999997E-2</v>
      </c>
      <c r="K49" s="83">
        <f>VLOOKUP(H49,Settings!$B$46:$E$52,3,FALSE)</f>
        <v>9.9999999999999995E-7</v>
      </c>
      <c r="L49" s="83">
        <f>VLOOKUP(H49,Settings!$B$46:$E$52,4,FALSE)</f>
        <v>9.9999999999999995E-8</v>
      </c>
      <c r="M49" s="60">
        <f t="shared" si="3"/>
        <v>3805.636626</v>
      </c>
      <c r="N49" s="60">
        <f t="shared" si="4"/>
        <v>6.7836660000000007E-2</v>
      </c>
      <c r="O49" s="60">
        <f t="shared" si="5"/>
        <v>6.7836659999999998E-3</v>
      </c>
      <c r="P49" s="41">
        <f>M49+(N49*Settings!$C$24)+(O49*Settings!$D$24)</f>
        <v>3809.3201566379998</v>
      </c>
      <c r="Q49" s="174"/>
    </row>
    <row r="50" spans="2:17" x14ac:dyDescent="0.25">
      <c r="B50" s="91" t="str">
        <f>VLOOKUP(D50,'Unit List'!$B$9:$E$241,4,0)</f>
        <v>Cold Rolling</v>
      </c>
      <c r="C50" s="377" t="str">
        <f>VLOOKUP(D50,'Unit List'!$B$9:$D$241,3,0)</f>
        <v>Box Annealing 2</v>
      </c>
      <c r="D50" s="732">
        <v>4420</v>
      </c>
      <c r="E50" s="376">
        <v>23180</v>
      </c>
      <c r="F50" s="375">
        <v>4283.6400000000003</v>
      </c>
      <c r="G50" s="354" t="str">
        <f>VLOOKUP(H50,Settings!$B$30:$F$36,5,0)</f>
        <v>kNm3</v>
      </c>
      <c r="H50" s="376" t="s">
        <v>465</v>
      </c>
      <c r="I50" s="82">
        <f>VLOOKUP(H50,Settings!$B$30:$C$36,2,FALSE)</f>
        <v>15</v>
      </c>
      <c r="J50" s="83">
        <f>VLOOKUP(H50,Settings!$B$46:$E$52,2,FALSE)</f>
        <v>5.6099999999999997E-2</v>
      </c>
      <c r="K50" s="83">
        <f>VLOOKUP(H50,Settings!$B$46:$E$52,3,FALSE)</f>
        <v>9.9999999999999995E-7</v>
      </c>
      <c r="L50" s="83">
        <f>VLOOKUP(H50,Settings!$B$46:$E$52,4,FALSE)</f>
        <v>9.9999999999999995E-8</v>
      </c>
      <c r="M50" s="60">
        <f t="shared" si="3"/>
        <v>3604.6830600000003</v>
      </c>
      <c r="N50" s="60">
        <f t="shared" si="4"/>
        <v>6.4254600000000009E-2</v>
      </c>
      <c r="O50" s="60">
        <f t="shared" si="5"/>
        <v>6.42546E-3</v>
      </c>
      <c r="P50" s="41">
        <f>M50+(N50*Settings!$C$24)+(O50*Settings!$D$24)</f>
        <v>3608.1720847800002</v>
      </c>
      <c r="Q50" s="174"/>
    </row>
    <row r="51" spans="2:17" x14ac:dyDescent="0.25">
      <c r="B51" s="91" t="str">
        <f>VLOOKUP(D51,'Unit List'!$B$9:$E$241,4,0)</f>
        <v>Cold Rolling</v>
      </c>
      <c r="C51" s="377" t="str">
        <f>VLOOKUP(D51,'Unit List'!$B$9:$D$241,3,0)</f>
        <v>Tinning Line</v>
      </c>
      <c r="D51" s="732">
        <v>4710</v>
      </c>
      <c r="E51" s="376">
        <v>23180</v>
      </c>
      <c r="F51" s="569">
        <v>361.16700000000003</v>
      </c>
      <c r="G51" s="354" t="str">
        <f>VLOOKUP(H51,Settings!$B$30:$F$36,5,0)</f>
        <v>kNm3</v>
      </c>
      <c r="H51" s="376" t="s">
        <v>465</v>
      </c>
      <c r="I51" s="82">
        <f>VLOOKUP(H51,Settings!$B$30:$C$36,2,FALSE)</f>
        <v>15</v>
      </c>
      <c r="J51" s="83">
        <f>VLOOKUP(H51,Settings!$B$46:$E$52,2,FALSE)</f>
        <v>5.6099999999999997E-2</v>
      </c>
      <c r="K51" s="83">
        <f>VLOOKUP(H51,Settings!$B$46:$E$52,3,FALSE)</f>
        <v>9.9999999999999995E-7</v>
      </c>
      <c r="L51" s="83">
        <f>VLOOKUP(H51,Settings!$B$46:$E$52,4,FALSE)</f>
        <v>9.9999999999999995E-8</v>
      </c>
      <c r="M51" s="60">
        <f t="shared" si="3"/>
        <v>303.92203050000001</v>
      </c>
      <c r="N51" s="60">
        <f t="shared" si="4"/>
        <v>5.4175049999999995E-3</v>
      </c>
      <c r="O51" s="60">
        <f t="shared" si="5"/>
        <v>5.4175049999999998E-4</v>
      </c>
      <c r="P51" s="41">
        <f>M51+(N51*Settings!$C$24)+(O51*Settings!$D$24)</f>
        <v>304.21620102150001</v>
      </c>
      <c r="Q51" s="174"/>
    </row>
    <row r="52" spans="2:17" ht="16.8" customHeight="1" x14ac:dyDescent="0.25">
      <c r="B52" s="91" t="str">
        <f>VLOOKUP(D52,'Unit List'!$B$9:$E$241,4,0)</f>
        <v>Cold Rolling</v>
      </c>
      <c r="C52" s="377" t="str">
        <f>VLOOKUP(D52,'Unit List'!$B$9:$D$241,3,0)</f>
        <v>Galvanizing Line</v>
      </c>
      <c r="D52" s="732">
        <v>4810</v>
      </c>
      <c r="E52" s="376">
        <v>23180</v>
      </c>
      <c r="F52" s="569">
        <v>0</v>
      </c>
      <c r="G52" s="354" t="str">
        <f>VLOOKUP(H52,Settings!$B$30:$F$36,5,0)</f>
        <v>kNm3</v>
      </c>
      <c r="H52" s="376" t="s">
        <v>465</v>
      </c>
      <c r="I52" s="82">
        <f>VLOOKUP(H52,Settings!$B$30:$C$36,2,FALSE)</f>
        <v>15</v>
      </c>
      <c r="J52" s="83">
        <f>VLOOKUP(H52,Settings!$B$46:$E$52,2,FALSE)</f>
        <v>5.6099999999999997E-2</v>
      </c>
      <c r="K52" s="83">
        <f>VLOOKUP(H52,Settings!$B$46:$E$52,3,FALSE)</f>
        <v>9.9999999999999995E-7</v>
      </c>
      <c r="L52" s="83">
        <f>VLOOKUP(H52,Settings!$B$46:$E$52,4,FALSE)</f>
        <v>9.9999999999999995E-8</v>
      </c>
      <c r="M52" s="60">
        <f t="shared" si="3"/>
        <v>0</v>
      </c>
      <c r="N52" s="60">
        <f t="shared" si="4"/>
        <v>0</v>
      </c>
      <c r="O52" s="60">
        <f t="shared" si="5"/>
        <v>0</v>
      </c>
      <c r="P52" s="41">
        <f>M52+(N52*Settings!$C$24)+(O52*Settings!$D$24)</f>
        <v>0</v>
      </c>
      <c r="Q52" s="174"/>
    </row>
    <row r="53" spans="2:17" x14ac:dyDescent="0.25">
      <c r="B53" s="91" t="str">
        <f>VLOOKUP(D53,'Unit List'!$B$9:$E$241,4,0)</f>
        <v>Cold Rolling</v>
      </c>
      <c r="C53" s="377" t="str">
        <f>VLOOKUP(D53,'Unit List'!$B$9:$D$241,3,0)</f>
        <v>Coating Line</v>
      </c>
      <c r="D53" s="732">
        <v>4820</v>
      </c>
      <c r="E53" s="376">
        <v>23180</v>
      </c>
      <c r="F53" s="569">
        <v>5621.5820000000003</v>
      </c>
      <c r="G53" s="354" t="str">
        <f>VLOOKUP(H53,Settings!$B$30:$F$36,5,0)</f>
        <v>kNm3</v>
      </c>
      <c r="H53" s="376" t="s">
        <v>465</v>
      </c>
      <c r="I53" s="82">
        <f>VLOOKUP(H53,Settings!$B$30:$C$36,2,FALSE)</f>
        <v>15</v>
      </c>
      <c r="J53" s="83">
        <f>VLOOKUP(H53,Settings!$B$46:$E$52,2,FALSE)</f>
        <v>5.6099999999999997E-2</v>
      </c>
      <c r="K53" s="83">
        <f>VLOOKUP(H53,Settings!$B$46:$E$52,3,FALSE)</f>
        <v>9.9999999999999995E-7</v>
      </c>
      <c r="L53" s="83">
        <f>VLOOKUP(H53,Settings!$B$46:$E$52,4,FALSE)</f>
        <v>9.9999999999999995E-8</v>
      </c>
      <c r="M53" s="60">
        <f t="shared" si="3"/>
        <v>4730.5612530000008</v>
      </c>
      <c r="N53" s="60">
        <f t="shared" si="4"/>
        <v>8.4323730000000013E-2</v>
      </c>
      <c r="O53" s="60">
        <f t="shared" si="5"/>
        <v>8.432373E-3</v>
      </c>
      <c r="P53" s="41">
        <f>M53+(N53*Settings!$C$24)+(O53*Settings!$D$24)</f>
        <v>4735.140031539001</v>
      </c>
      <c r="Q53" s="174"/>
    </row>
    <row r="54" spans="2:17" x14ac:dyDescent="0.25">
      <c r="B54" s="91" t="str">
        <f>VLOOKUP(D54,'Unit List'!$B$9:$E$241,4,0)</f>
        <v>Utility</v>
      </c>
      <c r="C54" s="377" t="str">
        <f>VLOOKUP(D54,'Unit List'!$B$9:$D$241,3,0)</f>
        <v>Steam Production</v>
      </c>
      <c r="D54" s="732">
        <v>5120</v>
      </c>
      <c r="E54" s="376">
        <v>23180</v>
      </c>
      <c r="F54" s="375">
        <v>264967.79599999997</v>
      </c>
      <c r="G54" s="354" t="str">
        <f>VLOOKUP(H54,Settings!$B$30:$F$36,5,0)</f>
        <v>kNm3</v>
      </c>
      <c r="H54" s="376" t="s">
        <v>465</v>
      </c>
      <c r="I54" s="82">
        <f>VLOOKUP(H54,Settings!$B$30:$C$36,2,FALSE)</f>
        <v>15</v>
      </c>
      <c r="J54" s="83">
        <f>VLOOKUP(H54,Settings!$B$46:$E$52,2,FALSE)</f>
        <v>5.6099999999999997E-2</v>
      </c>
      <c r="K54" s="83">
        <f>VLOOKUP(H54,Settings!$B$46:$E$52,3,FALSE)</f>
        <v>9.9999999999999995E-7</v>
      </c>
      <c r="L54" s="83">
        <f>VLOOKUP(H54,Settings!$B$46:$E$52,4,FALSE)</f>
        <v>9.9999999999999995E-8</v>
      </c>
      <c r="M54" s="60">
        <f t="shared" si="3"/>
        <v>222970.40033399995</v>
      </c>
      <c r="N54" s="60">
        <f t="shared" si="4"/>
        <v>3.9745169399999991</v>
      </c>
      <c r="O54" s="60">
        <f t="shared" si="5"/>
        <v>0.39745169399999991</v>
      </c>
      <c r="P54" s="41">
        <f>M54+(N54*Settings!$C$24)+(O54*Settings!$D$24)</f>
        <v>223186.21660384195</v>
      </c>
      <c r="Q54" s="174"/>
    </row>
    <row r="55" spans="2:17" x14ac:dyDescent="0.25">
      <c r="B55" s="91" t="str">
        <f>VLOOKUP(D55,'Unit List'!$B$9:$E$241,4,0)</f>
        <v>Utility</v>
      </c>
      <c r="C55" s="377" t="str">
        <f>VLOOKUP(D55,'Unit List'!$B$9:$D$241,3,0)</f>
        <v>PowerPlant 2</v>
      </c>
      <c r="D55" s="732">
        <v>5140</v>
      </c>
      <c r="E55" s="376">
        <v>23180</v>
      </c>
      <c r="F55" s="375">
        <v>38346.213000000003</v>
      </c>
      <c r="G55" s="354" t="str">
        <f>VLOOKUP(H55,Settings!$B$30:$F$36,5,0)</f>
        <v>kNm3</v>
      </c>
      <c r="H55" s="376" t="s">
        <v>465</v>
      </c>
      <c r="I55" s="82">
        <f>VLOOKUP(H55,Settings!$B$30:$C$36,2,FALSE)</f>
        <v>15</v>
      </c>
      <c r="J55" s="83">
        <f>VLOOKUP(H55,Settings!$B$46:$E$52,2,FALSE)</f>
        <v>5.6099999999999997E-2</v>
      </c>
      <c r="K55" s="83">
        <f>VLOOKUP(H55,Settings!$B$46:$E$52,3,FALSE)</f>
        <v>9.9999999999999995E-7</v>
      </c>
      <c r="L55" s="83">
        <f>VLOOKUP(H55,Settings!$B$46:$E$52,4,FALSE)</f>
        <v>9.9999999999999995E-8</v>
      </c>
      <c r="M55" s="60">
        <f t="shared" si="3"/>
        <v>32268.338239500001</v>
      </c>
      <c r="N55" s="60">
        <f t="shared" si="4"/>
        <v>0.57519319499999999</v>
      </c>
      <c r="O55" s="60">
        <f t="shared" si="5"/>
        <v>5.7519319500000006E-2</v>
      </c>
      <c r="P55" s="41">
        <f>M55+(N55*Settings!$C$24)+(O55*Settings!$D$24)</f>
        <v>32299.571229988502</v>
      </c>
      <c r="Q55" s="174"/>
    </row>
    <row r="56" spans="2:17" x14ac:dyDescent="0.25">
      <c r="B56" s="91" t="str">
        <f>VLOOKUP(D56,'Unit List'!$B$9:$E$241,4,0)</f>
        <v>Utility</v>
      </c>
      <c r="C56" s="377" t="str">
        <f>VLOOKUP(D56,'Unit List'!$B$9:$D$241,3,0)</f>
        <v>Oxygen &amp; Hydrogen</v>
      </c>
      <c r="D56" s="732">
        <v>5220</v>
      </c>
      <c r="E56" s="376">
        <v>23180</v>
      </c>
      <c r="F56" s="375">
        <v>330.93900000000002</v>
      </c>
      <c r="G56" s="354" t="str">
        <f>VLOOKUP(H56,Settings!$B$30:$F$36,5,0)</f>
        <v>kNm3</v>
      </c>
      <c r="H56" s="376" t="s">
        <v>465</v>
      </c>
      <c r="I56" s="82">
        <f>VLOOKUP(H56,Settings!$B$30:$C$36,2,FALSE)</f>
        <v>15</v>
      </c>
      <c r="J56" s="83">
        <f>VLOOKUP(H56,Settings!$B$46:$E$52,2,FALSE)</f>
        <v>5.6099999999999997E-2</v>
      </c>
      <c r="K56" s="83">
        <f>VLOOKUP(H56,Settings!$B$46:$E$52,3,FALSE)</f>
        <v>9.9999999999999995E-7</v>
      </c>
      <c r="L56" s="83">
        <f>VLOOKUP(H56,Settings!$B$46:$E$52,4,FALSE)</f>
        <v>9.9999999999999995E-8</v>
      </c>
      <c r="M56" s="60">
        <f t="shared" si="3"/>
        <v>278.48516849999999</v>
      </c>
      <c r="N56" s="60">
        <f t="shared" si="4"/>
        <v>4.964085E-3</v>
      </c>
      <c r="O56" s="60">
        <f t="shared" si="5"/>
        <v>4.964085E-4</v>
      </c>
      <c r="P56" s="41">
        <f>M56+(N56*Settings!$C$24)+(O56*Settings!$D$24)</f>
        <v>278.75471831549999</v>
      </c>
      <c r="Q56" s="174"/>
    </row>
    <row r="57" spans="2:17" x14ac:dyDescent="0.25">
      <c r="B57" s="91" t="str">
        <f>VLOOKUP(D57,'Unit List'!$B$9:$E$241,4,0)</f>
        <v>Utility</v>
      </c>
      <c r="C57" s="377" t="str">
        <f>VLOOKUP(D57,'Unit List'!$B$9:$D$241,3,0)</f>
        <v>Water Conditioning</v>
      </c>
      <c r="D57" s="732">
        <v>5330</v>
      </c>
      <c r="E57" s="376">
        <v>23180</v>
      </c>
      <c r="F57" s="375">
        <v>3852.4319999999998</v>
      </c>
      <c r="G57" s="354" t="str">
        <f>VLOOKUP(H57,Settings!$B$30:$F$36,5,0)</f>
        <v>kNm3</v>
      </c>
      <c r="H57" s="376" t="s">
        <v>465</v>
      </c>
      <c r="I57" s="82">
        <f>VLOOKUP(H57,Settings!$B$30:$C$36,2,FALSE)</f>
        <v>15</v>
      </c>
      <c r="J57" s="83">
        <f>VLOOKUP(H57,Settings!$B$46:$E$52,2,FALSE)</f>
        <v>5.6099999999999997E-2</v>
      </c>
      <c r="K57" s="83">
        <f>VLOOKUP(H57,Settings!$B$46:$E$52,3,FALSE)</f>
        <v>9.9999999999999995E-7</v>
      </c>
      <c r="L57" s="83">
        <f>VLOOKUP(H57,Settings!$B$46:$E$52,4,FALSE)</f>
        <v>9.9999999999999995E-8</v>
      </c>
      <c r="M57" s="60">
        <f t="shared" si="3"/>
        <v>3241.8215279999995</v>
      </c>
      <c r="N57" s="60">
        <f t="shared" si="4"/>
        <v>5.7786479999999994E-2</v>
      </c>
      <c r="O57" s="60">
        <f t="shared" si="5"/>
        <v>5.7786479999999991E-3</v>
      </c>
      <c r="P57" s="41">
        <f>M57+(N57*Settings!$C$24)+(O57*Settings!$D$24)</f>
        <v>3244.9593338639993</v>
      </c>
      <c r="Q57" s="174"/>
    </row>
    <row r="58" spans="2:17" x14ac:dyDescent="0.25">
      <c r="B58" s="91" t="str">
        <f>VLOOKUP(D58,'Unit List'!$B$9:$E$241,4,0)</f>
        <v>Utility</v>
      </c>
      <c r="C58" s="377" t="str">
        <f>VLOOKUP(D58,'Unit List'!$B$9:$D$241,3,0)</f>
        <v>Steam Production (PU:55)</v>
      </c>
      <c r="D58" s="732">
        <v>5362</v>
      </c>
      <c r="E58" s="376">
        <v>23180</v>
      </c>
      <c r="F58" s="607">
        <v>14053.245000000001</v>
      </c>
      <c r="G58" s="354" t="str">
        <f>VLOOKUP(H58,Settings!$B$30:$F$36,5,0)</f>
        <v>kNm3</v>
      </c>
      <c r="H58" s="376" t="s">
        <v>465</v>
      </c>
      <c r="I58" s="82">
        <f>VLOOKUP(H58,Settings!$B$30:$C$36,2,FALSE)</f>
        <v>15</v>
      </c>
      <c r="J58" s="83">
        <f>VLOOKUP(H58,Settings!$B$46:$E$52,2,FALSE)</f>
        <v>5.6099999999999997E-2</v>
      </c>
      <c r="K58" s="83">
        <f>VLOOKUP(H58,Settings!$B$46:$E$52,3,FALSE)</f>
        <v>9.9999999999999995E-7</v>
      </c>
      <c r="L58" s="83">
        <f>VLOOKUP(H58,Settings!$B$46:$E$52,4,FALSE)</f>
        <v>9.9999999999999995E-8</v>
      </c>
      <c r="M58" s="60">
        <f t="shared" si="3"/>
        <v>11825.805667500001</v>
      </c>
      <c r="N58" s="60">
        <f t="shared" si="4"/>
        <v>0.21079867500000002</v>
      </c>
      <c r="O58" s="60">
        <f t="shared" si="5"/>
        <v>2.1079867500000002E-2</v>
      </c>
      <c r="P58" s="41">
        <f>M58+(N58*Settings!$C$24)+(O58*Settings!$D$24)</f>
        <v>11837.252035552501</v>
      </c>
      <c r="Q58" s="174"/>
    </row>
    <row r="59" spans="2:17" x14ac:dyDescent="0.25">
      <c r="B59" s="91" t="str">
        <f>VLOOKUP(D59,'Unit List'!$B$9:$E$241,4,0)</f>
        <v>Utility</v>
      </c>
      <c r="C59" s="377" t="str">
        <f>VLOOKUP(D59,'Unit List'!$B$9:$D$241,3,0)</f>
        <v>RO2</v>
      </c>
      <c r="D59" s="732">
        <v>5365</v>
      </c>
      <c r="E59" s="376">
        <v>23180</v>
      </c>
      <c r="F59" s="607">
        <v>6168.77</v>
      </c>
      <c r="G59" s="354" t="str">
        <f>VLOOKUP(H59,Settings!$B$30:$F$36,5,0)</f>
        <v>kNm3</v>
      </c>
      <c r="H59" s="376" t="s">
        <v>465</v>
      </c>
      <c r="I59" s="82">
        <f>VLOOKUP(H59,Settings!$B$30:$C$36,2,FALSE)</f>
        <v>15</v>
      </c>
      <c r="J59" s="83">
        <f>VLOOKUP(H59,Settings!$B$46:$E$52,2,FALSE)</f>
        <v>5.6099999999999997E-2</v>
      </c>
      <c r="K59" s="83">
        <f>VLOOKUP(H59,Settings!$B$46:$E$52,3,FALSE)</f>
        <v>9.9999999999999995E-7</v>
      </c>
      <c r="L59" s="83">
        <f>VLOOKUP(H59,Settings!$B$46:$E$52,4,FALSE)</f>
        <v>9.9999999999999995E-8</v>
      </c>
      <c r="M59" s="60">
        <f t="shared" si="3"/>
        <v>5191.0199549999998</v>
      </c>
      <c r="N59" s="60">
        <f t="shared" si="4"/>
        <v>9.2531550000000004E-2</v>
      </c>
      <c r="O59" s="60">
        <f t="shared" si="5"/>
        <v>9.253154999999999E-3</v>
      </c>
      <c r="P59" s="41">
        <f>M59+(N59*Settings!$C$24)+(O59*Settings!$D$24)</f>
        <v>5196.044418165</v>
      </c>
      <c r="Q59" s="174"/>
    </row>
    <row r="60" spans="2:17" x14ac:dyDescent="0.25">
      <c r="B60" s="91" t="str">
        <f>VLOOKUP(D60,'Unit List'!$B$9:$E$241,4,0)</f>
        <v>Utility</v>
      </c>
      <c r="C60" s="377" t="str">
        <f>VLOOKUP(D60,'Unit List'!$B$9:$D$241,3,0)</f>
        <v>RO1</v>
      </c>
      <c r="D60" s="732">
        <v>5364</v>
      </c>
      <c r="E60" s="376">
        <v>23180</v>
      </c>
      <c r="F60" s="650">
        <v>2956.9749999999999</v>
      </c>
      <c r="G60" s="354" t="str">
        <f>VLOOKUP(H60,Settings!$B$30:$F$36,5,0)</f>
        <v>kNm3</v>
      </c>
      <c r="H60" s="376" t="s">
        <v>465</v>
      </c>
      <c r="I60" s="82">
        <f>VLOOKUP(H60,Settings!$B$30:$C$36,2,FALSE)</f>
        <v>15</v>
      </c>
      <c r="J60" s="83">
        <f>VLOOKUP(H60,Settings!$B$46:$E$52,2,FALSE)</f>
        <v>5.6099999999999997E-2</v>
      </c>
      <c r="K60" s="83">
        <f>VLOOKUP(H60,Settings!$B$46:$E$52,3,FALSE)</f>
        <v>9.9999999999999995E-7</v>
      </c>
      <c r="L60" s="83">
        <f>VLOOKUP(H60,Settings!$B$46:$E$52,4,FALSE)</f>
        <v>9.9999999999999995E-8</v>
      </c>
      <c r="M60" s="60">
        <f t="shared" si="3"/>
        <v>2488.2944625</v>
      </c>
      <c r="N60" s="60">
        <f t="shared" si="4"/>
        <v>4.4354624999999995E-2</v>
      </c>
      <c r="O60" s="60">
        <f t="shared" si="5"/>
        <v>4.4354625E-3</v>
      </c>
      <c r="P60" s="41">
        <f>M60+(N60*Settings!$C$24)+(O60*Settings!$D$24)</f>
        <v>2490.7029186375003</v>
      </c>
      <c r="Q60" s="174"/>
    </row>
    <row r="61" spans="2:17" x14ac:dyDescent="0.25">
      <c r="B61" s="91" t="str">
        <f>VLOOKUP(D61,'Unit List'!$B$9:$E$241,4,0)</f>
        <v>Utility</v>
      </c>
      <c r="C61" s="377" t="str">
        <f>VLOOKUP(D61,'Unit List'!$B$9:$D$241,3,0)</f>
        <v>PowerPlant 3</v>
      </c>
      <c r="D61" s="732">
        <v>5150</v>
      </c>
      <c r="E61" s="376">
        <v>23180</v>
      </c>
      <c r="F61" s="607">
        <v>1396.3679999999999</v>
      </c>
      <c r="G61" s="354" t="str">
        <f>VLOOKUP(H61,Settings!$B$30:$F$36,5,0)</f>
        <v>kNm3</v>
      </c>
      <c r="H61" s="376" t="s">
        <v>465</v>
      </c>
      <c r="I61" s="82">
        <f>VLOOKUP(H61,Settings!$B$30:$C$36,2,FALSE)</f>
        <v>15</v>
      </c>
      <c r="J61" s="83">
        <f>VLOOKUP(H61,Settings!$B$46:$E$52,2,FALSE)</f>
        <v>5.6099999999999997E-2</v>
      </c>
      <c r="K61" s="83">
        <f>VLOOKUP(H61,Settings!$B$46:$E$52,3,FALSE)</f>
        <v>9.9999999999999995E-7</v>
      </c>
      <c r="L61" s="83">
        <f>VLOOKUP(H61,Settings!$B$46:$E$52,4,FALSE)</f>
        <v>9.9999999999999995E-8</v>
      </c>
      <c r="M61" s="60">
        <f t="shared" si="3"/>
        <v>1175.043672</v>
      </c>
      <c r="N61" s="60">
        <f t="shared" si="4"/>
        <v>2.0945519999999999E-2</v>
      </c>
      <c r="O61" s="60">
        <f t="shared" si="5"/>
        <v>2.094552E-3</v>
      </c>
      <c r="P61" s="41">
        <f>M61+(N61*Settings!$C$24)+(O61*Settings!$D$24)</f>
        <v>1176.1810137360001</v>
      </c>
      <c r="Q61" s="174"/>
    </row>
    <row r="62" spans="2:17" x14ac:dyDescent="0.25">
      <c r="B62" s="91" t="str">
        <f>VLOOKUP(D62,'Unit List'!$B$9:$E$241,4,0)</f>
        <v>Utility</v>
      </c>
      <c r="C62" s="377" t="str">
        <f>VLOOKUP(D62,'Unit List'!$B$9:$D$241,3,0)</f>
        <v>-</v>
      </c>
      <c r="D62" s="732">
        <v>5460</v>
      </c>
      <c r="E62" s="376">
        <v>23180</v>
      </c>
      <c r="F62" s="607">
        <v>7080.6</v>
      </c>
      <c r="G62" s="354" t="str">
        <f>VLOOKUP(H62,Settings!$B$30:$F$36,5,0)</f>
        <v>kNm3</v>
      </c>
      <c r="H62" s="376" t="s">
        <v>465</v>
      </c>
      <c r="I62" s="82">
        <f>VLOOKUP(H62,Settings!$B$30:$C$36,2,FALSE)</f>
        <v>15</v>
      </c>
      <c r="J62" s="83">
        <f>VLOOKUP(H62,Settings!$B$46:$E$52,2,FALSE)</f>
        <v>5.6099999999999997E-2</v>
      </c>
      <c r="K62" s="83">
        <f>VLOOKUP(H62,Settings!$B$46:$E$52,3,FALSE)</f>
        <v>9.9999999999999995E-7</v>
      </c>
      <c r="L62" s="83">
        <f>VLOOKUP(H62,Settings!$B$46:$E$52,4,FALSE)</f>
        <v>9.9999999999999995E-8</v>
      </c>
      <c r="M62" s="60">
        <f t="shared" si="3"/>
        <v>5958.3248999999996</v>
      </c>
      <c r="N62" s="60">
        <f t="shared" si="4"/>
        <v>0.106209</v>
      </c>
      <c r="O62" s="60">
        <f t="shared" si="5"/>
        <v>1.0620899999999999E-2</v>
      </c>
      <c r="P62" s="41">
        <f>M62+(N62*Settings!$C$24)+(O62*Settings!$D$24)</f>
        <v>5964.0920486999994</v>
      </c>
      <c r="Q62" s="174"/>
    </row>
    <row r="63" spans="2:17" x14ac:dyDescent="0.25">
      <c r="B63" s="91" t="str">
        <f>VLOOKUP(D63,'Unit List'!$B$9:$E$241,4,0)</f>
        <v>Maintenance</v>
      </c>
      <c r="C63" s="377" t="str">
        <f>VLOOKUP(D63,'Unit List'!$B$9:$D$241,3,0)</f>
        <v>-</v>
      </c>
      <c r="D63" s="732">
        <v>7301</v>
      </c>
      <c r="E63" s="376">
        <v>23180</v>
      </c>
      <c r="F63" s="607">
        <v>824.58100000000013</v>
      </c>
      <c r="G63" s="354" t="str">
        <f>VLOOKUP(H63,Settings!$B$30:$F$36,5,0)</f>
        <v>kNm3</v>
      </c>
      <c r="H63" s="376" t="s">
        <v>465</v>
      </c>
      <c r="I63" s="82">
        <f>VLOOKUP(H63,Settings!$B$30:$C$36,2,FALSE)</f>
        <v>15</v>
      </c>
      <c r="J63" s="83">
        <f>VLOOKUP(H63,Settings!$B$46:$E$52,2,FALSE)</f>
        <v>5.6099999999999997E-2</v>
      </c>
      <c r="K63" s="83">
        <f>VLOOKUP(H63,Settings!$B$46:$E$52,3,FALSE)</f>
        <v>9.9999999999999995E-7</v>
      </c>
      <c r="L63" s="83">
        <f>VLOOKUP(H63,Settings!$B$46:$E$52,4,FALSE)</f>
        <v>9.9999999999999995E-8</v>
      </c>
      <c r="M63" s="60">
        <f t="shared" si="3"/>
        <v>693.88491150000004</v>
      </c>
      <c r="N63" s="60">
        <f t="shared" si="4"/>
        <v>1.2368715000000001E-2</v>
      </c>
      <c r="O63" s="60">
        <f t="shared" si="5"/>
        <v>1.2368715000000002E-3</v>
      </c>
      <c r="P63" s="41">
        <f>M63+(N63*Settings!$C$24)+(O63*Settings!$D$24)</f>
        <v>694.55653272450002</v>
      </c>
      <c r="Q63" s="174"/>
    </row>
    <row r="64" spans="2:17" x14ac:dyDescent="0.25">
      <c r="B64" s="91" t="str">
        <f>VLOOKUP(D64,'Unit List'!$B$9:$E$241,4,0)</f>
        <v>Maintenance</v>
      </c>
      <c r="C64" s="377" t="str">
        <f>VLOOKUP(D64,'Unit List'!$B$9:$D$241,3,0)</f>
        <v>-</v>
      </c>
      <c r="D64" s="732">
        <v>7310</v>
      </c>
      <c r="E64" s="376">
        <v>23180</v>
      </c>
      <c r="F64" s="607">
        <v>3298.3260000000005</v>
      </c>
      <c r="G64" s="354" t="str">
        <f>VLOOKUP(H64,Settings!$B$30:$F$36,5,0)</f>
        <v>kNm3</v>
      </c>
      <c r="H64" s="376" t="s">
        <v>465</v>
      </c>
      <c r="I64" s="82">
        <f>VLOOKUP(H64,Settings!$B$30:$C$36,2,FALSE)</f>
        <v>15</v>
      </c>
      <c r="J64" s="83">
        <f>VLOOKUP(H64,Settings!$B$46:$E$52,2,FALSE)</f>
        <v>5.6099999999999997E-2</v>
      </c>
      <c r="K64" s="83">
        <f>VLOOKUP(H64,Settings!$B$46:$E$52,3,FALSE)</f>
        <v>9.9999999999999995E-7</v>
      </c>
      <c r="L64" s="83">
        <f>VLOOKUP(H64,Settings!$B$46:$E$52,4,FALSE)</f>
        <v>9.9999999999999995E-8</v>
      </c>
      <c r="M64" s="60">
        <f t="shared" si="3"/>
        <v>2775.5413290000001</v>
      </c>
      <c r="N64" s="60">
        <f t="shared" si="4"/>
        <v>4.9474890000000007E-2</v>
      </c>
      <c r="O64" s="60">
        <f t="shared" si="5"/>
        <v>4.9474890000000002E-3</v>
      </c>
      <c r="P64" s="41">
        <f>M64+(N64*Settings!$C$24)+(O64*Settings!$D$24)</f>
        <v>2778.2278155270001</v>
      </c>
      <c r="Q64" s="174"/>
    </row>
    <row r="65" spans="2:17" x14ac:dyDescent="0.25">
      <c r="B65" s="91" t="str">
        <f>VLOOKUP(D65,'Unit List'!$B$9:$E$241,4,0)</f>
        <v>Maintenance</v>
      </c>
      <c r="C65" s="377" t="str">
        <f>VLOOKUP(D65,'Unit List'!$B$9:$D$241,3,0)</f>
        <v>-</v>
      </c>
      <c r="D65" s="732">
        <v>7330</v>
      </c>
      <c r="E65" s="376">
        <v>23180</v>
      </c>
      <c r="F65" s="607">
        <v>1649.1620000000005</v>
      </c>
      <c r="G65" s="354" t="str">
        <f>VLOOKUP(H65,Settings!$B$30:$F$36,5,0)</f>
        <v>kNm3</v>
      </c>
      <c r="H65" s="376" t="s">
        <v>465</v>
      </c>
      <c r="I65" s="82">
        <f>VLOOKUP(H65,Settings!$B$30:$C$36,2,FALSE)</f>
        <v>15</v>
      </c>
      <c r="J65" s="83">
        <f>VLOOKUP(H65,Settings!$B$46:$E$52,2,FALSE)</f>
        <v>5.6099999999999997E-2</v>
      </c>
      <c r="K65" s="83">
        <f>VLOOKUP(H65,Settings!$B$46:$E$52,3,FALSE)</f>
        <v>9.9999999999999995E-7</v>
      </c>
      <c r="L65" s="83">
        <f>VLOOKUP(H65,Settings!$B$46:$E$52,4,FALSE)</f>
        <v>9.9999999999999995E-8</v>
      </c>
      <c r="M65" s="60">
        <f t="shared" si="3"/>
        <v>1387.7698230000003</v>
      </c>
      <c r="N65" s="60">
        <f t="shared" si="4"/>
        <v>2.4737430000000008E-2</v>
      </c>
      <c r="O65" s="60">
        <f t="shared" si="5"/>
        <v>2.4737430000000005E-3</v>
      </c>
      <c r="P65" s="41">
        <f>M65+(N65*Settings!$C$24)+(O65*Settings!$D$24)</f>
        <v>1389.1130654490003</v>
      </c>
      <c r="Q65" s="174"/>
    </row>
    <row r="66" spans="2:17" x14ac:dyDescent="0.25">
      <c r="B66" s="91" t="str">
        <f>VLOOKUP(D66,'Unit List'!$B$9:$E$241,4,0)</f>
        <v>Maintenance</v>
      </c>
      <c r="C66" s="377" t="str">
        <f>VLOOKUP(D66,'Unit List'!$B$9:$D$241,3,0)</f>
        <v>-</v>
      </c>
      <c r="D66" s="732">
        <v>7340</v>
      </c>
      <c r="E66" s="376">
        <v>23180</v>
      </c>
      <c r="F66" s="607">
        <v>7421.2339999999986</v>
      </c>
      <c r="G66" s="354" t="str">
        <f>VLOOKUP(H66,Settings!$B$30:$F$36,5,0)</f>
        <v>kNm3</v>
      </c>
      <c r="H66" s="376" t="s">
        <v>465</v>
      </c>
      <c r="I66" s="82">
        <f>VLOOKUP(H66,Settings!$B$30:$C$36,2,FALSE)</f>
        <v>15</v>
      </c>
      <c r="J66" s="83">
        <f>VLOOKUP(H66,Settings!$B$46:$E$52,2,FALSE)</f>
        <v>5.6099999999999997E-2</v>
      </c>
      <c r="K66" s="83">
        <f>VLOOKUP(H66,Settings!$B$46:$E$52,3,FALSE)</f>
        <v>9.9999999999999995E-7</v>
      </c>
      <c r="L66" s="83">
        <f>VLOOKUP(H66,Settings!$B$46:$E$52,4,FALSE)</f>
        <v>9.9999999999999995E-8</v>
      </c>
      <c r="M66" s="60">
        <f t="shared" si="3"/>
        <v>6244.9684109999989</v>
      </c>
      <c r="N66" s="60">
        <f t="shared" si="4"/>
        <v>0.11131850999999998</v>
      </c>
      <c r="O66" s="60">
        <f t="shared" si="5"/>
        <v>1.1131850999999998E-2</v>
      </c>
      <c r="P66" s="41">
        <f>M66+(N66*Settings!$C$24)+(O66*Settings!$D$24)</f>
        <v>6251.0130060929987</v>
      </c>
      <c r="Q66" s="174"/>
    </row>
    <row r="67" spans="2:17" x14ac:dyDescent="0.25">
      <c r="B67" s="91" t="str">
        <f>VLOOKUP(D67,'Unit List'!$B$9:$E$241,4,0)</f>
        <v>Maintenance</v>
      </c>
      <c r="C67" s="377" t="str">
        <f>VLOOKUP(D67,'Unit List'!$B$9:$D$241,3,0)</f>
        <v>-</v>
      </c>
      <c r="D67" s="732">
        <v>7360</v>
      </c>
      <c r="E67" s="376">
        <v>23180</v>
      </c>
      <c r="F67" s="607">
        <v>3298.3260000000005</v>
      </c>
      <c r="G67" s="354" t="str">
        <f>VLOOKUP(H67,Settings!$B$30:$F$36,5,0)</f>
        <v>kNm3</v>
      </c>
      <c r="H67" s="376" t="s">
        <v>465</v>
      </c>
      <c r="I67" s="82">
        <f>VLOOKUP(H67,Settings!$B$30:$C$36,2,FALSE)</f>
        <v>15</v>
      </c>
      <c r="J67" s="83">
        <f>VLOOKUP(H67,Settings!$B$46:$E$52,2,FALSE)</f>
        <v>5.6099999999999997E-2</v>
      </c>
      <c r="K67" s="83">
        <f>VLOOKUP(H67,Settings!$B$46:$E$52,3,FALSE)</f>
        <v>9.9999999999999995E-7</v>
      </c>
      <c r="L67" s="83">
        <f>VLOOKUP(H67,Settings!$B$46:$E$52,4,FALSE)</f>
        <v>9.9999999999999995E-8</v>
      </c>
      <c r="M67" s="60">
        <f t="shared" si="3"/>
        <v>2775.5413290000001</v>
      </c>
      <c r="N67" s="60">
        <f t="shared" si="4"/>
        <v>4.9474890000000007E-2</v>
      </c>
      <c r="O67" s="60">
        <f t="shared" si="5"/>
        <v>4.9474890000000002E-3</v>
      </c>
      <c r="P67" s="41">
        <f>M67+(N67*Settings!$C$24)+(O67*Settings!$D$24)</f>
        <v>2778.2278155270001</v>
      </c>
      <c r="Q67" s="174"/>
    </row>
    <row r="68" spans="2:17" x14ac:dyDescent="0.25">
      <c r="B68" s="91" t="str">
        <f>VLOOKUP(D68,'Unit List'!$B$9:$E$241,4,0)</f>
        <v>TAS</v>
      </c>
      <c r="C68" s="377" t="str">
        <f>VLOOKUP(D68,'Unit List'!$B$9:$D$241,3,0)</f>
        <v>-</v>
      </c>
      <c r="D68" s="732">
        <v>9585</v>
      </c>
      <c r="E68" s="376">
        <v>23180</v>
      </c>
      <c r="F68" s="607">
        <v>35731.864000000001</v>
      </c>
      <c r="G68" s="354" t="str">
        <f>VLOOKUP(H68,Settings!$B$30:$F$36,5,0)</f>
        <v>kNm3</v>
      </c>
      <c r="H68" s="376" t="s">
        <v>465</v>
      </c>
      <c r="I68" s="82">
        <f>VLOOKUP(H68,Settings!$B$30:$C$36,2,FALSE)</f>
        <v>15</v>
      </c>
      <c r="J68" s="83">
        <f>VLOOKUP(H68,Settings!$B$46:$E$52,2,FALSE)</f>
        <v>5.6099999999999997E-2</v>
      </c>
      <c r="K68" s="83">
        <f>VLOOKUP(H68,Settings!$B$46:$E$52,3,FALSE)</f>
        <v>9.9999999999999995E-7</v>
      </c>
      <c r="L68" s="83">
        <f>VLOOKUP(H68,Settings!$B$46:$E$52,4,FALSE)</f>
        <v>9.9999999999999995E-8</v>
      </c>
      <c r="M68" s="60">
        <f t="shared" si="3"/>
        <v>30068.363555999997</v>
      </c>
      <c r="N68" s="60">
        <f t="shared" si="4"/>
        <v>0.53597795999999998</v>
      </c>
      <c r="O68" s="60">
        <f t="shared" si="5"/>
        <v>5.3597795999999996E-2</v>
      </c>
      <c r="P68" s="41">
        <f>M68+(N68*Settings!$C$24)+(O68*Settings!$D$24)</f>
        <v>30097.467159227999</v>
      </c>
      <c r="Q68" s="174"/>
    </row>
    <row r="69" spans="2:17" x14ac:dyDescent="0.25">
      <c r="B69" s="91" t="str">
        <f>VLOOKUP(D69,'Unit List'!$B$9:$E$241,4,0)</f>
        <v>TAS</v>
      </c>
      <c r="C69" s="377" t="str">
        <f>VLOOKUP(D69,'Unit List'!$B$9:$D$241,3,0)</f>
        <v>-</v>
      </c>
      <c r="D69" s="732">
        <v>9595</v>
      </c>
      <c r="E69" s="376">
        <v>23180</v>
      </c>
      <c r="F69" s="607">
        <v>71188.868000000002</v>
      </c>
      <c r="G69" s="354" t="str">
        <f>VLOOKUP(H69,Settings!$B$30:$F$36,5,0)</f>
        <v>kNm3</v>
      </c>
      <c r="H69" s="376" t="s">
        <v>465</v>
      </c>
      <c r="I69" s="82">
        <f>VLOOKUP(H69,Settings!$B$30:$C$36,2,FALSE)</f>
        <v>15</v>
      </c>
      <c r="J69" s="83">
        <f>VLOOKUP(H69,Settings!$B$46:$E$52,2,FALSE)</f>
        <v>5.6099999999999997E-2</v>
      </c>
      <c r="K69" s="83">
        <f>VLOOKUP(H69,Settings!$B$46:$E$52,3,FALSE)</f>
        <v>9.9999999999999995E-7</v>
      </c>
      <c r="L69" s="83">
        <f>VLOOKUP(H69,Settings!$B$46:$E$52,4,FALSE)</f>
        <v>9.9999999999999995E-8</v>
      </c>
      <c r="M69" s="60">
        <f t="shared" si="3"/>
        <v>59905.432421999998</v>
      </c>
      <c r="N69" s="60">
        <f t="shared" si="4"/>
        <v>1.0678330199999999</v>
      </c>
      <c r="O69" s="60">
        <f t="shared" si="5"/>
        <v>0.106783302</v>
      </c>
      <c r="P69" s="41">
        <f>M69+(N69*Settings!$C$24)+(O69*Settings!$D$24)</f>
        <v>59963.415754985996</v>
      </c>
      <c r="Q69" s="174"/>
    </row>
    <row r="70" spans="2:17" x14ac:dyDescent="0.25">
      <c r="B70" s="91" t="str">
        <f>VLOOKUP(D70,'Unit List'!$B$9:$E$241,4,0)</f>
        <v>Utility</v>
      </c>
      <c r="C70" s="377" t="str">
        <f>VLOOKUP(D70,'Unit List'!$B$9:$D$241,3,0)</f>
        <v>Steam Production</v>
      </c>
      <c r="D70" s="414">
        <v>5120</v>
      </c>
      <c r="E70" s="376" t="s">
        <v>1758</v>
      </c>
      <c r="F70" s="607">
        <v>0</v>
      </c>
      <c r="G70" s="354" t="str">
        <f>VLOOKUP(H70,Settings!$B$30:$F$36,5,0)</f>
        <v>kNm3</v>
      </c>
      <c r="H70" s="376" t="s">
        <v>465</v>
      </c>
      <c r="I70" s="82">
        <f>VLOOKUP(H70,Settings!$B$30:$C$36,2,FALSE)</f>
        <v>15</v>
      </c>
      <c r="J70" s="83">
        <f>VLOOKUP(H70,Settings!$B$46:$E$52,2,FALSE)</f>
        <v>5.6099999999999997E-2</v>
      </c>
      <c r="K70" s="83">
        <f>VLOOKUP(H70,Settings!$B$46:$E$52,3,FALSE)</f>
        <v>9.9999999999999995E-7</v>
      </c>
      <c r="L70" s="83">
        <f>VLOOKUP(H70,Settings!$B$46:$E$52,4,FALSE)</f>
        <v>9.9999999999999995E-8</v>
      </c>
      <c r="M70" s="60">
        <f t="shared" si="3"/>
        <v>0</v>
      </c>
      <c r="N70" s="60">
        <f t="shared" si="4"/>
        <v>0</v>
      </c>
      <c r="O70" s="60">
        <f t="shared" si="5"/>
        <v>0</v>
      </c>
      <c r="P70" s="41">
        <f>M70+(N70*Settings!$C$24)+(O70*Settings!$D$24)</f>
        <v>0</v>
      </c>
      <c r="Q70" s="174"/>
    </row>
    <row r="71" spans="2:17" x14ac:dyDescent="0.25">
      <c r="B71" s="91" t="str">
        <f>VLOOKUP(D71,'Unit List'!$B$9:$E$241,4,0)</f>
        <v>Utility</v>
      </c>
      <c r="C71" s="377" t="str">
        <f>VLOOKUP(D71,'Unit List'!$B$9:$D$241,3,0)</f>
        <v>PowerPlant 2</v>
      </c>
      <c r="D71" s="414">
        <v>5140</v>
      </c>
      <c r="E71" s="376" t="s">
        <v>1758</v>
      </c>
      <c r="F71" s="607">
        <v>143916.48000000001</v>
      </c>
      <c r="G71" s="354" t="str">
        <f>VLOOKUP(H71,Settings!$B$30:$F$36,5,0)</f>
        <v>kNm3</v>
      </c>
      <c r="H71" s="376" t="s">
        <v>465</v>
      </c>
      <c r="I71" s="82">
        <f>VLOOKUP(H71,Settings!$B$30:$C$36,2,FALSE)</f>
        <v>15</v>
      </c>
      <c r="J71" s="83">
        <f>VLOOKUP(H71,Settings!$B$46:$E$52,2,FALSE)</f>
        <v>5.6099999999999997E-2</v>
      </c>
      <c r="K71" s="83">
        <f>VLOOKUP(H71,Settings!$B$46:$E$52,3,FALSE)</f>
        <v>9.9999999999999995E-7</v>
      </c>
      <c r="L71" s="83">
        <f>VLOOKUP(H71,Settings!$B$46:$E$52,4,FALSE)</f>
        <v>9.9999999999999995E-8</v>
      </c>
      <c r="M71" s="60">
        <f t="shared" si="3"/>
        <v>121105.71792000001</v>
      </c>
      <c r="N71" s="60">
        <f t="shared" si="4"/>
        <v>2.1587472000000001</v>
      </c>
      <c r="O71" s="60">
        <f t="shared" si="5"/>
        <v>0.21587472000000002</v>
      </c>
      <c r="P71" s="41">
        <f>M71+(N71*Settings!$C$24)+(O71*Settings!$D$24)</f>
        <v>121222.93789296001</v>
      </c>
      <c r="Q71" s="174"/>
    </row>
    <row r="72" spans="2:17" x14ac:dyDescent="0.25">
      <c r="B72" s="91" t="str">
        <f>VLOOKUP(D72,'Unit List'!$B$9:$E$241,4,0)</f>
        <v>Utility</v>
      </c>
      <c r="C72" s="377" t="str">
        <f>VLOOKUP(D72,'Unit List'!$B$9:$D$241,3,0)</f>
        <v>PowerPlant 3</v>
      </c>
      <c r="D72" s="414">
        <v>5150</v>
      </c>
      <c r="E72" s="376" t="s">
        <v>1758</v>
      </c>
      <c r="F72" s="607">
        <v>488910.06999999995</v>
      </c>
      <c r="G72" s="354" t="str">
        <f>VLOOKUP(H72,Settings!$B$30:$F$36,5,0)</f>
        <v>kNm3</v>
      </c>
      <c r="H72" s="376" t="s">
        <v>465</v>
      </c>
      <c r="I72" s="82">
        <f>VLOOKUP(H72,Settings!$B$30:$C$36,2,FALSE)</f>
        <v>15</v>
      </c>
      <c r="J72" s="83">
        <f>VLOOKUP(H72,Settings!$B$46:$E$52,2,FALSE)</f>
        <v>5.6099999999999997E-2</v>
      </c>
      <c r="K72" s="83">
        <f>VLOOKUP(H72,Settings!$B$46:$E$52,3,FALSE)</f>
        <v>9.9999999999999995E-7</v>
      </c>
      <c r="L72" s="83">
        <f>VLOOKUP(H72,Settings!$B$46:$E$52,4,FALSE)</f>
        <v>9.9999999999999995E-8</v>
      </c>
      <c r="M72" s="60">
        <f t="shared" si="3"/>
        <v>411417.82390499994</v>
      </c>
      <c r="N72" s="60">
        <f t="shared" si="4"/>
        <v>7.3336510499999985</v>
      </c>
      <c r="O72" s="60">
        <f t="shared" si="5"/>
        <v>0.73336510499999985</v>
      </c>
      <c r="P72" s="41">
        <f>M72+(N72*Settings!$C$24)+(O72*Settings!$D$24)</f>
        <v>411816.04115701496</v>
      </c>
      <c r="Q72" s="174"/>
    </row>
    <row r="73" spans="2:17" x14ac:dyDescent="0.25">
      <c r="B73" s="91" t="e">
        <f>VLOOKUP(D73,'Unit List'!$B$9:$E$241,4,0)</f>
        <v>#N/A</v>
      </c>
      <c r="C73" s="377" t="e">
        <f>VLOOKUP(D73,'Unit List'!$B$9:$D$241,3,0)</f>
        <v>#N/A</v>
      </c>
      <c r="D73" s="414"/>
      <c r="E73" s="376"/>
      <c r="F73" s="607"/>
      <c r="G73" s="354" t="e">
        <f>VLOOKUP(H73,Settings!$B$30:$F$36,5,0)</f>
        <v>#N/A</v>
      </c>
      <c r="H73" s="376"/>
      <c r="I73" s="82" t="e">
        <f>VLOOKUP(H73,Settings!$B$30:$C$36,2,FALSE)</f>
        <v>#N/A</v>
      </c>
      <c r="J73" s="83" t="e">
        <f>VLOOKUP(H73,Settings!$B$46:$E$52,2,FALSE)</f>
        <v>#N/A</v>
      </c>
      <c r="K73" s="83" t="e">
        <f>VLOOKUP(H73,Settings!$B$46:$E$52,3,FALSE)</f>
        <v>#N/A</v>
      </c>
      <c r="L73" s="83" t="e">
        <f>VLOOKUP(H73,Settings!$B$46:$E$52,4,FALSE)</f>
        <v>#N/A</v>
      </c>
      <c r="M73" s="60" t="e">
        <f t="shared" si="3"/>
        <v>#N/A</v>
      </c>
      <c r="N73" s="60" t="e">
        <f t="shared" si="4"/>
        <v>#N/A</v>
      </c>
      <c r="O73" s="60" t="e">
        <f t="shared" si="5"/>
        <v>#N/A</v>
      </c>
      <c r="P73" s="41" t="e">
        <f>M73+(N73*Settings!$C$24)+(O73*Settings!$D$24)</f>
        <v>#N/A</v>
      </c>
      <c r="Q73" s="174"/>
    </row>
    <row r="74" spans="2:17" x14ac:dyDescent="0.25">
      <c r="B74" s="91" t="e">
        <f>VLOOKUP(D74,'Unit List'!$B$9:$E$241,4,0)</f>
        <v>#N/A</v>
      </c>
      <c r="C74" s="377" t="e">
        <f>VLOOKUP(D74,'Unit List'!$B$9:$D$241,3,0)</f>
        <v>#N/A</v>
      </c>
      <c r="D74" s="414"/>
      <c r="E74" s="376"/>
      <c r="F74" s="607"/>
      <c r="G74" s="354" t="e">
        <f>VLOOKUP(H74,Settings!$B$30:$F$36,5,0)</f>
        <v>#N/A</v>
      </c>
      <c r="H74" s="376"/>
      <c r="I74" s="82" t="e">
        <f>VLOOKUP(H74,Settings!$B$30:$C$36,2,FALSE)</f>
        <v>#N/A</v>
      </c>
      <c r="J74" s="83" t="e">
        <f>VLOOKUP(H74,Settings!$B$46:$E$52,2,FALSE)</f>
        <v>#N/A</v>
      </c>
      <c r="K74" s="83" t="e">
        <f>VLOOKUP(H74,Settings!$B$46:$E$52,3,FALSE)</f>
        <v>#N/A</v>
      </c>
      <c r="L74" s="83" t="e">
        <f>VLOOKUP(H74,Settings!$B$46:$E$52,4,FALSE)</f>
        <v>#N/A</v>
      </c>
      <c r="M74" s="60" t="e">
        <f t="shared" si="3"/>
        <v>#N/A</v>
      </c>
      <c r="N74" s="60" t="e">
        <f t="shared" si="4"/>
        <v>#N/A</v>
      </c>
      <c r="O74" s="60" t="e">
        <f t="shared" si="5"/>
        <v>#N/A</v>
      </c>
      <c r="P74" s="41" t="e">
        <f>M74+(N74*Settings!$C$24)+(O74*Settings!$D$24)</f>
        <v>#N/A</v>
      </c>
      <c r="Q74" s="174"/>
    </row>
    <row r="75" spans="2:17" x14ac:dyDescent="0.25">
      <c r="B75" s="91" t="e">
        <f>VLOOKUP(D75,'Unit List'!$B$9:$E$241,4,0)</f>
        <v>#N/A</v>
      </c>
      <c r="C75" s="377" t="e">
        <f>VLOOKUP(D75,'Unit List'!$B$9:$D$241,3,0)</f>
        <v>#N/A</v>
      </c>
      <c r="D75" s="414"/>
      <c r="E75" s="376"/>
      <c r="F75" s="607"/>
      <c r="G75" s="354" t="e">
        <f>VLOOKUP(H75,Settings!$B$30:$F$36,5,0)</f>
        <v>#N/A</v>
      </c>
      <c r="H75" s="376"/>
      <c r="I75" s="82" t="e">
        <f>VLOOKUP(H75,Settings!$B$30:$C$36,2,FALSE)</f>
        <v>#N/A</v>
      </c>
      <c r="J75" s="83" t="e">
        <f>VLOOKUP(H75,Settings!$B$46:$E$52,2,FALSE)</f>
        <v>#N/A</v>
      </c>
      <c r="K75" s="83" t="e">
        <f>VLOOKUP(H75,Settings!$B$46:$E$52,3,FALSE)</f>
        <v>#N/A</v>
      </c>
      <c r="L75" s="83" t="e">
        <f>VLOOKUP(H75,Settings!$B$46:$E$52,4,FALSE)</f>
        <v>#N/A</v>
      </c>
      <c r="M75" s="60" t="e">
        <f t="shared" si="3"/>
        <v>#N/A</v>
      </c>
      <c r="N75" s="60" t="e">
        <f t="shared" si="4"/>
        <v>#N/A</v>
      </c>
      <c r="O75" s="60" t="e">
        <f t="shared" si="5"/>
        <v>#N/A</v>
      </c>
      <c r="P75" s="41" t="e">
        <f>M75+(N75*Settings!$C$24)+(O75*Settings!$D$24)</f>
        <v>#N/A</v>
      </c>
      <c r="Q75" s="174"/>
    </row>
    <row r="76" spans="2:17" x14ac:dyDescent="0.25">
      <c r="B76" s="91" t="e">
        <f>VLOOKUP(D76,'Unit List'!$B$9:$E$241,4,0)</f>
        <v>#N/A</v>
      </c>
      <c r="C76" s="377" t="e">
        <f>VLOOKUP(D76,'Unit List'!$B$9:$D$241,3,0)</f>
        <v>#N/A</v>
      </c>
      <c r="D76" s="414"/>
      <c r="E76" s="376"/>
      <c r="F76" s="375"/>
      <c r="G76" s="354" t="e">
        <f>VLOOKUP(H76,Settings!$B$30:$F$36,5,0)</f>
        <v>#N/A</v>
      </c>
      <c r="H76" s="376"/>
      <c r="I76" s="82" t="e">
        <f>VLOOKUP(H76,Settings!$B$30:$C$36,2,FALSE)</f>
        <v>#N/A</v>
      </c>
      <c r="J76" s="83" t="e">
        <f>VLOOKUP(H76,Settings!$B$46:$E$52,2,FALSE)</f>
        <v>#N/A</v>
      </c>
      <c r="K76" s="83" t="e">
        <f>VLOOKUP(H76,Settings!$B$46:$E$52,3,FALSE)</f>
        <v>#N/A</v>
      </c>
      <c r="L76" s="83" t="e">
        <f>VLOOKUP(H76,Settings!$B$46:$E$52,4,FALSE)</f>
        <v>#N/A</v>
      </c>
      <c r="M76" s="60" t="e">
        <f t="shared" si="3"/>
        <v>#N/A</v>
      </c>
      <c r="N76" s="60" t="e">
        <f t="shared" si="4"/>
        <v>#N/A</v>
      </c>
      <c r="O76" s="60" t="e">
        <f t="shared" si="5"/>
        <v>#N/A</v>
      </c>
      <c r="P76" s="41" t="e">
        <f>M76+(N76*Settings!$C$24)+(O76*Settings!$D$24)</f>
        <v>#N/A</v>
      </c>
      <c r="Q76" s="174"/>
    </row>
    <row r="77" spans="2:17" x14ac:dyDescent="0.25">
      <c r="B77" s="91" t="e">
        <f>VLOOKUP(D77,'Unit List'!$B$9:$E$241,4,0)</f>
        <v>#N/A</v>
      </c>
      <c r="C77" s="377" t="e">
        <f>VLOOKUP(D77,'Unit List'!$B$9:$D$241,3,0)</f>
        <v>#N/A</v>
      </c>
      <c r="D77" s="414"/>
      <c r="E77" s="376"/>
      <c r="F77" s="375"/>
      <c r="G77" s="354" t="e">
        <f>VLOOKUP(H77,Settings!$B$30:$F$36,5,0)</f>
        <v>#N/A</v>
      </c>
      <c r="H77" s="376"/>
      <c r="I77" s="82" t="e">
        <f>VLOOKUP(H77,Settings!$B$30:$C$36,2,FALSE)</f>
        <v>#N/A</v>
      </c>
      <c r="J77" s="83" t="e">
        <f>VLOOKUP(H77,Settings!$B$46:$E$52,2,FALSE)</f>
        <v>#N/A</v>
      </c>
      <c r="K77" s="83" t="e">
        <f>VLOOKUP(H77,Settings!$B$46:$E$52,3,FALSE)</f>
        <v>#N/A</v>
      </c>
      <c r="L77" s="83" t="e">
        <f>VLOOKUP(H77,Settings!$B$46:$E$52,4,FALSE)</f>
        <v>#N/A</v>
      </c>
      <c r="M77" s="60" t="e">
        <f t="shared" si="3"/>
        <v>#N/A</v>
      </c>
      <c r="N77" s="60" t="e">
        <f t="shared" si="4"/>
        <v>#N/A</v>
      </c>
      <c r="O77" s="60" t="e">
        <f t="shared" si="5"/>
        <v>#N/A</v>
      </c>
      <c r="P77" s="41" t="e">
        <f>M77+(N77*Settings!$C$24)+(O77*Settings!$D$24)</f>
        <v>#N/A</v>
      </c>
      <c r="Q77" s="174"/>
    </row>
    <row r="78" spans="2:17" x14ac:dyDescent="0.25">
      <c r="B78" s="91" t="e">
        <f>VLOOKUP(D78,'Unit List'!$B$9:$E$241,4,0)</f>
        <v>#N/A</v>
      </c>
      <c r="C78" s="377" t="e">
        <f>VLOOKUP(D78,'Unit List'!$B$9:$D$241,3,0)</f>
        <v>#N/A</v>
      </c>
      <c r="D78" s="414"/>
      <c r="E78" s="376"/>
      <c r="F78" s="375"/>
      <c r="G78" s="354" t="e">
        <f>VLOOKUP(H78,Settings!$B$30:$F$36,5,0)</f>
        <v>#N/A</v>
      </c>
      <c r="H78" s="376"/>
      <c r="I78" s="82" t="e">
        <f>VLOOKUP(H78,Settings!$B$30:$C$36,2,FALSE)</f>
        <v>#N/A</v>
      </c>
      <c r="J78" s="83" t="e">
        <f>VLOOKUP(H78,Settings!$B$46:$E$52,2,FALSE)</f>
        <v>#N/A</v>
      </c>
      <c r="K78" s="83" t="e">
        <f>VLOOKUP(H78,Settings!$B$46:$E$52,3,FALSE)</f>
        <v>#N/A</v>
      </c>
      <c r="L78" s="83" t="e">
        <f>VLOOKUP(H78,Settings!$B$46:$E$52,4,FALSE)</f>
        <v>#N/A</v>
      </c>
      <c r="M78" s="60" t="e">
        <f t="shared" si="3"/>
        <v>#N/A</v>
      </c>
      <c r="N78" s="60" t="e">
        <f t="shared" si="4"/>
        <v>#N/A</v>
      </c>
      <c r="O78" s="60" t="e">
        <f t="shared" si="5"/>
        <v>#N/A</v>
      </c>
      <c r="P78" s="41" t="e">
        <f>M78+(N78*Settings!$C$24)+(O78*Settings!$D$24)</f>
        <v>#N/A</v>
      </c>
      <c r="Q78" s="174"/>
    </row>
    <row r="79" spans="2:17" x14ac:dyDescent="0.25">
      <c r="B79" s="91" t="e">
        <f>VLOOKUP(D79,'Unit List'!$B$9:$E$241,4,0)</f>
        <v>#N/A</v>
      </c>
      <c r="C79" s="377" t="e">
        <f>VLOOKUP(D79,'Unit List'!$B$9:$D$241,3,0)</f>
        <v>#N/A</v>
      </c>
      <c r="D79" s="414"/>
      <c r="E79" s="376"/>
      <c r="F79" s="375"/>
      <c r="G79" s="354" t="e">
        <f>VLOOKUP(H79,Settings!$B$30:$F$36,5,0)</f>
        <v>#N/A</v>
      </c>
      <c r="H79" s="376"/>
      <c r="I79" s="82" t="e">
        <f>VLOOKUP(H79,Settings!$B$30:$C$36,2,FALSE)</f>
        <v>#N/A</v>
      </c>
      <c r="J79" s="83" t="e">
        <f>VLOOKUP(H79,Settings!$B$46:$E$52,2,FALSE)</f>
        <v>#N/A</v>
      </c>
      <c r="K79" s="83" t="e">
        <f>VLOOKUP(H79,Settings!$B$46:$E$52,3,FALSE)</f>
        <v>#N/A</v>
      </c>
      <c r="L79" s="83" t="e">
        <f>VLOOKUP(H79,Settings!$B$46:$E$52,4,FALSE)</f>
        <v>#N/A</v>
      </c>
      <c r="M79" s="60" t="e">
        <f t="shared" si="3"/>
        <v>#N/A</v>
      </c>
      <c r="N79" s="60" t="e">
        <f t="shared" si="4"/>
        <v>#N/A</v>
      </c>
      <c r="O79" s="60" t="e">
        <f t="shared" si="5"/>
        <v>#N/A</v>
      </c>
      <c r="P79" s="41" t="e">
        <f>M79+(N79*Settings!$C$24)+(O79*Settings!$D$24)</f>
        <v>#N/A</v>
      </c>
      <c r="Q79" s="174"/>
    </row>
    <row r="80" spans="2:17" x14ac:dyDescent="0.25">
      <c r="B80" s="91" t="e">
        <f>VLOOKUP(D80,'Unit List'!$B$9:$E$241,4,0)</f>
        <v>#N/A</v>
      </c>
      <c r="C80" s="377" t="e">
        <f>VLOOKUP(D80,'Unit List'!$B$9:$D$241,3,0)</f>
        <v>#N/A</v>
      </c>
      <c r="D80" s="414"/>
      <c r="E80" s="376"/>
      <c r="F80" s="375"/>
      <c r="G80" s="354" t="e">
        <f>VLOOKUP(H80,Settings!$B$30:$F$36,5,0)</f>
        <v>#N/A</v>
      </c>
      <c r="H80" s="376"/>
      <c r="I80" s="82" t="e">
        <f>VLOOKUP(H80,Settings!$B$30:$C$36,2,FALSE)</f>
        <v>#N/A</v>
      </c>
      <c r="J80" s="83" t="e">
        <f>VLOOKUP(H80,Settings!$B$46:$E$52,2,FALSE)</f>
        <v>#N/A</v>
      </c>
      <c r="K80" s="83" t="e">
        <f>VLOOKUP(H80,Settings!$B$46:$E$52,3,FALSE)</f>
        <v>#N/A</v>
      </c>
      <c r="L80" s="83" t="e">
        <f>VLOOKUP(H80,Settings!$B$46:$E$52,4,FALSE)</f>
        <v>#N/A</v>
      </c>
      <c r="M80" s="60" t="e">
        <f t="shared" si="3"/>
        <v>#N/A</v>
      </c>
      <c r="N80" s="60" t="e">
        <f t="shared" si="4"/>
        <v>#N/A</v>
      </c>
      <c r="O80" s="60" t="e">
        <f t="shared" si="5"/>
        <v>#N/A</v>
      </c>
      <c r="P80" s="41" t="e">
        <f>M80+(N80*Settings!$C$24)+(O80*Settings!$D$24)</f>
        <v>#N/A</v>
      </c>
      <c r="Q80" s="174"/>
    </row>
    <row r="81" spans="2:17" x14ac:dyDescent="0.25">
      <c r="B81" s="91" t="e">
        <f>VLOOKUP(D81,'Unit List'!$B$9:$E$241,4,0)</f>
        <v>#N/A</v>
      </c>
      <c r="C81" s="377" t="e">
        <f>VLOOKUP(D81,'Unit List'!$B$9:$D$241,3,0)</f>
        <v>#N/A</v>
      </c>
      <c r="D81" s="414"/>
      <c r="E81" s="376"/>
      <c r="F81" s="375"/>
      <c r="G81" s="354" t="e">
        <f>VLOOKUP(H81,Settings!$B$30:$F$36,5,0)</f>
        <v>#N/A</v>
      </c>
      <c r="H81" s="376"/>
      <c r="I81" s="82" t="e">
        <f>VLOOKUP(H81,Settings!$B$30:$C$36,2,FALSE)</f>
        <v>#N/A</v>
      </c>
      <c r="J81" s="83" t="e">
        <f>VLOOKUP(H81,Settings!$B$46:$E$52,2,FALSE)</f>
        <v>#N/A</v>
      </c>
      <c r="K81" s="83" t="e">
        <f>VLOOKUP(H81,Settings!$B$46:$E$52,3,FALSE)</f>
        <v>#N/A</v>
      </c>
      <c r="L81" s="83" t="e">
        <f>VLOOKUP(H81,Settings!$B$46:$E$52,4,FALSE)</f>
        <v>#N/A</v>
      </c>
      <c r="M81" s="60" t="e">
        <f t="shared" si="3"/>
        <v>#N/A</v>
      </c>
      <c r="N81" s="60" t="e">
        <f t="shared" si="4"/>
        <v>#N/A</v>
      </c>
      <c r="O81" s="60" t="e">
        <f t="shared" si="5"/>
        <v>#N/A</v>
      </c>
      <c r="P81" s="41" t="e">
        <f>M81+(N81*Settings!$C$24)+(O81*Settings!$D$24)</f>
        <v>#N/A</v>
      </c>
      <c r="Q81" s="174"/>
    </row>
    <row r="82" spans="2:17" x14ac:dyDescent="0.25">
      <c r="B82" s="91" t="e">
        <f>VLOOKUP(D82,'Unit List'!$B$9:$E$241,4,0)</f>
        <v>#N/A</v>
      </c>
      <c r="C82" s="377" t="e">
        <f>VLOOKUP(D82,'Unit List'!$B$9:$D$241,3,0)</f>
        <v>#N/A</v>
      </c>
      <c r="D82" s="414"/>
      <c r="E82" s="376"/>
      <c r="F82" s="375"/>
      <c r="G82" s="354" t="e">
        <f>VLOOKUP(H82,Settings!$B$30:$F$36,5,0)</f>
        <v>#N/A</v>
      </c>
      <c r="H82" s="376"/>
      <c r="I82" s="82" t="e">
        <f>VLOOKUP(H82,Settings!$B$30:$C$36,2,FALSE)</f>
        <v>#N/A</v>
      </c>
      <c r="J82" s="83" t="e">
        <f>VLOOKUP(H82,Settings!$B$46:$E$52,2,FALSE)</f>
        <v>#N/A</v>
      </c>
      <c r="K82" s="83" t="e">
        <f>VLOOKUP(H82,Settings!$B$46:$E$52,3,FALSE)</f>
        <v>#N/A</v>
      </c>
      <c r="L82" s="83" t="e">
        <f>VLOOKUP(H82,Settings!$B$46:$E$52,4,FALSE)</f>
        <v>#N/A</v>
      </c>
      <c r="M82" s="60" t="e">
        <f t="shared" si="3"/>
        <v>#N/A</v>
      </c>
      <c r="N82" s="60" t="e">
        <f t="shared" si="4"/>
        <v>#N/A</v>
      </c>
      <c r="O82" s="60" t="e">
        <f t="shared" si="5"/>
        <v>#N/A</v>
      </c>
      <c r="P82" s="41" t="e">
        <f>M82+(N82*Settings!$C$24)+(O82*Settings!$D$24)</f>
        <v>#N/A</v>
      </c>
      <c r="Q82" s="174"/>
    </row>
    <row r="83" spans="2:17" x14ac:dyDescent="0.25">
      <c r="B83" s="91" t="e">
        <f>VLOOKUP(D83,'Unit List'!$B$9:$E$241,4,0)</f>
        <v>#N/A</v>
      </c>
      <c r="C83" s="377" t="e">
        <f>VLOOKUP(D83,'Unit List'!$B$9:$D$241,3,0)</f>
        <v>#N/A</v>
      </c>
      <c r="D83" s="414"/>
      <c r="E83" s="376"/>
      <c r="F83" s="375"/>
      <c r="G83" s="354" t="e">
        <f>VLOOKUP(H83,Settings!$B$30:$F$36,5,0)</f>
        <v>#N/A</v>
      </c>
      <c r="H83" s="376"/>
      <c r="I83" s="82" t="e">
        <f>VLOOKUP(H83,Settings!$B$30:$C$36,2,FALSE)</f>
        <v>#N/A</v>
      </c>
      <c r="J83" s="83" t="e">
        <f>VLOOKUP(H83,Settings!$B$46:$E$52,2,FALSE)</f>
        <v>#N/A</v>
      </c>
      <c r="K83" s="83" t="e">
        <f>VLOOKUP(H83,Settings!$B$46:$E$52,3,FALSE)</f>
        <v>#N/A</v>
      </c>
      <c r="L83" s="83" t="e">
        <f>VLOOKUP(H83,Settings!$B$46:$E$52,4,FALSE)</f>
        <v>#N/A</v>
      </c>
      <c r="M83" s="60" t="e">
        <f t="shared" si="3"/>
        <v>#N/A</v>
      </c>
      <c r="N83" s="60" t="e">
        <f t="shared" si="4"/>
        <v>#N/A</v>
      </c>
      <c r="O83" s="60" t="e">
        <f t="shared" si="5"/>
        <v>#N/A</v>
      </c>
      <c r="P83" s="41" t="e">
        <f>M83+(N83*Settings!$C$24)+(O83*Settings!$D$24)</f>
        <v>#N/A</v>
      </c>
      <c r="Q83" s="174"/>
    </row>
    <row r="84" spans="2:17" x14ac:dyDescent="0.25">
      <c r="B84" s="91" t="e">
        <f>VLOOKUP(D84,'Unit List'!$B$9:$E$241,4,0)</f>
        <v>#N/A</v>
      </c>
      <c r="C84" s="377" t="e">
        <f>VLOOKUP(D84,'Unit List'!$B$9:$D$241,3,0)</f>
        <v>#N/A</v>
      </c>
      <c r="D84" s="414"/>
      <c r="E84" s="376"/>
      <c r="F84" s="375"/>
      <c r="G84" s="354" t="e">
        <f>VLOOKUP(H84,Settings!$B$30:$F$36,5,0)</f>
        <v>#N/A</v>
      </c>
      <c r="H84" s="376"/>
      <c r="I84" s="82" t="e">
        <f>VLOOKUP(H84,Settings!$B$30:$C$36,2,FALSE)</f>
        <v>#N/A</v>
      </c>
      <c r="J84" s="83" t="e">
        <f>VLOOKUP(H84,Settings!$B$46:$E$52,2,FALSE)</f>
        <v>#N/A</v>
      </c>
      <c r="K84" s="83" t="e">
        <f>VLOOKUP(H84,Settings!$B$46:$E$52,3,FALSE)</f>
        <v>#N/A</v>
      </c>
      <c r="L84" s="83" t="e">
        <f>VLOOKUP(H84,Settings!$B$46:$E$52,4,FALSE)</f>
        <v>#N/A</v>
      </c>
      <c r="M84" s="60" t="e">
        <f t="shared" si="3"/>
        <v>#N/A</v>
      </c>
      <c r="N84" s="60" t="e">
        <f t="shared" si="4"/>
        <v>#N/A</v>
      </c>
      <c r="O84" s="60" t="e">
        <f t="shared" si="5"/>
        <v>#N/A</v>
      </c>
      <c r="P84" s="41" t="e">
        <f>M84+(N84*Settings!$C$24)+(O84*Settings!$D$24)</f>
        <v>#N/A</v>
      </c>
      <c r="Q84" s="174"/>
    </row>
    <row r="85" spans="2:17" x14ac:dyDescent="0.25">
      <c r="B85" s="91" t="e">
        <f>VLOOKUP(D85,'Unit List'!$B$9:$E$241,4,0)</f>
        <v>#N/A</v>
      </c>
      <c r="C85" s="377" t="e">
        <f>VLOOKUP(D85,'Unit List'!$B$9:$D$241,3,0)</f>
        <v>#N/A</v>
      </c>
      <c r="D85" s="414"/>
      <c r="E85" s="376"/>
      <c r="F85" s="375"/>
      <c r="G85" s="354" t="e">
        <f>VLOOKUP(H85,Settings!$B$30:$F$36,5,0)</f>
        <v>#N/A</v>
      </c>
      <c r="H85" s="376"/>
      <c r="I85" s="82" t="e">
        <f>VLOOKUP(H85,Settings!$B$30:$C$36,2,FALSE)</f>
        <v>#N/A</v>
      </c>
      <c r="J85" s="83" t="e">
        <f>VLOOKUP(H85,Settings!$B$46:$E$52,2,FALSE)</f>
        <v>#N/A</v>
      </c>
      <c r="K85" s="83" t="e">
        <f>VLOOKUP(H85,Settings!$B$46:$E$52,3,FALSE)</f>
        <v>#N/A</v>
      </c>
      <c r="L85" s="83" t="e">
        <f>VLOOKUP(H85,Settings!$B$46:$E$52,4,FALSE)</f>
        <v>#N/A</v>
      </c>
      <c r="M85" s="60" t="e">
        <f t="shared" si="3"/>
        <v>#N/A</v>
      </c>
      <c r="N85" s="60" t="e">
        <f t="shared" si="4"/>
        <v>#N/A</v>
      </c>
      <c r="O85" s="60" t="e">
        <f t="shared" si="5"/>
        <v>#N/A</v>
      </c>
      <c r="P85" s="41" t="e">
        <f>M85+(N85*Settings!$C$24)+(O85*Settings!$D$24)</f>
        <v>#N/A</v>
      </c>
      <c r="Q85" s="174"/>
    </row>
    <row r="86" spans="2:17" x14ac:dyDescent="0.25">
      <c r="B86" s="91" t="e">
        <f>VLOOKUP(D86,'Unit List'!$B$9:$E$241,4,0)</f>
        <v>#N/A</v>
      </c>
      <c r="C86" s="377" t="e">
        <f>VLOOKUP(D86,'Unit List'!$B$9:$D$241,3,0)</f>
        <v>#N/A</v>
      </c>
      <c r="D86" s="414"/>
      <c r="E86" s="376"/>
      <c r="F86" s="375"/>
      <c r="G86" s="354" t="e">
        <f>VLOOKUP(H86,Settings!$B$30:$F$36,5,0)</f>
        <v>#N/A</v>
      </c>
      <c r="H86" s="376"/>
      <c r="I86" s="82" t="e">
        <f>VLOOKUP(H86,Settings!$B$30:$C$36,2,FALSE)</f>
        <v>#N/A</v>
      </c>
      <c r="J86" s="83" t="e">
        <f>VLOOKUP(H86,Settings!$B$46:$E$52,2,FALSE)</f>
        <v>#N/A</v>
      </c>
      <c r="K86" s="83" t="e">
        <f>VLOOKUP(H86,Settings!$B$46:$E$52,3,FALSE)</f>
        <v>#N/A</v>
      </c>
      <c r="L86" s="83" t="e">
        <f>VLOOKUP(H86,Settings!$B$46:$E$52,4,FALSE)</f>
        <v>#N/A</v>
      </c>
      <c r="M86" s="60" t="e">
        <f t="shared" si="3"/>
        <v>#N/A</v>
      </c>
      <c r="N86" s="60" t="e">
        <f t="shared" si="4"/>
        <v>#N/A</v>
      </c>
      <c r="O86" s="60" t="e">
        <f t="shared" si="5"/>
        <v>#N/A</v>
      </c>
      <c r="P86" s="41" t="e">
        <f>M86+(N86*Settings!$C$24)+(O86*Settings!$D$24)</f>
        <v>#N/A</v>
      </c>
      <c r="Q86" s="174"/>
    </row>
    <row r="87" spans="2:17" x14ac:dyDescent="0.25">
      <c r="B87" s="91" t="e">
        <f>VLOOKUP(D87,'Unit List'!$B$9:$E$241,4,0)</f>
        <v>#N/A</v>
      </c>
      <c r="C87" s="377" t="e">
        <f>VLOOKUP(D87,'Unit List'!$B$9:$D$241,3,0)</f>
        <v>#N/A</v>
      </c>
      <c r="D87" s="414"/>
      <c r="E87" s="376"/>
      <c r="F87" s="375"/>
      <c r="G87" s="354" t="e">
        <f>VLOOKUP(H87,Settings!$B$30:$F$36,5,0)</f>
        <v>#N/A</v>
      </c>
      <c r="H87" s="376"/>
      <c r="I87" s="82" t="e">
        <f>VLOOKUP(H87,Settings!$B$30:$C$36,2,FALSE)</f>
        <v>#N/A</v>
      </c>
      <c r="J87" s="83" t="e">
        <f>VLOOKUP(H87,Settings!$B$46:$E$52,2,FALSE)</f>
        <v>#N/A</v>
      </c>
      <c r="K87" s="83" t="e">
        <f>VLOOKUP(H87,Settings!$B$46:$E$52,3,FALSE)</f>
        <v>#N/A</v>
      </c>
      <c r="L87" s="83" t="e">
        <f>VLOOKUP(H87,Settings!$B$46:$E$52,4,FALSE)</f>
        <v>#N/A</v>
      </c>
      <c r="M87" s="60" t="e">
        <f t="shared" si="3"/>
        <v>#N/A</v>
      </c>
      <c r="N87" s="60" t="e">
        <f t="shared" si="4"/>
        <v>#N/A</v>
      </c>
      <c r="O87" s="60" t="e">
        <f t="shared" si="5"/>
        <v>#N/A</v>
      </c>
      <c r="P87" s="41" t="e">
        <f>M87+(N87*Settings!$C$24)+(O87*Settings!$D$24)</f>
        <v>#N/A</v>
      </c>
      <c r="Q87" s="174"/>
    </row>
    <row r="88" spans="2:17" x14ac:dyDescent="0.25">
      <c r="B88" s="91" t="e">
        <f>VLOOKUP(D88,'Unit List'!$B$9:$E$241,4,0)</f>
        <v>#N/A</v>
      </c>
      <c r="C88" s="377" t="e">
        <f>VLOOKUP(D88,'Unit List'!$B$9:$D$241,3,0)</f>
        <v>#N/A</v>
      </c>
      <c r="D88" s="414"/>
      <c r="E88" s="376"/>
      <c r="F88" s="375"/>
      <c r="G88" s="354" t="e">
        <f>VLOOKUP(H88,Settings!$B$30:$F$36,5,0)</f>
        <v>#N/A</v>
      </c>
      <c r="H88" s="376"/>
      <c r="I88" s="82" t="e">
        <f>VLOOKUP(H88,Settings!$B$30:$C$36,2,FALSE)</f>
        <v>#N/A</v>
      </c>
      <c r="J88" s="83" t="e">
        <f>VLOOKUP(H88,Settings!$B$46:$E$52,2,FALSE)</f>
        <v>#N/A</v>
      </c>
      <c r="K88" s="83" t="e">
        <f>VLOOKUP(H88,Settings!$B$46:$E$52,3,FALSE)</f>
        <v>#N/A</v>
      </c>
      <c r="L88" s="83" t="e">
        <f>VLOOKUP(H88,Settings!$B$46:$E$52,4,FALSE)</f>
        <v>#N/A</v>
      </c>
      <c r="M88" s="60" t="e">
        <f t="shared" si="3"/>
        <v>#N/A</v>
      </c>
      <c r="N88" s="60" t="e">
        <f t="shared" si="4"/>
        <v>#N/A</v>
      </c>
      <c r="O88" s="60" t="e">
        <f t="shared" si="5"/>
        <v>#N/A</v>
      </c>
      <c r="P88" s="41" t="e">
        <f>M88+(N88*Settings!$C$24)+(O88*Settings!$D$24)</f>
        <v>#N/A</v>
      </c>
      <c r="Q88" s="174"/>
    </row>
    <row r="89" spans="2:17" x14ac:dyDescent="0.25">
      <c r="B89" s="91" t="e">
        <f>VLOOKUP(D89,'Unit List'!$B$9:$E$241,4,0)</f>
        <v>#N/A</v>
      </c>
      <c r="C89" s="377" t="e">
        <f>VLOOKUP(D89,'Unit List'!$B$9:$D$241,3,0)</f>
        <v>#N/A</v>
      </c>
      <c r="D89" s="414"/>
      <c r="E89" s="376"/>
      <c r="F89" s="375"/>
      <c r="G89" s="354" t="e">
        <f>VLOOKUP(H89,Settings!$B$30:$F$36,5,0)</f>
        <v>#N/A</v>
      </c>
      <c r="H89" s="376"/>
      <c r="I89" s="82" t="e">
        <f>VLOOKUP(H89,Settings!$B$30:$C$36,2,FALSE)</f>
        <v>#N/A</v>
      </c>
      <c r="J89" s="83" t="e">
        <f>VLOOKUP(H89,Settings!$B$46:$E$52,2,FALSE)</f>
        <v>#N/A</v>
      </c>
      <c r="K89" s="83" t="e">
        <f>VLOOKUP(H89,Settings!$B$46:$E$52,3,FALSE)</f>
        <v>#N/A</v>
      </c>
      <c r="L89" s="83" t="e">
        <f>VLOOKUP(H89,Settings!$B$46:$E$52,4,FALSE)</f>
        <v>#N/A</v>
      </c>
      <c r="M89" s="60" t="e">
        <f t="shared" si="3"/>
        <v>#N/A</v>
      </c>
      <c r="N89" s="60" t="e">
        <f t="shared" si="4"/>
        <v>#N/A</v>
      </c>
      <c r="O89" s="60" t="e">
        <f t="shared" si="5"/>
        <v>#N/A</v>
      </c>
      <c r="P89" s="41" t="e">
        <f>M89+(N89*Settings!$C$24)+(O89*Settings!$D$24)</f>
        <v>#N/A</v>
      </c>
      <c r="Q89" s="174"/>
    </row>
    <row r="90" spans="2:17" x14ac:dyDescent="0.25">
      <c r="B90" s="91" t="e">
        <f>VLOOKUP(D90,'Unit List'!$B$9:$E$241,4,0)</f>
        <v>#N/A</v>
      </c>
      <c r="C90" s="377" t="e">
        <f>VLOOKUP(D90,'Unit List'!$B$9:$D$241,3,0)</f>
        <v>#N/A</v>
      </c>
      <c r="D90" s="414"/>
      <c r="E90" s="376"/>
      <c r="F90" s="375"/>
      <c r="G90" s="354" t="e">
        <f>VLOOKUP(H90,Settings!$B$30:$F$36,5,0)</f>
        <v>#N/A</v>
      </c>
      <c r="H90" s="376"/>
      <c r="I90" s="82" t="e">
        <f>VLOOKUP(H90,Settings!$B$30:$C$36,2,FALSE)</f>
        <v>#N/A</v>
      </c>
      <c r="J90" s="83" t="e">
        <f>VLOOKUP(H90,Settings!$B$46:$E$52,2,FALSE)</f>
        <v>#N/A</v>
      </c>
      <c r="K90" s="83" t="e">
        <f>VLOOKUP(H90,Settings!$B$46:$E$52,3,FALSE)</f>
        <v>#N/A</v>
      </c>
      <c r="L90" s="83" t="e">
        <f>VLOOKUP(H90,Settings!$B$46:$E$52,4,FALSE)</f>
        <v>#N/A</v>
      </c>
      <c r="M90" s="60" t="e">
        <f t="shared" si="3"/>
        <v>#N/A</v>
      </c>
      <c r="N90" s="60" t="e">
        <f t="shared" si="4"/>
        <v>#N/A</v>
      </c>
      <c r="O90" s="60" t="e">
        <f t="shared" si="5"/>
        <v>#N/A</v>
      </c>
      <c r="P90" s="41" t="e">
        <f>M90+(N90*Settings!$C$24)+(O90*Settings!$D$24)</f>
        <v>#N/A</v>
      </c>
      <c r="Q90" s="174"/>
    </row>
    <row r="91" spans="2:17" x14ac:dyDescent="0.25">
      <c r="B91" s="91" t="e">
        <f>VLOOKUP(D91,'Unit List'!$B$9:$E$241,4,0)</f>
        <v>#N/A</v>
      </c>
      <c r="C91" s="377" t="e">
        <f>VLOOKUP(D91,'Unit List'!$B$9:$D$241,3,0)</f>
        <v>#N/A</v>
      </c>
      <c r="D91" s="414"/>
      <c r="E91" s="376"/>
      <c r="F91" s="375"/>
      <c r="G91" s="354" t="e">
        <f>VLOOKUP(H91,Settings!$B$30:$F$36,5,0)</f>
        <v>#N/A</v>
      </c>
      <c r="H91" s="376"/>
      <c r="I91" s="82" t="e">
        <f>VLOOKUP(H91,Settings!$B$30:$C$36,2,FALSE)</f>
        <v>#N/A</v>
      </c>
      <c r="J91" s="83" t="e">
        <f>VLOOKUP(H91,Settings!$B$46:$E$52,2,FALSE)</f>
        <v>#N/A</v>
      </c>
      <c r="K91" s="83" t="e">
        <f>VLOOKUP(H91,Settings!$B$46:$E$52,3,FALSE)</f>
        <v>#N/A</v>
      </c>
      <c r="L91" s="83" t="e">
        <f>VLOOKUP(H91,Settings!$B$46:$E$52,4,FALSE)</f>
        <v>#N/A</v>
      </c>
      <c r="M91" s="60" t="e">
        <f t="shared" si="3"/>
        <v>#N/A</v>
      </c>
      <c r="N91" s="60" t="e">
        <f t="shared" si="4"/>
        <v>#N/A</v>
      </c>
      <c r="O91" s="60" t="e">
        <f t="shared" si="5"/>
        <v>#N/A</v>
      </c>
      <c r="P91" s="41" t="e">
        <f>M91+(N91*Settings!$C$24)+(O91*Settings!$D$24)</f>
        <v>#N/A</v>
      </c>
      <c r="Q91" s="174"/>
    </row>
    <row r="92" spans="2:17" x14ac:dyDescent="0.25">
      <c r="B92" s="91" t="e">
        <f>VLOOKUP(D92,'Unit List'!$B$9:$E$241,4,0)</f>
        <v>#N/A</v>
      </c>
      <c r="C92" s="377" t="e">
        <f>VLOOKUP(D92,'Unit List'!$B$9:$D$241,3,0)</f>
        <v>#N/A</v>
      </c>
      <c r="D92" s="414"/>
      <c r="E92" s="376"/>
      <c r="F92" s="375"/>
      <c r="G92" s="354" t="e">
        <f>VLOOKUP(H92,Settings!$B$30:$F$36,5,0)</f>
        <v>#N/A</v>
      </c>
      <c r="H92" s="376"/>
      <c r="I92" s="82" t="e">
        <f>VLOOKUP(H92,Settings!$B$30:$C$36,2,FALSE)</f>
        <v>#N/A</v>
      </c>
      <c r="J92" s="83" t="e">
        <f>VLOOKUP(H92,Settings!$B$46:$E$52,2,FALSE)</f>
        <v>#N/A</v>
      </c>
      <c r="K92" s="83" t="e">
        <f>VLOOKUP(H92,Settings!$B$46:$E$52,3,FALSE)</f>
        <v>#N/A</v>
      </c>
      <c r="L92" s="83" t="e">
        <f>VLOOKUP(H92,Settings!$B$46:$E$52,4,FALSE)</f>
        <v>#N/A</v>
      </c>
      <c r="M92" s="60" t="e">
        <f t="shared" si="3"/>
        <v>#N/A</v>
      </c>
      <c r="N92" s="60" t="e">
        <f t="shared" si="4"/>
        <v>#N/A</v>
      </c>
      <c r="O92" s="60" t="e">
        <f t="shared" si="5"/>
        <v>#N/A</v>
      </c>
      <c r="P92" s="41" t="e">
        <f>M92+(N92*Settings!$C$24)+(O92*Settings!$D$24)</f>
        <v>#N/A</v>
      </c>
      <c r="Q92" s="174"/>
    </row>
    <row r="93" spans="2:17" x14ac:dyDescent="0.25">
      <c r="B93" s="91" t="e">
        <f>VLOOKUP(D93,'Unit List'!$B$9:$E$241,4,0)</f>
        <v>#N/A</v>
      </c>
      <c r="C93" s="377" t="e">
        <f>VLOOKUP(D93,'Unit List'!$B$9:$D$241,3,0)</f>
        <v>#N/A</v>
      </c>
      <c r="D93" s="414"/>
      <c r="E93" s="376"/>
      <c r="F93" s="375"/>
      <c r="G93" s="354" t="e">
        <f>VLOOKUP(H93,Settings!$B$30:$F$36,5,0)</f>
        <v>#N/A</v>
      </c>
      <c r="H93" s="376"/>
      <c r="I93" s="82" t="e">
        <f>VLOOKUP(H93,Settings!$B$30:$C$36,2,FALSE)</f>
        <v>#N/A</v>
      </c>
      <c r="J93" s="83" t="e">
        <f>VLOOKUP(H93,Settings!$B$46:$E$52,2,FALSE)</f>
        <v>#N/A</v>
      </c>
      <c r="K93" s="83" t="e">
        <f>VLOOKUP(H93,Settings!$B$46:$E$52,3,FALSE)</f>
        <v>#N/A</v>
      </c>
      <c r="L93" s="83" t="e">
        <f>VLOOKUP(H93,Settings!$B$46:$E$52,4,FALSE)</f>
        <v>#N/A</v>
      </c>
      <c r="M93" s="60" t="e">
        <f t="shared" si="3"/>
        <v>#N/A</v>
      </c>
      <c r="N93" s="60" t="e">
        <f t="shared" si="4"/>
        <v>#N/A</v>
      </c>
      <c r="O93" s="60" t="e">
        <f t="shared" si="5"/>
        <v>#N/A</v>
      </c>
      <c r="P93" s="41" t="e">
        <f>M93+(N93*Settings!$C$24)+(O93*Settings!$D$24)</f>
        <v>#N/A</v>
      </c>
      <c r="Q93" s="174"/>
    </row>
    <row r="94" spans="2:17" x14ac:dyDescent="0.25">
      <c r="B94" s="91" t="e">
        <f>VLOOKUP(D94,'Unit List'!$B$9:$E$241,4,0)</f>
        <v>#N/A</v>
      </c>
      <c r="C94" s="377" t="e">
        <f>VLOOKUP(D94,'Unit List'!$B$9:$D$241,3,0)</f>
        <v>#N/A</v>
      </c>
      <c r="D94" s="414"/>
      <c r="E94" s="376"/>
      <c r="F94" s="375"/>
      <c r="G94" s="354" t="e">
        <f>VLOOKUP(H94,Settings!$B$30:$F$36,5,0)</f>
        <v>#N/A</v>
      </c>
      <c r="H94" s="376"/>
      <c r="I94" s="82" t="e">
        <f>VLOOKUP(H94,Settings!$B$30:$C$36,2,FALSE)</f>
        <v>#N/A</v>
      </c>
      <c r="J94" s="83" t="e">
        <f>VLOOKUP(H94,Settings!$B$46:$E$52,2,FALSE)</f>
        <v>#N/A</v>
      </c>
      <c r="K94" s="83" t="e">
        <f>VLOOKUP(H94,Settings!$B$46:$E$52,3,FALSE)</f>
        <v>#N/A</v>
      </c>
      <c r="L94" s="83" t="e">
        <f>VLOOKUP(H94,Settings!$B$46:$E$52,4,FALSE)</f>
        <v>#N/A</v>
      </c>
      <c r="M94" s="60" t="e">
        <f t="shared" si="3"/>
        <v>#N/A</v>
      </c>
      <c r="N94" s="60" t="e">
        <f t="shared" si="4"/>
        <v>#N/A</v>
      </c>
      <c r="O94" s="60" t="e">
        <f t="shared" si="5"/>
        <v>#N/A</v>
      </c>
      <c r="P94" s="41" t="e">
        <f>M94+(N94*Settings!$C$24)+(O94*Settings!$D$24)</f>
        <v>#N/A</v>
      </c>
      <c r="Q94" s="174"/>
    </row>
    <row r="95" spans="2:17" x14ac:dyDescent="0.25">
      <c r="B95" s="91" t="e">
        <f>VLOOKUP(D95,'Unit List'!$B$9:$E$241,4,0)</f>
        <v>#N/A</v>
      </c>
      <c r="C95" s="377" t="e">
        <f>VLOOKUP(D95,'Unit List'!$B$9:$D$241,3,0)</f>
        <v>#N/A</v>
      </c>
      <c r="D95" s="414"/>
      <c r="E95" s="376"/>
      <c r="F95" s="375"/>
      <c r="G95" s="354" t="e">
        <f>VLOOKUP(H95,Settings!$B$30:$F$36,5,0)</f>
        <v>#N/A</v>
      </c>
      <c r="H95" s="376"/>
      <c r="I95" s="82" t="e">
        <f>VLOOKUP(H95,Settings!$B$30:$C$36,2,FALSE)</f>
        <v>#N/A</v>
      </c>
      <c r="J95" s="83" t="e">
        <f>VLOOKUP(H95,Settings!$B$46:$E$52,2,FALSE)</f>
        <v>#N/A</v>
      </c>
      <c r="K95" s="83" t="e">
        <f>VLOOKUP(H95,Settings!$B$46:$E$52,3,FALSE)</f>
        <v>#N/A</v>
      </c>
      <c r="L95" s="83" t="e">
        <f>VLOOKUP(H95,Settings!$B$46:$E$52,4,FALSE)</f>
        <v>#N/A</v>
      </c>
      <c r="M95" s="60" t="e">
        <f t="shared" si="3"/>
        <v>#N/A</v>
      </c>
      <c r="N95" s="60" t="e">
        <f t="shared" si="4"/>
        <v>#N/A</v>
      </c>
      <c r="O95" s="60" t="e">
        <f t="shared" si="5"/>
        <v>#N/A</v>
      </c>
      <c r="P95" s="41" t="e">
        <f>M95+(N95*Settings!$C$24)+(O95*Settings!$D$24)</f>
        <v>#N/A</v>
      </c>
      <c r="Q95" s="174"/>
    </row>
    <row r="96" spans="2:17" ht="31.2" customHeight="1" x14ac:dyDescent="0.25">
      <c r="B96" s="601" t="s">
        <v>410</v>
      </c>
      <c r="C96" s="378"/>
      <c r="D96" s="378"/>
      <c r="E96" s="355"/>
      <c r="F96" s="135"/>
      <c r="G96" s="135"/>
      <c r="H96" s="135"/>
      <c r="I96" s="379"/>
      <c r="J96" s="379"/>
      <c r="K96" s="379"/>
      <c r="L96" s="379"/>
      <c r="M96" s="135">
        <f>_xlfn.AGGREGATE(9,6,M11:M95)</f>
        <v>1295472.5081</v>
      </c>
      <c r="N96" s="380">
        <f>_xlfn.AGGREGATE(9,6,N11:N95)</f>
        <v>23.285476232000001</v>
      </c>
      <c r="O96" s="380">
        <f>_xlfn.AGGREGATE(9,6,O11:O95)</f>
        <v>2.3654831383999992</v>
      </c>
      <c r="P96" s="135">
        <f>_xlfn.AGGREGATE(9,6,P11:P95)</f>
        <v>1296746.9928550471</v>
      </c>
      <c r="Q96" s="135"/>
    </row>
    <row r="100" spans="10:16" ht="30" customHeight="1" x14ac:dyDescent="0.25">
      <c r="J100" s="618" t="s">
        <v>862</v>
      </c>
      <c r="K100" s="619"/>
      <c r="L100" s="619"/>
      <c r="M100" s="618"/>
      <c r="N100" s="614"/>
      <c r="O100" s="614"/>
      <c r="P100" s="615"/>
    </row>
    <row r="101" spans="10:16" x14ac:dyDescent="0.25">
      <c r="J101" s="1007" t="s">
        <v>329</v>
      </c>
      <c r="K101" s="1009" t="s">
        <v>335</v>
      </c>
      <c r="L101" s="1010"/>
      <c r="M101" s="620" t="s">
        <v>406</v>
      </c>
      <c r="N101" s="621"/>
      <c r="O101" s="621"/>
      <c r="P101" s="620"/>
    </row>
    <row r="102" spans="10:16" ht="16.2" customHeight="1" x14ac:dyDescent="0.25">
      <c r="J102" s="1008"/>
      <c r="K102" s="1011"/>
      <c r="L102" s="1012"/>
      <c r="M102" s="601" t="s">
        <v>219</v>
      </c>
      <c r="N102" s="601" t="s">
        <v>220</v>
      </c>
      <c r="O102" s="601" t="s">
        <v>221</v>
      </c>
      <c r="P102" s="355" t="s">
        <v>222</v>
      </c>
    </row>
    <row r="103" spans="10:16" x14ac:dyDescent="0.25">
      <c r="J103" s="598" t="s">
        <v>276</v>
      </c>
      <c r="K103" s="1003" t="s">
        <v>337</v>
      </c>
      <c r="L103" s="1004"/>
      <c r="M103" s="623">
        <f t="shared" ref="M103:M110" si="6">SUMIF($B$11:$B$95,K103,$M$11:$M$95)</f>
        <v>126420.89567249999</v>
      </c>
      <c r="N103" s="624">
        <f t="shared" ref="N103:N110" si="7">SUMIF($B$11:$B$95,K103,$N$11:$N$95)</f>
        <v>2.2524974593999998</v>
      </c>
      <c r="O103" s="624">
        <f t="shared" ref="O103:O110" si="8">SUMIF(B11:B95,K103,O11:O95)</f>
        <v>0.22525241938000001</v>
      </c>
      <c r="P103" s="65">
        <f t="shared" ref="P103:P110" si="9">SUMIF($B$11:$B$95,K103,$P$11:$P$95)</f>
        <v>126543.20701439452</v>
      </c>
    </row>
    <row r="104" spans="10:16" x14ac:dyDescent="0.25">
      <c r="J104" s="598" t="s">
        <v>1759</v>
      </c>
      <c r="K104" s="1003" t="s">
        <v>338</v>
      </c>
      <c r="L104" s="1004"/>
      <c r="M104" s="623">
        <f t="shared" si="6"/>
        <v>34851.214749000006</v>
      </c>
      <c r="N104" s="624">
        <f t="shared" si="7"/>
        <v>0.61872454760000006</v>
      </c>
      <c r="O104" s="624">
        <f t="shared" si="8"/>
        <v>6.1879200520000011E-2</v>
      </c>
      <c r="P104" s="65">
        <f t="shared" si="9"/>
        <v>34884.813333527163</v>
      </c>
    </row>
    <row r="105" spans="10:16" x14ac:dyDescent="0.25">
      <c r="J105" s="598" t="s">
        <v>1760</v>
      </c>
      <c r="K105" s="1003" t="s">
        <v>339</v>
      </c>
      <c r="L105" s="1004"/>
      <c r="M105" s="623">
        <f t="shared" si="6"/>
        <v>175384.08551399998</v>
      </c>
      <c r="N105" s="624">
        <f t="shared" si="7"/>
        <v>3.1251120327999997</v>
      </c>
      <c r="O105" s="624">
        <f t="shared" si="8"/>
        <v>0.31251433255999989</v>
      </c>
      <c r="P105" s="65">
        <f t="shared" si="9"/>
        <v>175553.77995167449</v>
      </c>
    </row>
    <row r="106" spans="10:16" x14ac:dyDescent="0.25">
      <c r="J106" s="598" t="s">
        <v>1761</v>
      </c>
      <c r="K106" s="1003" t="s">
        <v>340</v>
      </c>
      <c r="L106" s="1004"/>
      <c r="M106" s="623">
        <f t="shared" si="6"/>
        <v>27783.998631000002</v>
      </c>
      <c r="N106" s="624">
        <f t="shared" si="7"/>
        <v>0.4891918044000001</v>
      </c>
      <c r="O106" s="624">
        <f t="shared" si="8"/>
        <v>4.8935489880000002E-2</v>
      </c>
      <c r="P106" s="65">
        <f t="shared" si="9"/>
        <v>27810.566198456043</v>
      </c>
    </row>
    <row r="107" spans="10:16" x14ac:dyDescent="0.25">
      <c r="J107" s="598" t="s">
        <v>1762</v>
      </c>
      <c r="K107" s="1003" t="s">
        <v>341</v>
      </c>
      <c r="L107" s="1004"/>
      <c r="M107" s="623">
        <f t="shared" si="6"/>
        <v>827049.63175199996</v>
      </c>
      <c r="N107" s="624">
        <f t="shared" si="7"/>
        <v>14.948704972799998</v>
      </c>
      <c r="O107" s="624">
        <f t="shared" si="8"/>
        <v>1.5317711625599999</v>
      </c>
      <c r="P107" s="65">
        <f t="shared" si="9"/>
        <v>827871.42031364446</v>
      </c>
    </row>
    <row r="108" spans="10:16" x14ac:dyDescent="0.25">
      <c r="J108" s="598" t="s">
        <v>1763</v>
      </c>
      <c r="K108" s="1003" t="s">
        <v>342</v>
      </c>
      <c r="L108" s="1004"/>
      <c r="M108" s="623">
        <f t="shared" si="6"/>
        <v>2.3760000000000003</v>
      </c>
      <c r="N108" s="624">
        <f t="shared" si="7"/>
        <v>1.1088000000000001E-6</v>
      </c>
      <c r="O108" s="624">
        <f t="shared" si="8"/>
        <v>2.2176000000000002E-7</v>
      </c>
      <c r="P108" s="65">
        <f t="shared" si="9"/>
        <v>2.3760904780800001</v>
      </c>
    </row>
    <row r="109" spans="10:16" x14ac:dyDescent="0.25">
      <c r="J109" s="598" t="s">
        <v>1764</v>
      </c>
      <c r="K109" s="1003" t="s">
        <v>343</v>
      </c>
      <c r="L109" s="1004"/>
      <c r="M109" s="623">
        <f t="shared" si="6"/>
        <v>13894.643803499999</v>
      </c>
      <c r="N109" s="624">
        <f t="shared" si="7"/>
        <v>0.24738218540000001</v>
      </c>
      <c r="O109" s="624">
        <f t="shared" si="8"/>
        <v>2.473899358E-2</v>
      </c>
      <c r="P109" s="65">
        <f t="shared" si="9"/>
        <v>13908.076867753138</v>
      </c>
    </row>
    <row r="110" spans="10:16" x14ac:dyDescent="0.25">
      <c r="J110" s="598" t="s">
        <v>1765</v>
      </c>
      <c r="K110" s="1003" t="s">
        <v>510</v>
      </c>
      <c r="L110" s="1004"/>
      <c r="M110" s="623">
        <f t="shared" si="6"/>
        <v>90085.661977999989</v>
      </c>
      <c r="N110" s="624">
        <f t="shared" si="7"/>
        <v>1.6038621207999999</v>
      </c>
      <c r="O110" s="624">
        <f t="shared" si="8"/>
        <v>0.16039131015999999</v>
      </c>
      <c r="P110" s="65">
        <f t="shared" si="9"/>
        <v>90172.753085119271</v>
      </c>
    </row>
    <row r="111" spans="10:16" ht="30" customHeight="1" x14ac:dyDescent="0.25">
      <c r="J111" s="602" t="s">
        <v>410</v>
      </c>
      <c r="K111" s="1005"/>
      <c r="L111" s="1006"/>
      <c r="M111" s="66">
        <f t="shared" ref="M111:O111" si="10">_xlfn.AGGREGATE(9,6,M103:M110)</f>
        <v>1295472.5081</v>
      </c>
      <c r="N111" s="66">
        <f t="shared" si="10"/>
        <v>23.285476231999997</v>
      </c>
      <c r="O111" s="66">
        <f t="shared" si="10"/>
        <v>2.3654831304000004</v>
      </c>
      <c r="P111" s="66">
        <f>_xlfn.AGGREGATE(9,6,P103:P110)</f>
        <v>1296746.9928550471</v>
      </c>
    </row>
  </sheetData>
  <protectedRanges>
    <protectedRange sqref="Q11:Q95" name="Range4"/>
    <protectedRange sqref="H11:H95" name="Range3"/>
    <protectedRange sqref="F11:F95" name="Range2"/>
    <protectedRange sqref="D28:E95" name="Range1"/>
  </protectedRanges>
  <mergeCells count="22">
    <mergeCell ref="H8:H10"/>
    <mergeCell ref="B8:B10"/>
    <mergeCell ref="G8:G10"/>
    <mergeCell ref="F8:F10"/>
    <mergeCell ref="C8:C10"/>
    <mergeCell ref="E8:E10"/>
    <mergeCell ref="D8:D10"/>
    <mergeCell ref="J101:J102"/>
    <mergeCell ref="K101:L102"/>
    <mergeCell ref="I8:I9"/>
    <mergeCell ref="J8:L8"/>
    <mergeCell ref="Q8:Q10"/>
    <mergeCell ref="M8:P8"/>
    <mergeCell ref="K108:L108"/>
    <mergeCell ref="K109:L109"/>
    <mergeCell ref="K110:L110"/>
    <mergeCell ref="K111:L111"/>
    <mergeCell ref="K103:L103"/>
    <mergeCell ref="K104:L104"/>
    <mergeCell ref="K105:L105"/>
    <mergeCell ref="K106:L106"/>
    <mergeCell ref="K107:L107"/>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3140F565-CC6D-4070-AD1D-C62E050DE7FD}">
          <x14:formula1>
            <xm:f>Settings!$B$30:$B$36</xm:f>
          </x14:formula1>
          <xm:sqref>H11:H95</xm:sqref>
        </x14:dataValidation>
        <x14:dataValidation type="list" allowBlank="1" showInputMessage="1" showErrorMessage="1" xr:uid="{606A3EC4-0F9C-4EE2-94AC-9EB744B12457}">
          <x14:formula1>
            <xm:f>Settings!$B$341:$B$348</xm:f>
          </x14:formula1>
          <xm:sqref>K103:K110 B11:B27</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A1D59-1A22-4F89-AE16-BDC9F701D521}">
  <dimension ref="B4:Q80"/>
  <sheetViews>
    <sheetView rightToLeft="1" zoomScale="70" zoomScaleNormal="70" workbookViewId="0">
      <selection activeCell="I29" sqref="I29"/>
    </sheetView>
  </sheetViews>
  <sheetFormatPr defaultColWidth="9.09765625" defaultRowHeight="16.2" x14ac:dyDescent="0.25"/>
  <cols>
    <col min="1" max="1" width="12.09765625" style="3" customWidth="1"/>
    <col min="2" max="2" width="17.796875" style="3" customWidth="1"/>
    <col min="3" max="3" width="21.796875" style="3" customWidth="1"/>
    <col min="4" max="4" width="12.69921875" style="3" customWidth="1"/>
    <col min="5" max="5" width="41.59765625" style="3" customWidth="1"/>
    <col min="6" max="6" width="11.59765625" style="3" customWidth="1"/>
    <col min="7" max="7" width="9.19921875" style="3" customWidth="1"/>
    <col min="8" max="8" width="15.296875" style="3" customWidth="1"/>
    <col min="9" max="9" width="18.59765625" style="3" bestFit="1" customWidth="1"/>
    <col min="10" max="11" width="14.796875" style="3" customWidth="1"/>
    <col min="12" max="12" width="14.69921875" style="3" customWidth="1"/>
    <col min="13" max="13" width="17.09765625" style="3" customWidth="1"/>
    <col min="14" max="14" width="19.19921875" style="3" customWidth="1"/>
    <col min="15" max="16384" width="9.09765625" style="3"/>
  </cols>
  <sheetData>
    <row r="4" spans="2:17" ht="16.2" customHeight="1" x14ac:dyDescent="0.25">
      <c r="B4" s="9"/>
      <c r="C4" s="9"/>
      <c r="D4" s="9"/>
      <c r="E4" s="9"/>
      <c r="F4" s="9"/>
      <c r="G4" s="9"/>
    </row>
    <row r="5" spans="2:17" ht="16.2" customHeight="1" x14ac:dyDescent="0.25">
      <c r="B5" s="9"/>
      <c r="C5" s="9"/>
      <c r="D5" s="9"/>
      <c r="E5" s="9"/>
      <c r="F5" s="9"/>
      <c r="G5" s="9"/>
    </row>
    <row r="6" spans="2:17" ht="16.2" customHeight="1" x14ac:dyDescent="0.25"/>
    <row r="7" spans="2:17" s="279" customFormat="1" ht="30" customHeight="1" x14ac:dyDescent="0.25">
      <c r="B7" s="616" t="s">
        <v>48</v>
      </c>
      <c r="C7" s="614"/>
      <c r="D7" s="614"/>
      <c r="E7" s="614"/>
      <c r="F7" s="614"/>
      <c r="G7" s="614"/>
      <c r="H7" s="614"/>
      <c r="I7" s="614"/>
      <c r="J7" s="614"/>
      <c r="K7" s="614"/>
      <c r="L7" s="614"/>
      <c r="M7" s="614"/>
      <c r="N7" s="615"/>
    </row>
    <row r="8" spans="2:17" ht="17.25" customHeight="1" x14ac:dyDescent="0.25">
      <c r="B8" s="976" t="s">
        <v>335</v>
      </c>
      <c r="C8" s="1015" t="s">
        <v>411</v>
      </c>
      <c r="D8" s="1014" t="s">
        <v>398</v>
      </c>
      <c r="E8" s="1015" t="s">
        <v>396</v>
      </c>
      <c r="F8" s="1015" t="s">
        <v>407</v>
      </c>
      <c r="G8" s="1015" t="s">
        <v>272</v>
      </c>
      <c r="H8" s="374" t="s">
        <v>408</v>
      </c>
      <c r="I8" s="374" t="s">
        <v>405</v>
      </c>
      <c r="J8" s="374" t="s">
        <v>409</v>
      </c>
      <c r="K8" s="374" t="s">
        <v>405</v>
      </c>
      <c r="L8" s="1013" t="s">
        <v>406</v>
      </c>
      <c r="M8" s="1013"/>
      <c r="N8" s="1014" t="s">
        <v>853</v>
      </c>
    </row>
    <row r="9" spans="2:17" ht="17.25" customHeight="1" x14ac:dyDescent="0.25">
      <c r="B9" s="976"/>
      <c r="C9" s="1016"/>
      <c r="D9" s="1008"/>
      <c r="E9" s="1016"/>
      <c r="F9" s="1016"/>
      <c r="G9" s="1016"/>
      <c r="H9" s="374" t="s">
        <v>7</v>
      </c>
      <c r="I9" s="374" t="s">
        <v>8</v>
      </c>
      <c r="J9" s="382" t="s">
        <v>323</v>
      </c>
      <c r="K9" s="382" t="s">
        <v>324</v>
      </c>
      <c r="L9" s="382" t="s">
        <v>7</v>
      </c>
      <c r="M9" s="355" t="s">
        <v>222</v>
      </c>
      <c r="N9" s="1008"/>
    </row>
    <row r="10" spans="2:17" x14ac:dyDescent="0.25">
      <c r="B10" s="407" t="str">
        <f>VLOOKUP(D10,'Unit List'!$B$9:$E$241,4,0)</f>
        <v>Iron Making</v>
      </c>
      <c r="C10" s="407" t="str">
        <f>VLOOKUP(D10,'Unit List'!$B$8:$E$241,3,0)</f>
        <v>Lime Making</v>
      </c>
      <c r="D10" s="414">
        <v>1120</v>
      </c>
      <c r="E10" s="354" t="s">
        <v>514</v>
      </c>
      <c r="F10" s="376" t="s">
        <v>273</v>
      </c>
      <c r="G10" s="84">
        <f>HLOOKUP(F10,Settings!$B$23:$G$24,2,0)</f>
        <v>1</v>
      </c>
      <c r="H10" s="76">
        <v>263251</v>
      </c>
      <c r="I10" s="383">
        <v>0.75700000000000001</v>
      </c>
      <c r="J10" s="384"/>
      <c r="K10" s="384"/>
      <c r="L10" s="18">
        <f>H10*I10</f>
        <v>199281.00700000001</v>
      </c>
      <c r="M10" s="19">
        <f>L10*G10</f>
        <v>199281.00700000001</v>
      </c>
      <c r="N10" s="385" t="s">
        <v>718</v>
      </c>
      <c r="O10" s="10"/>
      <c r="P10" s="10"/>
      <c r="Q10" s="10"/>
    </row>
    <row r="11" spans="2:17" x14ac:dyDescent="0.25">
      <c r="B11" s="407" t="str">
        <f>VLOOKUP(D11,'Unit List'!$B$9:$E$241,4,0)</f>
        <v>Steel Making</v>
      </c>
      <c r="C11" s="407" t="str">
        <f>VLOOKUP(D11,'Unit List'!$B$8:$E$241,3,0)</f>
        <v>EAFs</v>
      </c>
      <c r="D11" s="414">
        <v>2210</v>
      </c>
      <c r="E11" s="354" t="s">
        <v>515</v>
      </c>
      <c r="F11" s="376" t="s">
        <v>273</v>
      </c>
      <c r="G11" s="613">
        <f>HLOOKUP(F11,Settings!$B$23:$G$24,2,0)</f>
        <v>1</v>
      </c>
      <c r="H11" s="133">
        <v>7742718</v>
      </c>
      <c r="I11" s="383">
        <v>5.5227879377328037E-2</v>
      </c>
      <c r="J11" s="384"/>
      <c r="K11" s="384"/>
      <c r="L11" s="18">
        <f t="shared" ref="L11:L12" si="0">H11*I11</f>
        <v>427613.89575666661</v>
      </c>
      <c r="M11" s="19">
        <f t="shared" ref="M11:M16" si="1">L11*G11</f>
        <v>427613.89575666661</v>
      </c>
      <c r="N11" s="385" t="s">
        <v>718</v>
      </c>
      <c r="O11" s="10"/>
      <c r="P11" s="10"/>
      <c r="Q11" s="10"/>
    </row>
    <row r="12" spans="2:17" x14ac:dyDescent="0.25">
      <c r="B12" s="407" t="str">
        <f>VLOOKUP(D12,'Unit List'!$B$9:$E$241,4,0)</f>
        <v>Iron Making</v>
      </c>
      <c r="C12" s="407" t="str">
        <f>VLOOKUP(D12,'Unit List'!$B$8:$E$241,3,0)</f>
        <v>Dolomite Making</v>
      </c>
      <c r="D12" s="414">
        <v>1140</v>
      </c>
      <c r="E12" s="354" t="s">
        <v>704</v>
      </c>
      <c r="F12" s="376" t="s">
        <v>273</v>
      </c>
      <c r="G12" s="647">
        <f>HLOOKUP(F12,Settings!$B$23:$G$24,2,0)</f>
        <v>1</v>
      </c>
      <c r="H12" s="172">
        <v>229204</v>
      </c>
      <c r="I12" s="376">
        <v>0.47732000000000002</v>
      </c>
      <c r="J12" s="662"/>
      <c r="K12" s="384"/>
      <c r="L12" s="18">
        <f t="shared" si="0"/>
        <v>109403.65328</v>
      </c>
      <c r="M12" s="19">
        <f t="shared" si="1"/>
        <v>109403.65328</v>
      </c>
      <c r="N12" s="385" t="s">
        <v>718</v>
      </c>
      <c r="O12" s="10"/>
      <c r="P12" s="10"/>
      <c r="Q12" s="10"/>
    </row>
    <row r="13" spans="2:17" x14ac:dyDescent="0.25">
      <c r="B13" s="407" t="str">
        <f>VLOOKUP(D13,'Unit List'!$B$9:$E$241,4,0)</f>
        <v>Iron Making</v>
      </c>
      <c r="C13" s="407" t="str">
        <f>VLOOKUP(D13,'Unit List'!$B$8:$E$241,3,0)</f>
        <v>Direct Reduction</v>
      </c>
      <c r="D13" s="414">
        <v>1310</v>
      </c>
      <c r="E13" s="354" t="s">
        <v>516</v>
      </c>
      <c r="F13" s="376" t="s">
        <v>273</v>
      </c>
      <c r="G13" s="613">
        <f>HLOOKUP(F13,Settings!$B$23:$G$24,2,0)</f>
        <v>1</v>
      </c>
      <c r="H13" s="384"/>
      <c r="I13" s="384"/>
      <c r="J13" s="386">
        <v>1203870.004</v>
      </c>
      <c r="K13" s="376">
        <v>2.0099999999999998</v>
      </c>
      <c r="L13" s="18">
        <f>J13*K13</f>
        <v>2419778.7080399995</v>
      </c>
      <c r="M13" s="19">
        <f t="shared" si="1"/>
        <v>2419778.7080399995</v>
      </c>
      <c r="N13" s="385" t="s">
        <v>782</v>
      </c>
      <c r="O13" s="10"/>
      <c r="P13" s="10"/>
      <c r="Q13" s="10"/>
    </row>
    <row r="14" spans="2:17" x14ac:dyDescent="0.25">
      <c r="B14" s="407" t="str">
        <f>VLOOKUP(D14,'Unit List'!$B$9:$E$241,4,0)</f>
        <v>Iron Making</v>
      </c>
      <c r="C14" s="407" t="str">
        <f>VLOOKUP(D14,'Unit List'!$B$8:$E$241,3,0)</f>
        <v>Direct Reduction</v>
      </c>
      <c r="D14" s="414">
        <v>1315</v>
      </c>
      <c r="E14" s="354" t="s">
        <v>517</v>
      </c>
      <c r="F14" s="376" t="s">
        <v>273</v>
      </c>
      <c r="G14" s="613">
        <f>HLOOKUP(F14,Settings!$B$23:$G$24,2,0)</f>
        <v>1</v>
      </c>
      <c r="H14" s="384"/>
      <c r="I14" s="384"/>
      <c r="J14" s="386">
        <v>565966.17200000002</v>
      </c>
      <c r="K14" s="376">
        <v>2.0099999999999998</v>
      </c>
      <c r="L14" s="18">
        <f t="shared" ref="L14" si="2">J14*K14</f>
        <v>1137592.00572</v>
      </c>
      <c r="M14" s="19">
        <f t="shared" si="1"/>
        <v>1137592.00572</v>
      </c>
      <c r="N14" s="385" t="s">
        <v>783</v>
      </c>
      <c r="O14" s="10"/>
      <c r="P14" s="10"/>
      <c r="Q14" s="10"/>
    </row>
    <row r="15" spans="2:17" x14ac:dyDescent="0.25">
      <c r="B15" s="407" t="e">
        <f>VLOOKUP(D15,'Unit List'!$B$9:$E$241,4,0)</f>
        <v>#N/A</v>
      </c>
      <c r="C15" s="407" t="e">
        <f>VLOOKUP(D15,'Unit List'!$B$8:$E$241,3,0)</f>
        <v>#N/A</v>
      </c>
      <c r="D15" s="671"/>
      <c r="E15" s="388"/>
      <c r="F15" s="376"/>
      <c r="G15" s="613" t="e">
        <f>HLOOKUP(F15,Settings!$B$23:$G$24,2,0)</f>
        <v>#N/A</v>
      </c>
      <c r="H15" s="134"/>
      <c r="I15" s="353"/>
      <c r="J15" s="353"/>
      <c r="K15" s="353"/>
      <c r="L15" s="18"/>
      <c r="M15" s="19" t="e">
        <f t="shared" si="1"/>
        <v>#N/A</v>
      </c>
      <c r="N15" s="385"/>
      <c r="O15" s="10"/>
      <c r="P15" s="10"/>
      <c r="Q15" s="10"/>
    </row>
    <row r="16" spans="2:17" x14ac:dyDescent="0.25">
      <c r="B16" s="407" t="e">
        <f>VLOOKUP(D16,'Unit List'!$B$9:$E$241,4,0)</f>
        <v>#N/A</v>
      </c>
      <c r="C16" s="407" t="e">
        <f>VLOOKUP(D16,'Unit List'!$B$8:$E$241,3,0)</f>
        <v>#N/A</v>
      </c>
      <c r="D16" s="671"/>
      <c r="E16" s="389"/>
      <c r="F16" s="376"/>
      <c r="G16" s="613" t="e">
        <f>HLOOKUP(F16,Settings!$B$23:$G$24,2,0)</f>
        <v>#N/A</v>
      </c>
      <c r="H16" s="134"/>
      <c r="I16" s="390"/>
      <c r="J16" s="390"/>
      <c r="K16" s="390"/>
      <c r="L16" s="18"/>
      <c r="M16" s="19" t="e">
        <f t="shared" si="1"/>
        <v>#N/A</v>
      </c>
      <c r="N16" s="385"/>
      <c r="O16" s="10"/>
      <c r="P16" s="10"/>
      <c r="Q16" s="10"/>
    </row>
    <row r="17" spans="2:17" ht="30" customHeight="1" x14ac:dyDescent="0.25">
      <c r="B17" s="601" t="s">
        <v>410</v>
      </c>
      <c r="C17" s="750"/>
      <c r="D17" s="391"/>
      <c r="E17" s="391"/>
      <c r="F17" s="391"/>
      <c r="G17" s="391"/>
      <c r="H17" s="392"/>
      <c r="I17" s="392"/>
      <c r="J17" s="393"/>
      <c r="K17" s="393"/>
      <c r="L17" s="393"/>
      <c r="M17" s="394">
        <f>_xlfn.AGGREGATE(9,6,M10:M16)</f>
        <v>4293669.2697966658</v>
      </c>
      <c r="N17" s="395"/>
      <c r="O17" s="10"/>
      <c r="P17" s="10"/>
      <c r="Q17" s="10"/>
    </row>
    <row r="19" spans="2:17" x14ac:dyDescent="0.25">
      <c r="B19" s="2"/>
      <c r="C19" s="2"/>
      <c r="D19" s="2"/>
      <c r="E19" s="2"/>
      <c r="F19" s="2"/>
      <c r="G19" s="2"/>
      <c r="I19" s="79"/>
      <c r="J19" s="79"/>
      <c r="K19" s="79"/>
    </row>
    <row r="20" spans="2:17" x14ac:dyDescent="0.25">
      <c r="B20" s="16"/>
      <c r="C20" s="16"/>
      <c r="D20" s="16"/>
      <c r="E20" s="16"/>
      <c r="F20" s="16"/>
      <c r="G20" s="16"/>
      <c r="H20" s="16"/>
      <c r="I20" s="106"/>
      <c r="J20" s="106"/>
      <c r="K20" s="106"/>
      <c r="L20" s="16"/>
      <c r="M20" s="16"/>
    </row>
    <row r="21" spans="2:17" ht="30" customHeight="1" x14ac:dyDescent="0.25">
      <c r="B21" s="625"/>
      <c r="C21" s="626"/>
      <c r="D21" s="626"/>
      <c r="E21" s="626"/>
      <c r="F21" s="626"/>
      <c r="G21" s="626"/>
      <c r="H21" s="626"/>
      <c r="I21" s="627" t="s">
        <v>1094</v>
      </c>
      <c r="J21" s="43"/>
      <c r="K21" s="618" t="s">
        <v>861</v>
      </c>
      <c r="L21" s="381"/>
      <c r="M21" s="381"/>
    </row>
    <row r="22" spans="2:17" ht="16.2" customHeight="1" x14ac:dyDescent="0.25">
      <c r="B22" s="630"/>
      <c r="C22" s="631"/>
      <c r="D22" s="631"/>
      <c r="E22" s="631"/>
      <c r="F22" s="631"/>
      <c r="G22" s="631"/>
      <c r="H22" s="630" t="s">
        <v>710</v>
      </c>
      <c r="I22" s="249" t="s">
        <v>1095</v>
      </c>
      <c r="J22" s="43"/>
      <c r="K22" s="1014" t="s">
        <v>329</v>
      </c>
      <c r="L22" s="1015" t="s">
        <v>335</v>
      </c>
      <c r="M22" s="374" t="s">
        <v>406</v>
      </c>
    </row>
    <row r="23" spans="2:17" x14ac:dyDescent="0.25">
      <c r="B23" s="630"/>
      <c r="C23" s="631"/>
      <c r="D23" s="631"/>
      <c r="E23" s="631"/>
      <c r="F23" s="631"/>
      <c r="G23" s="631"/>
      <c r="H23" s="630" t="s">
        <v>325</v>
      </c>
      <c r="I23" s="249" t="s">
        <v>1096</v>
      </c>
      <c r="J23" s="79"/>
      <c r="K23" s="1008"/>
      <c r="L23" s="1016"/>
      <c r="M23" s="355" t="s">
        <v>222</v>
      </c>
    </row>
    <row r="24" spans="2:17" ht="16.2" customHeight="1" x14ac:dyDescent="0.25">
      <c r="B24" s="630"/>
      <c r="C24" s="631"/>
      <c r="D24" s="631"/>
      <c r="E24" s="631"/>
      <c r="F24" s="631"/>
      <c r="G24" s="631"/>
      <c r="H24" s="630" t="s">
        <v>326</v>
      </c>
      <c r="I24" s="249" t="s">
        <v>1097</v>
      </c>
      <c r="J24" s="48"/>
      <c r="K24" s="596" t="s">
        <v>1767</v>
      </c>
      <c r="L24" s="91" t="s">
        <v>337</v>
      </c>
      <c r="M24" s="65">
        <f t="shared" ref="M24:M31" si="3">SUMIF($B$10:$B$16,L24,$M$10:$M$16)</f>
        <v>3866055.3740399992</v>
      </c>
    </row>
    <row r="25" spans="2:17" x14ac:dyDescent="0.25">
      <c r="B25" s="628"/>
      <c r="C25" s="629"/>
      <c r="D25" s="629"/>
      <c r="E25" s="629"/>
      <c r="F25" s="629"/>
      <c r="G25" s="629"/>
      <c r="H25" s="628" t="s">
        <v>710</v>
      </c>
      <c r="I25" s="250" t="s">
        <v>1098</v>
      </c>
      <c r="J25" s="105"/>
      <c r="K25" s="596" t="s">
        <v>1768</v>
      </c>
      <c r="L25" s="91" t="s">
        <v>338</v>
      </c>
      <c r="M25" s="65">
        <f t="shared" si="3"/>
        <v>427613.89575666661</v>
      </c>
    </row>
    <row r="26" spans="2:17" x14ac:dyDescent="0.25">
      <c r="I26" s="105"/>
      <c r="J26" s="105"/>
      <c r="K26" s="596" t="s">
        <v>1769</v>
      </c>
      <c r="L26" s="91" t="s">
        <v>339</v>
      </c>
      <c r="M26" s="65">
        <f t="shared" si="3"/>
        <v>0</v>
      </c>
    </row>
    <row r="27" spans="2:17" x14ac:dyDescent="0.25">
      <c r="I27" s="105"/>
      <c r="J27" s="105"/>
      <c r="K27" s="596" t="s">
        <v>1770</v>
      </c>
      <c r="L27" s="91" t="s">
        <v>340</v>
      </c>
      <c r="M27" s="65">
        <f t="shared" si="3"/>
        <v>0</v>
      </c>
    </row>
    <row r="28" spans="2:17" x14ac:dyDescent="0.25">
      <c r="I28" s="105"/>
      <c r="J28" s="105"/>
      <c r="K28" s="596" t="s">
        <v>1771</v>
      </c>
      <c r="L28" s="91" t="s">
        <v>341</v>
      </c>
      <c r="M28" s="65">
        <f t="shared" si="3"/>
        <v>0</v>
      </c>
    </row>
    <row r="29" spans="2:17" x14ac:dyDescent="0.25">
      <c r="I29" s="105"/>
      <c r="J29" s="105"/>
      <c r="K29" s="596" t="s">
        <v>1772</v>
      </c>
      <c r="L29" s="91" t="s">
        <v>342</v>
      </c>
      <c r="M29" s="65">
        <f t="shared" si="3"/>
        <v>0</v>
      </c>
    </row>
    <row r="30" spans="2:17" x14ac:dyDescent="0.25">
      <c r="I30" s="105"/>
      <c r="J30" s="105"/>
      <c r="K30" s="596" t="s">
        <v>1773</v>
      </c>
      <c r="L30" s="91" t="s">
        <v>343</v>
      </c>
      <c r="M30" s="65">
        <f t="shared" si="3"/>
        <v>0</v>
      </c>
    </row>
    <row r="31" spans="2:17" x14ac:dyDescent="0.25">
      <c r="I31" s="105"/>
      <c r="J31" s="105"/>
      <c r="K31" s="596" t="s">
        <v>1774</v>
      </c>
      <c r="L31" s="91" t="s">
        <v>510</v>
      </c>
      <c r="M31" s="65">
        <f t="shared" si="3"/>
        <v>0</v>
      </c>
    </row>
    <row r="32" spans="2:17" ht="30" customHeight="1" x14ac:dyDescent="0.25">
      <c r="I32" s="105"/>
      <c r="J32" s="105"/>
      <c r="K32" s="605" t="s">
        <v>410</v>
      </c>
      <c r="L32" s="396"/>
      <c r="M32" s="66">
        <f>_xlfn.AGGREGATE(9,6,M24:M31)</f>
        <v>4293669.2697966658</v>
      </c>
    </row>
    <row r="33" spans="9:11" ht="36" customHeight="1" x14ac:dyDescent="0.25">
      <c r="I33" s="107"/>
      <c r="J33" s="107"/>
      <c r="K33" s="107"/>
    </row>
    <row r="34" spans="9:11" x14ac:dyDescent="0.25">
      <c r="I34" s="79"/>
      <c r="J34" s="79"/>
      <c r="K34" s="79"/>
    </row>
    <row r="73" spans="2:3" x14ac:dyDescent="0.25">
      <c r="B73" s="79"/>
      <c r="C73" s="79"/>
    </row>
    <row r="74" spans="2:3" x14ac:dyDescent="0.25">
      <c r="B74" s="79"/>
      <c r="C74" s="79"/>
    </row>
    <row r="75" spans="2:3" x14ac:dyDescent="0.25">
      <c r="B75" s="79"/>
      <c r="C75" s="79"/>
    </row>
    <row r="76" spans="2:3" x14ac:dyDescent="0.25">
      <c r="B76" s="81"/>
      <c r="C76" s="81"/>
    </row>
    <row r="77" spans="2:3" x14ac:dyDescent="0.25">
      <c r="B77" s="81"/>
      <c r="C77" s="81"/>
    </row>
    <row r="78" spans="2:3" x14ac:dyDescent="0.25">
      <c r="B78" s="79"/>
      <c r="C78" s="79"/>
    </row>
    <row r="79" spans="2:3" x14ac:dyDescent="0.25">
      <c r="B79" s="79"/>
      <c r="C79" s="79"/>
    </row>
    <row r="80" spans="2:3" x14ac:dyDescent="0.25">
      <c r="B80" s="79"/>
      <c r="C80" s="79"/>
    </row>
  </sheetData>
  <protectedRanges>
    <protectedRange sqref="N10:N16" name="Range4"/>
    <protectedRange sqref="J13:K14" name="Range3"/>
    <protectedRange sqref="H10:I12" name="Range2"/>
    <protectedRange sqref="D10:F16" name="Range1"/>
  </protectedRanges>
  <mergeCells count="10">
    <mergeCell ref="N8:N9"/>
    <mergeCell ref="L22:L23"/>
    <mergeCell ref="F8:F9"/>
    <mergeCell ref="L8:M8"/>
    <mergeCell ref="B8:B9"/>
    <mergeCell ref="E8:E9"/>
    <mergeCell ref="D8:D9"/>
    <mergeCell ref="G8:G9"/>
    <mergeCell ref="K22:K23"/>
    <mergeCell ref="C8:C9"/>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5E80986-CC4B-4E5D-9DD4-112BE3E138E9}">
          <x14:formula1>
            <xm:f>Settings!$B$341:$B$348</xm:f>
          </x14:formula1>
          <xm:sqref>L24:L31</xm:sqref>
        </x14:dataValidation>
        <x14:dataValidation type="list" allowBlank="1" showInputMessage="1" showErrorMessage="1" xr:uid="{C6CE1C52-3707-4C4C-915F-FBB4CFDCC626}">
          <x14:formula1>
            <xm:f>Settings!$B$23:$G$23</xm:f>
          </x14:formula1>
          <xm:sqref>F10:F16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5A71-A2B2-4A2B-87AB-223BDFAC9ED1}">
  <dimension ref="B4:M123"/>
  <sheetViews>
    <sheetView rightToLeft="1" zoomScale="70" zoomScaleNormal="70" workbookViewId="0">
      <selection activeCell="H97" sqref="H97"/>
    </sheetView>
  </sheetViews>
  <sheetFormatPr defaultColWidth="9.09765625" defaultRowHeight="16.2" x14ac:dyDescent="0.25"/>
  <cols>
    <col min="1" max="1" width="12.09765625" style="3" customWidth="1"/>
    <col min="2" max="2" width="13.19921875" style="3" customWidth="1"/>
    <col min="3" max="3" width="16.8984375" style="3" customWidth="1"/>
    <col min="4" max="4" width="36.19921875" style="3" bestFit="1" customWidth="1"/>
    <col min="5" max="5" width="11.296875" style="3" customWidth="1"/>
    <col min="6" max="8" width="14.8984375" style="3" customWidth="1"/>
    <col min="9" max="9" width="18.09765625" style="3" customWidth="1"/>
    <col min="10" max="10" width="15.19921875" style="3" customWidth="1"/>
    <col min="11" max="11" width="17.796875" style="3" customWidth="1"/>
    <col min="12" max="12" width="19.19921875" style="3" customWidth="1"/>
    <col min="13" max="13" width="15.09765625" style="3" customWidth="1"/>
    <col min="14" max="16384" width="9.09765625" style="3"/>
  </cols>
  <sheetData>
    <row r="4" spans="2:13" ht="16.2" customHeight="1" x14ac:dyDescent="0.25"/>
    <row r="5" spans="2:13" ht="16.2" customHeight="1" x14ac:dyDescent="0.25"/>
    <row r="6" spans="2:13" ht="16.2" customHeight="1" x14ac:dyDescent="0.25"/>
    <row r="7" spans="2:13" s="279" customFormat="1" ht="30" customHeight="1" x14ac:dyDescent="0.25">
      <c r="B7" s="370" t="s">
        <v>713</v>
      </c>
      <c r="C7" s="371"/>
      <c r="D7" s="371"/>
      <c r="E7" s="371"/>
      <c r="F7" s="371"/>
      <c r="G7" s="371"/>
      <c r="H7" s="371"/>
      <c r="I7" s="371"/>
      <c r="J7" s="371"/>
      <c r="K7" s="371"/>
      <c r="L7" s="371"/>
      <c r="M7" s="372"/>
    </row>
    <row r="8" spans="2:13" ht="17.25" customHeight="1" x14ac:dyDescent="0.25">
      <c r="B8" s="1014" t="s">
        <v>329</v>
      </c>
      <c r="C8" s="1015" t="s">
        <v>335</v>
      </c>
      <c r="D8" s="1015" t="s">
        <v>2001</v>
      </c>
      <c r="E8" s="1015" t="s">
        <v>412</v>
      </c>
      <c r="F8" s="355" t="s">
        <v>413</v>
      </c>
      <c r="G8" s="355" t="s">
        <v>519</v>
      </c>
      <c r="H8" s="355" t="s">
        <v>520</v>
      </c>
      <c r="I8" s="1014" t="s">
        <v>415</v>
      </c>
      <c r="J8" s="1014" t="s">
        <v>416</v>
      </c>
      <c r="K8" s="976" t="s">
        <v>406</v>
      </c>
      <c r="L8" s="976"/>
      <c r="M8" s="1014" t="s">
        <v>787</v>
      </c>
    </row>
    <row r="9" spans="2:13" ht="17.25" customHeight="1" x14ac:dyDescent="0.25">
      <c r="B9" s="1007"/>
      <c r="C9" s="1017"/>
      <c r="D9" s="1017"/>
      <c r="E9" s="1017"/>
      <c r="F9" s="956" t="s">
        <v>518</v>
      </c>
      <c r="G9" s="1025"/>
      <c r="H9" s="957"/>
      <c r="I9" s="1007"/>
      <c r="J9" s="1007"/>
      <c r="K9" s="1015" t="s">
        <v>10</v>
      </c>
      <c r="L9" s="1015" t="s">
        <v>271</v>
      </c>
      <c r="M9" s="1007"/>
    </row>
    <row r="10" spans="2:13" ht="17.25" customHeight="1" x14ac:dyDescent="0.25">
      <c r="B10" s="1007"/>
      <c r="C10" s="1017"/>
      <c r="D10" s="1017"/>
      <c r="E10" s="1017"/>
      <c r="F10" s="379">
        <f>Settings!C138</f>
        <v>4.0369688000000004</v>
      </c>
      <c r="G10" s="379">
        <f>Settings!C139</f>
        <v>1.3154167999999999</v>
      </c>
      <c r="H10" s="379">
        <f>Settings!C140</f>
        <v>104.00864559999999</v>
      </c>
      <c r="I10" s="1008"/>
      <c r="J10" s="1008"/>
      <c r="K10" s="1016"/>
      <c r="L10" s="1016"/>
      <c r="M10" s="1007"/>
    </row>
    <row r="11" spans="2:13" ht="17.25" customHeight="1" x14ac:dyDescent="0.25">
      <c r="B11" s="1008"/>
      <c r="C11" s="1016"/>
      <c r="D11" s="1016"/>
      <c r="E11" s="1016"/>
      <c r="F11" s="956" t="s">
        <v>414</v>
      </c>
      <c r="G11" s="1025"/>
      <c r="H11" s="957"/>
      <c r="I11" s="355" t="s">
        <v>311</v>
      </c>
      <c r="J11" s="378" t="s">
        <v>268</v>
      </c>
      <c r="K11" s="355" t="s">
        <v>220</v>
      </c>
      <c r="L11" s="374" t="s">
        <v>222</v>
      </c>
      <c r="M11" s="1008"/>
    </row>
    <row r="12" spans="2:13" ht="17.25" customHeight="1" x14ac:dyDescent="0.25">
      <c r="B12" s="606" t="s">
        <v>1776</v>
      </c>
      <c r="C12" s="752" t="s">
        <v>337</v>
      </c>
      <c r="D12" s="377" t="s">
        <v>2000</v>
      </c>
      <c r="E12" s="84" t="s">
        <v>2027</v>
      </c>
      <c r="F12" s="403">
        <v>49</v>
      </c>
      <c r="G12" s="403">
        <v>25</v>
      </c>
      <c r="H12" s="403">
        <v>4</v>
      </c>
      <c r="I12" s="404">
        <f>F12*$F$10+G12*$G$10+H12*$H$10</f>
        <v>646.73147360000007</v>
      </c>
      <c r="J12" s="405">
        <v>0</v>
      </c>
      <c r="K12" s="60">
        <f>I12*(1-J12)*Settings!$D$16*Settings!$D$13/1000000</f>
        <v>5.1146939674468621</v>
      </c>
      <c r="L12" s="120">
        <f>K12*Settings!$G$24</f>
        <v>152.41788022991651</v>
      </c>
      <c r="M12" s="385" t="s">
        <v>788</v>
      </c>
    </row>
    <row r="13" spans="2:13" ht="17.25" customHeight="1" x14ac:dyDescent="0.25">
      <c r="B13" s="606" t="s">
        <v>1776</v>
      </c>
      <c r="C13" s="752" t="s">
        <v>337</v>
      </c>
      <c r="D13" s="377" t="s">
        <v>2002</v>
      </c>
      <c r="E13" s="647" t="s">
        <v>2027</v>
      </c>
      <c r="F13" s="403">
        <v>27</v>
      </c>
      <c r="G13" s="403">
        <v>17</v>
      </c>
      <c r="H13" s="403">
        <v>2</v>
      </c>
      <c r="I13" s="404">
        <f t="shared" ref="I13:I41" si="0">F13*$F$10+G13*$G$10+H13*$H$10</f>
        <v>339.3775344</v>
      </c>
      <c r="J13" s="405">
        <v>0</v>
      </c>
      <c r="K13" s="60">
        <f>I13*(1-J13)*Settings!$D$16*Settings!$D$13/1000000</f>
        <v>2.6839767333733633</v>
      </c>
      <c r="L13" s="120">
        <f>K13*Settings!$G$24</f>
        <v>79.982506654526233</v>
      </c>
      <c r="M13" s="385" t="s">
        <v>788</v>
      </c>
    </row>
    <row r="14" spans="2:13" ht="17.25" customHeight="1" x14ac:dyDescent="0.25">
      <c r="B14" s="606" t="s">
        <v>1776</v>
      </c>
      <c r="C14" s="752" t="s">
        <v>337</v>
      </c>
      <c r="D14" s="659" t="s">
        <v>2003</v>
      </c>
      <c r="E14" s="647" t="s">
        <v>2027</v>
      </c>
      <c r="F14" s="403">
        <v>15</v>
      </c>
      <c r="G14" s="403">
        <v>22</v>
      </c>
      <c r="H14" s="403">
        <v>0</v>
      </c>
      <c r="I14" s="404">
        <f t="shared" si="0"/>
        <v>89.493701600000009</v>
      </c>
      <c r="J14" s="405">
        <v>0</v>
      </c>
      <c r="K14" s="60">
        <f>I14*(1-J14)*Settings!$D$16*Settings!$D$13/1000000</f>
        <v>0.70776344492724497</v>
      </c>
      <c r="L14" s="120">
        <f>K14*Settings!$G$24</f>
        <v>21.0913506588319</v>
      </c>
      <c r="M14" s="385" t="s">
        <v>788</v>
      </c>
    </row>
    <row r="15" spans="2:13" x14ac:dyDescent="0.25">
      <c r="B15" s="606" t="s">
        <v>1776</v>
      </c>
      <c r="C15" s="752" t="s">
        <v>338</v>
      </c>
      <c r="D15" s="660" t="s">
        <v>2013</v>
      </c>
      <c r="E15" s="647" t="s">
        <v>2027</v>
      </c>
      <c r="F15" s="406">
        <v>31</v>
      </c>
      <c r="G15" s="406">
        <v>16</v>
      </c>
      <c r="H15" s="406">
        <v>2</v>
      </c>
      <c r="I15" s="404">
        <f t="shared" si="0"/>
        <v>354.20999280000001</v>
      </c>
      <c r="J15" s="405">
        <v>0</v>
      </c>
      <c r="K15" s="60">
        <f>I15*(1-J15)*Settings!$D$16*Settings!$D$13/1000000</f>
        <v>2.8012796459385987</v>
      </c>
      <c r="L15" s="120">
        <f>K15*Settings!$G$24</f>
        <v>83.47813344897024</v>
      </c>
      <c r="M15" s="385" t="s">
        <v>788</v>
      </c>
    </row>
    <row r="16" spans="2:13" x14ac:dyDescent="0.25">
      <c r="B16" s="606" t="s">
        <v>1776</v>
      </c>
      <c r="C16" s="752" t="s">
        <v>338</v>
      </c>
      <c r="D16" s="660" t="s">
        <v>2014</v>
      </c>
      <c r="E16" s="647" t="s">
        <v>2027</v>
      </c>
      <c r="F16" s="406">
        <v>44</v>
      </c>
      <c r="G16" s="406">
        <v>31</v>
      </c>
      <c r="H16" s="406">
        <v>4</v>
      </c>
      <c r="I16" s="404">
        <f t="shared" si="0"/>
        <v>634.43913040000007</v>
      </c>
      <c r="J16" s="405">
        <v>0</v>
      </c>
      <c r="K16" s="60">
        <f>I16*(1-J16)*Settings!$D$16*Settings!$D$13/1000000</f>
        <v>5.017479627064052</v>
      </c>
      <c r="L16" s="120">
        <f>K16*Settings!$G$24</f>
        <v>149.52089288650876</v>
      </c>
      <c r="M16" s="385" t="s">
        <v>788</v>
      </c>
    </row>
    <row r="17" spans="2:13" x14ac:dyDescent="0.25">
      <c r="B17" s="606" t="s">
        <v>1776</v>
      </c>
      <c r="C17" s="752" t="s">
        <v>339</v>
      </c>
      <c r="D17" s="660" t="s">
        <v>2015</v>
      </c>
      <c r="E17" s="647" t="s">
        <v>2027</v>
      </c>
      <c r="F17" s="406">
        <v>27</v>
      </c>
      <c r="G17" s="406">
        <v>21</v>
      </c>
      <c r="H17" s="406">
        <v>3</v>
      </c>
      <c r="I17" s="404">
        <f t="shared" si="0"/>
        <v>448.6478472</v>
      </c>
      <c r="J17" s="405">
        <v>0</v>
      </c>
      <c r="K17" s="60">
        <f>I17*(1-J17)*Settings!$D$16*Settings!$D$13/1000000</f>
        <v>3.5481440617209223</v>
      </c>
      <c r="L17" s="120">
        <f>K17*Settings!$G$24</f>
        <v>105.73469303928348</v>
      </c>
      <c r="M17" s="385" t="s">
        <v>788</v>
      </c>
    </row>
    <row r="18" spans="2:13" x14ac:dyDescent="0.25">
      <c r="B18" s="606" t="s">
        <v>1776</v>
      </c>
      <c r="C18" s="752" t="s">
        <v>340</v>
      </c>
      <c r="D18" s="659" t="s">
        <v>2016</v>
      </c>
      <c r="E18" s="647" t="s">
        <v>2027</v>
      </c>
      <c r="F18" s="406">
        <v>25</v>
      </c>
      <c r="G18" s="406">
        <v>18</v>
      </c>
      <c r="H18" s="406">
        <v>2</v>
      </c>
      <c r="I18" s="404">
        <f t="shared" si="0"/>
        <v>332.61901360000002</v>
      </c>
      <c r="J18" s="405">
        <v>0</v>
      </c>
      <c r="K18" s="60">
        <f>I18*(1-J18)*Settings!$D$16*Settings!$D$13/1000000</f>
        <v>2.6305267823879808</v>
      </c>
      <c r="L18" s="120">
        <f>K18*Settings!$G$24</f>
        <v>78.389698115161835</v>
      </c>
      <c r="M18" s="385" t="s">
        <v>788</v>
      </c>
    </row>
    <row r="19" spans="2:13" x14ac:dyDescent="0.25">
      <c r="B19" s="606" t="s">
        <v>1776</v>
      </c>
      <c r="C19" s="752" t="s">
        <v>341</v>
      </c>
      <c r="D19" s="659" t="s">
        <v>2017</v>
      </c>
      <c r="E19" s="647" t="s">
        <v>2027</v>
      </c>
      <c r="F19" s="406">
        <v>40</v>
      </c>
      <c r="G19" s="406">
        <v>17</v>
      </c>
      <c r="H19" s="406">
        <v>3</v>
      </c>
      <c r="I19" s="404">
        <f t="shared" si="0"/>
        <v>495.86677439999994</v>
      </c>
      <c r="J19" s="405">
        <v>0</v>
      </c>
      <c r="K19" s="60">
        <f>I19*(1-J19)*Settings!$D$16*Settings!$D$13/1000000</f>
        <v>3.9215762696120833</v>
      </c>
      <c r="L19" s="120">
        <f>K19*Settings!$G$24</f>
        <v>116.86297283444009</v>
      </c>
      <c r="M19" s="385" t="s">
        <v>788</v>
      </c>
    </row>
    <row r="20" spans="2:13" x14ac:dyDescent="0.25">
      <c r="B20" s="606" t="s">
        <v>1776</v>
      </c>
      <c r="C20" s="752" t="s">
        <v>341</v>
      </c>
      <c r="D20" s="659" t="s">
        <v>2018</v>
      </c>
      <c r="E20" s="647" t="s">
        <v>2027</v>
      </c>
      <c r="F20" s="406">
        <v>26</v>
      </c>
      <c r="G20" s="406">
        <v>15</v>
      </c>
      <c r="H20" s="406">
        <v>2</v>
      </c>
      <c r="I20" s="404">
        <f t="shared" si="0"/>
        <v>332.70973199999997</v>
      </c>
      <c r="J20" s="405">
        <v>0</v>
      </c>
      <c r="K20" s="60">
        <f>I20*(1-J20)*Settings!$D$16*Settings!$D$13/1000000</f>
        <v>2.6312442313944961</v>
      </c>
      <c r="L20" s="120">
        <f>K20*Settings!$G$24</f>
        <v>78.411078095555993</v>
      </c>
      <c r="M20" s="385" t="s">
        <v>788</v>
      </c>
    </row>
    <row r="21" spans="2:13" x14ac:dyDescent="0.25">
      <c r="B21" s="606" t="s">
        <v>1776</v>
      </c>
      <c r="C21" s="752" t="s">
        <v>341</v>
      </c>
      <c r="D21" s="659" t="s">
        <v>2019</v>
      </c>
      <c r="E21" s="647" t="s">
        <v>2027</v>
      </c>
      <c r="F21" s="406">
        <v>5</v>
      </c>
      <c r="G21" s="406">
        <v>8</v>
      </c>
      <c r="H21" s="406">
        <v>0</v>
      </c>
      <c r="I21" s="404">
        <f t="shared" si="0"/>
        <v>30.708178400000001</v>
      </c>
      <c r="J21" s="405">
        <v>0</v>
      </c>
      <c r="K21" s="60">
        <f>I21*(1-J21)*Settings!$D$16*Settings!$D$13/1000000</f>
        <v>0.24285648870539522</v>
      </c>
      <c r="L21" s="120">
        <f>K21*Settings!$G$24</f>
        <v>7.2371233634207774</v>
      </c>
      <c r="M21" s="385" t="s">
        <v>788</v>
      </c>
    </row>
    <row r="22" spans="2:13" x14ac:dyDescent="0.25">
      <c r="B22" s="606" t="s">
        <v>1776</v>
      </c>
      <c r="C22" s="752" t="s">
        <v>510</v>
      </c>
      <c r="D22" s="659" t="s">
        <v>2020</v>
      </c>
      <c r="E22" s="647" t="s">
        <v>2027</v>
      </c>
      <c r="F22" s="406">
        <v>18</v>
      </c>
      <c r="G22" s="406">
        <v>12</v>
      </c>
      <c r="H22" s="406">
        <v>2</v>
      </c>
      <c r="I22" s="404">
        <f t="shared" si="0"/>
        <v>296.4677312</v>
      </c>
      <c r="J22" s="405">
        <v>0</v>
      </c>
      <c r="K22" s="60">
        <f>I22*(1-J22)*Settings!$D$16*Settings!$D$13/1000000</f>
        <v>2.344623353291674</v>
      </c>
      <c r="L22" s="120">
        <f>K22*Settings!$G$24</f>
        <v>69.869775928091883</v>
      </c>
      <c r="M22" s="385" t="s">
        <v>788</v>
      </c>
    </row>
    <row r="23" spans="2:13" x14ac:dyDescent="0.25">
      <c r="B23" s="606" t="s">
        <v>1776</v>
      </c>
      <c r="C23" s="752" t="s">
        <v>340</v>
      </c>
      <c r="D23" s="659" t="s">
        <v>2021</v>
      </c>
      <c r="E23" s="647" t="s">
        <v>2027</v>
      </c>
      <c r="F23" s="406">
        <v>27</v>
      </c>
      <c r="G23" s="406">
        <v>24</v>
      </c>
      <c r="H23" s="406">
        <v>2</v>
      </c>
      <c r="I23" s="404">
        <f t="shared" si="0"/>
        <v>348.58545200000003</v>
      </c>
      <c r="J23" s="405">
        <v>0</v>
      </c>
      <c r="K23" s="60">
        <f>I23*(1-J23)*Settings!$D$16*Settings!$D$13/1000000</f>
        <v>2.7567978075346566</v>
      </c>
      <c r="L23" s="120">
        <f>K23*Settings!$G$24</f>
        <v>82.152574664532764</v>
      </c>
      <c r="M23" s="385" t="s">
        <v>788</v>
      </c>
    </row>
    <row r="24" spans="2:13" x14ac:dyDescent="0.25">
      <c r="B24" s="606" t="s">
        <v>1776</v>
      </c>
      <c r="C24" s="752" t="s">
        <v>340</v>
      </c>
      <c r="D24" s="659" t="s">
        <v>2022</v>
      </c>
      <c r="E24" s="647" t="s">
        <v>2027</v>
      </c>
      <c r="F24" s="406">
        <v>27</v>
      </c>
      <c r="G24" s="406">
        <v>24</v>
      </c>
      <c r="H24" s="406">
        <v>2</v>
      </c>
      <c r="I24" s="404">
        <f t="shared" si="0"/>
        <v>348.58545200000003</v>
      </c>
      <c r="J24" s="405">
        <v>0</v>
      </c>
      <c r="K24" s="60">
        <f>I24*(1-J24)*Settings!$D$16*Settings!$D$13/1000000</f>
        <v>2.7567978075346566</v>
      </c>
      <c r="L24" s="120">
        <f>K24*Settings!$G$24</f>
        <v>82.152574664532764</v>
      </c>
      <c r="M24" s="385" t="s">
        <v>788</v>
      </c>
    </row>
    <row r="25" spans="2:13" x14ac:dyDescent="0.25">
      <c r="B25" s="606" t="s">
        <v>1776</v>
      </c>
      <c r="C25" s="752" t="s">
        <v>341</v>
      </c>
      <c r="D25" s="659" t="s">
        <v>2023</v>
      </c>
      <c r="E25" s="647" t="s">
        <v>2027</v>
      </c>
      <c r="F25" s="406">
        <v>20</v>
      </c>
      <c r="G25" s="406">
        <v>14</v>
      </c>
      <c r="H25" s="406">
        <v>2</v>
      </c>
      <c r="I25" s="404">
        <f t="shared" si="0"/>
        <v>307.17250239999998</v>
      </c>
      <c r="J25" s="405">
        <v>0</v>
      </c>
      <c r="K25" s="60">
        <f>I25*(1-J25)*Settings!$D$16*Settings!$D$13/1000000</f>
        <v>2.4292823360604672</v>
      </c>
      <c r="L25" s="120">
        <f>K25*Settings!$G$24</f>
        <v>72.392613614601927</v>
      </c>
      <c r="M25" s="385" t="s">
        <v>788</v>
      </c>
    </row>
    <row r="26" spans="2:13" x14ac:dyDescent="0.25">
      <c r="B26" s="606" t="s">
        <v>1776</v>
      </c>
      <c r="C26" s="752" t="s">
        <v>337</v>
      </c>
      <c r="D26" s="659" t="s">
        <v>2024</v>
      </c>
      <c r="E26" s="647" t="s">
        <v>2027</v>
      </c>
      <c r="F26" s="406">
        <v>20</v>
      </c>
      <c r="G26" s="406">
        <v>14</v>
      </c>
      <c r="H26" s="406">
        <v>2</v>
      </c>
      <c r="I26" s="404">
        <f t="shared" si="0"/>
        <v>307.17250239999998</v>
      </c>
      <c r="J26" s="405">
        <v>0</v>
      </c>
      <c r="K26" s="60">
        <f>I26*(1-J26)*Settings!$D$16*Settings!$D$13/1000000</f>
        <v>2.4292823360604672</v>
      </c>
      <c r="L26" s="120">
        <f>K26*Settings!$G$24</f>
        <v>72.392613614601927</v>
      </c>
      <c r="M26" s="385" t="s">
        <v>788</v>
      </c>
    </row>
    <row r="27" spans="2:13" x14ac:dyDescent="0.25">
      <c r="B27" s="606" t="s">
        <v>1776</v>
      </c>
      <c r="C27" s="752" t="s">
        <v>343</v>
      </c>
      <c r="D27" s="659" t="s">
        <v>2025</v>
      </c>
      <c r="E27" s="647" t="s">
        <v>2027</v>
      </c>
      <c r="F27" s="406">
        <v>20</v>
      </c>
      <c r="G27" s="406">
        <v>11</v>
      </c>
      <c r="H27" s="406">
        <v>1</v>
      </c>
      <c r="I27" s="404">
        <f t="shared" si="0"/>
        <v>199.21760639999999</v>
      </c>
      <c r="J27" s="405">
        <v>0</v>
      </c>
      <c r="K27" s="60">
        <f>I27*(1-J27)*Settings!$D$16*Settings!$D$13/1000000</f>
        <v>1.5755180183073791</v>
      </c>
      <c r="L27" s="120">
        <f>K27*Settings!$G$24</f>
        <v>46.9504369455599</v>
      </c>
      <c r="M27" s="385" t="s">
        <v>788</v>
      </c>
    </row>
    <row r="28" spans="2:13" x14ac:dyDescent="0.25">
      <c r="B28" s="606" t="s">
        <v>1776</v>
      </c>
      <c r="C28" s="752" t="s">
        <v>339</v>
      </c>
      <c r="D28" s="659" t="s">
        <v>2026</v>
      </c>
      <c r="E28" s="647" t="s">
        <v>2027</v>
      </c>
      <c r="F28" s="406">
        <v>17</v>
      </c>
      <c r="G28" s="406">
        <v>18</v>
      </c>
      <c r="H28" s="406">
        <v>2</v>
      </c>
      <c r="I28" s="404">
        <f t="shared" si="0"/>
        <v>300.32326319999999</v>
      </c>
      <c r="J28" s="405">
        <v>0</v>
      </c>
      <c r="K28" s="60">
        <f>I28*(1-J28)*Settings!$D$16*Settings!$D$13/1000000</f>
        <v>2.3751149360685693</v>
      </c>
      <c r="L28" s="120">
        <f>K28*Settings!$G$24</f>
        <v>70.778425094843371</v>
      </c>
      <c r="M28" s="385" t="s">
        <v>788</v>
      </c>
    </row>
    <row r="29" spans="2:13" x14ac:dyDescent="0.25">
      <c r="B29" s="606" t="s">
        <v>1776</v>
      </c>
      <c r="C29" s="752" t="s">
        <v>337</v>
      </c>
      <c r="D29" s="659" t="s">
        <v>2012</v>
      </c>
      <c r="E29" s="647" t="s">
        <v>2027</v>
      </c>
      <c r="F29" s="406">
        <v>4</v>
      </c>
      <c r="G29" s="406">
        <v>5</v>
      </c>
      <c r="H29" s="406">
        <v>0</v>
      </c>
      <c r="I29" s="404">
        <f t="shared" si="0"/>
        <v>22.724959200000001</v>
      </c>
      <c r="J29" s="405">
        <v>0</v>
      </c>
      <c r="K29" s="60">
        <f>I29*(1-J29)*Settings!$D$16*Settings!$D$13/1000000</f>
        <v>0.17972097613205762</v>
      </c>
      <c r="L29" s="120">
        <f>K29*Settings!$G$24</f>
        <v>5.3556850887353171</v>
      </c>
      <c r="M29" s="385" t="s">
        <v>788</v>
      </c>
    </row>
    <row r="30" spans="2:13" x14ac:dyDescent="0.25">
      <c r="B30" s="606" t="s">
        <v>1776</v>
      </c>
      <c r="C30" s="752" t="s">
        <v>341</v>
      </c>
      <c r="D30" s="659" t="s">
        <v>2011</v>
      </c>
      <c r="E30" s="647" t="s">
        <v>2027</v>
      </c>
      <c r="F30" s="406">
        <v>17</v>
      </c>
      <c r="G30" s="406">
        <v>18</v>
      </c>
      <c r="H30" s="406">
        <v>2</v>
      </c>
      <c r="I30" s="404">
        <f t="shared" si="0"/>
        <v>300.32326319999999</v>
      </c>
      <c r="J30" s="405">
        <v>0</v>
      </c>
      <c r="K30" s="60">
        <f>I30*(1-J30)*Settings!$D$16*Settings!$D$13/1000000</f>
        <v>2.3751149360685693</v>
      </c>
      <c r="L30" s="120">
        <f>K30*Settings!$G$24</f>
        <v>70.778425094843371</v>
      </c>
      <c r="M30" s="385" t="s">
        <v>788</v>
      </c>
    </row>
    <row r="31" spans="2:13" x14ac:dyDescent="0.25">
      <c r="B31" s="606" t="s">
        <v>1776</v>
      </c>
      <c r="C31" s="752" t="s">
        <v>341</v>
      </c>
      <c r="D31" s="659" t="s">
        <v>2010</v>
      </c>
      <c r="E31" s="647" t="s">
        <v>2027</v>
      </c>
      <c r="F31" s="406"/>
      <c r="G31" s="406"/>
      <c r="H31" s="406"/>
      <c r="I31" s="404">
        <f t="shared" si="0"/>
        <v>0</v>
      </c>
      <c r="J31" s="405">
        <v>0</v>
      </c>
      <c r="K31" s="60">
        <f>I31*(1-J31)*Settings!$D$16*Settings!$D$13/1000000</f>
        <v>0</v>
      </c>
      <c r="L31" s="120">
        <f>K31*Settings!$G$24</f>
        <v>0</v>
      </c>
      <c r="M31" s="385" t="s">
        <v>788</v>
      </c>
    </row>
    <row r="32" spans="2:13" x14ac:dyDescent="0.25">
      <c r="B32" s="606" t="s">
        <v>1776</v>
      </c>
      <c r="C32" s="752" t="s">
        <v>337</v>
      </c>
      <c r="D32" s="659" t="s">
        <v>2009</v>
      </c>
      <c r="E32" s="647" t="s">
        <v>2027</v>
      </c>
      <c r="F32" s="406"/>
      <c r="G32" s="406"/>
      <c r="H32" s="406"/>
      <c r="I32" s="404">
        <f t="shared" si="0"/>
        <v>0</v>
      </c>
      <c r="J32" s="405">
        <v>0</v>
      </c>
      <c r="K32" s="60">
        <f>I32*(1-J32)*Settings!$D$16*Settings!$D$13/1000000</f>
        <v>0</v>
      </c>
      <c r="L32" s="120">
        <f>K32*Settings!$G$24</f>
        <v>0</v>
      </c>
      <c r="M32" s="385" t="s">
        <v>788</v>
      </c>
    </row>
    <row r="33" spans="2:13" x14ac:dyDescent="0.25">
      <c r="B33" s="606" t="s">
        <v>1776</v>
      </c>
      <c r="C33" s="752" t="s">
        <v>341</v>
      </c>
      <c r="D33" s="659" t="s">
        <v>2005</v>
      </c>
      <c r="E33" s="647" t="s">
        <v>2027</v>
      </c>
      <c r="F33" s="406">
        <v>7</v>
      </c>
      <c r="G33" s="406">
        <v>6</v>
      </c>
      <c r="H33" s="406">
        <v>0</v>
      </c>
      <c r="I33" s="404">
        <f t="shared" si="0"/>
        <v>36.151282399999999</v>
      </c>
      <c r="J33" s="405">
        <v>0</v>
      </c>
      <c r="K33" s="60">
        <f>I33*(1-J33)*Settings!$D$16*Settings!$D$13/1000000</f>
        <v>0.28590342909630717</v>
      </c>
      <c r="L33" s="120">
        <f>K33*Settings!$G$24</f>
        <v>8.5199221870699535</v>
      </c>
      <c r="M33" s="385" t="s">
        <v>788</v>
      </c>
    </row>
    <row r="34" spans="2:13" x14ac:dyDescent="0.25">
      <c r="B34" s="606" t="s">
        <v>1776</v>
      </c>
      <c r="C34" s="752" t="s">
        <v>341</v>
      </c>
      <c r="D34" s="659" t="s">
        <v>2006</v>
      </c>
      <c r="E34" s="647" t="s">
        <v>2027</v>
      </c>
      <c r="F34" s="406">
        <v>9</v>
      </c>
      <c r="G34" s="406">
        <v>6</v>
      </c>
      <c r="H34" s="406">
        <v>0</v>
      </c>
      <c r="I34" s="404">
        <f t="shared" si="0"/>
        <v>44.22522</v>
      </c>
      <c r="J34" s="405">
        <v>0</v>
      </c>
      <c r="K34" s="60">
        <f>I34*(1-J34)*Settings!$D$16*Settings!$D$13/1000000</f>
        <v>0.34975639067615999</v>
      </c>
      <c r="L34" s="120">
        <f>K34*Settings!$G$24</f>
        <v>10.422740442149568</v>
      </c>
      <c r="M34" s="385" t="s">
        <v>788</v>
      </c>
    </row>
    <row r="35" spans="2:13" x14ac:dyDescent="0.25">
      <c r="B35" s="606" t="s">
        <v>1776</v>
      </c>
      <c r="C35" s="752" t="s">
        <v>341</v>
      </c>
      <c r="D35" s="659" t="s">
        <v>2007</v>
      </c>
      <c r="E35" s="647" t="s">
        <v>2027</v>
      </c>
      <c r="F35" s="406">
        <v>72</v>
      </c>
      <c r="G35" s="406">
        <v>52</v>
      </c>
      <c r="H35" s="406">
        <v>2</v>
      </c>
      <c r="I35" s="404">
        <f t="shared" si="0"/>
        <v>567.08071840000002</v>
      </c>
      <c r="J35" s="405">
        <v>0</v>
      </c>
      <c r="K35" s="60">
        <f>I35*(1-J35)*Settings!$D$16*Settings!$D$13/1000000</f>
        <v>4.4847737397265153</v>
      </c>
      <c r="L35" s="120">
        <f>K35*Settings!$G$24</f>
        <v>133.64625744385015</v>
      </c>
      <c r="M35" s="385" t="s">
        <v>788</v>
      </c>
    </row>
    <row r="36" spans="2:13" x14ac:dyDescent="0.25">
      <c r="B36" s="606" t="s">
        <v>1776</v>
      </c>
      <c r="C36" s="752" t="s">
        <v>341</v>
      </c>
      <c r="D36" s="659" t="s">
        <v>2008</v>
      </c>
      <c r="E36" s="647" t="s">
        <v>2027</v>
      </c>
      <c r="F36" s="406">
        <v>135</v>
      </c>
      <c r="G36" s="406">
        <v>129</v>
      </c>
      <c r="H36" s="406">
        <v>3</v>
      </c>
      <c r="I36" s="404">
        <f t="shared" si="0"/>
        <v>1026.705492</v>
      </c>
      <c r="J36" s="405">
        <v>0</v>
      </c>
      <c r="K36" s="60">
        <f>I36*(1-J36)*Settings!$D$16*Settings!$D$13/1000000</f>
        <v>8.1197291312357773</v>
      </c>
      <c r="L36" s="120">
        <f>K36*Settings!$G$24</f>
        <v>241.96792811082616</v>
      </c>
      <c r="M36" s="385" t="s">
        <v>788</v>
      </c>
    </row>
    <row r="37" spans="2:13" x14ac:dyDescent="0.25">
      <c r="B37" s="606" t="s">
        <v>1776</v>
      </c>
      <c r="C37" s="752" t="s">
        <v>341</v>
      </c>
      <c r="D37" s="659" t="s">
        <v>2004</v>
      </c>
      <c r="E37" s="647" t="s">
        <v>2027</v>
      </c>
      <c r="F37" s="406">
        <v>2</v>
      </c>
      <c r="G37" s="406">
        <v>1</v>
      </c>
      <c r="H37" s="406">
        <v>0</v>
      </c>
      <c r="I37" s="404">
        <f t="shared" si="0"/>
        <v>9.3893544000000002</v>
      </c>
      <c r="J37" s="405">
        <v>0</v>
      </c>
      <c r="K37" s="60">
        <f>I37*(1-J37)*Settings!$D$16*Settings!$D$13/1000000</f>
        <v>7.4255972174323198E-2</v>
      </c>
      <c r="L37" s="120">
        <f>K37*Settings!$G$24</f>
        <v>2.2128279707948315</v>
      </c>
      <c r="M37" s="385" t="s">
        <v>788</v>
      </c>
    </row>
    <row r="38" spans="2:13" x14ac:dyDescent="0.25">
      <c r="B38" s="606" t="s">
        <v>1776</v>
      </c>
      <c r="C38" s="752"/>
      <c r="D38" s="660"/>
      <c r="E38" s="647" t="s">
        <v>2027</v>
      </c>
      <c r="F38" s="406"/>
      <c r="G38" s="406"/>
      <c r="H38" s="406"/>
      <c r="I38" s="404">
        <f t="shared" si="0"/>
        <v>0</v>
      </c>
      <c r="J38" s="405">
        <v>0</v>
      </c>
      <c r="K38" s="60">
        <f>I38*(1-J38)*Settings!$D$16*Settings!$D$13/1000000</f>
        <v>0</v>
      </c>
      <c r="L38" s="120">
        <f>K38*Settings!$G$24</f>
        <v>0</v>
      </c>
      <c r="M38" s="385"/>
    </row>
    <row r="39" spans="2:13" x14ac:dyDescent="0.25">
      <c r="B39" s="606" t="s">
        <v>1776</v>
      </c>
      <c r="C39" s="752"/>
      <c r="D39" s="661"/>
      <c r="E39" s="647" t="s">
        <v>2027</v>
      </c>
      <c r="F39" s="406"/>
      <c r="G39" s="406"/>
      <c r="H39" s="406"/>
      <c r="I39" s="404">
        <f t="shared" si="0"/>
        <v>0</v>
      </c>
      <c r="J39" s="405">
        <v>0</v>
      </c>
      <c r="K39" s="60">
        <f>I39*(1-J39)*Settings!$D$16*Settings!$D$13/1000000</f>
        <v>0</v>
      </c>
      <c r="L39" s="120">
        <f>K39*Settings!$G$24</f>
        <v>0</v>
      </c>
      <c r="M39" s="385"/>
    </row>
    <row r="40" spans="2:13" x14ac:dyDescent="0.25">
      <c r="B40" s="606" t="s">
        <v>1776</v>
      </c>
      <c r="C40" s="752"/>
      <c r="D40" s="658"/>
      <c r="E40" s="647" t="s">
        <v>2027</v>
      </c>
      <c r="F40" s="406"/>
      <c r="G40" s="406"/>
      <c r="H40" s="406"/>
      <c r="I40" s="404">
        <f t="shared" si="0"/>
        <v>0</v>
      </c>
      <c r="J40" s="405">
        <v>0</v>
      </c>
      <c r="K40" s="60">
        <f>I40*(1-J40)*Settings!$D$16*Settings!$D$13/1000000</f>
        <v>0</v>
      </c>
      <c r="L40" s="120">
        <f>K40*Settings!$G$24</f>
        <v>0</v>
      </c>
      <c r="M40" s="385"/>
    </row>
    <row r="41" spans="2:13" x14ac:dyDescent="0.25">
      <c r="B41" s="606" t="s">
        <v>1776</v>
      </c>
      <c r="C41" s="752"/>
      <c r="D41" s="658"/>
      <c r="E41" s="647" t="s">
        <v>2027</v>
      </c>
      <c r="F41" s="406"/>
      <c r="G41" s="406"/>
      <c r="H41" s="406"/>
      <c r="I41" s="404">
        <f t="shared" si="0"/>
        <v>0</v>
      </c>
      <c r="J41" s="405">
        <v>0</v>
      </c>
      <c r="K41" s="60">
        <f>I41*(1-J41)*Settings!$D$16*Settings!$D$13/1000000</f>
        <v>0</v>
      </c>
      <c r="L41" s="120">
        <f>K41*Settings!$G$24</f>
        <v>0</v>
      </c>
      <c r="M41" s="385"/>
    </row>
    <row r="42" spans="2:13" ht="30" customHeight="1" x14ac:dyDescent="0.25">
      <c r="B42" s="355" t="s">
        <v>410</v>
      </c>
      <c r="C42" s="378"/>
      <c r="D42" s="378"/>
      <c r="E42" s="355"/>
      <c r="F42" s="355"/>
      <c r="G42" s="355"/>
      <c r="H42" s="355"/>
      <c r="I42" s="355"/>
      <c r="J42" s="355"/>
      <c r="K42" s="135">
        <f>_xlfn.AGGREGATE(9,6,K12:K41)</f>
        <v>61.836212422538587</v>
      </c>
      <c r="L42" s="135">
        <f>_xlfn.AGGREGATE(9,6,L12:L41)</f>
        <v>1842.71913019165</v>
      </c>
      <c r="M42" s="398"/>
    </row>
    <row r="45" spans="2:13" s="279" customFormat="1" ht="30" customHeight="1" x14ac:dyDescent="0.25">
      <c r="B45" s="370" t="s">
        <v>760</v>
      </c>
      <c r="C45" s="371"/>
      <c r="D45" s="371"/>
      <c r="E45" s="371"/>
      <c r="F45" s="371"/>
      <c r="G45" s="371"/>
      <c r="H45" s="371"/>
      <c r="I45" s="371"/>
      <c r="J45" s="371"/>
      <c r="K45" s="371"/>
      <c r="L45" s="371"/>
      <c r="M45" s="372"/>
    </row>
    <row r="46" spans="2:13" ht="16.2" customHeight="1" x14ac:dyDescent="0.25">
      <c r="B46" s="1014" t="s">
        <v>329</v>
      </c>
      <c r="C46" s="1015" t="s">
        <v>335</v>
      </c>
      <c r="D46" s="1015" t="s">
        <v>411</v>
      </c>
      <c r="E46" s="1015" t="s">
        <v>591</v>
      </c>
      <c r="F46" s="1013" t="s">
        <v>401</v>
      </c>
      <c r="G46" s="1013"/>
      <c r="H46" s="1015" t="s">
        <v>272</v>
      </c>
      <c r="I46" s="1018" t="s">
        <v>353</v>
      </c>
      <c r="J46" s="1019"/>
      <c r="K46" s="956" t="s">
        <v>406</v>
      </c>
      <c r="L46" s="957"/>
      <c r="M46" s="1014" t="s">
        <v>715</v>
      </c>
    </row>
    <row r="47" spans="2:13" ht="16.2" customHeight="1" x14ac:dyDescent="0.25">
      <c r="B47" s="1007"/>
      <c r="C47" s="1017"/>
      <c r="D47" s="1017"/>
      <c r="E47" s="1017"/>
      <c r="F47" s="1013"/>
      <c r="G47" s="1013"/>
      <c r="H47" s="1017"/>
      <c r="I47" s="1009"/>
      <c r="J47" s="1010"/>
      <c r="K47" s="355" t="s">
        <v>591</v>
      </c>
      <c r="L47" s="355" t="s">
        <v>761</v>
      </c>
      <c r="M47" s="1007"/>
    </row>
    <row r="48" spans="2:13" x14ac:dyDescent="0.25">
      <c r="B48" s="1008"/>
      <c r="C48" s="1016"/>
      <c r="D48" s="1016"/>
      <c r="E48" s="1016"/>
      <c r="F48" s="1011" t="s">
        <v>767</v>
      </c>
      <c r="G48" s="1012"/>
      <c r="H48" s="1016"/>
      <c r="I48" s="1011"/>
      <c r="J48" s="1012"/>
      <c r="K48" s="355" t="s">
        <v>765</v>
      </c>
      <c r="L48" s="374" t="s">
        <v>222</v>
      </c>
      <c r="M48" s="1008"/>
    </row>
    <row r="49" spans="2:13" x14ac:dyDescent="0.25">
      <c r="B49" s="87" t="s">
        <v>1780</v>
      </c>
      <c r="C49" s="752" t="s">
        <v>341</v>
      </c>
      <c r="D49" s="87" t="s">
        <v>668</v>
      </c>
      <c r="E49" s="87" t="s">
        <v>711</v>
      </c>
      <c r="F49" s="1022">
        <v>400</v>
      </c>
      <c r="G49" s="1023"/>
      <c r="H49" s="400">
        <f>HLOOKUP(E49,Settings!$B$23:$G$24,2,FALSE)</f>
        <v>24300</v>
      </c>
      <c r="I49" s="1021" t="s">
        <v>228</v>
      </c>
      <c r="J49" s="914"/>
      <c r="K49" s="401">
        <f>F49/1000</f>
        <v>0.4</v>
      </c>
      <c r="L49" s="21">
        <f>K49*H49</f>
        <v>9720</v>
      </c>
      <c r="M49" s="174" t="s">
        <v>721</v>
      </c>
    </row>
    <row r="50" spans="2:13" x14ac:dyDescent="0.25">
      <c r="B50" s="606" t="s">
        <v>1781</v>
      </c>
      <c r="C50" s="407" t="s">
        <v>343</v>
      </c>
      <c r="D50" s="606" t="s">
        <v>838</v>
      </c>
      <c r="E50" s="606" t="s">
        <v>273</v>
      </c>
      <c r="F50" s="1024">
        <v>46864</v>
      </c>
      <c r="G50" s="1024"/>
      <c r="H50" s="632">
        <f>HLOOKUP(E50,Settings!$B$23:$G$24,2,FALSE)</f>
        <v>1</v>
      </c>
      <c r="I50" s="1028" t="s">
        <v>228</v>
      </c>
      <c r="J50" s="1028"/>
      <c r="K50" s="401">
        <f t="shared" ref="K50:K67" si="1">F50/1000</f>
        <v>46.863999999999997</v>
      </c>
      <c r="L50" s="21">
        <f t="shared" ref="L50:L67" si="2">K50*H50</f>
        <v>46.863999999999997</v>
      </c>
      <c r="M50" s="174" t="s">
        <v>721</v>
      </c>
    </row>
    <row r="51" spans="2:13" ht="28.2" customHeight="1" x14ac:dyDescent="0.25">
      <c r="B51" s="601" t="s">
        <v>410</v>
      </c>
      <c r="C51" s="378"/>
      <c r="D51" s="378"/>
      <c r="E51" s="601"/>
      <c r="F51" s="956"/>
      <c r="G51" s="957"/>
      <c r="H51" s="402"/>
      <c r="I51" s="956"/>
      <c r="J51" s="957"/>
      <c r="K51" s="379"/>
      <c r="L51" s="135">
        <f>_xlfn.AGGREGATE(9,6,L49:L50)</f>
        <v>9766.8639999999996</v>
      </c>
      <c r="M51" s="398"/>
    </row>
    <row r="54" spans="2:13" ht="31.8" customHeight="1" x14ac:dyDescent="0.25">
      <c r="B54" s="370" t="s">
        <v>1775</v>
      </c>
      <c r="C54" s="371"/>
      <c r="D54" s="371"/>
      <c r="E54" s="371"/>
      <c r="F54" s="371"/>
      <c r="G54" s="371"/>
      <c r="H54" s="371"/>
      <c r="I54" s="371"/>
      <c r="J54" s="371"/>
      <c r="K54" s="371"/>
      <c r="L54" s="371"/>
      <c r="M54" s="372"/>
    </row>
    <row r="55" spans="2:13" ht="16.8" customHeight="1" x14ac:dyDescent="0.25">
      <c r="B55" s="1014" t="s">
        <v>329</v>
      </c>
      <c r="C55" s="1015" t="s">
        <v>335</v>
      </c>
      <c r="D55" s="1015" t="s">
        <v>411</v>
      </c>
      <c r="E55" s="1015" t="s">
        <v>591</v>
      </c>
      <c r="F55" s="1013" t="s">
        <v>401</v>
      </c>
      <c r="G55" s="1020"/>
      <c r="H55" s="1015" t="s">
        <v>272</v>
      </c>
      <c r="I55" s="1018" t="s">
        <v>353</v>
      </c>
      <c r="J55" s="1019"/>
      <c r="K55" s="956" t="s">
        <v>406</v>
      </c>
      <c r="L55" s="957"/>
      <c r="M55" s="1014" t="s">
        <v>715</v>
      </c>
    </row>
    <row r="56" spans="2:13" ht="16.8" customHeight="1" x14ac:dyDescent="0.25">
      <c r="B56" s="1007"/>
      <c r="C56" s="1017"/>
      <c r="D56" s="1017"/>
      <c r="E56" s="1017"/>
      <c r="F56" s="1020"/>
      <c r="G56" s="1020"/>
      <c r="H56" s="1017"/>
      <c r="I56" s="1009"/>
      <c r="J56" s="1010"/>
      <c r="K56" s="601" t="s">
        <v>591</v>
      </c>
      <c r="L56" s="601" t="s">
        <v>761</v>
      </c>
      <c r="M56" s="1007"/>
    </row>
    <row r="57" spans="2:13" ht="16.8" customHeight="1" x14ac:dyDescent="0.25">
      <c r="B57" s="1008"/>
      <c r="C57" s="1016"/>
      <c r="D57" s="1016"/>
      <c r="E57" s="1016"/>
      <c r="F57" s="1011" t="s">
        <v>767</v>
      </c>
      <c r="G57" s="1012"/>
      <c r="H57" s="1016"/>
      <c r="I57" s="1011"/>
      <c r="J57" s="1012"/>
      <c r="K57" s="601" t="s">
        <v>765</v>
      </c>
      <c r="L57" s="603" t="s">
        <v>222</v>
      </c>
      <c r="M57" s="1008"/>
    </row>
    <row r="58" spans="2:13" x14ac:dyDescent="0.25">
      <c r="B58" s="87" t="s">
        <v>1776</v>
      </c>
      <c r="C58" s="752" t="s">
        <v>337</v>
      </c>
      <c r="D58" s="356" t="s">
        <v>773</v>
      </c>
      <c r="E58" s="87" t="s">
        <v>712</v>
      </c>
      <c r="F58" s="1022">
        <v>0</v>
      </c>
      <c r="G58" s="1023"/>
      <c r="H58" s="400">
        <f>HLOOKUP(E58,Settings!$B$23:$G$24,2,FALSE)</f>
        <v>12500</v>
      </c>
      <c r="I58" s="1021" t="s">
        <v>766</v>
      </c>
      <c r="J58" s="914"/>
      <c r="K58" s="401">
        <f t="shared" si="1"/>
        <v>0</v>
      </c>
      <c r="L58" s="21">
        <f t="shared" si="2"/>
        <v>0</v>
      </c>
      <c r="M58" s="174" t="s">
        <v>721</v>
      </c>
    </row>
    <row r="59" spans="2:13" x14ac:dyDescent="0.25">
      <c r="B59" s="606" t="s">
        <v>1776</v>
      </c>
      <c r="C59" s="752" t="s">
        <v>338</v>
      </c>
      <c r="D59" s="356" t="s">
        <v>773</v>
      </c>
      <c r="E59" s="87" t="s">
        <v>712</v>
      </c>
      <c r="F59" s="1022">
        <v>0</v>
      </c>
      <c r="G59" s="1023"/>
      <c r="H59" s="400">
        <f>HLOOKUP(E59,Settings!$B$23:$G$24,2,FALSE)</f>
        <v>12500</v>
      </c>
      <c r="I59" s="1021" t="s">
        <v>766</v>
      </c>
      <c r="J59" s="914"/>
      <c r="K59" s="401">
        <f t="shared" si="1"/>
        <v>0</v>
      </c>
      <c r="L59" s="21">
        <f t="shared" si="2"/>
        <v>0</v>
      </c>
      <c r="M59" s="174" t="s">
        <v>721</v>
      </c>
    </row>
    <row r="60" spans="2:13" x14ac:dyDescent="0.25">
      <c r="B60" s="606" t="s">
        <v>1776</v>
      </c>
      <c r="C60" s="752" t="s">
        <v>339</v>
      </c>
      <c r="D60" s="356" t="s">
        <v>773</v>
      </c>
      <c r="E60" s="87" t="s">
        <v>712</v>
      </c>
      <c r="F60" s="1022">
        <v>0</v>
      </c>
      <c r="G60" s="1023"/>
      <c r="H60" s="400">
        <f>HLOOKUP(E60,Settings!$B$23:$G$24,2,FALSE)</f>
        <v>12500</v>
      </c>
      <c r="I60" s="1021" t="s">
        <v>766</v>
      </c>
      <c r="J60" s="914"/>
      <c r="K60" s="401">
        <f t="shared" si="1"/>
        <v>0</v>
      </c>
      <c r="L60" s="21">
        <f t="shared" si="2"/>
        <v>0</v>
      </c>
      <c r="M60" s="174" t="s">
        <v>721</v>
      </c>
    </row>
    <row r="61" spans="2:13" x14ac:dyDescent="0.25">
      <c r="B61" s="606" t="s">
        <v>1776</v>
      </c>
      <c r="C61" s="752" t="s">
        <v>340</v>
      </c>
      <c r="D61" s="356" t="s">
        <v>773</v>
      </c>
      <c r="E61" s="570" t="s">
        <v>712</v>
      </c>
      <c r="F61" s="568">
        <v>68</v>
      </c>
      <c r="G61" s="569"/>
      <c r="H61" s="400">
        <f>HLOOKUP(E61,Settings!$B$23:$G$24,2,FALSE)</f>
        <v>12500</v>
      </c>
      <c r="I61" s="1021" t="s">
        <v>766</v>
      </c>
      <c r="J61" s="914"/>
      <c r="K61" s="401">
        <f t="shared" si="1"/>
        <v>6.8000000000000005E-2</v>
      </c>
      <c r="L61" s="21">
        <f t="shared" si="2"/>
        <v>850.00000000000011</v>
      </c>
      <c r="M61" s="174" t="s">
        <v>721</v>
      </c>
    </row>
    <row r="62" spans="2:13" x14ac:dyDescent="0.25">
      <c r="B62" s="606" t="s">
        <v>1776</v>
      </c>
      <c r="C62" s="752" t="s">
        <v>341</v>
      </c>
      <c r="D62" s="356" t="s">
        <v>773</v>
      </c>
      <c r="E62" s="570" t="s">
        <v>712</v>
      </c>
      <c r="F62" s="568">
        <v>5149</v>
      </c>
      <c r="G62" s="569"/>
      <c r="H62" s="400">
        <f>HLOOKUP(E62,Settings!$B$23:$G$24,2,FALSE)</f>
        <v>12500</v>
      </c>
      <c r="I62" s="1021" t="s">
        <v>766</v>
      </c>
      <c r="J62" s="914"/>
      <c r="K62" s="401">
        <f t="shared" si="1"/>
        <v>5.149</v>
      </c>
      <c r="L62" s="21">
        <f t="shared" si="2"/>
        <v>64362.5</v>
      </c>
      <c r="M62" s="174" t="s">
        <v>721</v>
      </c>
    </row>
    <row r="63" spans="2:13" x14ac:dyDescent="0.25">
      <c r="B63" s="606" t="s">
        <v>1776</v>
      </c>
      <c r="C63" s="752" t="s">
        <v>342</v>
      </c>
      <c r="D63" s="356" t="s">
        <v>773</v>
      </c>
      <c r="E63" s="570" t="s">
        <v>712</v>
      </c>
      <c r="F63" s="1022">
        <v>57</v>
      </c>
      <c r="G63" s="1023"/>
      <c r="H63" s="400">
        <f>HLOOKUP(E63,Settings!$B$23:$G$24,2,FALSE)</f>
        <v>12500</v>
      </c>
      <c r="I63" s="1021" t="s">
        <v>766</v>
      </c>
      <c r="J63" s="914"/>
      <c r="K63" s="401">
        <f t="shared" si="1"/>
        <v>5.7000000000000002E-2</v>
      </c>
      <c r="L63" s="21">
        <f t="shared" si="2"/>
        <v>712.5</v>
      </c>
      <c r="M63" s="174" t="s">
        <v>721</v>
      </c>
    </row>
    <row r="64" spans="2:13" x14ac:dyDescent="0.25">
      <c r="B64" s="606" t="s">
        <v>1776</v>
      </c>
      <c r="C64" s="752" t="s">
        <v>343</v>
      </c>
      <c r="D64" s="356" t="s">
        <v>773</v>
      </c>
      <c r="E64" s="570" t="s">
        <v>712</v>
      </c>
      <c r="F64" s="568">
        <v>14</v>
      </c>
      <c r="G64" s="569"/>
      <c r="H64" s="400">
        <f>HLOOKUP(E64,Settings!$B$23:$G$24,2,FALSE)</f>
        <v>12500</v>
      </c>
      <c r="I64" s="1021" t="s">
        <v>766</v>
      </c>
      <c r="J64" s="914"/>
      <c r="K64" s="401">
        <f t="shared" si="1"/>
        <v>1.4E-2</v>
      </c>
      <c r="L64" s="21">
        <f t="shared" si="2"/>
        <v>175</v>
      </c>
      <c r="M64" s="174" t="s">
        <v>721</v>
      </c>
    </row>
    <row r="65" spans="2:13" x14ac:dyDescent="0.25">
      <c r="B65" s="606" t="s">
        <v>1776</v>
      </c>
      <c r="C65" s="752" t="s">
        <v>510</v>
      </c>
      <c r="D65" s="356" t="s">
        <v>773</v>
      </c>
      <c r="E65" s="570" t="s">
        <v>712</v>
      </c>
      <c r="F65" s="568">
        <v>0</v>
      </c>
      <c r="G65" s="569"/>
      <c r="H65" s="400">
        <f>HLOOKUP(E65,Settings!$B$23:$G$24,2,FALSE)</f>
        <v>12500</v>
      </c>
      <c r="I65" s="1021" t="s">
        <v>766</v>
      </c>
      <c r="J65" s="914"/>
      <c r="K65" s="401">
        <f t="shared" si="1"/>
        <v>0</v>
      </c>
      <c r="L65" s="21">
        <f t="shared" si="2"/>
        <v>0</v>
      </c>
      <c r="M65" s="174" t="s">
        <v>721</v>
      </c>
    </row>
    <row r="66" spans="2:13" x14ac:dyDescent="0.25">
      <c r="B66" s="606" t="s">
        <v>1776</v>
      </c>
      <c r="C66" s="752"/>
      <c r="D66" s="570"/>
      <c r="E66" s="570"/>
      <c r="F66" s="568"/>
      <c r="G66" s="569"/>
      <c r="H66" s="400" t="e">
        <f>HLOOKUP(E66,Settings!$B$23:$G$24,2,FALSE)</f>
        <v>#N/A</v>
      </c>
      <c r="I66" s="567"/>
      <c r="J66" s="566"/>
      <c r="K66" s="401">
        <f t="shared" si="1"/>
        <v>0</v>
      </c>
      <c r="L66" s="21" t="e">
        <f t="shared" si="2"/>
        <v>#N/A</v>
      </c>
      <c r="M66" s="174"/>
    </row>
    <row r="67" spans="2:13" x14ac:dyDescent="0.25">
      <c r="B67" s="606" t="s">
        <v>1776</v>
      </c>
      <c r="C67" s="752"/>
      <c r="D67" s="87"/>
      <c r="E67" s="87"/>
      <c r="F67" s="1026"/>
      <c r="G67" s="1027"/>
      <c r="H67" s="400" t="e">
        <f>HLOOKUP(E67,Settings!$B$23:$G$24,2,FALSE)</f>
        <v>#N/A</v>
      </c>
      <c r="I67" s="1021"/>
      <c r="J67" s="914"/>
      <c r="K67" s="401">
        <f t="shared" si="1"/>
        <v>0</v>
      </c>
      <c r="L67" s="21" t="e">
        <f t="shared" si="2"/>
        <v>#N/A</v>
      </c>
      <c r="M67" s="385"/>
    </row>
    <row r="68" spans="2:13" ht="30" customHeight="1" x14ac:dyDescent="0.25">
      <c r="B68" s="355" t="s">
        <v>410</v>
      </c>
      <c r="C68" s="378"/>
      <c r="D68" s="378"/>
      <c r="E68" s="355"/>
      <c r="F68" s="956"/>
      <c r="G68" s="957"/>
      <c r="H68" s="402"/>
      <c r="I68" s="956"/>
      <c r="J68" s="957"/>
      <c r="K68" s="379"/>
      <c r="L68" s="135">
        <f>_xlfn.AGGREGATE(9,6,L49:L67)</f>
        <v>85633.728000000003</v>
      </c>
      <c r="M68" s="398"/>
    </row>
    <row r="69" spans="2:13" x14ac:dyDescent="0.25">
      <c r="B69" s="24"/>
      <c r="C69" s="24"/>
      <c r="D69" s="24"/>
      <c r="E69" s="24"/>
      <c r="F69" s="24"/>
      <c r="G69" s="24"/>
      <c r="H69" s="24"/>
      <c r="I69" s="24"/>
      <c r="J69" s="24"/>
      <c r="K69" s="24"/>
      <c r="L69" s="24"/>
    </row>
    <row r="70" spans="2:13" x14ac:dyDescent="0.25">
      <c r="B70" s="24"/>
      <c r="C70" s="24"/>
      <c r="D70" s="24"/>
      <c r="E70" s="24"/>
      <c r="F70" s="24"/>
      <c r="G70" s="24"/>
      <c r="H70" s="24"/>
      <c r="I70" s="24"/>
      <c r="J70" s="24"/>
      <c r="K70" s="24"/>
      <c r="L70" s="24"/>
    </row>
    <row r="71" spans="2:13" s="279" customFormat="1" ht="30" customHeight="1" x14ac:dyDescent="0.25">
      <c r="B71" s="370" t="s">
        <v>776</v>
      </c>
      <c r="C71" s="371"/>
      <c r="D71" s="371"/>
      <c r="E71" s="371"/>
      <c r="F71" s="371"/>
      <c r="G71" s="371"/>
      <c r="H71" s="371"/>
      <c r="I71" s="371"/>
      <c r="J71" s="371"/>
      <c r="K71" s="371"/>
      <c r="L71" s="371"/>
      <c r="M71" s="372"/>
    </row>
    <row r="72" spans="2:13" x14ac:dyDescent="0.25">
      <c r="B72" s="1014" t="s">
        <v>329</v>
      </c>
      <c r="C72" s="1015" t="s">
        <v>335</v>
      </c>
      <c r="D72" s="1015" t="s">
        <v>396</v>
      </c>
      <c r="E72" s="1015" t="s">
        <v>591</v>
      </c>
      <c r="F72" s="1013" t="s">
        <v>401</v>
      </c>
      <c r="G72" s="1013"/>
      <c r="H72" s="1015" t="s">
        <v>404</v>
      </c>
      <c r="I72" s="1015" t="s">
        <v>777</v>
      </c>
      <c r="J72" s="1015" t="s">
        <v>778</v>
      </c>
      <c r="K72" s="956" t="s">
        <v>406</v>
      </c>
      <c r="L72" s="957"/>
      <c r="M72" s="1014" t="s">
        <v>715</v>
      </c>
    </row>
    <row r="73" spans="2:13" x14ac:dyDescent="0.25">
      <c r="B73" s="1007"/>
      <c r="C73" s="1017"/>
      <c r="D73" s="1017"/>
      <c r="E73" s="1017"/>
      <c r="F73" s="1013"/>
      <c r="G73" s="1013"/>
      <c r="H73" s="1016"/>
      <c r="I73" s="1016"/>
      <c r="J73" s="1016"/>
      <c r="K73" s="355" t="s">
        <v>591</v>
      </c>
      <c r="L73" s="355" t="s">
        <v>761</v>
      </c>
      <c r="M73" s="1007"/>
    </row>
    <row r="74" spans="2:13" x14ac:dyDescent="0.25">
      <c r="B74" s="1007"/>
      <c r="C74" s="1017"/>
      <c r="D74" s="1016"/>
      <c r="E74" s="1016"/>
      <c r="F74" s="976" t="s">
        <v>767</v>
      </c>
      <c r="G74" s="976"/>
      <c r="H74" s="355" t="s">
        <v>779</v>
      </c>
      <c r="I74" s="355" t="s">
        <v>780</v>
      </c>
      <c r="J74" s="355" t="s">
        <v>228</v>
      </c>
      <c r="K74" s="355" t="s">
        <v>1681</v>
      </c>
      <c r="L74" s="374" t="s">
        <v>222</v>
      </c>
      <c r="M74" s="1008"/>
    </row>
    <row r="75" spans="2:13" x14ac:dyDescent="0.25">
      <c r="B75" s="87" t="s">
        <v>277</v>
      </c>
      <c r="C75" s="407" t="s">
        <v>337</v>
      </c>
      <c r="D75" s="645" t="s">
        <v>774</v>
      </c>
      <c r="E75" s="645" t="s">
        <v>273</v>
      </c>
      <c r="F75" s="1022">
        <v>152840</v>
      </c>
      <c r="G75" s="1023"/>
      <c r="H75" s="376">
        <v>4.02E-2</v>
      </c>
      <c r="I75" s="376">
        <v>20</v>
      </c>
      <c r="J75" s="376">
        <v>0.2</v>
      </c>
      <c r="K75" s="90">
        <f>F75*H75*I75*J75*44/12</f>
        <v>90114.463999999993</v>
      </c>
      <c r="L75" s="90">
        <f>K75/1000</f>
        <v>90.114463999999998</v>
      </c>
      <c r="M75" s="174" t="s">
        <v>721</v>
      </c>
    </row>
    <row r="76" spans="2:13" x14ac:dyDescent="0.25">
      <c r="B76" s="87" t="s">
        <v>278</v>
      </c>
      <c r="C76" s="407" t="s">
        <v>338</v>
      </c>
      <c r="D76" s="645" t="s">
        <v>774</v>
      </c>
      <c r="E76" s="645" t="s">
        <v>273</v>
      </c>
      <c r="F76" s="1022">
        <v>428177</v>
      </c>
      <c r="G76" s="1023"/>
      <c r="H76" s="376">
        <v>4.02E-2</v>
      </c>
      <c r="I76" s="376">
        <v>20</v>
      </c>
      <c r="J76" s="376">
        <v>0.2</v>
      </c>
      <c r="K76" s="90">
        <f t="shared" ref="K76:K90" si="3">F76*H76*I76*J76*44/12</f>
        <v>252453.15920000002</v>
      </c>
      <c r="L76" s="90">
        <f t="shared" ref="L76:L90" si="4">K76/1000</f>
        <v>252.45315920000002</v>
      </c>
      <c r="M76" s="174" t="s">
        <v>721</v>
      </c>
    </row>
    <row r="77" spans="2:13" x14ac:dyDescent="0.25">
      <c r="B77" s="87" t="s">
        <v>1790</v>
      </c>
      <c r="C77" s="407" t="s">
        <v>339</v>
      </c>
      <c r="D77" s="645" t="s">
        <v>774</v>
      </c>
      <c r="E77" s="645" t="s">
        <v>273</v>
      </c>
      <c r="F77" s="1022">
        <v>739855</v>
      </c>
      <c r="G77" s="1023"/>
      <c r="H77" s="376">
        <v>4.02E-2</v>
      </c>
      <c r="I77" s="376">
        <v>20</v>
      </c>
      <c r="J77" s="376">
        <v>0.2</v>
      </c>
      <c r="K77" s="90">
        <f t="shared" si="3"/>
        <v>436218.50799999997</v>
      </c>
      <c r="L77" s="90">
        <f t="shared" si="4"/>
        <v>436.21850799999999</v>
      </c>
      <c r="M77" s="174" t="s">
        <v>721</v>
      </c>
    </row>
    <row r="78" spans="2:13" x14ac:dyDescent="0.25">
      <c r="B78" s="87" t="s">
        <v>1791</v>
      </c>
      <c r="C78" s="407" t="s">
        <v>340</v>
      </c>
      <c r="D78" s="645" t="s">
        <v>774</v>
      </c>
      <c r="E78" s="645" t="s">
        <v>273</v>
      </c>
      <c r="F78" s="1022">
        <v>1853460</v>
      </c>
      <c r="G78" s="1023"/>
      <c r="H78" s="376">
        <v>4.02E-2</v>
      </c>
      <c r="I78" s="376">
        <v>20</v>
      </c>
      <c r="J78" s="376">
        <v>0.2</v>
      </c>
      <c r="K78" s="90">
        <f t="shared" si="3"/>
        <v>1092800.0160000001</v>
      </c>
      <c r="L78" s="90">
        <f t="shared" si="4"/>
        <v>1092.8000160000001</v>
      </c>
      <c r="M78" s="174" t="s">
        <v>721</v>
      </c>
    </row>
    <row r="79" spans="2:13" x14ac:dyDescent="0.25">
      <c r="B79" s="87" t="s">
        <v>1792</v>
      </c>
      <c r="C79" s="407" t="s">
        <v>341</v>
      </c>
      <c r="D79" s="645" t="s">
        <v>774</v>
      </c>
      <c r="E79" s="645" t="s">
        <v>273</v>
      </c>
      <c r="F79" s="1022">
        <v>13202</v>
      </c>
      <c r="G79" s="1023"/>
      <c r="H79" s="376">
        <v>4.02E-2</v>
      </c>
      <c r="I79" s="376">
        <v>20</v>
      </c>
      <c r="J79" s="376">
        <v>0.2</v>
      </c>
      <c r="K79" s="90">
        <f t="shared" si="3"/>
        <v>7783.8992000000007</v>
      </c>
      <c r="L79" s="90">
        <f t="shared" si="4"/>
        <v>7.7838992000000005</v>
      </c>
      <c r="M79" s="174" t="s">
        <v>721</v>
      </c>
    </row>
    <row r="80" spans="2:13" x14ac:dyDescent="0.25">
      <c r="B80" s="87" t="s">
        <v>1793</v>
      </c>
      <c r="C80" s="407" t="s">
        <v>342</v>
      </c>
      <c r="D80" s="645" t="s">
        <v>774</v>
      </c>
      <c r="E80" s="645" t="s">
        <v>273</v>
      </c>
      <c r="F80" s="1022">
        <v>51256</v>
      </c>
      <c r="G80" s="1023"/>
      <c r="H80" s="376">
        <v>4.02E-2</v>
      </c>
      <c r="I80" s="376">
        <v>20</v>
      </c>
      <c r="J80" s="376">
        <v>0.2</v>
      </c>
      <c r="K80" s="90">
        <f t="shared" si="3"/>
        <v>30220.5376</v>
      </c>
      <c r="L80" s="90">
        <f t="shared" si="4"/>
        <v>30.2205376</v>
      </c>
      <c r="M80" s="174" t="s">
        <v>721</v>
      </c>
    </row>
    <row r="81" spans="2:13" x14ac:dyDescent="0.25">
      <c r="B81" s="87" t="s">
        <v>1794</v>
      </c>
      <c r="C81" s="407" t="s">
        <v>343</v>
      </c>
      <c r="D81" s="645" t="s">
        <v>774</v>
      </c>
      <c r="E81" s="645" t="s">
        <v>273</v>
      </c>
      <c r="F81" s="1022">
        <v>19975</v>
      </c>
      <c r="G81" s="1023"/>
      <c r="H81" s="376">
        <v>4.02E-2</v>
      </c>
      <c r="I81" s="376">
        <v>20</v>
      </c>
      <c r="J81" s="376">
        <v>0.2</v>
      </c>
      <c r="K81" s="90">
        <f t="shared" si="3"/>
        <v>11777.26</v>
      </c>
      <c r="L81" s="90">
        <f t="shared" si="4"/>
        <v>11.77726</v>
      </c>
      <c r="M81" s="174" t="s">
        <v>721</v>
      </c>
    </row>
    <row r="82" spans="2:13" x14ac:dyDescent="0.25">
      <c r="B82" s="87" t="s">
        <v>1795</v>
      </c>
      <c r="C82" s="407" t="s">
        <v>510</v>
      </c>
      <c r="D82" s="645" t="s">
        <v>774</v>
      </c>
      <c r="E82" s="645" t="s">
        <v>273</v>
      </c>
      <c r="F82" s="1022">
        <v>4370</v>
      </c>
      <c r="G82" s="1023"/>
      <c r="H82" s="376">
        <v>4.02E-2</v>
      </c>
      <c r="I82" s="376">
        <v>20</v>
      </c>
      <c r="J82" s="376">
        <v>0.2</v>
      </c>
      <c r="K82" s="90">
        <f t="shared" si="3"/>
        <v>2576.5520000000001</v>
      </c>
      <c r="L82" s="90">
        <f t="shared" si="4"/>
        <v>2.576552</v>
      </c>
      <c r="M82" s="174" t="s">
        <v>721</v>
      </c>
    </row>
    <row r="83" spans="2:13" x14ac:dyDescent="0.25">
      <c r="B83" s="87" t="s">
        <v>1796</v>
      </c>
      <c r="C83" s="407" t="s">
        <v>337</v>
      </c>
      <c r="D83" s="645" t="s">
        <v>775</v>
      </c>
      <c r="E83" s="645" t="s">
        <v>273</v>
      </c>
      <c r="F83" s="1022">
        <v>107445</v>
      </c>
      <c r="G83" s="1023"/>
      <c r="H83" s="376">
        <v>4.02E-2</v>
      </c>
      <c r="I83" s="376">
        <v>20</v>
      </c>
      <c r="J83" s="376">
        <v>0.05</v>
      </c>
      <c r="K83" s="90">
        <f t="shared" si="3"/>
        <v>15837.392999999998</v>
      </c>
      <c r="L83" s="90">
        <f t="shared" si="4"/>
        <v>15.837392999999999</v>
      </c>
      <c r="M83" s="174" t="s">
        <v>721</v>
      </c>
    </row>
    <row r="84" spans="2:13" x14ac:dyDescent="0.25">
      <c r="B84" s="87" t="s">
        <v>1797</v>
      </c>
      <c r="C84" s="407" t="s">
        <v>338</v>
      </c>
      <c r="D84" s="645" t="s">
        <v>775</v>
      </c>
      <c r="E84" s="645" t="s">
        <v>273</v>
      </c>
      <c r="F84" s="1022">
        <v>190484</v>
      </c>
      <c r="G84" s="1023"/>
      <c r="H84" s="376">
        <v>4.02E-2</v>
      </c>
      <c r="I84" s="376">
        <v>20</v>
      </c>
      <c r="J84" s="376">
        <v>0.05</v>
      </c>
      <c r="K84" s="90">
        <f t="shared" si="3"/>
        <v>28077.3416</v>
      </c>
      <c r="L84" s="90">
        <f t="shared" si="4"/>
        <v>28.0773416</v>
      </c>
      <c r="M84" s="174" t="s">
        <v>721</v>
      </c>
    </row>
    <row r="85" spans="2:13" x14ac:dyDescent="0.25">
      <c r="B85" s="87" t="s">
        <v>1798</v>
      </c>
      <c r="C85" s="407" t="s">
        <v>339</v>
      </c>
      <c r="D85" s="645" t="s">
        <v>775</v>
      </c>
      <c r="E85" s="645" t="s">
        <v>273</v>
      </c>
      <c r="F85" s="1022">
        <v>247958</v>
      </c>
      <c r="G85" s="1023"/>
      <c r="H85" s="376">
        <v>4.02E-2</v>
      </c>
      <c r="I85" s="376">
        <v>20</v>
      </c>
      <c r="J85" s="376">
        <v>0.05</v>
      </c>
      <c r="K85" s="90">
        <f t="shared" si="3"/>
        <v>36549.0092</v>
      </c>
      <c r="L85" s="90">
        <f t="shared" si="4"/>
        <v>36.5490092</v>
      </c>
      <c r="M85" s="174" t="s">
        <v>721</v>
      </c>
    </row>
    <row r="86" spans="2:13" x14ac:dyDescent="0.25">
      <c r="B86" s="87" t="s">
        <v>1799</v>
      </c>
      <c r="C86" s="407" t="s">
        <v>340</v>
      </c>
      <c r="D86" s="645" t="s">
        <v>775</v>
      </c>
      <c r="E86" s="645" t="s">
        <v>273</v>
      </c>
      <c r="F86" s="1022">
        <v>23034</v>
      </c>
      <c r="G86" s="1023"/>
      <c r="H86" s="376">
        <v>4.02E-2</v>
      </c>
      <c r="I86" s="376">
        <v>20</v>
      </c>
      <c r="J86" s="376">
        <v>0.05</v>
      </c>
      <c r="K86" s="90">
        <f t="shared" si="3"/>
        <v>3395.2116000000001</v>
      </c>
      <c r="L86" s="90">
        <f t="shared" si="4"/>
        <v>3.3952116000000001</v>
      </c>
      <c r="M86" s="174" t="s">
        <v>721</v>
      </c>
    </row>
    <row r="87" spans="2:13" x14ac:dyDescent="0.25">
      <c r="B87" s="87" t="s">
        <v>1800</v>
      </c>
      <c r="C87" s="407" t="s">
        <v>341</v>
      </c>
      <c r="D87" s="645" t="s">
        <v>775</v>
      </c>
      <c r="E87" s="645" t="s">
        <v>273</v>
      </c>
      <c r="F87" s="1022">
        <v>1184</v>
      </c>
      <c r="G87" s="1023"/>
      <c r="H87" s="376">
        <v>4.02E-2</v>
      </c>
      <c r="I87" s="376">
        <v>20</v>
      </c>
      <c r="J87" s="376">
        <v>0.05</v>
      </c>
      <c r="K87" s="90">
        <f t="shared" si="3"/>
        <v>174.52160000000001</v>
      </c>
      <c r="L87" s="90">
        <f t="shared" si="4"/>
        <v>0.1745216</v>
      </c>
      <c r="M87" s="174" t="s">
        <v>721</v>
      </c>
    </row>
    <row r="88" spans="2:13" x14ac:dyDescent="0.25">
      <c r="B88" s="87" t="s">
        <v>1801</v>
      </c>
      <c r="C88" s="407" t="s">
        <v>342</v>
      </c>
      <c r="D88" s="645" t="s">
        <v>775</v>
      </c>
      <c r="E88" s="645" t="s">
        <v>273</v>
      </c>
      <c r="F88" s="1022">
        <v>7600</v>
      </c>
      <c r="G88" s="1023"/>
      <c r="H88" s="376">
        <v>4.02E-2</v>
      </c>
      <c r="I88" s="376">
        <v>20</v>
      </c>
      <c r="J88" s="376">
        <v>0.05</v>
      </c>
      <c r="K88" s="90">
        <f t="shared" si="3"/>
        <v>1120.24</v>
      </c>
      <c r="L88" s="90">
        <f t="shared" si="4"/>
        <v>1.1202399999999999</v>
      </c>
      <c r="M88" s="174" t="s">
        <v>721</v>
      </c>
    </row>
    <row r="89" spans="2:13" x14ac:dyDescent="0.25">
      <c r="B89" s="87" t="s">
        <v>1802</v>
      </c>
      <c r="C89" s="407" t="s">
        <v>343</v>
      </c>
      <c r="D89" s="645" t="s">
        <v>775</v>
      </c>
      <c r="E89" s="645" t="s">
        <v>273</v>
      </c>
      <c r="F89" s="1022">
        <v>330</v>
      </c>
      <c r="G89" s="1023"/>
      <c r="H89" s="376">
        <v>4.02E-2</v>
      </c>
      <c r="I89" s="376">
        <v>20</v>
      </c>
      <c r="J89" s="376">
        <v>0.05</v>
      </c>
      <c r="K89" s="90">
        <f t="shared" si="3"/>
        <v>48.641999999999996</v>
      </c>
      <c r="L89" s="90">
        <f t="shared" si="4"/>
        <v>4.8641999999999998E-2</v>
      </c>
      <c r="M89" s="174" t="s">
        <v>721</v>
      </c>
    </row>
    <row r="90" spans="2:13" x14ac:dyDescent="0.25">
      <c r="B90" s="87" t="s">
        <v>1803</v>
      </c>
      <c r="C90" s="407" t="s">
        <v>510</v>
      </c>
      <c r="D90" s="645" t="s">
        <v>775</v>
      </c>
      <c r="E90" s="645" t="s">
        <v>273</v>
      </c>
      <c r="F90" s="1022">
        <v>20</v>
      </c>
      <c r="G90" s="1023"/>
      <c r="H90" s="376">
        <v>4.02E-2</v>
      </c>
      <c r="I90" s="376">
        <v>20</v>
      </c>
      <c r="J90" s="376">
        <v>0.05</v>
      </c>
      <c r="K90" s="90">
        <f t="shared" si="3"/>
        <v>2.9480000000000004</v>
      </c>
      <c r="L90" s="90">
        <f t="shared" si="4"/>
        <v>2.9480000000000005E-3</v>
      </c>
      <c r="M90" s="174" t="s">
        <v>721</v>
      </c>
    </row>
    <row r="91" spans="2:13" s="4" customFormat="1" ht="30" customHeight="1" x14ac:dyDescent="0.25">
      <c r="B91" s="355" t="s">
        <v>410</v>
      </c>
      <c r="C91" s="355"/>
      <c r="D91" s="379"/>
      <c r="E91" s="402"/>
      <c r="F91" s="956"/>
      <c r="G91" s="957"/>
      <c r="H91" s="355"/>
      <c r="I91" s="355"/>
      <c r="J91" s="355"/>
      <c r="K91" s="355"/>
      <c r="L91" s="135">
        <f>_xlfn.AGGREGATE(9,6,L75:L90)</f>
        <v>2009.149703</v>
      </c>
      <c r="M91" s="398"/>
    </row>
    <row r="92" spans="2:13" x14ac:dyDescent="0.25">
      <c r="B92" s="24"/>
      <c r="C92" s="24"/>
      <c r="D92" s="24"/>
      <c r="E92" s="24"/>
      <c r="F92" s="24"/>
      <c r="G92" s="24"/>
      <c r="H92" s="24"/>
      <c r="I92" s="24"/>
      <c r="J92" s="24"/>
      <c r="K92" s="24"/>
      <c r="L92" s="24"/>
    </row>
    <row r="93" spans="2:13" x14ac:dyDescent="0.25">
      <c r="B93" s="24"/>
      <c r="C93" s="24"/>
      <c r="D93" s="24"/>
      <c r="E93" s="24"/>
      <c r="F93" s="24"/>
      <c r="G93" s="24"/>
      <c r="H93" s="24"/>
      <c r="I93" s="24"/>
      <c r="J93" s="24"/>
      <c r="K93" s="24"/>
      <c r="L93" s="24"/>
    </row>
    <row r="95" spans="2:13" ht="30" customHeight="1" x14ac:dyDescent="0.25">
      <c r="K95" s="381" t="s">
        <v>1777</v>
      </c>
      <c r="L95" s="381"/>
    </row>
    <row r="96" spans="2:13" x14ac:dyDescent="0.25">
      <c r="K96" s="1015" t="s">
        <v>335</v>
      </c>
      <c r="L96" s="374" t="s">
        <v>406</v>
      </c>
    </row>
    <row r="97" spans="9:12" ht="16.2" customHeight="1" x14ac:dyDescent="0.25">
      <c r="K97" s="1016"/>
      <c r="L97" s="355" t="s">
        <v>222</v>
      </c>
    </row>
    <row r="98" spans="9:12" x14ac:dyDescent="0.25">
      <c r="K98" s="91" t="s">
        <v>337</v>
      </c>
      <c r="L98" s="65">
        <f>SUMIF($C$12:$C$41,K98,$L$12:$L$41)+SUMIF($C$49:$C$50,K98,$L$49:$L$50)+SUMIF($C$75:$C$90,K98,$L$75:$L$90)</f>
        <v>437.19189324661193</v>
      </c>
    </row>
    <row r="99" spans="9:12" x14ac:dyDescent="0.25">
      <c r="K99" s="91" t="s">
        <v>338</v>
      </c>
      <c r="L99" s="65">
        <f t="shared" ref="L99:L105" si="5">SUMIF($C$12:$C$41,K99,$L$12:$L$41)+SUMIF($C$49:$C$50,K99,$L$49:$L$50)+SUMIF($C$75:$C$90,K99,$L$75:$L$90)</f>
        <v>513.52952713547904</v>
      </c>
    </row>
    <row r="100" spans="9:12" x14ac:dyDescent="0.25">
      <c r="K100" s="91" t="s">
        <v>339</v>
      </c>
      <c r="L100" s="65">
        <f t="shared" si="5"/>
        <v>649.28063533412683</v>
      </c>
    </row>
    <row r="101" spans="9:12" x14ac:dyDescent="0.25">
      <c r="K101" s="91" t="s">
        <v>340</v>
      </c>
      <c r="L101" s="65">
        <f t="shared" si="5"/>
        <v>1338.8900750442276</v>
      </c>
    </row>
    <row r="102" spans="9:12" x14ac:dyDescent="0.25">
      <c r="K102" s="91" t="s">
        <v>341</v>
      </c>
      <c r="L102" s="65">
        <f t="shared" si="5"/>
        <v>10470.410309957553</v>
      </c>
    </row>
    <row r="103" spans="9:12" x14ac:dyDescent="0.25">
      <c r="K103" s="91" t="s">
        <v>342</v>
      </c>
      <c r="L103" s="65">
        <f t="shared" si="5"/>
        <v>31.340777599999999</v>
      </c>
    </row>
    <row r="104" spans="9:12" x14ac:dyDescent="0.25">
      <c r="K104" s="91" t="s">
        <v>343</v>
      </c>
      <c r="L104" s="65">
        <f t="shared" si="5"/>
        <v>105.64033894555989</v>
      </c>
    </row>
    <row r="105" spans="9:12" x14ac:dyDescent="0.25">
      <c r="K105" s="91" t="s">
        <v>510</v>
      </c>
      <c r="L105" s="65">
        <f t="shared" si="5"/>
        <v>72.449275928091879</v>
      </c>
    </row>
    <row r="106" spans="9:12" ht="30" customHeight="1" x14ac:dyDescent="0.25">
      <c r="K106" s="396" t="s">
        <v>410</v>
      </c>
      <c r="L106" s="66">
        <f>_xlfn.AGGREGATE(9,6,L98:L105)</f>
        <v>13618.732833191649</v>
      </c>
    </row>
    <row r="108" spans="9:12" ht="30" customHeight="1" x14ac:dyDescent="0.25">
      <c r="K108" s="176" t="s">
        <v>762</v>
      </c>
      <c r="L108" s="14">
        <f>L68</f>
        <v>85633.728000000003</v>
      </c>
    </row>
    <row r="112" spans="9:12" ht="31.2" customHeight="1" x14ac:dyDescent="0.25">
      <c r="I112" s="381" t="s">
        <v>1778</v>
      </c>
      <c r="J112" s="617"/>
      <c r="K112" s="617"/>
      <c r="L112" s="633"/>
    </row>
    <row r="113" spans="9:12" x14ac:dyDescent="0.25">
      <c r="I113" s="1014" t="s">
        <v>329</v>
      </c>
      <c r="J113" s="1015" t="s">
        <v>335</v>
      </c>
      <c r="K113" s="604" t="s">
        <v>10</v>
      </c>
      <c r="L113" s="604" t="s">
        <v>271</v>
      </c>
    </row>
    <row r="114" spans="9:12" x14ac:dyDescent="0.25">
      <c r="I114" s="1008"/>
      <c r="J114" s="1016"/>
      <c r="K114" s="601" t="s">
        <v>220</v>
      </c>
      <c r="L114" s="603" t="s">
        <v>222</v>
      </c>
    </row>
    <row r="115" spans="9:12" x14ac:dyDescent="0.25">
      <c r="I115" s="598" t="s">
        <v>1782</v>
      </c>
      <c r="J115" s="634" t="s">
        <v>337</v>
      </c>
      <c r="K115" s="623">
        <f>SUMIF($C$12:$C$41,J115,$K$12:$K$41)</f>
        <v>11.115437457939995</v>
      </c>
      <c r="L115" s="623">
        <f>SUMIF($C$12:$C$41,J115,$L$12:$L$41)</f>
        <v>331.24003624661191</v>
      </c>
    </row>
    <row r="116" spans="9:12" x14ac:dyDescent="0.25">
      <c r="I116" s="598" t="s">
        <v>1783</v>
      </c>
      <c r="J116" s="634" t="s">
        <v>338</v>
      </c>
      <c r="K116" s="623">
        <f t="shared" ref="K116:K122" si="6">SUMIF($C$12:$C$41,J116,$K$12:$K$41)</f>
        <v>7.8187592730026507</v>
      </c>
      <c r="L116" s="623">
        <f t="shared" ref="L116:L122" si="7">SUMIF($C$12:$C$41,J116,$L$12:$L$41)</f>
        <v>232.99902633547902</v>
      </c>
    </row>
    <row r="117" spans="9:12" x14ac:dyDescent="0.25">
      <c r="I117" s="598" t="s">
        <v>1784</v>
      </c>
      <c r="J117" s="634" t="s">
        <v>339</v>
      </c>
      <c r="K117" s="623">
        <f t="shared" si="6"/>
        <v>5.9232589977894916</v>
      </c>
      <c r="L117" s="623">
        <f t="shared" si="7"/>
        <v>176.51311813412684</v>
      </c>
    </row>
    <row r="118" spans="9:12" x14ac:dyDescent="0.25">
      <c r="I118" s="598" t="s">
        <v>1785</v>
      </c>
      <c r="J118" s="634" t="s">
        <v>340</v>
      </c>
      <c r="K118" s="623">
        <f t="shared" si="6"/>
        <v>8.1441223974572949</v>
      </c>
      <c r="L118" s="623">
        <f t="shared" si="7"/>
        <v>242.69484744422738</v>
      </c>
    </row>
    <row r="119" spans="9:12" x14ac:dyDescent="0.25">
      <c r="I119" s="598" t="s">
        <v>1786</v>
      </c>
      <c r="J119" s="634" t="s">
        <v>341</v>
      </c>
      <c r="K119" s="623">
        <f t="shared" si="6"/>
        <v>24.914492924750096</v>
      </c>
      <c r="L119" s="623">
        <f t="shared" si="7"/>
        <v>742.45188915755284</v>
      </c>
    </row>
    <row r="120" spans="9:12" x14ac:dyDescent="0.25">
      <c r="I120" s="598" t="s">
        <v>1787</v>
      </c>
      <c r="J120" s="634" t="s">
        <v>342</v>
      </c>
      <c r="K120" s="623">
        <f t="shared" si="6"/>
        <v>0</v>
      </c>
      <c r="L120" s="623">
        <f t="shared" si="7"/>
        <v>0</v>
      </c>
    </row>
    <row r="121" spans="9:12" x14ac:dyDescent="0.25">
      <c r="I121" s="598" t="s">
        <v>1788</v>
      </c>
      <c r="J121" s="634" t="s">
        <v>343</v>
      </c>
      <c r="K121" s="623">
        <f t="shared" si="6"/>
        <v>1.5755180183073791</v>
      </c>
      <c r="L121" s="623">
        <f t="shared" si="7"/>
        <v>46.9504369455599</v>
      </c>
    </row>
    <row r="122" spans="9:12" x14ac:dyDescent="0.25">
      <c r="I122" s="598" t="s">
        <v>1789</v>
      </c>
      <c r="J122" s="634" t="s">
        <v>510</v>
      </c>
      <c r="K122" s="623">
        <f t="shared" si="6"/>
        <v>2.344623353291674</v>
      </c>
      <c r="L122" s="623">
        <f t="shared" si="7"/>
        <v>69.869775928091883</v>
      </c>
    </row>
    <row r="123" spans="9:12" ht="28.8" customHeight="1" x14ac:dyDescent="0.25">
      <c r="I123" s="605" t="s">
        <v>410</v>
      </c>
      <c r="J123" s="600"/>
      <c r="K123" s="635">
        <f>_xlfn.AGGREGATE(9,6,K115:K122)</f>
        <v>61.836212422538573</v>
      </c>
      <c r="L123" s="635">
        <f>_xlfn.AGGREGATE(9,6,L115:L122)</f>
        <v>1842.7191301916498</v>
      </c>
    </row>
  </sheetData>
  <protectedRanges>
    <protectedRange sqref="F75:J90 M75:M90" name="Range4"/>
    <protectedRange sqref="F58:G67 M58:M67" name="Range3"/>
    <protectedRange sqref="F49:G50 M49:M50" name="Range2"/>
    <protectedRange sqref="F12:H41 J12:J41 M12:M41" name="Range1"/>
  </protectedRanges>
  <mergeCells count="85">
    <mergeCell ref="M8:M11"/>
    <mergeCell ref="M46:M48"/>
    <mergeCell ref="M72:M74"/>
    <mergeCell ref="K46:L46"/>
    <mergeCell ref="I46:J48"/>
    <mergeCell ref="I49:J49"/>
    <mergeCell ref="I50:J50"/>
    <mergeCell ref="K8:L8"/>
    <mergeCell ref="K9:K10"/>
    <mergeCell ref="L9:L10"/>
    <mergeCell ref="I8:I10"/>
    <mergeCell ref="K55:L55"/>
    <mergeCell ref="M55:M57"/>
    <mergeCell ref="F68:G68"/>
    <mergeCell ref="I58:J58"/>
    <mergeCell ref="I59:J59"/>
    <mergeCell ref="I60:J60"/>
    <mergeCell ref="I67:J67"/>
    <mergeCell ref="I68:J68"/>
    <mergeCell ref="F60:G60"/>
    <mergeCell ref="F63:G63"/>
    <mergeCell ref="F59:G59"/>
    <mergeCell ref="I64:J64"/>
    <mergeCell ref="I65:J65"/>
    <mergeCell ref="F88:G88"/>
    <mergeCell ref="F89:G89"/>
    <mergeCell ref="F90:G90"/>
    <mergeCell ref="F91:G91"/>
    <mergeCell ref="H72:H73"/>
    <mergeCell ref="F72:G73"/>
    <mergeCell ref="F74:G74"/>
    <mergeCell ref="F78:G78"/>
    <mergeCell ref="F79:G79"/>
    <mergeCell ref="D72:D74"/>
    <mergeCell ref="E72:E74"/>
    <mergeCell ref="K96:K97"/>
    <mergeCell ref="I63:J63"/>
    <mergeCell ref="B72:B74"/>
    <mergeCell ref="C72:C74"/>
    <mergeCell ref="I72:I73"/>
    <mergeCell ref="J72:J73"/>
    <mergeCell ref="K72:L72"/>
    <mergeCell ref="F67:G67"/>
    <mergeCell ref="F87:G87"/>
    <mergeCell ref="F86:G86"/>
    <mergeCell ref="F80:G80"/>
    <mergeCell ref="F81:G81"/>
    <mergeCell ref="F76:G76"/>
    <mergeCell ref="F77:G77"/>
    <mergeCell ref="B8:B11"/>
    <mergeCell ref="C8:C11"/>
    <mergeCell ref="D8:D11"/>
    <mergeCell ref="E8:E11"/>
    <mergeCell ref="J8:J10"/>
    <mergeCell ref="F9:H9"/>
    <mergeCell ref="F49:G49"/>
    <mergeCell ref="F50:G50"/>
    <mergeCell ref="F58:G58"/>
    <mergeCell ref="I61:J61"/>
    <mergeCell ref="F11:H11"/>
    <mergeCell ref="F51:G51"/>
    <mergeCell ref="I51:J51"/>
    <mergeCell ref="C46:C48"/>
    <mergeCell ref="B46:B48"/>
    <mergeCell ref="D46:D48"/>
    <mergeCell ref="H46:H48"/>
    <mergeCell ref="F46:G47"/>
    <mergeCell ref="F48:G48"/>
    <mergeCell ref="E46:E48"/>
    <mergeCell ref="J113:J114"/>
    <mergeCell ref="D55:D57"/>
    <mergeCell ref="C55:C57"/>
    <mergeCell ref="B55:B57"/>
    <mergeCell ref="H55:H57"/>
    <mergeCell ref="I55:J57"/>
    <mergeCell ref="F57:G57"/>
    <mergeCell ref="F55:G56"/>
    <mergeCell ref="E55:E57"/>
    <mergeCell ref="I113:I114"/>
    <mergeCell ref="I62:J62"/>
    <mergeCell ref="F85:G85"/>
    <mergeCell ref="F82:G82"/>
    <mergeCell ref="F83:G83"/>
    <mergeCell ref="F84:G84"/>
    <mergeCell ref="F75:G75"/>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ADAD1AC-0213-454B-B7F5-5B54139DF09F}">
          <x14:formula1>
            <xm:f>Settings!$B$341:$B$348</xm:f>
          </x14:formula1>
          <xm:sqref>C75:C90 C12:C41 C52:C53 C49:C50 C58:C67 K98:K105 J115:J122</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919A8-1E1C-4E9A-BE41-97204A1FE787}">
  <dimension ref="B4:N141"/>
  <sheetViews>
    <sheetView rightToLeft="1" zoomScale="70" zoomScaleNormal="70" workbookViewId="0">
      <selection activeCell="B11" sqref="B11"/>
    </sheetView>
  </sheetViews>
  <sheetFormatPr defaultColWidth="9.09765625" defaultRowHeight="16.2" x14ac:dyDescent="0.25"/>
  <cols>
    <col min="1" max="1" width="12.09765625" style="3" customWidth="1"/>
    <col min="2" max="2" width="13.19921875" style="3" customWidth="1"/>
    <col min="3" max="3" width="44.296875" style="3" bestFit="1" customWidth="1"/>
    <col min="4" max="4" width="12.796875" style="3" customWidth="1"/>
    <col min="5" max="5" width="12.59765625" style="3" customWidth="1"/>
    <col min="6" max="6" width="21.59765625" style="3" customWidth="1"/>
    <col min="7" max="7" width="14.296875" style="3" customWidth="1"/>
    <col min="8" max="8" width="13.796875" style="3" customWidth="1"/>
    <col min="9" max="9" width="13.19921875" style="3" customWidth="1"/>
    <col min="10" max="10" width="14.19921875" style="3" customWidth="1"/>
    <col min="11" max="13" width="13.69921875" style="3" customWidth="1"/>
    <col min="14" max="14" width="21.19921875" style="3" customWidth="1"/>
    <col min="15" max="15" width="22" style="3" customWidth="1"/>
    <col min="16" max="16" width="13.69921875" style="3" customWidth="1"/>
    <col min="17" max="16384" width="9.09765625" style="3"/>
  </cols>
  <sheetData>
    <row r="4" spans="2:14" ht="16.2" customHeight="1" x14ac:dyDescent="0.25">
      <c r="B4" s="9"/>
      <c r="C4" s="9"/>
      <c r="D4" s="9"/>
      <c r="E4" s="9"/>
      <c r="F4" s="9"/>
      <c r="G4" s="9"/>
      <c r="H4" s="9"/>
      <c r="I4" s="9"/>
      <c r="J4" s="9"/>
      <c r="K4" s="9"/>
      <c r="L4" s="9"/>
      <c r="M4" s="9"/>
    </row>
    <row r="5" spans="2:14" ht="16.2" customHeight="1" x14ac:dyDescent="0.25">
      <c r="B5" s="9"/>
      <c r="C5" s="9"/>
      <c r="D5" s="9"/>
      <c r="E5" s="9"/>
      <c r="F5" s="9"/>
      <c r="G5" s="9"/>
      <c r="H5" s="9"/>
      <c r="I5" s="9"/>
      <c r="J5" s="9"/>
      <c r="K5" s="9"/>
      <c r="L5" s="9"/>
      <c r="M5" s="9"/>
    </row>
    <row r="6" spans="2:14" ht="16.2" customHeight="1" x14ac:dyDescent="0.25"/>
    <row r="7" spans="2:14" s="280" customFormat="1" ht="30" customHeight="1" x14ac:dyDescent="0.25">
      <c r="B7" s="616" t="s">
        <v>420</v>
      </c>
      <c r="C7" s="614"/>
      <c r="D7" s="614"/>
      <c r="E7" s="614"/>
      <c r="F7" s="614"/>
      <c r="G7" s="614"/>
      <c r="H7" s="614"/>
      <c r="I7" s="614"/>
      <c r="J7" s="614"/>
      <c r="K7" s="614"/>
      <c r="L7" s="614"/>
      <c r="M7" s="614"/>
      <c r="N7" s="615"/>
    </row>
    <row r="8" spans="2:14" s="24" customFormat="1" ht="17.25" customHeight="1" x14ac:dyDescent="0.25">
      <c r="B8" s="1014" t="s">
        <v>400</v>
      </c>
      <c r="C8" s="1015" t="s">
        <v>399</v>
      </c>
      <c r="D8" s="1038" t="s">
        <v>417</v>
      </c>
      <c r="E8" s="1039"/>
      <c r="F8" s="1018" t="s">
        <v>418</v>
      </c>
      <c r="G8" s="1019"/>
      <c r="H8" s="956" t="s">
        <v>405</v>
      </c>
      <c r="I8" s="1025"/>
      <c r="J8" s="1025"/>
      <c r="K8" s="1013" t="s">
        <v>419</v>
      </c>
      <c r="L8" s="1013"/>
      <c r="M8" s="1013"/>
      <c r="N8" s="1014" t="s">
        <v>715</v>
      </c>
    </row>
    <row r="9" spans="2:14" s="24" customFormat="1" ht="17.25" customHeight="1" x14ac:dyDescent="0.25">
      <c r="B9" s="1007"/>
      <c r="C9" s="1017"/>
      <c r="D9" s="1040"/>
      <c r="E9" s="1041"/>
      <c r="F9" s="1009"/>
      <c r="G9" s="1010"/>
      <c r="H9" s="355" t="s">
        <v>9</v>
      </c>
      <c r="I9" s="355" t="s">
        <v>10</v>
      </c>
      <c r="J9" s="355" t="s">
        <v>11</v>
      </c>
      <c r="K9" s="355" t="s">
        <v>9</v>
      </c>
      <c r="L9" s="355" t="s">
        <v>10</v>
      </c>
      <c r="M9" s="355" t="s">
        <v>11</v>
      </c>
      <c r="N9" s="1007"/>
    </row>
    <row r="10" spans="2:14" s="24" customFormat="1" ht="17.25" customHeight="1" x14ac:dyDescent="0.25">
      <c r="B10" s="1008"/>
      <c r="C10" s="1016"/>
      <c r="D10" s="956" t="s">
        <v>218</v>
      </c>
      <c r="E10" s="957"/>
      <c r="F10" s="1011"/>
      <c r="G10" s="1012"/>
      <c r="H10" s="355" t="s">
        <v>227</v>
      </c>
      <c r="I10" s="355" t="s">
        <v>227</v>
      </c>
      <c r="J10" s="355" t="s">
        <v>227</v>
      </c>
      <c r="K10" s="355" t="s">
        <v>219</v>
      </c>
      <c r="L10" s="355" t="s">
        <v>220</v>
      </c>
      <c r="M10" s="355" t="s">
        <v>221</v>
      </c>
      <c r="N10" s="1008"/>
    </row>
    <row r="11" spans="2:14" x14ac:dyDescent="0.25">
      <c r="B11" s="384"/>
      <c r="C11" s="354" t="s">
        <v>1682</v>
      </c>
      <c r="D11" s="1022">
        <v>3359544285</v>
      </c>
      <c r="E11" s="1023"/>
      <c r="F11" s="1029" t="s">
        <v>1334</v>
      </c>
      <c r="G11" s="1030"/>
      <c r="H11" s="573">
        <f>VLOOKUP(F11,Settings!$B$110:$E$116,2,FALSE)</f>
        <v>687.34199999999998</v>
      </c>
      <c r="I11" s="84">
        <f>VLOOKUP(F11,Settings!$B$110:$E$116,3,FALSE)</f>
        <v>14</v>
      </c>
      <c r="J11" s="84">
        <f>VLOOKUP(F11,Settings!$B$110:$E$116,4,FALSE)</f>
        <v>2E-3</v>
      </c>
      <c r="K11" s="577">
        <f t="shared" ref="K11:K18" si="0">D11*H11/1000000</f>
        <v>2309155.8879404697</v>
      </c>
      <c r="L11" s="85">
        <f t="shared" ref="L11:L18" si="1">D11*I11/1000000</f>
        <v>47033.619989999999</v>
      </c>
      <c r="M11" s="578">
        <f t="shared" ref="M11:M18" si="2">D11*J11/1000000</f>
        <v>6.7190885700000003</v>
      </c>
      <c r="N11" s="385" t="s">
        <v>722</v>
      </c>
    </row>
    <row r="12" spans="2:14" x14ac:dyDescent="0.25">
      <c r="B12" s="384"/>
      <c r="C12" s="356" t="s">
        <v>521</v>
      </c>
      <c r="D12" s="1022">
        <v>1015200000</v>
      </c>
      <c r="E12" s="1023"/>
      <c r="F12" s="1029" t="s">
        <v>1337</v>
      </c>
      <c r="G12" s="1030"/>
      <c r="H12" s="573">
        <f>VLOOKUP(F12,Settings!$B$110:$E$116,2,FALSE)</f>
        <v>619.74099999999999</v>
      </c>
      <c r="I12" s="573">
        <f>VLOOKUP(F12,Settings!$B$110:$E$116,3,FALSE)</f>
        <v>12</v>
      </c>
      <c r="J12" s="573">
        <f>VLOOKUP(F12,Settings!$B$110:$E$116,4,FALSE)</f>
        <v>2E-3</v>
      </c>
      <c r="K12" s="577">
        <f t="shared" si="0"/>
        <v>629161.06319999998</v>
      </c>
      <c r="L12" s="85">
        <f t="shared" si="1"/>
        <v>12182.4</v>
      </c>
      <c r="M12" s="578">
        <f t="shared" si="2"/>
        <v>2.0304000000000002</v>
      </c>
      <c r="N12" s="385" t="s">
        <v>720</v>
      </c>
    </row>
    <row r="13" spans="2:14" x14ac:dyDescent="0.25">
      <c r="B13" s="384"/>
      <c r="C13" s="354" t="s">
        <v>2119</v>
      </c>
      <c r="D13" s="1022">
        <v>21819320</v>
      </c>
      <c r="E13" s="1023"/>
      <c r="F13" s="1029" t="s">
        <v>1338</v>
      </c>
      <c r="G13" s="1030"/>
      <c r="H13" s="573">
        <f>VLOOKUP(F13,Settings!$B$110:$E$116,2,FALSE)</f>
        <v>8.0315399999999995E-2</v>
      </c>
      <c r="I13" s="573">
        <f>VLOOKUP(F13,Settings!$B$110:$E$116,3,FALSE)</f>
        <v>0</v>
      </c>
      <c r="J13" s="573">
        <f>VLOOKUP(F13,Settings!$B$110:$E$116,4,FALSE)</f>
        <v>0</v>
      </c>
      <c r="K13" s="577">
        <f t="shared" si="0"/>
        <v>1.752427413528</v>
      </c>
      <c r="L13" s="85">
        <f t="shared" si="1"/>
        <v>0</v>
      </c>
      <c r="M13" s="578">
        <f t="shared" si="2"/>
        <v>0</v>
      </c>
      <c r="N13" s="385" t="s">
        <v>720</v>
      </c>
    </row>
    <row r="14" spans="2:14" x14ac:dyDescent="0.25">
      <c r="B14" s="354" t="s">
        <v>165</v>
      </c>
      <c r="C14" s="354" t="s">
        <v>1695</v>
      </c>
      <c r="D14" s="1022">
        <v>1070502976</v>
      </c>
      <c r="E14" s="1023"/>
      <c r="F14" s="1029" t="s">
        <v>1683</v>
      </c>
      <c r="G14" s="1030"/>
      <c r="H14" s="573">
        <f>VLOOKUP(F14,Settings!$B$110:$E$116,2,FALSE)</f>
        <v>0</v>
      </c>
      <c r="I14" s="573">
        <f>VLOOKUP(F14,Settings!$B$110:$E$116,3,FALSE)</f>
        <v>0</v>
      </c>
      <c r="J14" s="573">
        <f>VLOOKUP(F14,Settings!$B$110:$E$116,4,FALSE)</f>
        <v>0</v>
      </c>
      <c r="K14" s="577">
        <f t="shared" si="0"/>
        <v>0</v>
      </c>
      <c r="L14" s="85">
        <f t="shared" si="1"/>
        <v>0</v>
      </c>
      <c r="M14" s="578">
        <f t="shared" si="2"/>
        <v>0</v>
      </c>
      <c r="N14" s="385" t="s">
        <v>784</v>
      </c>
    </row>
    <row r="15" spans="2:14" x14ac:dyDescent="0.25">
      <c r="B15" s="354" t="s">
        <v>166</v>
      </c>
      <c r="C15" s="354" t="s">
        <v>1694</v>
      </c>
      <c r="D15" s="1022">
        <v>549536612</v>
      </c>
      <c r="E15" s="1023"/>
      <c r="F15" s="1029" t="s">
        <v>1683</v>
      </c>
      <c r="G15" s="1030"/>
      <c r="H15" s="573">
        <f>VLOOKUP(F15,Settings!$B$110:$E$116,2,FALSE)</f>
        <v>0</v>
      </c>
      <c r="I15" s="573">
        <f>VLOOKUP(F15,Settings!$B$110:$E$116,3,FALSE)</f>
        <v>0</v>
      </c>
      <c r="J15" s="573">
        <f>VLOOKUP(F15,Settings!$B$110:$E$116,4,FALSE)</f>
        <v>0</v>
      </c>
      <c r="K15" s="577">
        <f t="shared" si="0"/>
        <v>0</v>
      </c>
      <c r="L15" s="85">
        <f t="shared" si="1"/>
        <v>0</v>
      </c>
      <c r="M15" s="578">
        <f t="shared" si="2"/>
        <v>0</v>
      </c>
      <c r="N15" s="385" t="s">
        <v>785</v>
      </c>
    </row>
    <row r="16" spans="2:14" x14ac:dyDescent="0.25">
      <c r="B16" s="354">
        <v>51130</v>
      </c>
      <c r="C16" s="354" t="s">
        <v>1693</v>
      </c>
      <c r="D16" s="1022">
        <v>1780192400</v>
      </c>
      <c r="E16" s="1023"/>
      <c r="F16" s="1029" t="s">
        <v>1683</v>
      </c>
      <c r="G16" s="1030"/>
      <c r="H16" s="573">
        <f>VLOOKUP(F16,Settings!$B$110:$E$116,2,FALSE)</f>
        <v>0</v>
      </c>
      <c r="I16" s="573">
        <f>VLOOKUP(F16,Settings!$B$110:$E$116,3,FALSE)</f>
        <v>0</v>
      </c>
      <c r="J16" s="573">
        <f>VLOOKUP(F16,Settings!$B$110:$E$116,4,FALSE)</f>
        <v>0</v>
      </c>
      <c r="K16" s="577">
        <f t="shared" si="0"/>
        <v>0</v>
      </c>
      <c r="L16" s="85">
        <f t="shared" si="1"/>
        <v>0</v>
      </c>
      <c r="M16" s="578">
        <f t="shared" si="2"/>
        <v>0</v>
      </c>
      <c r="N16" s="385" t="s">
        <v>1696</v>
      </c>
    </row>
    <row r="17" spans="2:14" x14ac:dyDescent="0.25">
      <c r="B17" s="356"/>
      <c r="C17" s="354"/>
      <c r="D17" s="1022"/>
      <c r="E17" s="1023"/>
      <c r="F17" s="1029"/>
      <c r="G17" s="1030"/>
      <c r="H17" s="647" t="e">
        <f>VLOOKUP(F17,Settings!$B$110:$E$116,2,FALSE)</f>
        <v>#N/A</v>
      </c>
      <c r="I17" s="647" t="e">
        <f>VLOOKUP(F17,Settings!$B$110:$E$116,3,FALSE)</f>
        <v>#N/A</v>
      </c>
      <c r="J17" s="647" t="e">
        <f>VLOOKUP(F17,Settings!$B$110:$E$116,4,FALSE)</f>
        <v>#N/A</v>
      </c>
      <c r="K17" s="577" t="e">
        <f t="shared" si="0"/>
        <v>#N/A</v>
      </c>
      <c r="L17" s="85" t="e">
        <f t="shared" si="1"/>
        <v>#N/A</v>
      </c>
      <c r="M17" s="578" t="e">
        <f t="shared" si="2"/>
        <v>#N/A</v>
      </c>
      <c r="N17" s="385"/>
    </row>
    <row r="18" spans="2:14" x14ac:dyDescent="0.25">
      <c r="B18" s="356"/>
      <c r="C18" s="354"/>
      <c r="D18" s="1022"/>
      <c r="E18" s="1023"/>
      <c r="F18" s="1029"/>
      <c r="G18" s="1030"/>
      <c r="H18" s="573" t="e">
        <f>VLOOKUP(F18,Settings!$B$110:$E$116,2,FALSE)</f>
        <v>#N/A</v>
      </c>
      <c r="I18" s="573" t="e">
        <f>VLOOKUP(F18,Settings!$B$110:$E$116,3,FALSE)</f>
        <v>#N/A</v>
      </c>
      <c r="J18" s="573" t="e">
        <f>VLOOKUP(F18,Settings!$B$110:$E$116,4,FALSE)</f>
        <v>#N/A</v>
      </c>
      <c r="K18" s="577" t="e">
        <f t="shared" si="0"/>
        <v>#N/A</v>
      </c>
      <c r="L18" s="85" t="e">
        <f t="shared" si="1"/>
        <v>#N/A</v>
      </c>
      <c r="M18" s="578" t="e">
        <f t="shared" si="2"/>
        <v>#N/A</v>
      </c>
      <c r="N18" s="385"/>
    </row>
    <row r="19" spans="2:14" ht="30" customHeight="1" x14ac:dyDescent="0.25">
      <c r="B19" s="601" t="s">
        <v>410</v>
      </c>
      <c r="C19" s="378"/>
      <c r="D19" s="1036">
        <f>SUM(D11:D18)</f>
        <v>7796795593</v>
      </c>
      <c r="E19" s="1037"/>
      <c r="F19" s="1034"/>
      <c r="G19" s="1035"/>
      <c r="H19" s="408"/>
      <c r="I19" s="408"/>
      <c r="J19" s="408"/>
      <c r="K19" s="394">
        <f>_xlfn.AGGREGATE(9,6,K11:K18)</f>
        <v>2938318.7035678835</v>
      </c>
      <c r="L19" s="394">
        <f>_xlfn.AGGREGATE(9,6,L11:L18)</f>
        <v>59216.019990000001</v>
      </c>
      <c r="M19" s="394">
        <f>_xlfn.AGGREGATE(9,6,M11:M18)</f>
        <v>8.7494885700000005</v>
      </c>
      <c r="N19" s="398"/>
    </row>
    <row r="20" spans="2:14" x14ac:dyDescent="0.25">
      <c r="B20" s="409"/>
      <c r="C20" s="355" t="s">
        <v>886</v>
      </c>
      <c r="D20" s="1032">
        <f>D19/F126</f>
        <v>1.0197104389919442</v>
      </c>
      <c r="E20" s="1033"/>
      <c r="F20" s="409"/>
      <c r="G20" s="409"/>
      <c r="H20" s="409"/>
      <c r="I20" s="409"/>
      <c r="J20" s="409"/>
      <c r="K20" s="1013" t="s">
        <v>405</v>
      </c>
      <c r="L20" s="1013"/>
      <c r="M20" s="1013"/>
      <c r="N20" s="367"/>
    </row>
    <row r="21" spans="2:14" x14ac:dyDescent="0.25">
      <c r="B21" s="410"/>
      <c r="C21" s="410"/>
      <c r="D21" s="410"/>
      <c r="E21" s="410"/>
      <c r="F21" s="410"/>
      <c r="G21" s="410"/>
      <c r="H21" s="410"/>
      <c r="I21" s="410"/>
      <c r="J21" s="410"/>
      <c r="K21" s="355" t="s">
        <v>9</v>
      </c>
      <c r="L21" s="355" t="s">
        <v>10</v>
      </c>
      <c r="M21" s="355" t="s">
        <v>11</v>
      </c>
      <c r="N21" s="367"/>
    </row>
    <row r="22" spans="2:14" x14ac:dyDescent="0.25">
      <c r="B22" s="367"/>
      <c r="C22" s="367"/>
      <c r="D22" s="411"/>
      <c r="E22" s="412"/>
      <c r="F22" s="367"/>
      <c r="G22" s="367"/>
      <c r="H22" s="367"/>
      <c r="I22" s="367"/>
      <c r="J22" s="367"/>
      <c r="K22" s="355" t="s">
        <v>264</v>
      </c>
      <c r="L22" s="355" t="s">
        <v>265</v>
      </c>
      <c r="M22" s="355" t="s">
        <v>266</v>
      </c>
      <c r="N22" s="367"/>
    </row>
    <row r="23" spans="2:14" x14ac:dyDescent="0.25">
      <c r="B23" s="367"/>
      <c r="C23" s="367"/>
      <c r="D23" s="411"/>
      <c r="E23" s="412"/>
      <c r="F23" s="367"/>
      <c r="G23" s="367"/>
      <c r="H23" s="367"/>
      <c r="I23" s="367"/>
      <c r="J23" s="367"/>
      <c r="K23" s="413">
        <f>K19/D19</f>
        <v>3.7686234922022581E-4</v>
      </c>
      <c r="L23" s="413">
        <f>L19/D19</f>
        <v>7.5949175893702314E-6</v>
      </c>
      <c r="M23" s="413">
        <f>M19/D19</f>
        <v>1.1221903236574949E-9</v>
      </c>
      <c r="N23" s="367"/>
    </row>
    <row r="24" spans="2:14" x14ac:dyDescent="0.25">
      <c r="D24" s="206"/>
      <c r="F24" s="40"/>
    </row>
    <row r="25" spans="2:14" x14ac:dyDescent="0.25">
      <c r="D25" s="207"/>
      <c r="E25" s="40"/>
    </row>
    <row r="28" spans="2:14" s="279" customFormat="1" ht="30" customHeight="1" x14ac:dyDescent="0.25">
      <c r="B28" s="370" t="s">
        <v>50</v>
      </c>
      <c r="C28" s="371"/>
      <c r="D28" s="371"/>
      <c r="E28" s="371"/>
      <c r="F28" s="371"/>
      <c r="G28" s="371"/>
      <c r="H28" s="371"/>
      <c r="I28" s="371"/>
      <c r="J28" s="371"/>
      <c r="K28" s="371"/>
      <c r="L28" s="371"/>
      <c r="M28" s="371"/>
      <c r="N28" s="372"/>
    </row>
    <row r="29" spans="2:14" ht="16.8" customHeight="1" x14ac:dyDescent="0.25">
      <c r="B29" s="1014" t="s">
        <v>335</v>
      </c>
      <c r="C29" s="1014" t="s">
        <v>411</v>
      </c>
      <c r="D29" s="1014" t="s">
        <v>398</v>
      </c>
      <c r="E29" s="1014" t="s">
        <v>400</v>
      </c>
      <c r="F29" s="1013" t="s">
        <v>421</v>
      </c>
      <c r="G29" s="956" t="s">
        <v>405</v>
      </c>
      <c r="H29" s="1025"/>
      <c r="I29" s="957"/>
      <c r="J29" s="1005" t="s">
        <v>422</v>
      </c>
      <c r="K29" s="1031"/>
      <c r="L29" s="1031"/>
      <c r="M29" s="1006"/>
      <c r="N29" s="1014" t="s">
        <v>715</v>
      </c>
    </row>
    <row r="30" spans="2:14" ht="16.8" customHeight="1" x14ac:dyDescent="0.25">
      <c r="B30" s="1007"/>
      <c r="C30" s="1007"/>
      <c r="D30" s="1007"/>
      <c r="E30" s="1007"/>
      <c r="F30" s="1013"/>
      <c r="G30" s="355" t="s">
        <v>9</v>
      </c>
      <c r="H30" s="355" t="s">
        <v>10</v>
      </c>
      <c r="I30" s="355" t="s">
        <v>11</v>
      </c>
      <c r="J30" s="355" t="s">
        <v>9</v>
      </c>
      <c r="K30" s="355" t="s">
        <v>10</v>
      </c>
      <c r="L30" s="355" t="s">
        <v>11</v>
      </c>
      <c r="M30" s="355" t="s">
        <v>1</v>
      </c>
      <c r="N30" s="1007"/>
    </row>
    <row r="31" spans="2:14" ht="16.8" customHeight="1" x14ac:dyDescent="0.25">
      <c r="B31" s="1008"/>
      <c r="C31" s="1008"/>
      <c r="D31" s="1008"/>
      <c r="E31" s="1008"/>
      <c r="F31" s="355" t="s">
        <v>218</v>
      </c>
      <c r="G31" s="355" t="s">
        <v>264</v>
      </c>
      <c r="H31" s="355" t="s">
        <v>265</v>
      </c>
      <c r="I31" s="355" t="s">
        <v>266</v>
      </c>
      <c r="J31" s="355" t="s">
        <v>219</v>
      </c>
      <c r="K31" s="355" t="s">
        <v>220</v>
      </c>
      <c r="L31" s="355" t="s">
        <v>221</v>
      </c>
      <c r="M31" s="374" t="s">
        <v>222</v>
      </c>
      <c r="N31" s="1008"/>
    </row>
    <row r="32" spans="2:14" x14ac:dyDescent="0.25">
      <c r="B32" s="407" t="str">
        <f>VLOOKUP(D32,'Unit List'!$B$9:$E$241,4,0)</f>
        <v>Iron Making</v>
      </c>
      <c r="C32" s="377" t="str">
        <f>VLOOKUP(D32,'Unit List'!$B$9:$D$241,3,0)</f>
        <v>Yard</v>
      </c>
      <c r="D32" s="414">
        <v>1110</v>
      </c>
      <c r="E32" s="376">
        <v>54110</v>
      </c>
      <c r="F32" s="375">
        <v>56714353</v>
      </c>
      <c r="G32" s="86">
        <f>$K$23</f>
        <v>3.7686234922022581E-4</v>
      </c>
      <c r="H32" s="87">
        <f>$L$23</f>
        <v>7.5949175893702314E-6</v>
      </c>
      <c r="I32" s="87">
        <f>$M$23</f>
        <v>1.1221903236574949E-9</v>
      </c>
      <c r="J32" s="88">
        <f>F32*G32*$D$20</f>
        <v>21794.785458754308</v>
      </c>
      <c r="K32" s="88">
        <f>F32*H32*$D$20</f>
        <v>439.2309281618198</v>
      </c>
      <c r="L32" s="88">
        <f>F32*I32*$D$20</f>
        <v>6.4898755204948269E-2</v>
      </c>
      <c r="M32" s="88">
        <f>L32*Settings!$D$24+Electricity!K32*Settings!$C$24+Electricity!J32</f>
        <v>33671.737879294393</v>
      </c>
      <c r="N32" s="385" t="s">
        <v>719</v>
      </c>
    </row>
    <row r="33" spans="2:14" x14ac:dyDescent="0.25">
      <c r="B33" s="407" t="str">
        <f>VLOOKUP(D33,'Unit List'!$B$9:$E$241,4,0)</f>
        <v>Iron Making</v>
      </c>
      <c r="C33" s="377" t="str">
        <f>VLOOKUP(D33,'Unit List'!$B$9:$D$241,3,0)</f>
        <v>Lime Making</v>
      </c>
      <c r="D33" s="414">
        <v>1120</v>
      </c>
      <c r="E33" s="376">
        <v>54110</v>
      </c>
      <c r="F33" s="375">
        <v>7336275.3490000004</v>
      </c>
      <c r="G33" s="86">
        <f t="shared" ref="G33:G96" si="3">$K$23</f>
        <v>3.7686234922022581E-4</v>
      </c>
      <c r="H33" s="87">
        <f t="shared" ref="H33:H96" si="4">$L$23</f>
        <v>7.5949175893702314E-6</v>
      </c>
      <c r="I33" s="87">
        <f t="shared" ref="I33:I96" si="5">$M$23</f>
        <v>1.1221903236574949E-9</v>
      </c>
      <c r="J33" s="88">
        <f t="shared" ref="J33:J96" si="6">F33*G33*$D$20</f>
        <v>2819.260713382429</v>
      </c>
      <c r="K33" s="88">
        <f t="shared" ref="K33:K96" si="7">F33*H33*$D$20</f>
        <v>56.816640944346993</v>
      </c>
      <c r="L33" s="88">
        <f t="shared" ref="L33:L96" si="8">F33*I33*$D$20</f>
        <v>8.3949672843988445E-3</v>
      </c>
      <c r="M33" s="88">
        <f>L33*Settings!$D$24+Electricity!K33*Settings!$C$24+Electricity!J33</f>
        <v>4355.6018449484382</v>
      </c>
      <c r="N33" s="385" t="s">
        <v>719</v>
      </c>
    </row>
    <row r="34" spans="2:14" x14ac:dyDescent="0.25">
      <c r="B34" s="407" t="str">
        <f>VLOOKUP(D34,'Unit List'!$B$9:$E$241,4,0)</f>
        <v>Iron Making</v>
      </c>
      <c r="C34" s="377" t="str">
        <f>VLOOKUP(D34,'Unit List'!$B$9:$D$241,3,0)</f>
        <v>Lime Hydration</v>
      </c>
      <c r="D34" s="414">
        <v>1130</v>
      </c>
      <c r="E34" s="376">
        <v>54110</v>
      </c>
      <c r="F34" s="375">
        <v>1915017.6510000001</v>
      </c>
      <c r="G34" s="86">
        <f t="shared" si="3"/>
        <v>3.7686234922022581E-4</v>
      </c>
      <c r="H34" s="87">
        <f t="shared" si="4"/>
        <v>7.5949175893702314E-6</v>
      </c>
      <c r="I34" s="87">
        <f t="shared" si="5"/>
        <v>1.1221903236574949E-9</v>
      </c>
      <c r="J34" s="88">
        <f t="shared" si="6"/>
        <v>735.92303615405149</v>
      </c>
      <c r="K34" s="88">
        <f t="shared" si="7"/>
        <v>14.831077774879985</v>
      </c>
      <c r="L34" s="88">
        <f t="shared" si="8"/>
        <v>2.191372292396672E-3</v>
      </c>
      <c r="M34" s="88">
        <f>L34*Settings!$D$24+Electricity!K34*Settings!$C$24+Electricity!J34</f>
        <v>1136.9603807116355</v>
      </c>
      <c r="N34" s="385" t="s">
        <v>719</v>
      </c>
    </row>
    <row r="35" spans="2:14" x14ac:dyDescent="0.25">
      <c r="B35" s="407" t="str">
        <f>VLOOKUP(D35,'Unit List'!$B$9:$E$241,4,0)</f>
        <v>Iron Making</v>
      </c>
      <c r="C35" s="377" t="str">
        <f>VLOOKUP(D35,'Unit List'!$B$9:$D$241,3,0)</f>
        <v>Dolomite Making</v>
      </c>
      <c r="D35" s="414">
        <v>1140</v>
      </c>
      <c r="E35" s="376">
        <v>54110</v>
      </c>
      <c r="F35" s="375">
        <v>8703054</v>
      </c>
      <c r="G35" s="86">
        <f t="shared" si="3"/>
        <v>3.7686234922022581E-4</v>
      </c>
      <c r="H35" s="87">
        <f t="shared" si="4"/>
        <v>7.5949175893702314E-6</v>
      </c>
      <c r="I35" s="87">
        <f t="shared" si="5"/>
        <v>1.1221903236574949E-9</v>
      </c>
      <c r="J35" s="88">
        <f t="shared" si="6"/>
        <v>3344.5007256973122</v>
      </c>
      <c r="K35" s="88">
        <f t="shared" si="7"/>
        <v>67.401817777281863</v>
      </c>
      <c r="L35" s="88">
        <f t="shared" si="8"/>
        <v>9.9589846521117124E-3</v>
      </c>
      <c r="M35" s="88">
        <f>L35*Settings!$D$24+Electricity!K35*Settings!$C$24+Electricity!J35</f>
        <v>5167.0686084939489</v>
      </c>
      <c r="N35" s="385" t="s">
        <v>719</v>
      </c>
    </row>
    <row r="36" spans="2:14" x14ac:dyDescent="0.25">
      <c r="B36" s="407" t="str">
        <f>VLOOKUP(D36,'Unit List'!$B$9:$E$241,4,0)</f>
        <v>Iron Making</v>
      </c>
      <c r="C36" s="377" t="str">
        <f>VLOOKUP(D36,'Unit List'!$B$9:$D$241,3,0)</f>
        <v>Pelletizing</v>
      </c>
      <c r="D36" s="414">
        <v>1210</v>
      </c>
      <c r="E36" s="376" t="s">
        <v>42</v>
      </c>
      <c r="F36" s="375">
        <v>176322821</v>
      </c>
      <c r="G36" s="86">
        <f t="shared" si="3"/>
        <v>3.7686234922022581E-4</v>
      </c>
      <c r="H36" s="87">
        <f t="shared" si="4"/>
        <v>7.5949175893702314E-6</v>
      </c>
      <c r="I36" s="87">
        <f t="shared" si="5"/>
        <v>1.1221903236574949E-9</v>
      </c>
      <c r="J36" s="88">
        <f t="shared" si="6"/>
        <v>67759.180029389376</v>
      </c>
      <c r="K36" s="88">
        <f t="shared" si="7"/>
        <v>1365.5526727765091</v>
      </c>
      <c r="L36" s="88">
        <f t="shared" si="8"/>
        <v>0.20176782404843643</v>
      </c>
      <c r="M36" s="88">
        <f>L36*Settings!$D$24+Electricity!K36*Settings!$C$24+Electricity!J36</f>
        <v>104684.18481032035</v>
      </c>
      <c r="N36" s="385" t="s">
        <v>719</v>
      </c>
    </row>
    <row r="37" spans="2:14" x14ac:dyDescent="0.25">
      <c r="B37" s="407" t="str">
        <f>VLOOKUP(D37,'Unit List'!$B$9:$E$241,4,0)</f>
        <v>Iron Making</v>
      </c>
      <c r="C37" s="377" t="str">
        <f>VLOOKUP(D37,'Unit List'!$B$9:$D$241,3,0)</f>
        <v>Direct Reduction</v>
      </c>
      <c r="D37" s="414">
        <v>1310</v>
      </c>
      <c r="E37" s="376" t="s">
        <v>42</v>
      </c>
      <c r="F37" s="375">
        <v>437538991.24000001</v>
      </c>
      <c r="G37" s="86">
        <f t="shared" si="3"/>
        <v>3.7686234922022581E-4</v>
      </c>
      <c r="H37" s="87">
        <f t="shared" si="4"/>
        <v>7.5949175893702314E-6</v>
      </c>
      <c r="I37" s="87">
        <f t="shared" si="5"/>
        <v>1.1221903236574949E-9</v>
      </c>
      <c r="J37" s="88">
        <f t="shared" si="6"/>
        <v>168142.06527077159</v>
      </c>
      <c r="K37" s="88">
        <f t="shared" si="7"/>
        <v>3388.5717999697813</v>
      </c>
      <c r="L37" s="88">
        <f t="shared" si="8"/>
        <v>0.50067988759573379</v>
      </c>
      <c r="M37" s="88">
        <f>L37*Settings!$D$24+Electricity!K37*Settings!$C$24+Electricity!J37</f>
        <v>259770.18947926932</v>
      </c>
      <c r="N37" s="385" t="s">
        <v>719</v>
      </c>
    </row>
    <row r="38" spans="2:14" x14ac:dyDescent="0.25">
      <c r="B38" s="407" t="str">
        <f>VLOOKUP(D38,'Unit List'!$B$9:$E$241,4,0)</f>
        <v>Iron Making</v>
      </c>
      <c r="C38" s="377" t="str">
        <f>VLOOKUP(D38,'Unit List'!$B$9:$D$241,3,0)</f>
        <v>Direct Reduction</v>
      </c>
      <c r="D38" s="414">
        <v>1315</v>
      </c>
      <c r="E38" s="376" t="s">
        <v>42</v>
      </c>
      <c r="F38" s="375">
        <v>247380275.19599998</v>
      </c>
      <c r="G38" s="86">
        <f t="shared" si="3"/>
        <v>3.7686234922022581E-4</v>
      </c>
      <c r="H38" s="87">
        <f t="shared" si="4"/>
        <v>7.5949175893702314E-6</v>
      </c>
      <c r="I38" s="87">
        <f t="shared" si="5"/>
        <v>1.1221903236574949E-9</v>
      </c>
      <c r="J38" s="88">
        <f t="shared" si="6"/>
        <v>95065.882610428787</v>
      </c>
      <c r="K38" s="88">
        <f t="shared" si="7"/>
        <v>1915.8654226958295</v>
      </c>
      <c r="L38" s="88">
        <f t="shared" si="8"/>
        <v>0.28307952173020362</v>
      </c>
      <c r="M38" s="88">
        <f>L38*Settings!$D$24+Electricity!K38*Settings!$C$24+Electricity!J38</f>
        <v>146871.52973264852</v>
      </c>
      <c r="N38" s="385" t="s">
        <v>719</v>
      </c>
    </row>
    <row r="39" spans="2:14" x14ac:dyDescent="0.25">
      <c r="B39" s="407" t="str">
        <f>VLOOKUP(D39,'Unit List'!$B$9:$E$241,4,0)</f>
        <v>Iron Making</v>
      </c>
      <c r="C39" s="377" t="str">
        <f>VLOOKUP(D39,'Unit List'!$B$9:$D$241,3,0)</f>
        <v>Direct Reduction</v>
      </c>
      <c r="D39" s="414">
        <v>1320</v>
      </c>
      <c r="E39" s="376">
        <v>54110</v>
      </c>
      <c r="F39" s="375">
        <v>54444897.100000009</v>
      </c>
      <c r="G39" s="86">
        <f t="shared" si="3"/>
        <v>3.7686234922022581E-4</v>
      </c>
      <c r="H39" s="87">
        <f t="shared" si="4"/>
        <v>7.5949175893702314E-6</v>
      </c>
      <c r="I39" s="87">
        <f t="shared" si="5"/>
        <v>1.1221903236574949E-9</v>
      </c>
      <c r="J39" s="88">
        <f t="shared" si="6"/>
        <v>20922.655180752125</v>
      </c>
      <c r="K39" s="88">
        <f t="shared" si="7"/>
        <v>421.65486198719003</v>
      </c>
      <c r="L39" s="88">
        <f t="shared" si="8"/>
        <v>6.2301795967794935E-2</v>
      </c>
      <c r="M39" s="88">
        <f>L39*Settings!$D$24+Electricity!K39*Settings!$C$24+Electricity!J39</f>
        <v>32324.344844705462</v>
      </c>
      <c r="N39" s="385" t="s">
        <v>719</v>
      </c>
    </row>
    <row r="40" spans="2:14" x14ac:dyDescent="0.25">
      <c r="B40" s="407" t="str">
        <f>VLOOKUP(D40,'Unit List'!$B$9:$E$241,4,0)</f>
        <v>Iron Making</v>
      </c>
      <c r="C40" s="377" t="str">
        <f>VLOOKUP(D40,'Unit List'!$B$9:$D$241,3,0)</f>
        <v>Direct Reduction</v>
      </c>
      <c r="D40" s="414">
        <v>1325</v>
      </c>
      <c r="E40" s="376" t="s">
        <v>42</v>
      </c>
      <c r="F40" s="375">
        <v>21795618.960000001</v>
      </c>
      <c r="G40" s="86">
        <f t="shared" si="3"/>
        <v>3.7686234922022581E-4</v>
      </c>
      <c r="H40" s="87">
        <f t="shared" si="4"/>
        <v>7.5949175893702314E-6</v>
      </c>
      <c r="I40" s="87">
        <f t="shared" si="5"/>
        <v>1.1221903236574949E-9</v>
      </c>
      <c r="J40" s="88">
        <f t="shared" si="6"/>
        <v>8375.8486881435074</v>
      </c>
      <c r="K40" s="88">
        <f t="shared" si="7"/>
        <v>168.79871565602025</v>
      </c>
      <c r="L40" s="88">
        <f t="shared" si="8"/>
        <v>2.4940927024687549E-2</v>
      </c>
      <c r="M40" s="88">
        <f>L40*Settings!$D$24+Electricity!K40*Settings!$C$24+Electricity!J40</f>
        <v>12940.222883933795</v>
      </c>
      <c r="N40" s="385" t="s">
        <v>719</v>
      </c>
    </row>
    <row r="41" spans="2:14" x14ac:dyDescent="0.25">
      <c r="B41" s="407" t="str">
        <f>VLOOKUP(D41,'Unit List'!$B$9:$E$241,4,0)</f>
        <v>Iron Making</v>
      </c>
      <c r="C41" s="377" t="str">
        <f>VLOOKUP(D41,'Unit List'!$B$9:$D$241,3,0)</f>
        <v>Briquetting</v>
      </c>
      <c r="D41" s="414">
        <v>1330</v>
      </c>
      <c r="E41" s="376" t="s">
        <v>42</v>
      </c>
      <c r="F41" s="375">
        <v>2969721.66</v>
      </c>
      <c r="G41" s="86">
        <f t="shared" si="3"/>
        <v>3.7686234922022581E-4</v>
      </c>
      <c r="H41" s="87">
        <f t="shared" si="4"/>
        <v>7.5949175893702314E-6</v>
      </c>
      <c r="I41" s="87">
        <f t="shared" si="5"/>
        <v>1.1221903236574949E-9</v>
      </c>
      <c r="J41" s="88">
        <f t="shared" si="6"/>
        <v>1141.2357371319342</v>
      </c>
      <c r="K41" s="88">
        <f t="shared" si="7"/>
        <v>22.999356108392181</v>
      </c>
      <c r="L41" s="88">
        <f t="shared" si="8"/>
        <v>3.3982797800615415E-3</v>
      </c>
      <c r="M41" s="88">
        <f>L41*Settings!$D$24+Electricity!K41*Settings!$C$24+Electricity!J41</f>
        <v>1763.1460824384799</v>
      </c>
      <c r="N41" s="385" t="s">
        <v>719</v>
      </c>
    </row>
    <row r="42" spans="2:14" x14ac:dyDescent="0.25">
      <c r="B42" s="407" t="str">
        <f>VLOOKUP(D42,'Unit List'!$B$9:$E$241,4,0)</f>
        <v>Iron Making</v>
      </c>
      <c r="C42" s="377" t="str">
        <f>VLOOKUP(D42,'Unit List'!$B$9:$D$241,3,0)</f>
        <v>Briquetting</v>
      </c>
      <c r="D42" s="414">
        <v>1335</v>
      </c>
      <c r="E42" s="376" t="s">
        <v>42</v>
      </c>
      <c r="F42" s="375">
        <v>3269342.8439999996</v>
      </c>
      <c r="G42" s="86">
        <f t="shared" si="3"/>
        <v>3.7686234922022581E-4</v>
      </c>
      <c r="H42" s="87">
        <f t="shared" si="4"/>
        <v>7.5949175893702314E-6</v>
      </c>
      <c r="I42" s="87">
        <f t="shared" si="5"/>
        <v>1.1221903236574949E-9</v>
      </c>
      <c r="J42" s="88">
        <f t="shared" si="6"/>
        <v>1256.3773032215258</v>
      </c>
      <c r="K42" s="88">
        <f t="shared" si="7"/>
        <v>25.319807348403035</v>
      </c>
      <c r="L42" s="88">
        <f t="shared" si="8"/>
        <v>3.7411390537031314E-3</v>
      </c>
      <c r="M42" s="88">
        <f>L42*Settings!$D$24+Electricity!K42*Settings!$C$24+Electricity!J42</f>
        <v>1941.0334325900687</v>
      </c>
      <c r="N42" s="385" t="s">
        <v>719</v>
      </c>
    </row>
    <row r="43" spans="2:14" x14ac:dyDescent="0.25">
      <c r="B43" s="407" t="str">
        <f>VLOOKUP(D43,'Unit List'!$B$9:$E$241,4,0)</f>
        <v>Steel Making</v>
      </c>
      <c r="C43" s="377" t="str">
        <f>VLOOKUP(D43,'Unit List'!$B$9:$D$241,3,0)</f>
        <v>EAFs</v>
      </c>
      <c r="D43" s="414">
        <v>2110</v>
      </c>
      <c r="E43" s="376" t="s">
        <v>42</v>
      </c>
      <c r="F43" s="375">
        <v>5734270.2400000002</v>
      </c>
      <c r="G43" s="86">
        <f t="shared" si="3"/>
        <v>3.7686234922022581E-4</v>
      </c>
      <c r="H43" s="87">
        <f t="shared" si="4"/>
        <v>7.5949175893702314E-6</v>
      </c>
      <c r="I43" s="87">
        <f t="shared" si="5"/>
        <v>1.1221903236574949E-9</v>
      </c>
      <c r="J43" s="88">
        <f t="shared" si="6"/>
        <v>2203.6254145986568</v>
      </c>
      <c r="K43" s="88">
        <f t="shared" si="7"/>
        <v>44.409725344938721</v>
      </c>
      <c r="L43" s="88">
        <f t="shared" si="8"/>
        <v>6.5617781196371924E-3</v>
      </c>
      <c r="M43" s="88">
        <f>L43*Settings!$D$24+Electricity!K43*Settings!$C$24+Electricity!J43</f>
        <v>3404.4793643386633</v>
      </c>
      <c r="N43" s="385" t="s">
        <v>719</v>
      </c>
    </row>
    <row r="44" spans="2:14" x14ac:dyDescent="0.25">
      <c r="B44" s="407" t="str">
        <f>VLOOKUP(D44,'Unit List'!$B$9:$E$241,4,0)</f>
        <v>Steel Making</v>
      </c>
      <c r="C44" s="377" t="str">
        <f>VLOOKUP(D44,'Unit List'!$B$9:$D$241,3,0)</f>
        <v>EAFs</v>
      </c>
      <c r="D44" s="414">
        <v>2120</v>
      </c>
      <c r="E44" s="376" t="s">
        <v>42</v>
      </c>
      <c r="F44" s="375">
        <v>7167837.7999999998</v>
      </c>
      <c r="G44" s="86">
        <f t="shared" si="3"/>
        <v>3.7686234922022581E-4</v>
      </c>
      <c r="H44" s="87">
        <f t="shared" si="4"/>
        <v>7.5949175893702314E-6</v>
      </c>
      <c r="I44" s="87">
        <f t="shared" si="5"/>
        <v>1.1221903236574949E-9</v>
      </c>
      <c r="J44" s="88">
        <f t="shared" si="6"/>
        <v>2754.5317682483214</v>
      </c>
      <c r="K44" s="88">
        <f t="shared" si="7"/>
        <v>55.512156681173401</v>
      </c>
      <c r="L44" s="88">
        <f t="shared" si="8"/>
        <v>8.2022226495464898E-3</v>
      </c>
      <c r="M44" s="88">
        <f>L44*Settings!$D$24+Electricity!K44*Settings!$C$24+Electricity!J44</f>
        <v>4255.5992054233293</v>
      </c>
      <c r="N44" s="385" t="s">
        <v>719</v>
      </c>
    </row>
    <row r="45" spans="2:14" x14ac:dyDescent="0.25">
      <c r="B45" s="407" t="str">
        <f>VLOOKUP(D45,'Unit List'!$B$9:$E$241,4,0)</f>
        <v>Steel Making</v>
      </c>
      <c r="C45" s="377" t="str">
        <f>VLOOKUP(D45,'Unit List'!$B$9:$D$241,3,0)</f>
        <v>EAFs</v>
      </c>
      <c r="D45" s="414">
        <v>2130</v>
      </c>
      <c r="E45" s="376" t="s">
        <v>42</v>
      </c>
      <c r="F45" s="375">
        <v>86014053.599999994</v>
      </c>
      <c r="G45" s="86">
        <f t="shared" si="3"/>
        <v>3.7686234922022581E-4</v>
      </c>
      <c r="H45" s="87">
        <f t="shared" si="4"/>
        <v>7.5949175893702314E-6</v>
      </c>
      <c r="I45" s="87">
        <f t="shared" si="5"/>
        <v>1.1221903236574949E-9</v>
      </c>
      <c r="J45" s="88">
        <f t="shared" si="6"/>
        <v>33054.381218979855</v>
      </c>
      <c r="K45" s="88">
        <f t="shared" si="7"/>
        <v>666.14588017408073</v>
      </c>
      <c r="L45" s="88">
        <f t="shared" si="8"/>
        <v>9.8426671794557871E-2</v>
      </c>
      <c r="M45" s="88">
        <f>L45*Settings!$D$24+Electricity!K45*Settings!$C$24+Electricity!J45</f>
        <v>51067.190465079948</v>
      </c>
      <c r="N45" s="385" t="s">
        <v>719</v>
      </c>
    </row>
    <row r="46" spans="2:14" x14ac:dyDescent="0.25">
      <c r="B46" s="407" t="str">
        <f>VLOOKUP(D46,'Unit List'!$B$9:$E$241,4,0)</f>
        <v>Steel Making</v>
      </c>
      <c r="C46" s="377" t="str">
        <f>VLOOKUP(D46,'Unit List'!$B$9:$D$241,3,0)</f>
        <v>EAFs</v>
      </c>
      <c r="D46" s="414">
        <v>2210</v>
      </c>
      <c r="E46" s="376" t="s">
        <v>133</v>
      </c>
      <c r="F46" s="375">
        <v>187797350.36000001</v>
      </c>
      <c r="G46" s="86">
        <f t="shared" si="3"/>
        <v>3.7686234922022581E-4</v>
      </c>
      <c r="H46" s="87">
        <f t="shared" si="4"/>
        <v>7.5949175893702314E-6</v>
      </c>
      <c r="I46" s="87">
        <f t="shared" si="5"/>
        <v>1.1221903236574949E-9</v>
      </c>
      <c r="J46" s="88">
        <f t="shared" si="6"/>
        <v>72168.732328106023</v>
      </c>
      <c r="K46" s="88">
        <f t="shared" si="7"/>
        <v>1454.4185050467431</v>
      </c>
      <c r="L46" s="88">
        <f t="shared" si="8"/>
        <v>0.21489823341811806</v>
      </c>
      <c r="M46" s="88">
        <f>L46*Settings!$D$24+Electricity!K46*Settings!$C$24+Electricity!J46</f>
        <v>111496.69918209122</v>
      </c>
      <c r="N46" s="385" t="s">
        <v>719</v>
      </c>
    </row>
    <row r="47" spans="2:14" x14ac:dyDescent="0.25">
      <c r="B47" s="407" t="str">
        <f>VLOOKUP(D47,'Unit List'!$B$9:$E$241,4,0)</f>
        <v>Steel Making</v>
      </c>
      <c r="C47" s="377" t="str">
        <f>VLOOKUP(D47,'Unit List'!$B$9:$D$241,3,0)</f>
        <v>De-gassing</v>
      </c>
      <c r="D47" s="414">
        <v>2220</v>
      </c>
      <c r="E47" s="376" t="s">
        <v>42</v>
      </c>
      <c r="F47" s="375">
        <v>9697254.2400000002</v>
      </c>
      <c r="G47" s="86">
        <f t="shared" si="3"/>
        <v>3.7686234922022581E-4</v>
      </c>
      <c r="H47" s="87">
        <f t="shared" si="4"/>
        <v>7.5949175893702314E-6</v>
      </c>
      <c r="I47" s="87">
        <f t="shared" si="5"/>
        <v>1.1221903236574949E-9</v>
      </c>
      <c r="J47" s="88">
        <f t="shared" si="6"/>
        <v>3726.5624047548527</v>
      </c>
      <c r="K47" s="88">
        <f t="shared" si="7"/>
        <v>75.10151760800909</v>
      </c>
      <c r="L47" s="88">
        <f t="shared" si="8"/>
        <v>1.1096657121027313E-2</v>
      </c>
      <c r="M47" s="88">
        <f>L47*Settings!$D$24+Electricity!K47*Settings!$C$24+Electricity!J47</f>
        <v>5757.3327675651381</v>
      </c>
      <c r="N47" s="385" t="s">
        <v>719</v>
      </c>
    </row>
    <row r="48" spans="2:14" x14ac:dyDescent="0.25">
      <c r="B48" s="407" t="str">
        <f>VLOOKUP(D48,'Unit List'!$B$9:$E$241,4,0)</f>
        <v>Steel Making</v>
      </c>
      <c r="C48" s="377" t="str">
        <f>VLOOKUP(D48,'Unit List'!$B$9:$D$241,3,0)</f>
        <v>Laddle Furnaces</v>
      </c>
      <c r="D48" s="414">
        <v>2240</v>
      </c>
      <c r="E48" s="376" t="s">
        <v>42</v>
      </c>
      <c r="F48" s="375">
        <v>42782004</v>
      </c>
      <c r="G48" s="86">
        <f t="shared" si="3"/>
        <v>3.7686234922022581E-4</v>
      </c>
      <c r="H48" s="87">
        <f t="shared" si="4"/>
        <v>7.5949175893702314E-6</v>
      </c>
      <c r="I48" s="87">
        <f t="shared" si="5"/>
        <v>1.1221903236574949E-9</v>
      </c>
      <c r="J48" s="88">
        <f t="shared" si="6"/>
        <v>16440.716491565527</v>
      </c>
      <c r="K48" s="88">
        <f t="shared" si="7"/>
        <v>331.33022474121657</v>
      </c>
      <c r="L48" s="88">
        <f t="shared" si="8"/>
        <v>4.8955840239826375E-2</v>
      </c>
      <c r="M48" s="88">
        <f>L48*Settings!$D$24+Electricity!K48*Settings!$C$24+Electricity!J48</f>
        <v>25399.997503963845</v>
      </c>
      <c r="N48" s="385" t="s">
        <v>719</v>
      </c>
    </row>
    <row r="49" spans="2:14" x14ac:dyDescent="0.25">
      <c r="B49" s="407" t="str">
        <f>VLOOKUP(D49,'Unit List'!$B$9:$E$241,4,0)</f>
        <v>Steel Making</v>
      </c>
      <c r="C49" s="377" t="str">
        <f>VLOOKUP(D49,'Unit List'!$B$9:$D$241,3,0)</f>
        <v>Laddle Furnaces</v>
      </c>
      <c r="D49" s="414">
        <v>2301</v>
      </c>
      <c r="E49" s="376" t="s">
        <v>42</v>
      </c>
      <c r="F49" s="375">
        <v>4563413.76</v>
      </c>
      <c r="G49" s="86">
        <f t="shared" si="3"/>
        <v>3.7686234922022581E-4</v>
      </c>
      <c r="H49" s="87">
        <f t="shared" si="4"/>
        <v>7.5949175893702314E-6</v>
      </c>
      <c r="I49" s="87">
        <f t="shared" si="5"/>
        <v>1.1221903236574949E-9</v>
      </c>
      <c r="J49" s="88">
        <f t="shared" si="6"/>
        <v>1753.6764257669893</v>
      </c>
      <c r="K49" s="88">
        <f t="shared" si="7"/>
        <v>35.341890639063102</v>
      </c>
      <c r="L49" s="88">
        <f t="shared" si="8"/>
        <v>5.2219562922481474E-3</v>
      </c>
      <c r="M49" s="88">
        <f>L49*Settings!$D$24+Electricity!K49*Settings!$C$24+Electricity!J49</f>
        <v>2709.3330670894766</v>
      </c>
      <c r="N49" s="385" t="s">
        <v>719</v>
      </c>
    </row>
    <row r="50" spans="2:14" x14ac:dyDescent="0.25">
      <c r="B50" s="407" t="str">
        <f>VLOOKUP(D50,'Unit List'!$B$9:$E$241,4,0)</f>
        <v>Steel Making</v>
      </c>
      <c r="C50" s="377" t="str">
        <f>VLOOKUP(D50,'Unit List'!$B$9:$D$241,3,0)</f>
        <v>Casting Machines</v>
      </c>
      <c r="D50" s="414">
        <v>2410</v>
      </c>
      <c r="E50" s="376" t="s">
        <v>42</v>
      </c>
      <c r="F50" s="375">
        <v>95888702</v>
      </c>
      <c r="G50" s="86">
        <f t="shared" si="3"/>
        <v>3.7686234922022581E-4</v>
      </c>
      <c r="H50" s="87">
        <f t="shared" si="4"/>
        <v>7.5949175893702314E-6</v>
      </c>
      <c r="I50" s="87">
        <f t="shared" si="5"/>
        <v>1.1221903236574949E-9</v>
      </c>
      <c r="J50" s="88">
        <f t="shared" si="6"/>
        <v>36849.114509133607</v>
      </c>
      <c r="K50" s="88">
        <f t="shared" si="7"/>
        <v>742.62124756482979</v>
      </c>
      <c r="L50" s="88">
        <f t="shared" si="8"/>
        <v>0.10972632268269435</v>
      </c>
      <c r="M50" s="88">
        <f>L50*Settings!$D$24+Electricity!K50*Settings!$C$24+Electricity!J50</f>
        <v>56929.843479476389</v>
      </c>
      <c r="N50" s="385" t="s">
        <v>719</v>
      </c>
    </row>
    <row r="51" spans="2:14" x14ac:dyDescent="0.25">
      <c r="B51" s="407" t="str">
        <f>VLOOKUP(D51,'Unit List'!$B$9:$E$241,4,0)</f>
        <v>Steel Making</v>
      </c>
      <c r="C51" s="377" t="str">
        <f>VLOOKUP(D51,'Unit List'!$B$9:$D$241,3,0)</f>
        <v>Slab Cooling</v>
      </c>
      <c r="D51" s="414">
        <v>2510</v>
      </c>
      <c r="E51" s="376" t="s">
        <v>42</v>
      </c>
      <c r="F51" s="375">
        <v>35976826</v>
      </c>
      <c r="G51" s="86">
        <f t="shared" si="3"/>
        <v>3.7686234922022581E-4</v>
      </c>
      <c r="H51" s="87">
        <f t="shared" si="4"/>
        <v>7.5949175893702314E-6</v>
      </c>
      <c r="I51" s="87">
        <f t="shared" si="5"/>
        <v>1.1221903236574949E-9</v>
      </c>
      <c r="J51" s="88">
        <f t="shared" si="6"/>
        <v>13825.55142887611</v>
      </c>
      <c r="K51" s="88">
        <f t="shared" si="7"/>
        <v>278.62672922137176</v>
      </c>
      <c r="L51" s="88">
        <f t="shared" si="8"/>
        <v>4.1168612531381932E-2</v>
      </c>
      <c r="M51" s="88">
        <f>L51*Settings!$D$24+Electricity!K51*Settings!$C$24+Electricity!J51</f>
        <v>21359.712149074214</v>
      </c>
      <c r="N51" s="385" t="s">
        <v>719</v>
      </c>
    </row>
    <row r="52" spans="2:14" x14ac:dyDescent="0.25">
      <c r="B52" s="407" t="str">
        <f>VLOOKUP(D52,'Unit List'!$B$9:$E$241,4,0)</f>
        <v>Hot Rolling</v>
      </c>
      <c r="C52" s="377" t="str">
        <f>VLOOKUP(D52,'Unit List'!$B$9:$D$241,3,0)</f>
        <v>Hot Rolling Mill</v>
      </c>
      <c r="D52" s="414">
        <v>3101</v>
      </c>
      <c r="E52" s="376" t="s">
        <v>42</v>
      </c>
      <c r="F52" s="375">
        <v>12310554.165000001</v>
      </c>
      <c r="G52" s="86">
        <f t="shared" si="3"/>
        <v>3.7686234922022581E-4</v>
      </c>
      <c r="H52" s="87">
        <f t="shared" si="4"/>
        <v>7.5949175893702314E-6</v>
      </c>
      <c r="I52" s="87">
        <f t="shared" si="5"/>
        <v>1.1221903236574949E-9</v>
      </c>
      <c r="J52" s="88">
        <f t="shared" si="6"/>
        <v>4730.8286652683728</v>
      </c>
      <c r="K52" s="88">
        <f t="shared" si="7"/>
        <v>95.34052397775406</v>
      </c>
      <c r="L52" s="88">
        <f t="shared" si="8"/>
        <v>1.4087080235078965E-2</v>
      </c>
      <c r="M52" s="88">
        <f>L52*Settings!$D$24+Electricity!K52*Settings!$C$24+Electricity!J52</f>
        <v>7308.8685855719086</v>
      </c>
      <c r="N52" s="385" t="s">
        <v>719</v>
      </c>
    </row>
    <row r="53" spans="2:14" x14ac:dyDescent="0.25">
      <c r="B53" s="407" t="str">
        <f>VLOOKUP(D53,'Unit List'!$B$9:$E$241,4,0)</f>
        <v>Hot Rolling</v>
      </c>
      <c r="C53" s="377" t="str">
        <f>VLOOKUP(D53,'Unit List'!$B$9:$D$241,3,0)</f>
        <v>Hot Rolling Mill</v>
      </c>
      <c r="D53" s="414">
        <v>3210</v>
      </c>
      <c r="E53" s="376" t="s">
        <v>42</v>
      </c>
      <c r="F53" s="375">
        <v>38690313.089999996</v>
      </c>
      <c r="G53" s="86">
        <f t="shared" si="3"/>
        <v>3.7686234922022581E-4</v>
      </c>
      <c r="H53" s="87">
        <f t="shared" si="4"/>
        <v>7.5949175893702314E-6</v>
      </c>
      <c r="I53" s="87">
        <f t="shared" si="5"/>
        <v>1.1221903236574949E-9</v>
      </c>
      <c r="J53" s="88">
        <f t="shared" si="6"/>
        <v>14868.318662272026</v>
      </c>
      <c r="K53" s="88">
        <f t="shared" si="7"/>
        <v>299.64164678722693</v>
      </c>
      <c r="L53" s="88">
        <f t="shared" si="8"/>
        <v>4.4273680738819599E-2</v>
      </c>
      <c r="M53" s="88">
        <f>L53*Settings!$D$24+Electricity!K53*Settings!$C$24+Electricity!J53</f>
        <v>22970.729840368851</v>
      </c>
      <c r="N53" s="385" t="s">
        <v>719</v>
      </c>
    </row>
    <row r="54" spans="2:14" x14ac:dyDescent="0.25">
      <c r="B54" s="407" t="str">
        <f>VLOOKUP(D54,'Unit List'!$B$9:$E$241,4,0)</f>
        <v>Hot Rolling</v>
      </c>
      <c r="C54" s="377" t="str">
        <f>VLOOKUP(D54,'Unit List'!$B$9:$D$241,3,0)</f>
        <v>Hot Rolling Mill</v>
      </c>
      <c r="D54" s="414">
        <v>3310</v>
      </c>
      <c r="E54" s="376" t="s">
        <v>42</v>
      </c>
      <c r="F54" s="375">
        <v>237417830.32499999</v>
      </c>
      <c r="G54" s="86">
        <f t="shared" si="3"/>
        <v>3.7686234922022581E-4</v>
      </c>
      <c r="H54" s="87">
        <f t="shared" si="4"/>
        <v>7.5949175893702314E-6</v>
      </c>
      <c r="I54" s="87">
        <f t="shared" si="5"/>
        <v>1.1221903236574949E-9</v>
      </c>
      <c r="J54" s="88">
        <f t="shared" si="6"/>
        <v>91237.409973032889</v>
      </c>
      <c r="K54" s="88">
        <f t="shared" si="7"/>
        <v>1838.7101052852565</v>
      </c>
      <c r="L54" s="88">
        <f t="shared" si="8"/>
        <v>0.27167940453366574</v>
      </c>
      <c r="M54" s="88">
        <f>L54*Settings!$D$24+Electricity!K54*Settings!$C$24+Electricity!J54</f>
        <v>140956.75129317251</v>
      </c>
      <c r="N54" s="385" t="s">
        <v>719</v>
      </c>
    </row>
    <row r="55" spans="2:14" x14ac:dyDescent="0.25">
      <c r="B55" s="407" t="str">
        <f>VLOOKUP(D55,'Unit List'!$B$9:$E$241,4,0)</f>
        <v>Hot Rolling</v>
      </c>
      <c r="C55" s="377" t="str">
        <f>VLOOKUP(D55,'Unit List'!$B$9:$D$241,3,0)</f>
        <v>Shearing Line 1</v>
      </c>
      <c r="D55" s="414">
        <v>3410</v>
      </c>
      <c r="E55" s="376" t="s">
        <v>42</v>
      </c>
      <c r="F55" s="375">
        <v>3869031.3089999999</v>
      </c>
      <c r="G55" s="86">
        <f t="shared" si="3"/>
        <v>3.7686234922022581E-4</v>
      </c>
      <c r="H55" s="87">
        <f t="shared" si="4"/>
        <v>7.5949175893702314E-6</v>
      </c>
      <c r="I55" s="87">
        <f t="shared" si="5"/>
        <v>1.1221903236574949E-9</v>
      </c>
      <c r="J55" s="88">
        <f t="shared" si="6"/>
        <v>1486.8318662272027</v>
      </c>
      <c r="K55" s="88">
        <f t="shared" si="7"/>
        <v>29.964164678722696</v>
      </c>
      <c r="L55" s="88">
        <f t="shared" si="8"/>
        <v>4.4273680738819605E-3</v>
      </c>
      <c r="M55" s="88">
        <f>L55*Settings!$D$24+Electricity!K55*Settings!$C$24+Electricity!J55</f>
        <v>2297.0729840368854</v>
      </c>
      <c r="N55" s="385" t="s">
        <v>719</v>
      </c>
    </row>
    <row r="56" spans="2:14" x14ac:dyDescent="0.25">
      <c r="B56" s="407" t="str">
        <f>VLOOKUP(D56,'Unit List'!$B$9:$E$241,4,0)</f>
        <v>Hot Rolling</v>
      </c>
      <c r="C56" s="377" t="str">
        <f>VLOOKUP(D56,'Unit List'!$B$9:$D$241,3,0)</f>
        <v>Shearing Line 1</v>
      </c>
      <c r="D56" s="414">
        <v>3420</v>
      </c>
      <c r="E56" s="376" t="s">
        <v>42</v>
      </c>
      <c r="F56" s="375">
        <v>14069204.759999998</v>
      </c>
      <c r="G56" s="86">
        <f t="shared" si="3"/>
        <v>3.7686234922022581E-4</v>
      </c>
      <c r="H56" s="87">
        <f t="shared" si="4"/>
        <v>7.5949175893702314E-6</v>
      </c>
      <c r="I56" s="87">
        <f t="shared" si="5"/>
        <v>1.1221903236574949E-9</v>
      </c>
      <c r="J56" s="88">
        <f t="shared" si="6"/>
        <v>5406.6613317352821</v>
      </c>
      <c r="K56" s="88">
        <f t="shared" si="7"/>
        <v>108.96059883171888</v>
      </c>
      <c r="L56" s="88">
        <f t="shared" si="8"/>
        <v>1.6099520268661672E-2</v>
      </c>
      <c r="M56" s="88">
        <f>L56*Settings!$D$24+Electricity!K56*Settings!$C$24+Electricity!J56</f>
        <v>8352.9926692250374</v>
      </c>
      <c r="N56" s="385" t="s">
        <v>719</v>
      </c>
    </row>
    <row r="57" spans="2:14" x14ac:dyDescent="0.25">
      <c r="B57" s="407" t="str">
        <f>VLOOKUP(D57,'Unit List'!$B$9:$E$241,4,0)</f>
        <v>Hot Rolling</v>
      </c>
      <c r="C57" s="377" t="str">
        <f>VLOOKUP(D57,'Unit List'!$B$9:$D$241,3,0)</f>
        <v>Shearing Line 2</v>
      </c>
      <c r="D57" s="414">
        <v>3430</v>
      </c>
      <c r="E57" s="376" t="s">
        <v>42</v>
      </c>
      <c r="F57" s="375">
        <v>11255363.808</v>
      </c>
      <c r="G57" s="86">
        <f t="shared" si="3"/>
        <v>3.7686234922022581E-4</v>
      </c>
      <c r="H57" s="87">
        <f t="shared" si="4"/>
        <v>7.5949175893702314E-6</v>
      </c>
      <c r="I57" s="87">
        <f t="shared" si="5"/>
        <v>1.1221903236574949E-9</v>
      </c>
      <c r="J57" s="88">
        <f t="shared" si="6"/>
        <v>4325.3290653882259</v>
      </c>
      <c r="K57" s="88">
        <f t="shared" si="7"/>
        <v>87.168479065375124</v>
      </c>
      <c r="L57" s="88">
        <f t="shared" si="8"/>
        <v>1.2879616214929338E-2</v>
      </c>
      <c r="M57" s="88">
        <f>L57*Settings!$D$24+Electricity!K57*Settings!$C$24+Electricity!J57</f>
        <v>6682.3941353800292</v>
      </c>
      <c r="N57" s="385" t="s">
        <v>719</v>
      </c>
    </row>
    <row r="58" spans="2:14" x14ac:dyDescent="0.25">
      <c r="B58" s="407" t="str">
        <f>VLOOKUP(D58,'Unit List'!$B$9:$E$241,4,0)</f>
        <v>Hot Rolling</v>
      </c>
      <c r="C58" s="377" t="str">
        <f>VLOOKUP(D58,'Unit List'!$B$9:$D$241,3,0)</f>
        <v>Heavy Shearing Line</v>
      </c>
      <c r="D58" s="414">
        <v>3440</v>
      </c>
      <c r="E58" s="376" t="s">
        <v>42</v>
      </c>
      <c r="F58" s="375">
        <v>15124395.117000002</v>
      </c>
      <c r="G58" s="86">
        <f t="shared" si="3"/>
        <v>3.7686234922022581E-4</v>
      </c>
      <c r="H58" s="87">
        <f t="shared" si="4"/>
        <v>7.5949175893702314E-6</v>
      </c>
      <c r="I58" s="87">
        <f t="shared" si="5"/>
        <v>1.1221903236574949E-9</v>
      </c>
      <c r="J58" s="88">
        <f t="shared" si="6"/>
        <v>5812.1609316154299</v>
      </c>
      <c r="K58" s="88">
        <f t="shared" si="7"/>
        <v>117.13264374409785</v>
      </c>
      <c r="L58" s="88">
        <f t="shared" si="8"/>
        <v>1.7306984288811302E-2</v>
      </c>
      <c r="M58" s="88">
        <f>L58*Settings!$D$24+Electricity!K58*Settings!$C$24+Electricity!J58</f>
        <v>8979.4671194169168</v>
      </c>
      <c r="N58" s="385" t="s">
        <v>719</v>
      </c>
    </row>
    <row r="59" spans="2:14" x14ac:dyDescent="0.25">
      <c r="B59" s="407" t="str">
        <f>VLOOKUP(D59,'Unit List'!$B$9:$E$241,4,0)</f>
        <v>Hot Rolling</v>
      </c>
      <c r="C59" s="377" t="str">
        <f>VLOOKUP(D59,'Unit List'!$B$9:$D$241,3,0)</f>
        <v>Skin Pass Mill</v>
      </c>
      <c r="D59" s="414">
        <v>3450</v>
      </c>
      <c r="E59" s="376" t="s">
        <v>42</v>
      </c>
      <c r="F59" s="375">
        <v>8441522.8559999987</v>
      </c>
      <c r="G59" s="86">
        <f t="shared" si="3"/>
        <v>3.7686234922022581E-4</v>
      </c>
      <c r="H59" s="87">
        <f t="shared" si="4"/>
        <v>7.5949175893702314E-6</v>
      </c>
      <c r="I59" s="87">
        <f t="shared" si="5"/>
        <v>1.1221903236574949E-9</v>
      </c>
      <c r="J59" s="88">
        <f t="shared" si="6"/>
        <v>3243.9967990411692</v>
      </c>
      <c r="K59" s="88">
        <f t="shared" si="7"/>
        <v>65.376359299031336</v>
      </c>
      <c r="L59" s="88">
        <f t="shared" si="8"/>
        <v>9.6597121611970028E-3</v>
      </c>
      <c r="M59" s="88">
        <f>L59*Settings!$D$24+Electricity!K59*Settings!$C$24+Electricity!J59</f>
        <v>5011.7956015350219</v>
      </c>
      <c r="N59" s="385" t="s">
        <v>719</v>
      </c>
    </row>
    <row r="60" spans="2:14" x14ac:dyDescent="0.25">
      <c r="B60" s="407" t="str">
        <f>VLOOKUP(D60,'Unit List'!$B$9:$E$241,4,0)</f>
        <v>Hot Rolling</v>
      </c>
      <c r="C60" s="377" t="str">
        <f>VLOOKUP(D60,'Unit List'!$B$9:$D$241,3,0)</f>
        <v>Skin Pass Mill</v>
      </c>
      <c r="D60" s="414">
        <v>3460</v>
      </c>
      <c r="E60" s="376" t="s">
        <v>42</v>
      </c>
      <c r="F60" s="375">
        <v>3517301.1899999995</v>
      </c>
      <c r="G60" s="86">
        <f t="shared" si="3"/>
        <v>3.7686234922022581E-4</v>
      </c>
      <c r="H60" s="87">
        <f t="shared" si="4"/>
        <v>7.5949175893702314E-6</v>
      </c>
      <c r="I60" s="87">
        <f t="shared" si="5"/>
        <v>1.1221903236574949E-9</v>
      </c>
      <c r="J60" s="88">
        <f t="shared" si="6"/>
        <v>1351.6653329338205</v>
      </c>
      <c r="K60" s="88">
        <f t="shared" si="7"/>
        <v>27.240149707929721</v>
      </c>
      <c r="L60" s="88">
        <f t="shared" si="8"/>
        <v>4.024880067165418E-3</v>
      </c>
      <c r="M60" s="88">
        <f>L60*Settings!$D$24+Electricity!K60*Settings!$C$24+Electricity!J60</f>
        <v>2088.2481673062593</v>
      </c>
      <c r="N60" s="385" t="s">
        <v>719</v>
      </c>
    </row>
    <row r="61" spans="2:14" x14ac:dyDescent="0.25">
      <c r="B61" s="407" t="str">
        <f>VLOOKUP(D61,'Unit List'!$B$9:$E$241,4,0)</f>
        <v>Hot Rolling</v>
      </c>
      <c r="C61" s="377" t="str">
        <f>VLOOKUP(D61,'Unit List'!$B$9:$D$241,3,0)</f>
        <v>Services of HSM Area</v>
      </c>
      <c r="D61" s="414">
        <v>3901</v>
      </c>
      <c r="E61" s="376" t="s">
        <v>42</v>
      </c>
      <c r="F61" s="375">
        <v>7034602.379999999</v>
      </c>
      <c r="G61" s="86">
        <f t="shared" si="3"/>
        <v>3.7686234922022581E-4</v>
      </c>
      <c r="H61" s="87">
        <f t="shared" si="4"/>
        <v>7.5949175893702314E-6</v>
      </c>
      <c r="I61" s="87">
        <f t="shared" si="5"/>
        <v>1.1221903236574949E-9</v>
      </c>
      <c r="J61" s="88">
        <f t="shared" si="6"/>
        <v>2703.3306658676411</v>
      </c>
      <c r="K61" s="88">
        <f t="shared" si="7"/>
        <v>54.480299415859442</v>
      </c>
      <c r="L61" s="88">
        <f t="shared" si="8"/>
        <v>8.0497601343308359E-3</v>
      </c>
      <c r="M61" s="88">
        <f>L61*Settings!$D$24+Electricity!K61*Settings!$C$24+Electricity!J61</f>
        <v>4176.4963346125187</v>
      </c>
      <c r="N61" s="385" t="s">
        <v>719</v>
      </c>
    </row>
    <row r="62" spans="2:14" x14ac:dyDescent="0.25">
      <c r="B62" s="407" t="str">
        <f>VLOOKUP(D62,'Unit List'!$B$9:$E$241,4,0)</f>
        <v>Cold Rolling</v>
      </c>
      <c r="C62" s="377" t="str">
        <f>VLOOKUP(D62,'Unit List'!$B$9:$D$241,3,0)</f>
        <v>Pickling Line 1,2</v>
      </c>
      <c r="D62" s="414">
        <v>4101</v>
      </c>
      <c r="E62" s="376" t="s">
        <v>42</v>
      </c>
      <c r="F62" s="375">
        <v>1205159.0429999998</v>
      </c>
      <c r="G62" s="86">
        <f t="shared" si="3"/>
        <v>3.7686234922022581E-4</v>
      </c>
      <c r="H62" s="87">
        <f t="shared" si="4"/>
        <v>7.5949175893702314E-6</v>
      </c>
      <c r="I62" s="87">
        <f t="shared" si="5"/>
        <v>1.1221903236574949E-9</v>
      </c>
      <c r="J62" s="88">
        <f t="shared" si="6"/>
        <v>463.13113694275336</v>
      </c>
      <c r="K62" s="88">
        <f t="shared" si="7"/>
        <v>9.3334949098246867</v>
      </c>
      <c r="L62" s="88">
        <f t="shared" si="8"/>
        <v>1.3790745653871202E-3</v>
      </c>
      <c r="M62" s="88">
        <f>L62*Settings!$D$24+Electricity!K62*Settings!$C$24+Electricity!J62</f>
        <v>715.51198686437056</v>
      </c>
      <c r="N62" s="385" t="s">
        <v>719</v>
      </c>
    </row>
    <row r="63" spans="2:14" x14ac:dyDescent="0.25">
      <c r="B63" s="407" t="str">
        <f>VLOOKUP(D63,'Unit List'!$B$9:$E$241,4,0)</f>
        <v>Cold Rolling</v>
      </c>
      <c r="C63" s="377" t="str">
        <f>VLOOKUP(D63,'Unit List'!$B$9:$D$241,3,0)</f>
        <v>Pickling Line 1,2</v>
      </c>
      <c r="D63" s="414">
        <v>4102</v>
      </c>
      <c r="E63" s="376" t="s">
        <v>42</v>
      </c>
      <c r="F63" s="375">
        <v>6952.8420000000006</v>
      </c>
      <c r="G63" s="86">
        <f t="shared" si="3"/>
        <v>3.7686234922022581E-4</v>
      </c>
      <c r="H63" s="87">
        <f t="shared" si="4"/>
        <v>7.5949175893702314E-6</v>
      </c>
      <c r="I63" s="87">
        <f t="shared" si="5"/>
        <v>1.1221903236574949E-9</v>
      </c>
      <c r="J63" s="88">
        <f t="shared" si="6"/>
        <v>2.6719109308822806</v>
      </c>
      <c r="K63" s="88">
        <f t="shared" si="7"/>
        <v>5.3847096607493414E-2</v>
      </c>
      <c r="L63" s="88">
        <f t="shared" si="8"/>
        <v>7.9562009803176813E-6</v>
      </c>
      <c r="M63" s="88">
        <f>L63*Settings!$D$24+Electricity!K63*Settings!$C$24+Electricity!J63</f>
        <v>4.1279545821522294</v>
      </c>
      <c r="N63" s="385" t="s">
        <v>719</v>
      </c>
    </row>
    <row r="64" spans="2:14" x14ac:dyDescent="0.25">
      <c r="B64" s="407" t="str">
        <f>VLOOKUP(D64,'Unit List'!$B$9:$E$241,4,0)</f>
        <v>Cold Rolling</v>
      </c>
      <c r="C64" s="377" t="str">
        <f>VLOOKUP(D64,'Unit List'!$B$9:$D$241,3,0)</f>
        <v>Pickling Line 1,2</v>
      </c>
      <c r="D64" s="414">
        <v>4220</v>
      </c>
      <c r="E64" s="376" t="s">
        <v>42</v>
      </c>
      <c r="F64" s="375">
        <v>11611243.835999999</v>
      </c>
      <c r="G64" s="86">
        <f t="shared" si="3"/>
        <v>3.7686234922022581E-4</v>
      </c>
      <c r="H64" s="87">
        <f t="shared" si="4"/>
        <v>7.5949175893702314E-6</v>
      </c>
      <c r="I64" s="87">
        <f t="shared" si="5"/>
        <v>1.1221903236574949E-9</v>
      </c>
      <c r="J64" s="88">
        <f t="shared" si="6"/>
        <v>4462.0903691681606</v>
      </c>
      <c r="K64" s="88">
        <f t="shared" si="7"/>
        <v>89.924633490917003</v>
      </c>
      <c r="L64" s="88">
        <f t="shared" si="8"/>
        <v>1.3286853000642156E-2</v>
      </c>
      <c r="M64" s="88">
        <f>L64*Settings!$D$24+Electricity!K64*Settings!$C$24+Electricity!J64</f>
        <v>6893.6827842920948</v>
      </c>
      <c r="N64" s="385" t="s">
        <v>719</v>
      </c>
    </row>
    <row r="65" spans="2:14" x14ac:dyDescent="0.25">
      <c r="B65" s="407" t="str">
        <f>VLOOKUP(D65,'Unit List'!$B$9:$E$241,4,0)</f>
        <v>Cold Rolling</v>
      </c>
      <c r="C65" s="377" t="str">
        <f>VLOOKUP(D65,'Unit List'!$B$9:$D$241,3,0)</f>
        <v>Pickling Line 1,2</v>
      </c>
      <c r="D65" s="414">
        <v>4225</v>
      </c>
      <c r="E65" s="376" t="s">
        <v>42</v>
      </c>
      <c r="F65" s="375">
        <v>4542522.5389999999</v>
      </c>
      <c r="G65" s="86">
        <f t="shared" si="3"/>
        <v>3.7686234922022581E-4</v>
      </c>
      <c r="H65" s="87">
        <f t="shared" si="4"/>
        <v>7.5949175893702314E-6</v>
      </c>
      <c r="I65" s="87">
        <f t="shared" si="5"/>
        <v>1.1221903236574949E-9</v>
      </c>
      <c r="J65" s="88">
        <f t="shared" si="6"/>
        <v>1745.6481285973748</v>
      </c>
      <c r="K65" s="88">
        <f t="shared" si="7"/>
        <v>35.180096138996007</v>
      </c>
      <c r="L65" s="88">
        <f t="shared" si="8"/>
        <v>5.1980502761183062E-3</v>
      </c>
      <c r="M65" s="88">
        <f>L65*Settings!$D$24+Electricity!K65*Settings!$C$24+Electricity!J65</f>
        <v>2696.9297920756471</v>
      </c>
      <c r="N65" s="385" t="s">
        <v>719</v>
      </c>
    </row>
    <row r="66" spans="2:14" x14ac:dyDescent="0.25">
      <c r="B66" s="407" t="str">
        <f>VLOOKUP(D66,'Unit List'!$B$9:$E$241,4,0)</f>
        <v>Cold Rolling</v>
      </c>
      <c r="C66" s="377" t="str">
        <f>VLOOKUP(D66,'Unit List'!$B$9:$D$241,3,0)</f>
        <v>Tandem Mill</v>
      </c>
      <c r="D66" s="414">
        <v>4310</v>
      </c>
      <c r="E66" s="376" t="s">
        <v>42</v>
      </c>
      <c r="F66" s="375">
        <v>120515904.07999998</v>
      </c>
      <c r="G66" s="86">
        <f t="shared" si="3"/>
        <v>3.7686234922022581E-4</v>
      </c>
      <c r="H66" s="87">
        <f t="shared" si="4"/>
        <v>7.5949175893702314E-6</v>
      </c>
      <c r="I66" s="87">
        <f t="shared" si="5"/>
        <v>1.1221903236574949E-9</v>
      </c>
      <c r="J66" s="88">
        <f t="shared" si="6"/>
        <v>46313.113609731437</v>
      </c>
      <c r="K66" s="88">
        <f t="shared" si="7"/>
        <v>933.3494892786531</v>
      </c>
      <c r="L66" s="88">
        <f t="shared" si="8"/>
        <v>0.13790745628696399</v>
      </c>
      <c r="M66" s="88">
        <f>L66*Settings!$D$24+Electricity!K66*Settings!$C$24+Electricity!J66</f>
        <v>71551.198555821407</v>
      </c>
      <c r="N66" s="385" t="s">
        <v>719</v>
      </c>
    </row>
    <row r="67" spans="2:14" x14ac:dyDescent="0.25">
      <c r="B67" s="407" t="str">
        <f>VLOOKUP(D67,'Unit List'!$B$9:$E$241,4,0)</f>
        <v>Cold Rolling</v>
      </c>
      <c r="C67" s="377" t="str">
        <f>VLOOKUP(D67,'Unit List'!$B$9:$D$241,3,0)</f>
        <v>Two Stand Reversible Mill</v>
      </c>
      <c r="D67" s="414">
        <v>4315</v>
      </c>
      <c r="E67" s="376" t="s">
        <v>42</v>
      </c>
      <c r="F67" s="375">
        <v>31287782.789999995</v>
      </c>
      <c r="G67" s="86">
        <f t="shared" si="3"/>
        <v>3.7686234922022581E-4</v>
      </c>
      <c r="H67" s="87">
        <f t="shared" si="4"/>
        <v>7.5949175893702314E-6</v>
      </c>
      <c r="I67" s="87">
        <f t="shared" si="5"/>
        <v>1.1221903236574949E-9</v>
      </c>
      <c r="J67" s="88">
        <f t="shared" si="6"/>
        <v>12023.59680252643</v>
      </c>
      <c r="K67" s="88">
        <f t="shared" si="7"/>
        <v>242.31188663965031</v>
      </c>
      <c r="L67" s="88">
        <f t="shared" si="8"/>
        <v>3.5802897305269497E-2</v>
      </c>
      <c r="M67" s="88">
        <f>L67*Settings!$D$24+Electricity!K67*Settings!$C$24+Electricity!J67</f>
        <v>18575.791932761327</v>
      </c>
      <c r="N67" s="385" t="s">
        <v>719</v>
      </c>
    </row>
    <row r="68" spans="2:14" x14ac:dyDescent="0.25">
      <c r="B68" s="407" t="str">
        <f>VLOOKUP(D68,'Unit List'!$B$9:$E$241,4,0)</f>
        <v>Cold Rolling</v>
      </c>
      <c r="C68" s="377" t="str">
        <f>VLOOKUP(D68,'Unit List'!$B$9:$D$241,3,0)</f>
        <v>Electrolytic Cleaning Line</v>
      </c>
      <c r="D68" s="414">
        <v>4405</v>
      </c>
      <c r="E68" s="376" t="s">
        <v>42</v>
      </c>
      <c r="F68" s="375">
        <v>16223.293</v>
      </c>
      <c r="G68" s="86">
        <f t="shared" si="3"/>
        <v>3.7686234922022581E-4</v>
      </c>
      <c r="H68" s="87">
        <f t="shared" si="4"/>
        <v>7.5949175893702314E-6</v>
      </c>
      <c r="I68" s="87">
        <f t="shared" si="5"/>
        <v>1.1221903236574949E-9</v>
      </c>
      <c r="J68" s="88">
        <f t="shared" si="6"/>
        <v>6.2344569172729623</v>
      </c>
      <c r="K68" s="88">
        <f t="shared" si="7"/>
        <v>0.12564318669440086</v>
      </c>
      <c r="L68" s="88">
        <f t="shared" si="8"/>
        <v>1.8564463232528647E-5</v>
      </c>
      <c r="M68" s="88">
        <f>L68*Settings!$D$24+Electricity!K68*Settings!$C$24+Electricity!J68</f>
        <v>9.6318910564842657</v>
      </c>
      <c r="N68" s="385" t="s">
        <v>719</v>
      </c>
    </row>
    <row r="69" spans="2:14" x14ac:dyDescent="0.25">
      <c r="B69" s="407" t="str">
        <f>VLOOKUP(D69,'Unit List'!$B$9:$E$241,4,0)</f>
        <v>Cold Rolling</v>
      </c>
      <c r="C69" s="377" t="str">
        <f>VLOOKUP(D69,'Unit List'!$B$9:$D$241,3,0)</f>
        <v>Box Annealing 1</v>
      </c>
      <c r="D69" s="414">
        <v>4410</v>
      </c>
      <c r="E69" s="376" t="s">
        <v>42</v>
      </c>
      <c r="F69" s="375">
        <v>1019749.9569999999</v>
      </c>
      <c r="G69" s="86">
        <f t="shared" si="3"/>
        <v>3.7686234922022581E-4</v>
      </c>
      <c r="H69" s="87">
        <f t="shared" si="4"/>
        <v>7.5949175893702314E-6</v>
      </c>
      <c r="I69" s="87">
        <f t="shared" si="5"/>
        <v>1.1221903236574949E-9</v>
      </c>
      <c r="J69" s="88">
        <f t="shared" si="6"/>
        <v>391.88019185176864</v>
      </c>
      <c r="K69" s="88">
        <f t="shared" si="7"/>
        <v>7.8975725969418331</v>
      </c>
      <c r="L69" s="88">
        <f t="shared" si="8"/>
        <v>1.1669092448184945E-3</v>
      </c>
      <c r="M69" s="88">
        <f>L69*Settings!$D$24+Electricity!K69*Settings!$C$24+Electricity!J69</f>
        <v>605.43321819303355</v>
      </c>
      <c r="N69" s="385" t="s">
        <v>719</v>
      </c>
    </row>
    <row r="70" spans="2:14" x14ac:dyDescent="0.25">
      <c r="B70" s="407" t="str">
        <f>VLOOKUP(D70,'Unit List'!$B$9:$E$241,4,0)</f>
        <v>Cold Rolling</v>
      </c>
      <c r="C70" s="377" t="str">
        <f>VLOOKUP(D70,'Unit List'!$B$9:$D$241,3,0)</f>
        <v>Box Annealing 3</v>
      </c>
      <c r="D70" s="414">
        <v>4415</v>
      </c>
      <c r="E70" s="376" t="s">
        <v>42</v>
      </c>
      <c r="F70" s="375">
        <v>0</v>
      </c>
      <c r="G70" s="86">
        <f t="shared" si="3"/>
        <v>3.7686234922022581E-4</v>
      </c>
      <c r="H70" s="87">
        <f t="shared" si="4"/>
        <v>7.5949175893702314E-6</v>
      </c>
      <c r="I70" s="87">
        <f t="shared" si="5"/>
        <v>1.1221903236574949E-9</v>
      </c>
      <c r="J70" s="88">
        <f t="shared" si="6"/>
        <v>0</v>
      </c>
      <c r="K70" s="88">
        <f t="shared" si="7"/>
        <v>0</v>
      </c>
      <c r="L70" s="88">
        <f t="shared" si="8"/>
        <v>0</v>
      </c>
      <c r="M70" s="88">
        <f>L70*Settings!$D$24+Electricity!K70*Settings!$C$24+Electricity!J70</f>
        <v>0</v>
      </c>
      <c r="N70" s="385" t="s">
        <v>719</v>
      </c>
    </row>
    <row r="71" spans="2:14" x14ac:dyDescent="0.25">
      <c r="B71" s="407" t="str">
        <f>VLOOKUP(D71,'Unit List'!$B$9:$E$241,4,0)</f>
        <v>Cold Rolling</v>
      </c>
      <c r="C71" s="377" t="str">
        <f>VLOOKUP(D71,'Unit List'!$B$9:$D$241,3,0)</f>
        <v>Box Annealing 2</v>
      </c>
      <c r="D71" s="414">
        <v>4420</v>
      </c>
      <c r="E71" s="376" t="s">
        <v>42</v>
      </c>
      <c r="F71" s="375">
        <v>22017328.630000003</v>
      </c>
      <c r="G71" s="86">
        <f t="shared" si="3"/>
        <v>3.7686234922022581E-4</v>
      </c>
      <c r="H71" s="87">
        <f t="shared" si="4"/>
        <v>7.5949175893702314E-6</v>
      </c>
      <c r="I71" s="87">
        <f t="shared" si="5"/>
        <v>1.1221903236574949E-9</v>
      </c>
      <c r="J71" s="88">
        <f t="shared" si="6"/>
        <v>8461.0496017778605</v>
      </c>
      <c r="K71" s="88">
        <f t="shared" si="7"/>
        <v>170.51577207975396</v>
      </c>
      <c r="L71" s="88">
        <f t="shared" si="8"/>
        <v>2.5194631437041506E-2</v>
      </c>
      <c r="M71" s="88">
        <f>L71*Settings!$D$24+Electricity!K71*Settings!$C$24+Electricity!J71</f>
        <v>13071.85358231353</v>
      </c>
      <c r="N71" s="385" t="s">
        <v>719</v>
      </c>
    </row>
    <row r="72" spans="2:14" x14ac:dyDescent="0.25">
      <c r="B72" s="407" t="str">
        <f>VLOOKUP(D72,'Unit List'!$B$9:$E$241,4,0)</f>
        <v>Cold Rolling</v>
      </c>
      <c r="C72" s="377" t="str">
        <f>VLOOKUP(D72,'Unit List'!$B$9:$D$241,3,0)</f>
        <v>Skin Pass Line 1,2</v>
      </c>
      <c r="D72" s="414">
        <v>4510</v>
      </c>
      <c r="E72" s="376" t="s">
        <v>42</v>
      </c>
      <c r="F72" s="375">
        <v>3012897.602</v>
      </c>
      <c r="G72" s="86">
        <f t="shared" si="3"/>
        <v>3.7686234922022581E-4</v>
      </c>
      <c r="H72" s="87">
        <f t="shared" si="4"/>
        <v>7.5949175893702314E-6</v>
      </c>
      <c r="I72" s="87">
        <f t="shared" si="5"/>
        <v>1.1221903236574949E-9</v>
      </c>
      <c r="J72" s="88">
        <f t="shared" si="6"/>
        <v>1157.8278402432861</v>
      </c>
      <c r="K72" s="88">
        <f t="shared" si="7"/>
        <v>23.333737231966328</v>
      </c>
      <c r="L72" s="88">
        <f t="shared" si="8"/>
        <v>3.4476864071741001E-3</v>
      </c>
      <c r="M72" s="88">
        <f>L72*Settings!$D$24+Electricity!K72*Settings!$C$24+Electricity!J72</f>
        <v>1788.7799638955355</v>
      </c>
      <c r="N72" s="385" t="s">
        <v>719</v>
      </c>
    </row>
    <row r="73" spans="2:14" x14ac:dyDescent="0.25">
      <c r="B73" s="407" t="str">
        <f>VLOOKUP(D73,'Unit List'!$B$9:$E$241,4,0)</f>
        <v>Cold Rolling</v>
      </c>
      <c r="C73" s="377" t="str">
        <f>VLOOKUP(D73,'Unit List'!$B$9:$D$241,3,0)</f>
        <v>Skin Pass Line 1,2</v>
      </c>
      <c r="D73" s="414">
        <v>4515</v>
      </c>
      <c r="E73" s="376" t="s">
        <v>42</v>
      </c>
      <c r="F73" s="375">
        <v>1923619.237</v>
      </c>
      <c r="G73" s="86">
        <f t="shared" si="3"/>
        <v>3.7686234922022581E-4</v>
      </c>
      <c r="H73" s="87">
        <f t="shared" si="4"/>
        <v>7.5949175893702314E-6</v>
      </c>
      <c r="I73" s="87">
        <f t="shared" si="5"/>
        <v>1.1221903236574949E-9</v>
      </c>
      <c r="J73" s="88">
        <f t="shared" si="6"/>
        <v>739.2285436941803</v>
      </c>
      <c r="K73" s="88">
        <f t="shared" si="7"/>
        <v>14.897693761884961</v>
      </c>
      <c r="L73" s="88">
        <f t="shared" si="8"/>
        <v>2.2012151662841391E-3</v>
      </c>
      <c r="M73" s="88">
        <f>L73*Settings!$D$24+Electricity!K73*Settings!$C$24+Electricity!J73</f>
        <v>1142.0672070054698</v>
      </c>
      <c r="N73" s="385" t="s">
        <v>719</v>
      </c>
    </row>
    <row r="74" spans="2:14" x14ac:dyDescent="0.25">
      <c r="B74" s="407" t="str">
        <f>VLOOKUP(D74,'Unit List'!$B$9:$E$241,4,0)</f>
        <v>Cold Rolling</v>
      </c>
      <c r="C74" s="377" t="str">
        <f>VLOOKUP(D74,'Unit List'!$B$9:$D$241,3,0)</f>
        <v>Temper Mill</v>
      </c>
      <c r="D74" s="414">
        <v>4520</v>
      </c>
      <c r="E74" s="376" t="s">
        <v>42</v>
      </c>
      <c r="F74" s="375">
        <v>12746874.470000003</v>
      </c>
      <c r="G74" s="86">
        <f t="shared" si="3"/>
        <v>3.7686234922022581E-4</v>
      </c>
      <c r="H74" s="87">
        <f t="shared" si="4"/>
        <v>7.5949175893702314E-6</v>
      </c>
      <c r="I74" s="87">
        <f t="shared" si="5"/>
        <v>1.1221903236574949E-9</v>
      </c>
      <c r="J74" s="88">
        <f t="shared" si="6"/>
        <v>4898.5024010292882</v>
      </c>
      <c r="K74" s="88">
        <f t="shared" si="7"/>
        <v>98.719657519857563</v>
      </c>
      <c r="L74" s="88">
        <f t="shared" si="8"/>
        <v>1.4586365568813505E-2</v>
      </c>
      <c r="M74" s="88">
        <f>L74*Settings!$D$24+Electricity!K74*Settings!$C$24+Electricity!J74</f>
        <v>7567.9152318657289</v>
      </c>
      <c r="N74" s="385" t="s">
        <v>719</v>
      </c>
    </row>
    <row r="75" spans="2:14" x14ac:dyDescent="0.25">
      <c r="B75" s="407" t="str">
        <f>VLOOKUP(D75,'Unit List'!$B$9:$E$241,4,0)</f>
        <v>Cold Rolling</v>
      </c>
      <c r="C75" s="377" t="str">
        <f>VLOOKUP(D75,'Unit List'!$B$9:$D$241,3,0)</f>
        <v>Corrective Line 1-4</v>
      </c>
      <c r="D75" s="414">
        <v>4610</v>
      </c>
      <c r="E75" s="376" t="s">
        <v>42</v>
      </c>
      <c r="F75" s="375">
        <v>5469567.9550000001</v>
      </c>
      <c r="G75" s="86">
        <f t="shared" si="3"/>
        <v>3.7686234922022581E-4</v>
      </c>
      <c r="H75" s="87">
        <f t="shared" si="4"/>
        <v>7.5949175893702314E-6</v>
      </c>
      <c r="I75" s="87">
        <f t="shared" si="5"/>
        <v>1.1221903236574949E-9</v>
      </c>
      <c r="J75" s="88">
        <f t="shared" si="6"/>
        <v>2101.9028486722323</v>
      </c>
      <c r="K75" s="88">
        <f t="shared" si="7"/>
        <v>42.359707594985643</v>
      </c>
      <c r="L75" s="88">
        <f t="shared" si="8"/>
        <v>6.2588768629411066E-3</v>
      </c>
      <c r="M75" s="88">
        <f>L75*Settings!$D$24+Electricity!K75*Settings!$C$24+Electricity!J75</f>
        <v>3247.3236271204278</v>
      </c>
      <c r="N75" s="385" t="s">
        <v>719</v>
      </c>
    </row>
    <row r="76" spans="2:14" x14ac:dyDescent="0.25">
      <c r="B76" s="407" t="str">
        <f>VLOOKUP(D76,'Unit List'!$B$9:$E$241,4,0)</f>
        <v>Cold Rolling</v>
      </c>
      <c r="C76" s="377" t="str">
        <f>VLOOKUP(D76,'Unit List'!$B$9:$D$241,3,0)</f>
        <v>Corrective Line 1-4</v>
      </c>
      <c r="D76" s="414">
        <v>4615</v>
      </c>
      <c r="E76" s="376" t="s">
        <v>42</v>
      </c>
      <c r="F76" s="375">
        <v>2155380.591</v>
      </c>
      <c r="G76" s="86">
        <f t="shared" si="3"/>
        <v>3.7686234922022581E-4</v>
      </c>
      <c r="H76" s="87">
        <f t="shared" si="4"/>
        <v>7.5949175893702314E-6</v>
      </c>
      <c r="I76" s="87">
        <f t="shared" si="5"/>
        <v>1.1221903236574949E-9</v>
      </c>
      <c r="J76" s="88">
        <f t="shared" si="6"/>
        <v>828.29222371289461</v>
      </c>
      <c r="K76" s="88">
        <f t="shared" si="7"/>
        <v>16.69259662588237</v>
      </c>
      <c r="L76" s="88">
        <f t="shared" si="8"/>
        <v>2.4664218129898394E-3</v>
      </c>
      <c r="M76" s="88">
        <f>L76*Settings!$D$24+Electricity!K76*Settings!$C$24+Electricity!J76</f>
        <v>1279.6656657666649</v>
      </c>
      <c r="N76" s="385" t="s">
        <v>719</v>
      </c>
    </row>
    <row r="77" spans="2:14" x14ac:dyDescent="0.25">
      <c r="B77" s="407" t="str">
        <f>VLOOKUP(D77,'Unit List'!$B$9:$E$241,4,0)</f>
        <v>Cold Rolling</v>
      </c>
      <c r="C77" s="377" t="str">
        <f>VLOOKUP(D77,'Unit List'!$B$9:$D$241,3,0)</f>
        <v>Corrective Line 1-4</v>
      </c>
      <c r="D77" s="414">
        <v>4616</v>
      </c>
      <c r="E77" s="376" t="s">
        <v>42</v>
      </c>
      <c r="F77" s="375">
        <v>1900443.105</v>
      </c>
      <c r="G77" s="86">
        <f t="shared" si="3"/>
        <v>3.7686234922022581E-4</v>
      </c>
      <c r="H77" s="87">
        <f t="shared" si="4"/>
        <v>7.5949175893702314E-6</v>
      </c>
      <c r="I77" s="87">
        <f t="shared" si="5"/>
        <v>1.1221903236574949E-9</v>
      </c>
      <c r="J77" s="88">
        <f t="shared" si="6"/>
        <v>730.32217699889645</v>
      </c>
      <c r="K77" s="88">
        <f t="shared" si="7"/>
        <v>14.718203501816918</v>
      </c>
      <c r="L77" s="88">
        <f t="shared" si="8"/>
        <v>2.1746945055042205E-3</v>
      </c>
      <c r="M77" s="88">
        <f>L77*Settings!$D$24+Electricity!K77*Settings!$C$24+Electricity!J77</f>
        <v>1128.307363147956</v>
      </c>
      <c r="N77" s="385" t="s">
        <v>719</v>
      </c>
    </row>
    <row r="78" spans="2:14" x14ac:dyDescent="0.25">
      <c r="B78" s="407" t="str">
        <f>VLOOKUP(D78,'Unit List'!$B$9:$E$241,4,0)</f>
        <v>Cold Rolling</v>
      </c>
      <c r="C78" s="377" t="str">
        <f>VLOOKUP(D78,'Unit List'!$B$9:$D$241,3,0)</f>
        <v>Corrective Line 1-4</v>
      </c>
      <c r="D78" s="414">
        <v>4618</v>
      </c>
      <c r="E78" s="376" t="s">
        <v>42</v>
      </c>
      <c r="F78" s="375">
        <v>1900443.105</v>
      </c>
      <c r="G78" s="86">
        <f t="shared" si="3"/>
        <v>3.7686234922022581E-4</v>
      </c>
      <c r="H78" s="87">
        <f t="shared" si="4"/>
        <v>7.5949175893702314E-6</v>
      </c>
      <c r="I78" s="87">
        <f t="shared" si="5"/>
        <v>1.1221903236574949E-9</v>
      </c>
      <c r="J78" s="88">
        <f t="shared" si="6"/>
        <v>730.32217699889645</v>
      </c>
      <c r="K78" s="88">
        <f t="shared" si="7"/>
        <v>14.718203501816918</v>
      </c>
      <c r="L78" s="88">
        <f t="shared" si="8"/>
        <v>2.1746945055042205E-3</v>
      </c>
      <c r="M78" s="88">
        <f>L78*Settings!$D$24+Electricity!K78*Settings!$C$24+Electricity!J78</f>
        <v>1128.307363147956</v>
      </c>
      <c r="N78" s="385" t="s">
        <v>719</v>
      </c>
    </row>
    <row r="79" spans="2:14" x14ac:dyDescent="0.25">
      <c r="B79" s="407" t="str">
        <f>VLOOKUP(D79,'Unit List'!$B$9:$E$241,4,0)</f>
        <v>Cold Rolling</v>
      </c>
      <c r="C79" s="377" t="str">
        <f>VLOOKUP(D79,'Unit List'!$B$9:$D$241,3,0)</f>
        <v>Slitting Line</v>
      </c>
      <c r="D79" s="414">
        <v>4620</v>
      </c>
      <c r="E79" s="376" t="s">
        <v>42</v>
      </c>
      <c r="F79" s="375">
        <v>139056.81299999997</v>
      </c>
      <c r="G79" s="86">
        <f t="shared" si="3"/>
        <v>3.7686234922022581E-4</v>
      </c>
      <c r="H79" s="87">
        <f t="shared" si="4"/>
        <v>7.5949175893702314E-6</v>
      </c>
      <c r="I79" s="87">
        <f t="shared" si="5"/>
        <v>1.1221903236574949E-9</v>
      </c>
      <c r="J79" s="88">
        <f t="shared" si="6"/>
        <v>53.438208241802855</v>
      </c>
      <c r="K79" s="88">
        <f t="shared" si="7"/>
        <v>1.0769417230452156</v>
      </c>
      <c r="L79" s="88">
        <f t="shared" si="8"/>
        <v>1.591239887100055E-4</v>
      </c>
      <c r="M79" s="88">
        <f>L79*Settings!$D$24+Electricity!K79*Settings!$C$24+Electricity!J79</f>
        <v>82.559075612941513</v>
      </c>
      <c r="N79" s="385" t="s">
        <v>719</v>
      </c>
    </row>
    <row r="80" spans="2:14" x14ac:dyDescent="0.25">
      <c r="B80" s="407" t="str">
        <f>VLOOKUP(D80,'Unit List'!$B$9:$E$241,4,0)</f>
        <v>Cold Rolling</v>
      </c>
      <c r="C80" s="377" t="str">
        <f>VLOOKUP(D80,'Unit List'!$B$9:$D$241,3,0)</f>
        <v>Light Shearing Line (CRM)</v>
      </c>
      <c r="D80" s="414">
        <v>4630</v>
      </c>
      <c r="E80" s="376" t="s">
        <v>42</v>
      </c>
      <c r="F80" s="375">
        <v>672107.92599999998</v>
      </c>
      <c r="G80" s="86">
        <f t="shared" si="3"/>
        <v>3.7686234922022581E-4</v>
      </c>
      <c r="H80" s="87">
        <f t="shared" si="4"/>
        <v>7.5949175893702314E-6</v>
      </c>
      <c r="I80" s="87">
        <f t="shared" si="5"/>
        <v>1.1221903236574949E-9</v>
      </c>
      <c r="J80" s="88">
        <f t="shared" si="6"/>
        <v>258.28467182369718</v>
      </c>
      <c r="K80" s="88">
        <f t="shared" si="7"/>
        <v>5.2052183009457185</v>
      </c>
      <c r="L80" s="88">
        <f t="shared" si="8"/>
        <v>7.6909927475994459E-4</v>
      </c>
      <c r="M80" s="88">
        <f>L80*Settings!$D$24+Electricity!K80*Settings!$C$24+Electricity!J80</f>
        <v>399.03553005124104</v>
      </c>
      <c r="N80" s="385" t="s">
        <v>719</v>
      </c>
    </row>
    <row r="81" spans="2:14" x14ac:dyDescent="0.25">
      <c r="B81" s="407" t="str">
        <f>VLOOKUP(D81,'Unit List'!$B$9:$E$241,4,0)</f>
        <v>Cold Rolling</v>
      </c>
      <c r="C81" s="377" t="str">
        <f>VLOOKUP(D81,'Unit List'!$B$9:$D$241,3,0)</f>
        <v>Heavy Shearing Line (CRM)</v>
      </c>
      <c r="D81" s="414">
        <v>4640</v>
      </c>
      <c r="E81" s="376" t="s">
        <v>42</v>
      </c>
      <c r="F81" s="375">
        <v>370818.16699999996</v>
      </c>
      <c r="G81" s="86">
        <f t="shared" si="3"/>
        <v>3.7686234922022581E-4</v>
      </c>
      <c r="H81" s="87">
        <f t="shared" si="4"/>
        <v>7.5949175893702314E-6</v>
      </c>
      <c r="I81" s="87">
        <f t="shared" si="5"/>
        <v>1.1221903236574949E-9</v>
      </c>
      <c r="J81" s="88">
        <f t="shared" si="6"/>
        <v>142.50188826051718</v>
      </c>
      <c r="K81" s="88">
        <f t="shared" si="7"/>
        <v>2.8718445870426255</v>
      </c>
      <c r="L81" s="88">
        <f t="shared" si="8"/>
        <v>4.2433063541570551E-4</v>
      </c>
      <c r="M81" s="88">
        <f>L81*Settings!$D$24+Electricity!K81*Settings!$C$24+Electricity!J81</f>
        <v>220.15753437413656</v>
      </c>
      <c r="N81" s="385" t="s">
        <v>719</v>
      </c>
    </row>
    <row r="82" spans="2:14" x14ac:dyDescent="0.25">
      <c r="B82" s="407" t="str">
        <f>VLOOKUP(D82,'Unit List'!$B$9:$E$241,4,0)</f>
        <v>Cold Rolling</v>
      </c>
      <c r="C82" s="377" t="str">
        <f>VLOOKUP(D82,'Unit List'!$B$9:$D$241,3,0)</f>
        <v>Packaging</v>
      </c>
      <c r="D82" s="414">
        <v>4660</v>
      </c>
      <c r="E82" s="376" t="s">
        <v>42</v>
      </c>
      <c r="F82" s="375">
        <v>23176.135999999999</v>
      </c>
      <c r="G82" s="86">
        <f t="shared" si="3"/>
        <v>3.7686234922022581E-4</v>
      </c>
      <c r="H82" s="87">
        <f t="shared" si="4"/>
        <v>7.5949175893702314E-6</v>
      </c>
      <c r="I82" s="87">
        <f t="shared" si="5"/>
        <v>1.1221903236574949E-9</v>
      </c>
      <c r="J82" s="88">
        <f t="shared" si="6"/>
        <v>8.906368232445713</v>
      </c>
      <c r="K82" s="88">
        <f t="shared" si="7"/>
        <v>0.17949029104651101</v>
      </c>
      <c r="L82" s="88">
        <f t="shared" si="8"/>
        <v>2.6520665357155514E-5</v>
      </c>
      <c r="M82" s="88">
        <f>L82*Settings!$D$24+Electricity!K82*Settings!$C$24+Electricity!J82</f>
        <v>13.759846232344014</v>
      </c>
      <c r="N82" s="385" t="s">
        <v>719</v>
      </c>
    </row>
    <row r="83" spans="2:14" x14ac:dyDescent="0.25">
      <c r="B83" s="407" t="str">
        <f>VLOOKUP(D83,'Unit List'!$B$9:$E$241,4,0)</f>
        <v>Cold Rolling</v>
      </c>
      <c r="C83" s="377" t="str">
        <f>VLOOKUP(D83,'Unit List'!$B$9:$D$241,3,0)</f>
        <v>Tinning Line</v>
      </c>
      <c r="D83" s="414">
        <v>4710</v>
      </c>
      <c r="E83" s="376" t="s">
        <v>42</v>
      </c>
      <c r="F83" s="375">
        <v>4264408.9129999997</v>
      </c>
      <c r="G83" s="86">
        <f t="shared" si="3"/>
        <v>3.7686234922022581E-4</v>
      </c>
      <c r="H83" s="87">
        <f t="shared" si="4"/>
        <v>7.5949175893702314E-6</v>
      </c>
      <c r="I83" s="87">
        <f t="shared" si="5"/>
        <v>1.1221903236574949E-9</v>
      </c>
      <c r="J83" s="88">
        <f t="shared" si="6"/>
        <v>1638.7717121137691</v>
      </c>
      <c r="K83" s="88">
        <f t="shared" si="7"/>
        <v>33.026212692905567</v>
      </c>
      <c r="L83" s="88">
        <f t="shared" si="8"/>
        <v>4.8798022986982943E-3</v>
      </c>
      <c r="M83" s="88">
        <f>L83*Settings!$D$24+Electricity!K83*Settings!$C$24+Electricity!J83</f>
        <v>2531.811640849764</v>
      </c>
      <c r="N83" s="385" t="s">
        <v>719</v>
      </c>
    </row>
    <row r="84" spans="2:14" x14ac:dyDescent="0.25">
      <c r="B84" s="407" t="str">
        <f>VLOOKUP(D84,'Unit List'!$B$9:$E$241,4,0)</f>
        <v>Cold Rolling</v>
      </c>
      <c r="C84" s="377" t="str">
        <f>VLOOKUP(D84,'Unit List'!$B$9:$D$241,3,0)</f>
        <v>Shearing Line of Tinning 1,2</v>
      </c>
      <c r="D84" s="414">
        <v>4720</v>
      </c>
      <c r="E84" s="376" t="s">
        <v>42</v>
      </c>
      <c r="F84" s="375">
        <v>139056.81299999997</v>
      </c>
      <c r="G84" s="86">
        <f t="shared" si="3"/>
        <v>3.7686234922022581E-4</v>
      </c>
      <c r="H84" s="87">
        <f t="shared" si="4"/>
        <v>7.5949175893702314E-6</v>
      </c>
      <c r="I84" s="87">
        <f t="shared" si="5"/>
        <v>1.1221903236574949E-9</v>
      </c>
      <c r="J84" s="88">
        <f t="shared" si="6"/>
        <v>53.438208241802855</v>
      </c>
      <c r="K84" s="88">
        <f t="shared" si="7"/>
        <v>1.0769417230452156</v>
      </c>
      <c r="L84" s="88">
        <f t="shared" si="8"/>
        <v>1.591239887100055E-4</v>
      </c>
      <c r="M84" s="88">
        <f>L84*Settings!$D$24+Electricity!K84*Settings!$C$24+Electricity!J84</f>
        <v>82.559075612941513</v>
      </c>
      <c r="N84" s="385" t="s">
        <v>719</v>
      </c>
    </row>
    <row r="85" spans="2:14" x14ac:dyDescent="0.25">
      <c r="B85" s="407" t="str">
        <f>VLOOKUP(D85,'Unit List'!$B$9:$E$241,4,0)</f>
        <v>Cold Rolling</v>
      </c>
      <c r="C85" s="377" t="str">
        <f>VLOOKUP(D85,'Unit List'!$B$9:$D$241,3,0)</f>
        <v>Shearing Line of Tinning 1,2</v>
      </c>
      <c r="D85" s="414">
        <v>4730</v>
      </c>
      <c r="E85" s="376" t="s">
        <v>42</v>
      </c>
      <c r="F85" s="375">
        <v>185409.08100000001</v>
      </c>
      <c r="G85" s="86">
        <f t="shared" si="3"/>
        <v>3.7686234922022581E-4</v>
      </c>
      <c r="H85" s="87">
        <f t="shared" si="4"/>
        <v>7.5949175893702314E-6</v>
      </c>
      <c r="I85" s="87">
        <f t="shared" si="5"/>
        <v>1.1221903236574949E-9</v>
      </c>
      <c r="J85" s="88">
        <f t="shared" si="6"/>
        <v>71.25094316953242</v>
      </c>
      <c r="K85" s="88">
        <f t="shared" si="7"/>
        <v>1.4359222741597713</v>
      </c>
      <c r="L85" s="88">
        <f t="shared" si="8"/>
        <v>2.1216531484707983E-4</v>
      </c>
      <c r="M85" s="88">
        <f>L85*Settings!$D$24+Electricity!K85*Settings!$C$24+Electricity!J85</f>
        <v>110.0787657027995</v>
      </c>
      <c r="N85" s="385" t="s">
        <v>719</v>
      </c>
    </row>
    <row r="86" spans="2:14" x14ac:dyDescent="0.25">
      <c r="B86" s="407" t="str">
        <f>VLOOKUP(D86,'Unit List'!$B$9:$E$241,4,0)</f>
        <v>Cold Rolling</v>
      </c>
      <c r="C86" s="377" t="str">
        <f>VLOOKUP(D86,'Unit List'!$B$9:$D$241,3,0)</f>
        <v>Galvanizing Line</v>
      </c>
      <c r="D86" s="414">
        <v>4810</v>
      </c>
      <c r="E86" s="376" t="s">
        <v>42</v>
      </c>
      <c r="F86" s="375">
        <v>2317613.5400000005</v>
      </c>
      <c r="G86" s="86">
        <f t="shared" si="3"/>
        <v>3.7686234922022581E-4</v>
      </c>
      <c r="H86" s="87">
        <f t="shared" si="4"/>
        <v>7.5949175893702314E-6</v>
      </c>
      <c r="I86" s="87">
        <f t="shared" si="5"/>
        <v>1.1221903236574949E-9</v>
      </c>
      <c r="J86" s="88">
        <f t="shared" si="6"/>
        <v>890.63680018714331</v>
      </c>
      <c r="K86" s="88">
        <f t="shared" si="7"/>
        <v>17.949028639974102</v>
      </c>
      <c r="L86" s="88">
        <f t="shared" si="8"/>
        <v>2.6520664670570009E-3</v>
      </c>
      <c r="M86" s="88">
        <f>L86*Settings!$D$24+Electricity!K86*Settings!$C$24+Electricity!J86</f>
        <v>1375.9845876119507</v>
      </c>
      <c r="N86" s="385" t="s">
        <v>719</v>
      </c>
    </row>
    <row r="87" spans="2:14" x14ac:dyDescent="0.25">
      <c r="B87" s="407" t="str">
        <f>VLOOKUP(D87,'Unit List'!$B$9:$E$241,4,0)</f>
        <v>Cold Rolling</v>
      </c>
      <c r="C87" s="377" t="str">
        <f>VLOOKUP(D87,'Unit List'!$B$9:$D$241,3,0)</f>
        <v>Coating Line</v>
      </c>
      <c r="D87" s="414">
        <v>4820</v>
      </c>
      <c r="E87" s="376" t="s">
        <v>42</v>
      </c>
      <c r="F87" s="375">
        <v>2317613.5400000005</v>
      </c>
      <c r="G87" s="86">
        <f t="shared" si="3"/>
        <v>3.7686234922022581E-4</v>
      </c>
      <c r="H87" s="87">
        <f t="shared" si="4"/>
        <v>7.5949175893702314E-6</v>
      </c>
      <c r="I87" s="87">
        <f t="shared" si="5"/>
        <v>1.1221903236574949E-9</v>
      </c>
      <c r="J87" s="88">
        <f t="shared" si="6"/>
        <v>890.63680018714331</v>
      </c>
      <c r="K87" s="88">
        <f t="shared" si="7"/>
        <v>17.949028639974102</v>
      </c>
      <c r="L87" s="88">
        <f t="shared" si="8"/>
        <v>2.6520664670570009E-3</v>
      </c>
      <c r="M87" s="88">
        <f>L87*Settings!$D$24+Electricity!K87*Settings!$C$24+Electricity!J87</f>
        <v>1375.9845876119507</v>
      </c>
      <c r="N87" s="385" t="s">
        <v>719</v>
      </c>
    </row>
    <row r="88" spans="2:14" x14ac:dyDescent="0.25">
      <c r="B88" s="407" t="str">
        <f>VLOOKUP(D88,'Unit List'!$B$9:$E$241,4,0)</f>
        <v>Utility</v>
      </c>
      <c r="C88" s="377" t="str">
        <f>VLOOKUP(D88,'Unit List'!$B$9:$D$241,3,0)</f>
        <v>RO3</v>
      </c>
      <c r="D88" s="414">
        <v>5105</v>
      </c>
      <c r="E88" s="376" t="s">
        <v>42</v>
      </c>
      <c r="F88" s="375">
        <v>1689497</v>
      </c>
      <c r="G88" s="86">
        <f t="shared" si="3"/>
        <v>3.7686234922022581E-4</v>
      </c>
      <c r="H88" s="87">
        <f t="shared" si="4"/>
        <v>7.5949175893702314E-6</v>
      </c>
      <c r="I88" s="87">
        <f t="shared" si="5"/>
        <v>1.1221903236574949E-9</v>
      </c>
      <c r="J88" s="88">
        <f t="shared" si="6"/>
        <v>649.25759883409114</v>
      </c>
      <c r="K88" s="88">
        <f t="shared" si="7"/>
        <v>13.084506763862935</v>
      </c>
      <c r="L88" s="88">
        <f t="shared" si="8"/>
        <v>1.933306939470763E-3</v>
      </c>
      <c r="M88" s="88">
        <f>L88*Settings!$D$24+Electricity!K88*Settings!$C$24+Electricity!J88</f>
        <v>1003.067074252866</v>
      </c>
      <c r="N88" s="385" t="s">
        <v>719</v>
      </c>
    </row>
    <row r="89" spans="2:14" x14ac:dyDescent="0.25">
      <c r="B89" s="407" t="str">
        <f>VLOOKUP(D89,'Unit List'!$B$9:$E$241,4,0)</f>
        <v>Utility</v>
      </c>
      <c r="C89" s="377" t="str">
        <f>VLOOKUP(D89,'Unit List'!$B$9:$D$241,3,0)</f>
        <v>DM Water Production</v>
      </c>
      <c r="D89" s="414">
        <v>5110</v>
      </c>
      <c r="E89" s="376" t="s">
        <v>42</v>
      </c>
      <c r="F89" s="375">
        <v>1667141</v>
      </c>
      <c r="G89" s="86">
        <f t="shared" si="3"/>
        <v>3.7686234922022581E-4</v>
      </c>
      <c r="H89" s="87">
        <f t="shared" si="4"/>
        <v>7.5949175893702314E-6</v>
      </c>
      <c r="I89" s="87">
        <f t="shared" si="5"/>
        <v>1.1221903236574949E-9</v>
      </c>
      <c r="J89" s="88">
        <f t="shared" si="6"/>
        <v>640.66640105183103</v>
      </c>
      <c r="K89" s="88">
        <f t="shared" si="7"/>
        <v>12.911368111818616</v>
      </c>
      <c r="L89" s="88">
        <f t="shared" si="8"/>
        <v>1.9077247632734639E-3</v>
      </c>
      <c r="M89" s="88">
        <f>L89*Settings!$D$24+Electricity!K89*Settings!$C$24+Electricity!J89</f>
        <v>989.79414893130729</v>
      </c>
      <c r="N89" s="385" t="s">
        <v>719</v>
      </c>
    </row>
    <row r="90" spans="2:14" x14ac:dyDescent="0.25">
      <c r="B90" s="407" t="str">
        <f>VLOOKUP(D90,'Unit List'!$B$9:$E$241,4,0)</f>
        <v>Utility</v>
      </c>
      <c r="C90" s="377" t="str">
        <f>VLOOKUP(D90,'Unit List'!$B$9:$D$241,3,0)</f>
        <v>Steam Production</v>
      </c>
      <c r="D90" s="414">
        <v>5120</v>
      </c>
      <c r="E90" s="376" t="s">
        <v>42</v>
      </c>
      <c r="F90" s="375">
        <v>49115031</v>
      </c>
      <c r="G90" s="86">
        <f t="shared" si="3"/>
        <v>3.7686234922022581E-4</v>
      </c>
      <c r="H90" s="87">
        <f t="shared" si="4"/>
        <v>7.5949175893702314E-6</v>
      </c>
      <c r="I90" s="87">
        <f t="shared" si="5"/>
        <v>1.1221903236574949E-9</v>
      </c>
      <c r="J90" s="88">
        <f t="shared" si="6"/>
        <v>18874.438423816049</v>
      </c>
      <c r="K90" s="88">
        <f t="shared" si="7"/>
        <v>380.37709171832665</v>
      </c>
      <c r="L90" s="88">
        <f t="shared" si="8"/>
        <v>5.6202781221050796E-2</v>
      </c>
      <c r="M90" s="88">
        <f>L90*Settings!$D$24+Electricity!K90*Settings!$C$24+Electricity!J90</f>
        <v>29159.963259484219</v>
      </c>
      <c r="N90" s="385" t="s">
        <v>719</v>
      </c>
    </row>
    <row r="91" spans="2:14" x14ac:dyDescent="0.25">
      <c r="B91" s="407" t="str">
        <f>VLOOKUP(D91,'Unit List'!$B$9:$E$241,4,0)</f>
        <v>Utility</v>
      </c>
      <c r="C91" s="377" t="str">
        <f>VLOOKUP(D91,'Unit List'!$B$9:$D$241,3,0)</f>
        <v>PowerPlant 1</v>
      </c>
      <c r="D91" s="414">
        <v>5130</v>
      </c>
      <c r="E91" s="376" t="s">
        <v>42</v>
      </c>
      <c r="F91" s="375">
        <v>39632607</v>
      </c>
      <c r="G91" s="86">
        <f t="shared" si="3"/>
        <v>3.7686234922022581E-4</v>
      </c>
      <c r="H91" s="87">
        <f t="shared" si="4"/>
        <v>7.5949175893702314E-6</v>
      </c>
      <c r="I91" s="87">
        <f t="shared" si="5"/>
        <v>1.1221903236574949E-9</v>
      </c>
      <c r="J91" s="88">
        <f t="shared" si="6"/>
        <v>15230.43323329677</v>
      </c>
      <c r="K91" s="88">
        <f t="shared" si="7"/>
        <v>306.93935198524855</v>
      </c>
      <c r="L91" s="88">
        <f t="shared" si="8"/>
        <v>4.5351956317423198E-2</v>
      </c>
      <c r="M91" s="88">
        <f>L91*Settings!$D$24+Electricity!K91*Settings!$C$24+Electricity!J91</f>
        <v>23530.176820973138</v>
      </c>
      <c r="N91" s="385" t="s">
        <v>719</v>
      </c>
    </row>
    <row r="92" spans="2:14" x14ac:dyDescent="0.25">
      <c r="B92" s="407" t="str">
        <f>VLOOKUP(D92,'Unit List'!$B$9:$E$241,4,0)</f>
        <v>Utility</v>
      </c>
      <c r="C92" s="377" t="str">
        <f>VLOOKUP(D92,'Unit List'!$B$9:$D$241,3,0)</f>
        <v>PowerPlant 2</v>
      </c>
      <c r="D92" s="414">
        <v>5140</v>
      </c>
      <c r="E92" s="376" t="s">
        <v>42</v>
      </c>
      <c r="F92" s="375">
        <v>2037926</v>
      </c>
      <c r="G92" s="86">
        <f t="shared" si="3"/>
        <v>3.7686234922022581E-4</v>
      </c>
      <c r="H92" s="87">
        <f t="shared" si="4"/>
        <v>7.5949175893702314E-6</v>
      </c>
      <c r="I92" s="87">
        <f t="shared" si="5"/>
        <v>1.1221903236574949E-9</v>
      </c>
      <c r="J92" s="88">
        <f t="shared" si="6"/>
        <v>783.15554355027803</v>
      </c>
      <c r="K92" s="88">
        <f t="shared" si="7"/>
        <v>15.782955833157523</v>
      </c>
      <c r="L92" s="88">
        <f t="shared" si="8"/>
        <v>2.3320174453863455E-3</v>
      </c>
      <c r="M92" s="88">
        <f>L92*Settings!$D$24+Electricity!K92*Settings!$C$24+Electricity!J92</f>
        <v>1209.9319918081217</v>
      </c>
      <c r="N92" s="385" t="s">
        <v>719</v>
      </c>
    </row>
    <row r="93" spans="2:14" x14ac:dyDescent="0.25">
      <c r="B93" s="407" t="str">
        <f>VLOOKUP(D93,'Unit List'!$B$9:$E$241,4,0)</f>
        <v>Utility</v>
      </c>
      <c r="C93" s="377" t="str">
        <f>VLOOKUP(D93,'Unit List'!$B$9:$D$241,3,0)</f>
        <v>PowerPlant 3</v>
      </c>
      <c r="D93" s="414">
        <v>5150</v>
      </c>
      <c r="E93" s="376" t="s">
        <v>42</v>
      </c>
      <c r="F93" s="375">
        <v>0</v>
      </c>
      <c r="G93" s="86">
        <f t="shared" si="3"/>
        <v>3.7686234922022581E-4</v>
      </c>
      <c r="H93" s="87">
        <f t="shared" si="4"/>
        <v>7.5949175893702314E-6</v>
      </c>
      <c r="I93" s="87">
        <f t="shared" si="5"/>
        <v>1.1221903236574949E-9</v>
      </c>
      <c r="J93" s="88">
        <f t="shared" si="6"/>
        <v>0</v>
      </c>
      <c r="K93" s="88">
        <f t="shared" si="7"/>
        <v>0</v>
      </c>
      <c r="L93" s="88">
        <f t="shared" si="8"/>
        <v>0</v>
      </c>
      <c r="M93" s="88">
        <f>L93*Settings!$D$24+Electricity!K93*Settings!$C$24+Electricity!J93</f>
        <v>0</v>
      </c>
      <c r="N93" s="385" t="s">
        <v>719</v>
      </c>
    </row>
    <row r="94" spans="2:14" x14ac:dyDescent="0.25">
      <c r="B94" s="407" t="str">
        <f>VLOOKUP(D94,'Unit List'!$B$9:$E$241,4,0)</f>
        <v>Utility</v>
      </c>
      <c r="C94" s="377" t="str">
        <f>VLOOKUP(D94,'Unit List'!$B$9:$D$241,3,0)</f>
        <v>Compressed Air Production</v>
      </c>
      <c r="D94" s="414">
        <v>5210</v>
      </c>
      <c r="E94" s="376" t="s">
        <v>42</v>
      </c>
      <c r="F94" s="375">
        <v>112705340</v>
      </c>
      <c r="G94" s="86">
        <f t="shared" si="3"/>
        <v>3.7686234922022581E-4</v>
      </c>
      <c r="H94" s="87">
        <f t="shared" si="4"/>
        <v>7.5949175893702314E-6</v>
      </c>
      <c r="I94" s="87">
        <f t="shared" si="5"/>
        <v>1.1221903236574949E-9</v>
      </c>
      <c r="J94" s="88">
        <f t="shared" si="6"/>
        <v>43311.588256256058</v>
      </c>
      <c r="K94" s="88">
        <f t="shared" si="7"/>
        <v>872.85966388426368</v>
      </c>
      <c r="L94" s="88">
        <f t="shared" si="8"/>
        <v>0.12896975605012129</v>
      </c>
      <c r="M94" s="88">
        <f>L94*Settings!$D$24+Electricity!K94*Settings!$C$24+Electricity!J94</f>
        <v>66914.007924532867</v>
      </c>
      <c r="N94" s="385" t="s">
        <v>719</v>
      </c>
    </row>
    <row r="95" spans="2:14" x14ac:dyDescent="0.25">
      <c r="B95" s="407" t="str">
        <f>VLOOKUP(D95,'Unit List'!$B$9:$E$241,4,0)</f>
        <v>Utility</v>
      </c>
      <c r="C95" s="377" t="str">
        <f>VLOOKUP(D95,'Unit List'!$B$9:$D$241,3,0)</f>
        <v>Oxygen &amp; Hydrogen</v>
      </c>
      <c r="D95" s="414">
        <v>5220</v>
      </c>
      <c r="E95" s="376" t="s">
        <v>42</v>
      </c>
      <c r="F95" s="375">
        <v>384231795</v>
      </c>
      <c r="G95" s="86">
        <f t="shared" si="3"/>
        <v>3.7686234922022581E-4</v>
      </c>
      <c r="H95" s="87">
        <f t="shared" si="4"/>
        <v>7.5949175893702314E-6</v>
      </c>
      <c r="I95" s="87">
        <f t="shared" si="5"/>
        <v>1.1221903236574949E-9</v>
      </c>
      <c r="J95" s="88">
        <f t="shared" si="6"/>
        <v>147656.61769000642</v>
      </c>
      <c r="K95" s="88">
        <f t="shared" si="7"/>
        <v>2975.727995118486</v>
      </c>
      <c r="L95" s="88">
        <f t="shared" si="8"/>
        <v>0.43967997317474233</v>
      </c>
      <c r="M95" s="88">
        <f>L95*Settings!$D$24+Electricity!K95*Settings!$C$24+Electricity!J95</f>
        <v>228121.30619088223</v>
      </c>
      <c r="N95" s="385" t="s">
        <v>719</v>
      </c>
    </row>
    <row r="96" spans="2:14" x14ac:dyDescent="0.25">
      <c r="B96" s="407" t="str">
        <f>VLOOKUP(D96,'Unit List'!$B$9:$E$241,4,0)</f>
        <v>Utility</v>
      </c>
      <c r="C96" s="377" t="str">
        <f>VLOOKUP(D96,'Unit List'!$B$9:$D$241,3,0)</f>
        <v>Industrial Water Production</v>
      </c>
      <c r="D96" s="414">
        <v>5310</v>
      </c>
      <c r="E96" s="376" t="s">
        <v>42</v>
      </c>
      <c r="F96" s="375">
        <v>22099350</v>
      </c>
      <c r="G96" s="86">
        <f t="shared" si="3"/>
        <v>3.7686234922022581E-4</v>
      </c>
      <c r="H96" s="87">
        <f t="shared" si="4"/>
        <v>7.5949175893702314E-6</v>
      </c>
      <c r="I96" s="87">
        <f t="shared" si="5"/>
        <v>1.1221903236574949E-9</v>
      </c>
      <c r="J96" s="88">
        <f t="shared" si="6"/>
        <v>8492.5696327333953</v>
      </c>
      <c r="K96" s="88">
        <f t="shared" si="7"/>
        <v>171.15099615564534</v>
      </c>
      <c r="L96" s="88">
        <f t="shared" si="8"/>
        <v>2.5288489244309525E-2</v>
      </c>
      <c r="M96" s="88">
        <f>L96*Settings!$D$24+Electricity!K96*Settings!$C$24+Electricity!J96</f>
        <v>13120.550286499516</v>
      </c>
      <c r="N96" s="385" t="s">
        <v>719</v>
      </c>
    </row>
    <row r="97" spans="2:14" x14ac:dyDescent="0.25">
      <c r="B97" s="407" t="str">
        <f>VLOOKUP(D97,'Unit List'!$B$9:$E$241,4,0)</f>
        <v>Utility</v>
      </c>
      <c r="C97" s="377" t="str">
        <f>VLOOKUP(D97,'Unit List'!$B$9:$D$241,3,0)</f>
        <v>Industrial Water Distribution</v>
      </c>
      <c r="D97" s="414">
        <v>5311</v>
      </c>
      <c r="E97" s="376" t="s">
        <v>42</v>
      </c>
      <c r="F97" s="375">
        <v>7955425</v>
      </c>
      <c r="G97" s="86">
        <f t="shared" ref="G97:G125" si="9">$K$23</f>
        <v>3.7686234922022581E-4</v>
      </c>
      <c r="H97" s="87">
        <f t="shared" ref="H97:H125" si="10">$L$23</f>
        <v>7.5949175893702314E-6</v>
      </c>
      <c r="I97" s="87">
        <f t="shared" ref="I97:I125" si="11">$M$23</f>
        <v>1.1221903236574949E-9</v>
      </c>
      <c r="J97" s="88">
        <f t="shared" ref="J97:J125" si="12">F97*G97*$D$20</f>
        <v>3057.1940247332191</v>
      </c>
      <c r="K97" s="88">
        <f t="shared" ref="K97:K125" si="13">F97*H97*$D$20</f>
        <v>61.611717701720856</v>
      </c>
      <c r="L97" s="88">
        <f t="shared" ref="L97:L125" si="14">F97*I97*$D$20</f>
        <v>9.1034659185184677E-3</v>
      </c>
      <c r="M97" s="88">
        <f>L97*Settings!$D$24+Electricity!K97*Settings!$C$24+Electricity!J97</f>
        <v>4723.1956488754377</v>
      </c>
      <c r="N97" s="385" t="s">
        <v>719</v>
      </c>
    </row>
    <row r="98" spans="2:14" x14ac:dyDescent="0.25">
      <c r="B98" s="407" t="str">
        <f>VLOOKUP(D98,'Unit List'!$B$9:$E$241,4,0)</f>
        <v>Utility</v>
      </c>
      <c r="C98" s="377" t="str">
        <f>VLOOKUP(D98,'Unit List'!$B$9:$D$241,3,0)</f>
        <v>Drinking Water</v>
      </c>
      <c r="D98" s="414">
        <v>5320</v>
      </c>
      <c r="E98" s="376" t="s">
        <v>42</v>
      </c>
      <c r="F98" s="375">
        <v>2651888</v>
      </c>
      <c r="G98" s="86">
        <f t="shared" si="9"/>
        <v>3.7686234922022581E-4</v>
      </c>
      <c r="H98" s="87">
        <f t="shared" si="10"/>
        <v>7.5949175893702314E-6</v>
      </c>
      <c r="I98" s="87">
        <f t="shared" si="11"/>
        <v>1.1221903236574949E-9</v>
      </c>
      <c r="J98" s="88">
        <f t="shared" si="12"/>
        <v>1019.0952900519742</v>
      </c>
      <c r="K98" s="88">
        <f t="shared" si="13"/>
        <v>20.537856221707969</v>
      </c>
      <c r="L98" s="88">
        <f t="shared" si="14"/>
        <v>3.0345798028047657E-3</v>
      </c>
      <c r="M98" s="88">
        <f>L98*Settings!$D$24+Electricity!K98*Settings!$C$24+Electricity!J98</f>
        <v>1574.4458483242552</v>
      </c>
      <c r="N98" s="385" t="s">
        <v>719</v>
      </c>
    </row>
    <row r="99" spans="2:14" x14ac:dyDescent="0.25">
      <c r="B99" s="407" t="str">
        <f>VLOOKUP(D99,'Unit List'!$B$9:$E$241,4,0)</f>
        <v>Utility</v>
      </c>
      <c r="C99" s="377" t="str">
        <f>VLOOKUP(D99,'Unit List'!$B$9:$D$241,3,0)</f>
        <v>Water Conditioning</v>
      </c>
      <c r="D99" s="414">
        <v>5330</v>
      </c>
      <c r="E99" s="376" t="s">
        <v>42</v>
      </c>
      <c r="F99" s="375">
        <v>20609614</v>
      </c>
      <c r="G99" s="86">
        <f t="shared" si="9"/>
        <v>3.7686234922022581E-4</v>
      </c>
      <c r="H99" s="87">
        <f t="shared" si="10"/>
        <v>7.5949175893702314E-6</v>
      </c>
      <c r="I99" s="87">
        <f t="shared" si="11"/>
        <v>1.1221903236574949E-9</v>
      </c>
      <c r="J99" s="88">
        <f t="shared" si="12"/>
        <v>7920.078282789178</v>
      </c>
      <c r="K99" s="88">
        <f t="shared" si="13"/>
        <v>159.61356177821222</v>
      </c>
      <c r="L99" s="88">
        <f t="shared" si="14"/>
        <v>2.358377065245679E-2</v>
      </c>
      <c r="M99" s="88">
        <f>L99*Settings!$D$24+Electricity!K99*Settings!$C$24+Electricity!J99</f>
        <v>12236.082820189029</v>
      </c>
      <c r="N99" s="385" t="s">
        <v>719</v>
      </c>
    </row>
    <row r="100" spans="2:14" x14ac:dyDescent="0.25">
      <c r="B100" s="407" t="str">
        <f>VLOOKUP(D100,'Unit List'!$B$9:$E$241,4,0)</f>
        <v>Utility</v>
      </c>
      <c r="C100" s="377" t="str">
        <f>VLOOKUP(D100,'Unit List'!$B$9:$D$241,3,0)</f>
        <v>Water Conditioning</v>
      </c>
      <c r="D100" s="414">
        <v>5335</v>
      </c>
      <c r="E100" s="376" t="s">
        <v>42</v>
      </c>
      <c r="F100" s="375">
        <v>0</v>
      </c>
      <c r="G100" s="86">
        <f t="shared" si="9"/>
        <v>3.7686234922022581E-4</v>
      </c>
      <c r="H100" s="87">
        <f t="shared" si="10"/>
        <v>7.5949175893702314E-6</v>
      </c>
      <c r="I100" s="87">
        <f t="shared" si="11"/>
        <v>1.1221903236574949E-9</v>
      </c>
      <c r="J100" s="88">
        <f t="shared" si="12"/>
        <v>0</v>
      </c>
      <c r="K100" s="88">
        <f t="shared" si="13"/>
        <v>0</v>
      </c>
      <c r="L100" s="88">
        <f t="shared" si="14"/>
        <v>0</v>
      </c>
      <c r="M100" s="88">
        <f>L100*Settings!$D$24+Electricity!K100*Settings!$C$24+Electricity!J100</f>
        <v>0</v>
      </c>
      <c r="N100" s="385" t="s">
        <v>719</v>
      </c>
    </row>
    <row r="101" spans="2:14" x14ac:dyDescent="0.25">
      <c r="B101" s="407" t="str">
        <f>VLOOKUP(D101,'Unit List'!$B$9:$E$241,4,0)</f>
        <v>Utility</v>
      </c>
      <c r="C101" s="377" t="str">
        <f>VLOOKUP(D101,'Unit List'!$B$9:$D$241,3,0)</f>
        <v>Hot Strip Mill Treatment</v>
      </c>
      <c r="D101" s="414">
        <v>5340</v>
      </c>
      <c r="E101" s="376" t="s">
        <v>42</v>
      </c>
      <c r="F101" s="375">
        <v>66351297</v>
      </c>
      <c r="G101" s="86">
        <f t="shared" si="9"/>
        <v>3.7686234922022581E-4</v>
      </c>
      <c r="H101" s="87">
        <f t="shared" si="10"/>
        <v>7.5949175893702314E-6</v>
      </c>
      <c r="I101" s="87">
        <f t="shared" si="11"/>
        <v>1.1221903236574949E-9</v>
      </c>
      <c r="J101" s="88">
        <f t="shared" si="12"/>
        <v>25498.171212939491</v>
      </c>
      <c r="K101" s="88">
        <f t="shared" si="13"/>
        <v>513.86536607497885</v>
      </c>
      <c r="L101" s="88">
        <f t="shared" si="14"/>
        <v>7.5926398764239067E-2</v>
      </c>
      <c r="M101" s="88">
        <f>L101*Settings!$D$24+Electricity!K101*Settings!$C$24+Electricity!J101</f>
        <v>39393.26400382656</v>
      </c>
      <c r="N101" s="385" t="s">
        <v>719</v>
      </c>
    </row>
    <row r="102" spans="2:14" x14ac:dyDescent="0.25">
      <c r="B102" s="407" t="str">
        <f>VLOOKUP(D102,'Unit List'!$B$9:$E$241,4,0)</f>
        <v>Utility</v>
      </c>
      <c r="C102" s="377" t="str">
        <f>VLOOKUP(D102,'Unit List'!$B$9:$D$241,3,0)</f>
        <v>Sewage Treatment</v>
      </c>
      <c r="D102" s="414">
        <v>5350</v>
      </c>
      <c r="E102" s="376" t="s">
        <v>42</v>
      </c>
      <c r="F102" s="569">
        <v>1944130</v>
      </c>
      <c r="G102" s="86">
        <f t="shared" si="9"/>
        <v>3.7686234922022581E-4</v>
      </c>
      <c r="H102" s="87">
        <f t="shared" si="10"/>
        <v>7.5949175893702314E-6</v>
      </c>
      <c r="I102" s="87">
        <f t="shared" si="11"/>
        <v>1.1221903236574949E-9</v>
      </c>
      <c r="J102" s="88">
        <f t="shared" si="12"/>
        <v>747.11063447956496</v>
      </c>
      <c r="K102" s="88">
        <f t="shared" si="13"/>
        <v>15.056541760552903</v>
      </c>
      <c r="L102" s="88">
        <f t="shared" si="14"/>
        <v>2.2246858208290953E-3</v>
      </c>
      <c r="M102" s="88">
        <f>L102*Settings!$D$24+Electricity!K102*Settings!$C$24+Electricity!J102</f>
        <v>1154.2446012435796</v>
      </c>
      <c r="N102" s="385" t="s">
        <v>719</v>
      </c>
    </row>
    <row r="103" spans="2:14" x14ac:dyDescent="0.25">
      <c r="B103" s="407" t="str">
        <f>VLOOKUP(D103,'Unit List'!$B$9:$E$241,4,0)</f>
        <v>Utility</v>
      </c>
      <c r="C103" s="377" t="str">
        <f>VLOOKUP(D103,'Unit List'!$B$9:$D$241,3,0)</f>
        <v>Emulsion Breaking System</v>
      </c>
      <c r="D103" s="414">
        <v>5360</v>
      </c>
      <c r="E103" s="376" t="s">
        <v>42</v>
      </c>
      <c r="F103" s="375">
        <v>342150</v>
      </c>
      <c r="G103" s="86">
        <f t="shared" si="9"/>
        <v>3.7686234922022581E-4</v>
      </c>
      <c r="H103" s="87">
        <f t="shared" si="10"/>
        <v>7.5949175893702314E-6</v>
      </c>
      <c r="I103" s="87">
        <f t="shared" si="11"/>
        <v>1.1221903236574949E-9</v>
      </c>
      <c r="J103" s="88">
        <f t="shared" si="12"/>
        <v>131.48498484524345</v>
      </c>
      <c r="K103" s="88">
        <f t="shared" si="13"/>
        <v>2.6498206207265849</v>
      </c>
      <c r="L103" s="88">
        <f t="shared" si="14"/>
        <v>3.9152538852683466E-4</v>
      </c>
      <c r="M103" s="88">
        <f>L103*Settings!$D$24+Electricity!K103*Settings!$C$24+Electricity!J103</f>
        <v>203.13702803592906</v>
      </c>
      <c r="N103" s="385" t="s">
        <v>719</v>
      </c>
    </row>
    <row r="104" spans="2:14" x14ac:dyDescent="0.25">
      <c r="B104" s="407" t="str">
        <f>VLOOKUP(D104,'Unit List'!$B$9:$E$241,4,0)</f>
        <v>Utility</v>
      </c>
      <c r="C104" s="377" t="str">
        <f>VLOOKUP(D104,'Unit List'!$B$9:$D$241,3,0)</f>
        <v>Water Production (PU:55)</v>
      </c>
      <c r="D104" s="414">
        <v>5361</v>
      </c>
      <c r="E104" s="376" t="s">
        <v>42</v>
      </c>
      <c r="F104" s="375">
        <v>4000</v>
      </c>
      <c r="G104" s="86">
        <f t="shared" si="9"/>
        <v>3.7686234922022581E-4</v>
      </c>
      <c r="H104" s="87">
        <f t="shared" si="10"/>
        <v>7.5949175893702314E-6</v>
      </c>
      <c r="I104" s="87">
        <f t="shared" si="11"/>
        <v>1.1221903236574949E-9</v>
      </c>
      <c r="J104" s="88">
        <f t="shared" si="12"/>
        <v>1.5371618862515675</v>
      </c>
      <c r="K104" s="88">
        <f t="shared" si="13"/>
        <v>3.097846699665743E-2</v>
      </c>
      <c r="L104" s="88">
        <f t="shared" si="14"/>
        <v>4.5772367502771844E-6</v>
      </c>
      <c r="M104" s="88">
        <f>L104*Settings!$D$24+Electricity!K104*Settings!$C$24+Electricity!J104</f>
        <v>2.3748300807941436</v>
      </c>
      <c r="N104" s="385" t="s">
        <v>719</v>
      </c>
    </row>
    <row r="105" spans="2:14" x14ac:dyDescent="0.25">
      <c r="B105" s="407" t="str">
        <f>VLOOKUP(D105,'Unit List'!$B$9:$E$241,4,0)</f>
        <v>Utility</v>
      </c>
      <c r="C105" s="377" t="str">
        <f>VLOOKUP(D105,'Unit List'!$B$9:$D$241,3,0)</f>
        <v>Steam Production (PU:55)</v>
      </c>
      <c r="D105" s="414">
        <v>5362</v>
      </c>
      <c r="E105" s="376" t="s">
        <v>42</v>
      </c>
      <c r="F105" s="375">
        <v>8000</v>
      </c>
      <c r="G105" s="86">
        <f t="shared" si="9"/>
        <v>3.7686234922022581E-4</v>
      </c>
      <c r="H105" s="87">
        <f t="shared" si="10"/>
        <v>7.5949175893702314E-6</v>
      </c>
      <c r="I105" s="87">
        <f t="shared" si="11"/>
        <v>1.1221903236574949E-9</v>
      </c>
      <c r="J105" s="88">
        <f t="shared" si="12"/>
        <v>3.0743237725031349</v>
      </c>
      <c r="K105" s="88">
        <f t="shared" si="13"/>
        <v>6.195693399331486E-2</v>
      </c>
      <c r="L105" s="88">
        <f t="shared" si="14"/>
        <v>9.1544735005543689E-6</v>
      </c>
      <c r="M105" s="88">
        <f>L105*Settings!$D$24+Electricity!K105*Settings!$C$24+Electricity!J105</f>
        <v>4.7496601615882872</v>
      </c>
      <c r="N105" s="385" t="s">
        <v>719</v>
      </c>
    </row>
    <row r="106" spans="2:14" x14ac:dyDescent="0.25">
      <c r="B106" s="407" t="str">
        <f>VLOOKUP(D106,'Unit List'!$B$9:$E$241,4,0)</f>
        <v>Utility</v>
      </c>
      <c r="C106" s="377" t="str">
        <f>VLOOKUP(D106,'Unit List'!$B$9:$D$241,3,0)</f>
        <v>Cold Roll Mill Treatment</v>
      </c>
      <c r="D106" s="414">
        <v>5363</v>
      </c>
      <c r="E106" s="376" t="s">
        <v>42</v>
      </c>
      <c r="F106" s="375">
        <v>9605244</v>
      </c>
      <c r="G106" s="86">
        <f t="shared" si="9"/>
        <v>3.7686234922022581E-4</v>
      </c>
      <c r="H106" s="87">
        <f t="shared" si="10"/>
        <v>7.5949175893702314E-6</v>
      </c>
      <c r="I106" s="87">
        <f t="shared" si="11"/>
        <v>1.1221903236574949E-9</v>
      </c>
      <c r="J106" s="88">
        <f t="shared" si="12"/>
        <v>3691.2037462366379</v>
      </c>
      <c r="K106" s="88">
        <f t="shared" si="13"/>
        <v>74.388933562210454</v>
      </c>
      <c r="L106" s="88">
        <f t="shared" si="14"/>
        <v>1.0991368958044857E-2</v>
      </c>
      <c r="M106" s="88">
        <f>L106*Settings!$D$24+Electricity!K106*Settings!$C$24+Electricity!J106</f>
        <v>5702.7055961418664</v>
      </c>
      <c r="N106" s="385" t="s">
        <v>719</v>
      </c>
    </row>
    <row r="107" spans="2:14" x14ac:dyDescent="0.25">
      <c r="B107" s="407" t="str">
        <f>VLOOKUP(D107,'Unit List'!$B$9:$E$241,4,0)</f>
        <v>Utility</v>
      </c>
      <c r="C107" s="377" t="str">
        <f>VLOOKUP(D107,'Unit List'!$B$9:$D$241,3,0)</f>
        <v>RO1</v>
      </c>
      <c r="D107" s="414">
        <v>5364</v>
      </c>
      <c r="E107" s="376" t="s">
        <v>42</v>
      </c>
      <c r="F107" s="375">
        <v>955775</v>
      </c>
      <c r="G107" s="86">
        <f t="shared" si="9"/>
        <v>3.7686234922022581E-4</v>
      </c>
      <c r="H107" s="87">
        <f t="shared" si="10"/>
        <v>7.5949175893702314E-6</v>
      </c>
      <c r="I107" s="87">
        <f t="shared" si="11"/>
        <v>1.1221903236574949E-9</v>
      </c>
      <c r="J107" s="88">
        <f t="shared" si="12"/>
        <v>367.29522545802297</v>
      </c>
      <c r="K107" s="88">
        <f t="shared" si="13"/>
        <v>7.4021110734325637</v>
      </c>
      <c r="L107" s="88">
        <f t="shared" si="14"/>
        <v>1.093702113749044E-3</v>
      </c>
      <c r="M107" s="88">
        <f>L107*Settings!$D$24+Electricity!K107*Settings!$C$24+Electricity!J107</f>
        <v>567.45080511775564</v>
      </c>
      <c r="N107" s="385" t="s">
        <v>719</v>
      </c>
    </row>
    <row r="108" spans="2:14" x14ac:dyDescent="0.25">
      <c r="B108" s="407" t="str">
        <f>VLOOKUP(D108,'Unit List'!$B$9:$E$241,4,0)</f>
        <v>Utility</v>
      </c>
      <c r="C108" s="377" t="str">
        <f>VLOOKUP(D108,'Unit List'!$B$9:$D$241,3,0)</f>
        <v>RO2</v>
      </c>
      <c r="D108" s="414">
        <v>5365</v>
      </c>
      <c r="E108" s="376" t="s">
        <v>42</v>
      </c>
      <c r="F108" s="375">
        <v>855203</v>
      </c>
      <c r="G108" s="86">
        <f t="shared" si="9"/>
        <v>3.7686234922022581E-4</v>
      </c>
      <c r="H108" s="87">
        <f t="shared" si="10"/>
        <v>7.5949175893702314E-6</v>
      </c>
      <c r="I108" s="87">
        <f t="shared" si="11"/>
        <v>1.1221903236574949E-9</v>
      </c>
      <c r="J108" s="88">
        <f t="shared" si="12"/>
        <v>328.64636415199982</v>
      </c>
      <c r="K108" s="88">
        <f t="shared" si="13"/>
        <v>6.6232194777356064</v>
      </c>
      <c r="L108" s="88">
        <f t="shared" si="14"/>
        <v>9.7861665013682466E-4</v>
      </c>
      <c r="M108" s="88">
        <f>L108*Settings!$D$24+Electricity!K108*Settings!$C$24+Electricity!J108</f>
        <v>507.74045239634853</v>
      </c>
      <c r="N108" s="385" t="s">
        <v>719</v>
      </c>
    </row>
    <row r="109" spans="2:14" x14ac:dyDescent="0.25">
      <c r="B109" s="407" t="str">
        <f>VLOOKUP(D109,'Unit List'!$B$9:$E$241,4,0)</f>
        <v>Utility</v>
      </c>
      <c r="C109" s="377" t="str">
        <f>VLOOKUP(D109,'Unit List'!$B$9:$D$241,3,0)</f>
        <v>Chemical Infusion</v>
      </c>
      <c r="D109" s="414">
        <v>5366</v>
      </c>
      <c r="E109" s="376" t="s">
        <v>42</v>
      </c>
      <c r="F109" s="375">
        <v>1341386</v>
      </c>
      <c r="G109" s="86">
        <f t="shared" si="9"/>
        <v>3.7686234922022581E-4</v>
      </c>
      <c r="H109" s="87">
        <f t="shared" si="10"/>
        <v>7.5949175893702314E-6</v>
      </c>
      <c r="I109" s="87">
        <f t="shared" si="11"/>
        <v>1.1221903236574949E-9</v>
      </c>
      <c r="J109" s="88">
        <f t="shared" si="12"/>
        <v>515.48185848786125</v>
      </c>
      <c r="K109" s="88">
        <f t="shared" si="13"/>
        <v>10.388520482694581</v>
      </c>
      <c r="L109" s="88">
        <f t="shared" si="14"/>
        <v>1.5349603238768278E-3</v>
      </c>
      <c r="M109" s="88">
        <f>L109*Settings!$D$24+Electricity!K109*Settings!$C$24+Electricity!J109</f>
        <v>796.39095568903326</v>
      </c>
      <c r="N109" s="385" t="s">
        <v>719</v>
      </c>
    </row>
    <row r="110" spans="2:14" x14ac:dyDescent="0.25">
      <c r="B110" s="407" t="str">
        <f>VLOOKUP(D110,'Unit List'!$B$9:$E$241,4,0)</f>
        <v>Utility</v>
      </c>
      <c r="C110" s="377" t="str">
        <f>VLOOKUP(D110,'Unit List'!$B$9:$D$241,3,0)</f>
        <v>Sewage System</v>
      </c>
      <c r="D110" s="414">
        <v>5415</v>
      </c>
      <c r="E110" s="376" t="s">
        <v>42</v>
      </c>
      <c r="F110" s="375">
        <v>0</v>
      </c>
      <c r="G110" s="86">
        <f t="shared" si="9"/>
        <v>3.7686234922022581E-4</v>
      </c>
      <c r="H110" s="87">
        <f t="shared" si="10"/>
        <v>7.5949175893702314E-6</v>
      </c>
      <c r="I110" s="87">
        <f t="shared" si="11"/>
        <v>1.1221903236574949E-9</v>
      </c>
      <c r="J110" s="88">
        <f t="shared" si="12"/>
        <v>0</v>
      </c>
      <c r="K110" s="88">
        <f t="shared" si="13"/>
        <v>0</v>
      </c>
      <c r="L110" s="88">
        <f t="shared" si="14"/>
        <v>0</v>
      </c>
      <c r="M110" s="88">
        <f>L110*Settings!$D$24+Electricity!K110*Settings!$C$24+Electricity!J110</f>
        <v>0</v>
      </c>
      <c r="N110" s="385" t="s">
        <v>719</v>
      </c>
    </row>
    <row r="111" spans="2:14" x14ac:dyDescent="0.25">
      <c r="B111" s="407" t="str">
        <f>VLOOKUP(D111,'Unit List'!$B$9:$E$241,4,0)</f>
        <v>Utility</v>
      </c>
      <c r="C111" s="377" t="str">
        <f>VLOOKUP(D111,'Unit List'!$B$9:$D$241,3,0)</f>
        <v>Electricity Distribution</v>
      </c>
      <c r="D111" s="414">
        <v>5430</v>
      </c>
      <c r="E111" s="376" t="s">
        <v>42</v>
      </c>
      <c r="F111" s="375">
        <v>18792480</v>
      </c>
      <c r="G111" s="86">
        <f t="shared" si="9"/>
        <v>3.7686234922022581E-4</v>
      </c>
      <c r="H111" s="87">
        <f t="shared" si="10"/>
        <v>7.5949175893702314E-6</v>
      </c>
      <c r="I111" s="87">
        <f t="shared" si="11"/>
        <v>1.1221903236574949E-9</v>
      </c>
      <c r="J111" s="88">
        <f t="shared" si="12"/>
        <v>7221.7710010362143</v>
      </c>
      <c r="K111" s="88">
        <f t="shared" si="13"/>
        <v>145.54055536633621</v>
      </c>
      <c r="L111" s="88">
        <f t="shared" si="14"/>
        <v>2.1504407521212247E-2</v>
      </c>
      <c r="M111" s="88">
        <f>L111*Settings!$D$24+Electricity!K111*Settings!$C$24+Electricity!J111</f>
        <v>11157.236699180583</v>
      </c>
      <c r="N111" s="385" t="s">
        <v>719</v>
      </c>
    </row>
    <row r="112" spans="2:14" x14ac:dyDescent="0.25">
      <c r="B112" s="407" t="str">
        <f>VLOOKUP(D112,'Unit List'!$B$9:$E$241,4,0)</f>
        <v>Maintenance</v>
      </c>
      <c r="C112" s="377" t="str">
        <f>VLOOKUP(D112,'Unit List'!$B$9:$D$241,3,0)</f>
        <v>-</v>
      </c>
      <c r="D112" s="414">
        <v>7301</v>
      </c>
      <c r="E112" s="376" t="s">
        <v>42</v>
      </c>
      <c r="F112" s="375">
        <v>214247.15000000002</v>
      </c>
      <c r="G112" s="86">
        <f t="shared" si="9"/>
        <v>3.7686234922022581E-4</v>
      </c>
      <c r="H112" s="87">
        <f t="shared" si="10"/>
        <v>7.5949175893702314E-6</v>
      </c>
      <c r="I112" s="87">
        <f t="shared" si="11"/>
        <v>1.1221903236574949E-9</v>
      </c>
      <c r="J112" s="88">
        <f t="shared" si="12"/>
        <v>82.333138304505638</v>
      </c>
      <c r="K112" s="88">
        <f t="shared" si="13"/>
        <v>1.6592620663507287</v>
      </c>
      <c r="L112" s="88">
        <f t="shared" si="14"/>
        <v>2.4516498215553716E-4</v>
      </c>
      <c r="M112" s="88">
        <f>L112*Settings!$D$24+Electricity!K112*Settings!$C$24+Electricity!J112</f>
        <v>127.20014413610377</v>
      </c>
      <c r="N112" s="385" t="s">
        <v>719</v>
      </c>
    </row>
    <row r="113" spans="2:14" x14ac:dyDescent="0.25">
      <c r="B113" s="407" t="str">
        <f>VLOOKUP(D113,'Unit List'!$B$9:$E$241,4,0)</f>
        <v>Maintenance</v>
      </c>
      <c r="C113" s="377" t="str">
        <f>VLOOKUP(D113,'Unit List'!$B$9:$D$241,3,0)</f>
        <v>-</v>
      </c>
      <c r="D113" s="414">
        <v>7310</v>
      </c>
      <c r="E113" s="376" t="s">
        <v>42</v>
      </c>
      <c r="F113" s="375">
        <v>428494.30000000005</v>
      </c>
      <c r="G113" s="86">
        <f t="shared" si="9"/>
        <v>3.7686234922022581E-4</v>
      </c>
      <c r="H113" s="87">
        <f t="shared" si="10"/>
        <v>7.5949175893702314E-6</v>
      </c>
      <c r="I113" s="87">
        <f t="shared" si="11"/>
        <v>1.1221903236574949E-9</v>
      </c>
      <c r="J113" s="88">
        <f t="shared" si="12"/>
        <v>164.66627660901128</v>
      </c>
      <c r="K113" s="88">
        <f t="shared" si="13"/>
        <v>3.3185241327014574</v>
      </c>
      <c r="L113" s="88">
        <f t="shared" si="14"/>
        <v>4.9032996431107431E-4</v>
      </c>
      <c r="M113" s="88">
        <f>L113*Settings!$D$24+Electricity!K113*Settings!$C$24+Electricity!J113</f>
        <v>254.40028827220755</v>
      </c>
      <c r="N113" s="385" t="s">
        <v>719</v>
      </c>
    </row>
    <row r="114" spans="2:14" x14ac:dyDescent="0.25">
      <c r="B114" s="407" t="str">
        <f>VLOOKUP(D114,'Unit List'!$B$9:$E$241,4,0)</f>
        <v>Maintenance</v>
      </c>
      <c r="C114" s="377" t="str">
        <f>VLOOKUP(D114,'Unit List'!$B$9:$D$241,3,0)</f>
        <v>-</v>
      </c>
      <c r="D114" s="414">
        <v>7330</v>
      </c>
      <c r="E114" s="376" t="s">
        <v>42</v>
      </c>
      <c r="F114" s="375">
        <v>856988.60000000009</v>
      </c>
      <c r="G114" s="86">
        <f t="shared" si="9"/>
        <v>3.7686234922022581E-4</v>
      </c>
      <c r="H114" s="87">
        <f t="shared" si="10"/>
        <v>7.5949175893702314E-6</v>
      </c>
      <c r="I114" s="87">
        <f t="shared" si="11"/>
        <v>1.1221903236574949E-9</v>
      </c>
      <c r="J114" s="88">
        <f t="shared" si="12"/>
        <v>329.33255321802255</v>
      </c>
      <c r="K114" s="88">
        <f t="shared" si="13"/>
        <v>6.6370482654029148</v>
      </c>
      <c r="L114" s="88">
        <f t="shared" si="14"/>
        <v>9.8065992862214862E-4</v>
      </c>
      <c r="M114" s="88">
        <f>L114*Settings!$D$24+Electricity!K114*Settings!$C$24+Electricity!J114</f>
        <v>508.80057654441509</v>
      </c>
      <c r="N114" s="385" t="s">
        <v>719</v>
      </c>
    </row>
    <row r="115" spans="2:14" x14ac:dyDescent="0.25">
      <c r="B115" s="407" t="str">
        <f>VLOOKUP(D115,'Unit List'!$B$9:$E$241,4,0)</f>
        <v>Maintenance</v>
      </c>
      <c r="C115" s="377" t="str">
        <f>VLOOKUP(D115,'Unit List'!$B$9:$D$241,3,0)</f>
        <v>-</v>
      </c>
      <c r="D115" s="414">
        <v>7340</v>
      </c>
      <c r="E115" s="376" t="s">
        <v>42</v>
      </c>
      <c r="F115" s="375">
        <v>1499730.05</v>
      </c>
      <c r="G115" s="86">
        <f t="shared" si="9"/>
        <v>3.7686234922022581E-4</v>
      </c>
      <c r="H115" s="87">
        <f t="shared" si="10"/>
        <v>7.5949175893702314E-6</v>
      </c>
      <c r="I115" s="87">
        <f t="shared" si="11"/>
        <v>1.1221903236574949E-9</v>
      </c>
      <c r="J115" s="88">
        <f t="shared" si="12"/>
        <v>576.33196813153938</v>
      </c>
      <c r="K115" s="88">
        <f t="shared" si="13"/>
        <v>11.6148344644551</v>
      </c>
      <c r="L115" s="88">
        <f t="shared" si="14"/>
        <v>1.7161548750887598E-3</v>
      </c>
      <c r="M115" s="88">
        <f>L115*Settings!$D$24+Electricity!K115*Settings!$C$24+Electricity!J115</f>
        <v>890.40100895272633</v>
      </c>
      <c r="N115" s="385" t="s">
        <v>719</v>
      </c>
    </row>
    <row r="116" spans="2:14" x14ac:dyDescent="0.25">
      <c r="B116" s="407" t="str">
        <f>VLOOKUP(D116,'Unit List'!$B$9:$E$241,4,0)</f>
        <v>Maintenance</v>
      </c>
      <c r="C116" s="377" t="str">
        <f>VLOOKUP(D116,'Unit List'!$B$9:$D$241,3,0)</f>
        <v>-</v>
      </c>
      <c r="D116" s="414">
        <v>7360</v>
      </c>
      <c r="E116" s="376">
        <v>54110</v>
      </c>
      <c r="F116" s="375">
        <v>1285482.9000000001</v>
      </c>
      <c r="G116" s="86">
        <f t="shared" si="9"/>
        <v>3.7686234922022581E-4</v>
      </c>
      <c r="H116" s="87">
        <f t="shared" si="10"/>
        <v>7.5949175893702314E-6</v>
      </c>
      <c r="I116" s="87">
        <f t="shared" si="11"/>
        <v>1.1221903236574949E-9</v>
      </c>
      <c r="J116" s="88">
        <f t="shared" si="12"/>
        <v>493.99882982703377</v>
      </c>
      <c r="K116" s="88">
        <f t="shared" si="13"/>
        <v>9.9555723981043727</v>
      </c>
      <c r="L116" s="88">
        <f t="shared" si="14"/>
        <v>1.4709898929332228E-3</v>
      </c>
      <c r="M116" s="88">
        <f>L116*Settings!$D$24+Electricity!K116*Settings!$C$24+Electricity!J116</f>
        <v>763.2008648166227</v>
      </c>
      <c r="N116" s="385" t="s">
        <v>719</v>
      </c>
    </row>
    <row r="117" spans="2:14" x14ac:dyDescent="0.25">
      <c r="B117" s="407" t="str">
        <f>VLOOKUP(D117,'Unit List'!$B$9:$E$241,4,0)</f>
        <v>TAS</v>
      </c>
      <c r="C117" s="377" t="str">
        <f>VLOOKUP(D117,'Unit List'!$B$9:$D$241,3,0)</f>
        <v>-</v>
      </c>
      <c r="D117" s="414">
        <v>9595</v>
      </c>
      <c r="E117" s="376">
        <v>54110</v>
      </c>
      <c r="F117" s="375">
        <v>2668971</v>
      </c>
      <c r="G117" s="86">
        <f t="shared" si="9"/>
        <v>3.7686234922022581E-4</v>
      </c>
      <c r="H117" s="87">
        <f t="shared" si="10"/>
        <v>7.5949175893702314E-6</v>
      </c>
      <c r="I117" s="87">
        <f t="shared" si="11"/>
        <v>1.1221903236574949E-9</v>
      </c>
      <c r="J117" s="88">
        <f t="shared" si="12"/>
        <v>1025.660124177683</v>
      </c>
      <c r="K117" s="88">
        <f t="shared" si="13"/>
        <v>20.670157509633945</v>
      </c>
      <c r="L117" s="88">
        <f t="shared" si="14"/>
        <v>3.0541280366560117E-3</v>
      </c>
      <c r="M117" s="88">
        <f>L117*Settings!$D$24+Electricity!K117*Settings!$C$24+Electricity!J117</f>
        <v>1584.5881538918065</v>
      </c>
      <c r="N117" s="385" t="s">
        <v>719</v>
      </c>
    </row>
    <row r="118" spans="2:14" x14ac:dyDescent="0.25">
      <c r="B118" s="407" t="str">
        <f>VLOOKUP(D118,'Unit List'!$B$9:$E$241,4,0)</f>
        <v>Steel Making</v>
      </c>
      <c r="C118" s="377" t="str">
        <f>VLOOKUP(D118,'Unit List'!$B$9:$D$241,3,0)</f>
        <v>EAFs</v>
      </c>
      <c r="D118" s="414">
        <v>2210</v>
      </c>
      <c r="E118" s="376">
        <v>23140</v>
      </c>
      <c r="F118" s="607">
        <v>4667188901</v>
      </c>
      <c r="G118" s="86">
        <f t="shared" si="9"/>
        <v>3.7686234922022581E-4</v>
      </c>
      <c r="H118" s="606">
        <f t="shared" si="10"/>
        <v>7.5949175893702314E-6</v>
      </c>
      <c r="I118" s="606">
        <f t="shared" si="11"/>
        <v>1.1221903236574949E-9</v>
      </c>
      <c r="J118" s="88">
        <f t="shared" si="12"/>
        <v>1793556.2236383851</v>
      </c>
      <c r="K118" s="88">
        <f t="shared" si="13"/>
        <v>36145.589334198594</v>
      </c>
      <c r="L118" s="88">
        <f t="shared" si="14"/>
        <v>5.3407071395357457</v>
      </c>
      <c r="M118" s="88">
        <f>L118*Settings!$D$24+Electricity!K118*Settings!$C$24+Electricity!J118</f>
        <v>2770945.1487108404</v>
      </c>
      <c r="N118" s="385"/>
    </row>
    <row r="119" spans="2:14" x14ac:dyDescent="0.25">
      <c r="B119" s="407" t="str">
        <f>VLOOKUP(D119,'Unit List'!$B$9:$E$241,4,0)</f>
        <v>Steel Making</v>
      </c>
      <c r="C119" s="377" t="str">
        <f>VLOOKUP(D119,'Unit List'!$B$9:$D$241,3,0)</f>
        <v>Laddle Furnaces</v>
      </c>
      <c r="D119" s="414">
        <v>2240</v>
      </c>
      <c r="E119" s="376">
        <v>23140</v>
      </c>
      <c r="F119" s="607">
        <v>149846198</v>
      </c>
      <c r="G119" s="86">
        <f t="shared" si="9"/>
        <v>3.7686234922022581E-4</v>
      </c>
      <c r="H119" s="606">
        <f t="shared" si="10"/>
        <v>7.5949175893702314E-6</v>
      </c>
      <c r="I119" s="606">
        <f t="shared" si="11"/>
        <v>1.1221903236574949E-9</v>
      </c>
      <c r="J119" s="88">
        <f t="shared" si="12"/>
        <v>57584.46609132646</v>
      </c>
      <c r="K119" s="88">
        <f t="shared" si="13"/>
        <v>1160.5013748293986</v>
      </c>
      <c r="L119" s="88">
        <f t="shared" si="14"/>
        <v>0.17147038109372789</v>
      </c>
      <c r="M119" s="88">
        <f>L119*Settings!$D$24+Electricity!K119*Settings!$C$24+Electricity!J119</f>
        <v>88964.814625758809</v>
      </c>
      <c r="N119" s="385"/>
    </row>
    <row r="120" spans="2:14" x14ac:dyDescent="0.25">
      <c r="B120" s="407" t="e">
        <f>VLOOKUP(D120,'Unit List'!$B$9:$E$241,4,0)</f>
        <v>#N/A</v>
      </c>
      <c r="C120" s="377" t="e">
        <f>VLOOKUP(D120,'Unit List'!$B$9:$D$241,3,0)</f>
        <v>#N/A</v>
      </c>
      <c r="D120" s="414"/>
      <c r="E120" s="376"/>
      <c r="F120" s="607"/>
      <c r="G120" s="86">
        <f t="shared" si="9"/>
        <v>3.7686234922022581E-4</v>
      </c>
      <c r="H120" s="606">
        <f t="shared" si="10"/>
        <v>7.5949175893702314E-6</v>
      </c>
      <c r="I120" s="606">
        <f t="shared" si="11"/>
        <v>1.1221903236574949E-9</v>
      </c>
      <c r="J120" s="88">
        <f t="shared" si="12"/>
        <v>0</v>
      </c>
      <c r="K120" s="88">
        <f t="shared" si="13"/>
        <v>0</v>
      </c>
      <c r="L120" s="88">
        <f t="shared" si="14"/>
        <v>0</v>
      </c>
      <c r="M120" s="88">
        <f>L120*Settings!$D$24+Electricity!K120*Settings!$C$24+Electricity!J120</f>
        <v>0</v>
      </c>
      <c r="N120" s="385"/>
    </row>
    <row r="121" spans="2:14" x14ac:dyDescent="0.25">
      <c r="B121" s="407" t="e">
        <f>VLOOKUP(D121,'Unit List'!$B$9:$E$241,4,0)</f>
        <v>#N/A</v>
      </c>
      <c r="C121" s="377" t="e">
        <f>VLOOKUP(D121,'Unit List'!$B$9:$D$241,3,0)</f>
        <v>#N/A</v>
      </c>
      <c r="D121" s="414"/>
      <c r="E121" s="376"/>
      <c r="F121" s="607"/>
      <c r="G121" s="86">
        <f t="shared" si="9"/>
        <v>3.7686234922022581E-4</v>
      </c>
      <c r="H121" s="606">
        <f t="shared" si="10"/>
        <v>7.5949175893702314E-6</v>
      </c>
      <c r="I121" s="606">
        <f t="shared" si="11"/>
        <v>1.1221903236574949E-9</v>
      </c>
      <c r="J121" s="88">
        <f t="shared" si="12"/>
        <v>0</v>
      </c>
      <c r="K121" s="88">
        <f t="shared" si="13"/>
        <v>0</v>
      </c>
      <c r="L121" s="88">
        <f t="shared" si="14"/>
        <v>0</v>
      </c>
      <c r="M121" s="88">
        <f>L121*Settings!$D$24+Electricity!K121*Settings!$C$24+Electricity!J121</f>
        <v>0</v>
      </c>
      <c r="N121" s="385"/>
    </row>
    <row r="122" spans="2:14" x14ac:dyDescent="0.25">
      <c r="B122" s="407" t="e">
        <f>VLOOKUP(D122,'Unit List'!$B$9:$E$241,4,0)</f>
        <v>#N/A</v>
      </c>
      <c r="C122" s="377" t="e">
        <f>VLOOKUP(D122,'Unit List'!$B$9:$D$241,3,0)</f>
        <v>#N/A</v>
      </c>
      <c r="D122" s="414"/>
      <c r="E122" s="376"/>
      <c r="F122" s="607"/>
      <c r="G122" s="86">
        <f t="shared" si="9"/>
        <v>3.7686234922022581E-4</v>
      </c>
      <c r="H122" s="606">
        <f t="shared" si="10"/>
        <v>7.5949175893702314E-6</v>
      </c>
      <c r="I122" s="606">
        <f t="shared" si="11"/>
        <v>1.1221903236574949E-9</v>
      </c>
      <c r="J122" s="88">
        <f t="shared" si="12"/>
        <v>0</v>
      </c>
      <c r="K122" s="88">
        <f t="shared" si="13"/>
        <v>0</v>
      </c>
      <c r="L122" s="88">
        <f t="shared" si="14"/>
        <v>0</v>
      </c>
      <c r="M122" s="88">
        <f>L122*Settings!$D$24+Electricity!K122*Settings!$C$24+Electricity!J122</f>
        <v>0</v>
      </c>
      <c r="N122" s="385"/>
    </row>
    <row r="123" spans="2:14" x14ac:dyDescent="0.25">
      <c r="B123" s="407" t="e">
        <f>VLOOKUP(D123,'Unit List'!$B$9:$E$241,4,0)</f>
        <v>#N/A</v>
      </c>
      <c r="C123" s="377" t="e">
        <f>VLOOKUP(D123,'Unit List'!$B$9:$D$241,3,0)</f>
        <v>#N/A</v>
      </c>
      <c r="D123" s="414"/>
      <c r="E123" s="376"/>
      <c r="F123" s="607"/>
      <c r="G123" s="86">
        <f t="shared" si="9"/>
        <v>3.7686234922022581E-4</v>
      </c>
      <c r="H123" s="606">
        <f t="shared" si="10"/>
        <v>7.5949175893702314E-6</v>
      </c>
      <c r="I123" s="606">
        <f t="shared" si="11"/>
        <v>1.1221903236574949E-9</v>
      </c>
      <c r="J123" s="88">
        <f t="shared" si="12"/>
        <v>0</v>
      </c>
      <c r="K123" s="88">
        <f t="shared" si="13"/>
        <v>0</v>
      </c>
      <c r="L123" s="88">
        <f t="shared" si="14"/>
        <v>0</v>
      </c>
      <c r="M123" s="88">
        <f>L123*Settings!$D$24+Electricity!K123*Settings!$C$24+Electricity!J123</f>
        <v>0</v>
      </c>
      <c r="N123" s="385"/>
    </row>
    <row r="124" spans="2:14" x14ac:dyDescent="0.25">
      <c r="B124" s="407" t="e">
        <f>VLOOKUP(D124,'Unit List'!$B$9:$E$241,4,0)</f>
        <v>#N/A</v>
      </c>
      <c r="C124" s="377" t="e">
        <f>VLOOKUP(D124,'Unit List'!$B$9:$D$241,3,0)</f>
        <v>#N/A</v>
      </c>
      <c r="D124" s="414"/>
      <c r="E124" s="733"/>
      <c r="F124" s="375"/>
      <c r="G124" s="86">
        <f t="shared" si="9"/>
        <v>3.7686234922022581E-4</v>
      </c>
      <c r="H124" s="87">
        <f t="shared" si="10"/>
        <v>7.5949175893702314E-6</v>
      </c>
      <c r="I124" s="87">
        <f t="shared" si="11"/>
        <v>1.1221903236574949E-9</v>
      </c>
      <c r="J124" s="88">
        <f t="shared" si="12"/>
        <v>0</v>
      </c>
      <c r="K124" s="88">
        <f t="shared" si="13"/>
        <v>0</v>
      </c>
      <c r="L124" s="88">
        <f t="shared" si="14"/>
        <v>0</v>
      </c>
      <c r="M124" s="88">
        <f>L124*Settings!$D$24+Electricity!K124*Settings!$C$24+Electricity!J124</f>
        <v>0</v>
      </c>
      <c r="N124" s="385"/>
    </row>
    <row r="125" spans="2:14" x14ac:dyDescent="0.25">
      <c r="B125" s="407" t="e">
        <f>VLOOKUP(D125,'Unit List'!$B$9:$E$241,4,0)</f>
        <v>#N/A</v>
      </c>
      <c r="C125" s="377" t="e">
        <f>VLOOKUP(D125,'Unit List'!$B$9:$D$241,3,0)</f>
        <v>#N/A</v>
      </c>
      <c r="D125" s="414"/>
      <c r="E125" s="733"/>
      <c r="F125" s="375"/>
      <c r="G125" s="86">
        <f t="shared" si="9"/>
        <v>3.7686234922022581E-4</v>
      </c>
      <c r="H125" s="87">
        <f t="shared" si="10"/>
        <v>7.5949175893702314E-6</v>
      </c>
      <c r="I125" s="87">
        <f t="shared" si="11"/>
        <v>1.1221903236574949E-9</v>
      </c>
      <c r="J125" s="88">
        <f t="shared" si="12"/>
        <v>0</v>
      </c>
      <c r="K125" s="88">
        <f t="shared" si="13"/>
        <v>0</v>
      </c>
      <c r="L125" s="88">
        <f t="shared" si="14"/>
        <v>0</v>
      </c>
      <c r="M125" s="88">
        <f>L125*Settings!$D$24+Electricity!K125*Settings!$C$24+Electricity!J125</f>
        <v>0</v>
      </c>
      <c r="N125" s="385"/>
    </row>
    <row r="126" spans="2:14" ht="30" customHeight="1" x14ac:dyDescent="0.25">
      <c r="B126" s="601" t="s">
        <v>410</v>
      </c>
      <c r="C126" s="378"/>
      <c r="D126" s="378"/>
      <c r="E126" s="378"/>
      <c r="F126" s="394">
        <f>SUM(F32:F125)</f>
        <v>7646087845.0040016</v>
      </c>
      <c r="G126" s="378"/>
      <c r="H126" s="378"/>
      <c r="I126" s="378"/>
      <c r="J126" s="394">
        <f>_xlfn.AGGREGATE(9,6,J32:J125)</f>
        <v>2938318.703567883</v>
      </c>
      <c r="K126" s="394">
        <f>_xlfn.AGGREGATE(9,6,K32:K125)</f>
        <v>59216.019990000001</v>
      </c>
      <c r="L126" s="394">
        <f>_xlfn.AGGREGATE(9,6,L32:L125)</f>
        <v>8.7494885699999987</v>
      </c>
      <c r="M126" s="394">
        <f>_xlfn.AGGREGATE(9,6,M32:M125)</f>
        <v>4539539.8536774926</v>
      </c>
      <c r="N126" s="398"/>
    </row>
    <row r="128" spans="2:14" x14ac:dyDescent="0.25">
      <c r="K128" s="64"/>
    </row>
    <row r="129" spans="8:13" x14ac:dyDescent="0.25">
      <c r="L129" s="63"/>
    </row>
    <row r="130" spans="8:13" ht="30" customHeight="1" x14ac:dyDescent="0.25">
      <c r="H130" s="381" t="s">
        <v>860</v>
      </c>
      <c r="I130" s="617"/>
      <c r="J130" s="636"/>
      <c r="K130" s="617"/>
      <c r="L130" s="381"/>
      <c r="M130" s="381"/>
    </row>
    <row r="131" spans="8:13" x14ac:dyDescent="0.25">
      <c r="H131" s="1007" t="s">
        <v>329</v>
      </c>
      <c r="I131" s="1017" t="s">
        <v>335</v>
      </c>
      <c r="J131" s="601" t="s">
        <v>9</v>
      </c>
      <c r="K131" s="601" t="s">
        <v>10</v>
      </c>
      <c r="L131" s="601" t="s">
        <v>11</v>
      </c>
      <c r="M131" s="602" t="s">
        <v>406</v>
      </c>
    </row>
    <row r="132" spans="8:13" ht="16.2" customHeight="1" x14ac:dyDescent="0.25">
      <c r="H132" s="1007"/>
      <c r="I132" s="1017"/>
      <c r="J132" s="601" t="s">
        <v>219</v>
      </c>
      <c r="K132" s="601" t="s">
        <v>220</v>
      </c>
      <c r="L132" s="601" t="s">
        <v>221</v>
      </c>
      <c r="M132" s="604" t="s">
        <v>222</v>
      </c>
    </row>
    <row r="133" spans="8:13" x14ac:dyDescent="0.25">
      <c r="H133" s="598" t="s">
        <v>1804</v>
      </c>
      <c r="I133" s="91" t="s">
        <v>337</v>
      </c>
      <c r="J133" s="622">
        <f t="shared" ref="J133:J140" si="15">SUMIF($B$32:$B$125,I133,$J$32:$J$125)</f>
        <v>391357.71475382691</v>
      </c>
      <c r="K133" s="622">
        <f t="shared" ref="K133:K140" si="16">SUMIF($B$32:$B$125,I133,$K$32:$K$125)</f>
        <v>7887.0431012004537</v>
      </c>
      <c r="L133" s="622">
        <f t="shared" ref="L133:L140" si="17">SUMIF($B$32:$B$125,I133,$L$32:$L$125)</f>
        <v>1.1653534546344766</v>
      </c>
      <c r="M133" s="65">
        <f t="shared" ref="M133:M140" si="18">SUMIF($B$32:$B$125,I133,$M$32:$M$125)</f>
        <v>604626.01997935446</v>
      </c>
    </row>
    <row r="134" spans="8:13" x14ac:dyDescent="0.25">
      <c r="H134" s="598" t="s">
        <v>1805</v>
      </c>
      <c r="I134" s="91" t="s">
        <v>338</v>
      </c>
      <c r="J134" s="622">
        <f t="shared" si="15"/>
        <v>2033917.5817197415</v>
      </c>
      <c r="K134" s="622">
        <f t="shared" si="16"/>
        <v>40989.598586049418</v>
      </c>
      <c r="L134" s="622">
        <f t="shared" si="17"/>
        <v>6.056435815478511</v>
      </c>
      <c r="M134" s="65">
        <f t="shared" si="18"/>
        <v>3142290.1505207014</v>
      </c>
    </row>
    <row r="135" spans="8:13" x14ac:dyDescent="0.25">
      <c r="H135" s="598" t="s">
        <v>1806</v>
      </c>
      <c r="I135" s="91" t="s">
        <v>339</v>
      </c>
      <c r="J135" s="622">
        <f t="shared" si="15"/>
        <v>135166.53329338206</v>
      </c>
      <c r="K135" s="622">
        <f t="shared" si="16"/>
        <v>2724.0149707929727</v>
      </c>
      <c r="L135" s="622">
        <f t="shared" si="17"/>
        <v>0.40248800671654178</v>
      </c>
      <c r="M135" s="65">
        <f t="shared" si="18"/>
        <v>208824.81673062593</v>
      </c>
    </row>
    <row r="136" spans="8:13" x14ac:dyDescent="0.25">
      <c r="H136" s="598" t="s">
        <v>1807</v>
      </c>
      <c r="I136" s="91" t="s">
        <v>340</v>
      </c>
      <c r="J136" s="622">
        <f t="shared" si="15"/>
        <v>89063.680020251501</v>
      </c>
      <c r="K136" s="622">
        <f t="shared" si="16"/>
        <v>1794.9028640283884</v>
      </c>
      <c r="L136" s="622">
        <f t="shared" si="17"/>
        <v>0.26520664671027716</v>
      </c>
      <c r="M136" s="65">
        <f t="shared" si="18"/>
        <v>137598.45876356988</v>
      </c>
    </row>
    <row r="137" spans="8:13" x14ac:dyDescent="0.25">
      <c r="H137" s="598" t="s">
        <v>1808</v>
      </c>
      <c r="I137" s="91" t="s">
        <v>341</v>
      </c>
      <c r="J137" s="622">
        <f t="shared" si="15"/>
        <v>286140.87089041312</v>
      </c>
      <c r="K137" s="622">
        <f t="shared" si="16"/>
        <v>5766.6050690921084</v>
      </c>
      <c r="L137" s="622">
        <f t="shared" si="17"/>
        <v>0.85204721878042355</v>
      </c>
      <c r="M137" s="65">
        <f t="shared" si="18"/>
        <v>442071.81664662698</v>
      </c>
    </row>
    <row r="138" spans="8:13" x14ac:dyDescent="0.25">
      <c r="H138" s="598" t="s">
        <v>1809</v>
      </c>
      <c r="I138" s="91" t="s">
        <v>342</v>
      </c>
      <c r="J138" s="622">
        <f t="shared" si="15"/>
        <v>0</v>
      </c>
      <c r="K138" s="622">
        <f t="shared" si="16"/>
        <v>0</v>
      </c>
      <c r="L138" s="622">
        <f t="shared" si="17"/>
        <v>0</v>
      </c>
      <c r="M138" s="65">
        <f t="shared" si="18"/>
        <v>0</v>
      </c>
    </row>
    <row r="139" spans="8:13" x14ac:dyDescent="0.25">
      <c r="H139" s="598" t="s">
        <v>1810</v>
      </c>
      <c r="I139" s="91" t="s">
        <v>343</v>
      </c>
      <c r="J139" s="622">
        <f t="shared" si="15"/>
        <v>1646.6627660901127</v>
      </c>
      <c r="K139" s="622">
        <f t="shared" si="16"/>
        <v>33.185241327014573</v>
      </c>
      <c r="L139" s="622">
        <f t="shared" si="17"/>
        <v>4.9032996431107425E-3</v>
      </c>
      <c r="M139" s="65">
        <f t="shared" si="18"/>
        <v>2544.0028827220758</v>
      </c>
    </row>
    <row r="140" spans="8:13" x14ac:dyDescent="0.25">
      <c r="H140" s="598" t="s">
        <v>1811</v>
      </c>
      <c r="I140" s="91" t="s">
        <v>510</v>
      </c>
      <c r="J140" s="622">
        <f t="shared" si="15"/>
        <v>1025.660124177683</v>
      </c>
      <c r="K140" s="622">
        <f t="shared" si="16"/>
        <v>20.670157509633945</v>
      </c>
      <c r="L140" s="622">
        <f t="shared" si="17"/>
        <v>3.0541280366560117E-3</v>
      </c>
      <c r="M140" s="65">
        <f t="shared" si="18"/>
        <v>1584.5881538918065</v>
      </c>
    </row>
    <row r="141" spans="8:13" ht="30" customHeight="1" x14ac:dyDescent="0.25">
      <c r="H141" s="605" t="s">
        <v>410</v>
      </c>
      <c r="I141" s="12"/>
      <c r="J141" s="66">
        <f t="shared" ref="J141:L141" si="19">_xlfn.AGGREGATE(9,6,J133:J140)</f>
        <v>2938318.7035678825</v>
      </c>
      <c r="K141" s="66">
        <f t="shared" si="19"/>
        <v>59216.019989999993</v>
      </c>
      <c r="L141" s="66">
        <f t="shared" si="19"/>
        <v>8.7494885699999969</v>
      </c>
      <c r="M141" s="66">
        <f>_xlfn.AGGREGATE(9,6,M133:M140)</f>
        <v>4539539.8536774926</v>
      </c>
    </row>
  </sheetData>
  <protectedRanges>
    <protectedRange sqref="D32:F125 N32:N125" name="Range2"/>
    <protectedRange sqref="D11:G18 N11:N18" name="Range1"/>
  </protectedRanges>
  <mergeCells count="38">
    <mergeCell ref="N8:N10"/>
    <mergeCell ref="F11:G11"/>
    <mergeCell ref="F12:G12"/>
    <mergeCell ref="F13:G13"/>
    <mergeCell ref="D20:E20"/>
    <mergeCell ref="D17:E17"/>
    <mergeCell ref="F17:G17"/>
    <mergeCell ref="F19:G19"/>
    <mergeCell ref="D14:E14"/>
    <mergeCell ref="D15:E15"/>
    <mergeCell ref="D16:E16"/>
    <mergeCell ref="D18:E18"/>
    <mergeCell ref="D19:E19"/>
    <mergeCell ref="D8:E9"/>
    <mergeCell ref="D10:E10"/>
    <mergeCell ref="D11:E11"/>
    <mergeCell ref="H131:H132"/>
    <mergeCell ref="I131:I132"/>
    <mergeCell ref="N29:N31"/>
    <mergeCell ref="G29:I29"/>
    <mergeCell ref="J29:M29"/>
    <mergeCell ref="B8:B10"/>
    <mergeCell ref="C8:C10"/>
    <mergeCell ref="K8:M8"/>
    <mergeCell ref="H8:J8"/>
    <mergeCell ref="K20:M20"/>
    <mergeCell ref="F14:G14"/>
    <mergeCell ref="F8:G10"/>
    <mergeCell ref="D12:E12"/>
    <mergeCell ref="D13:E13"/>
    <mergeCell ref="C29:C31"/>
    <mergeCell ref="B29:B31"/>
    <mergeCell ref="F15:G15"/>
    <mergeCell ref="F16:G16"/>
    <mergeCell ref="F18:G18"/>
    <mergeCell ref="D29:D31"/>
    <mergeCell ref="F29:F30"/>
    <mergeCell ref="E29:E31"/>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A2E26B8-D3DE-438F-8149-79E4FC4BB22A}">
          <x14:formula1>
            <xm:f>Settings!$B$341:$B$348</xm:f>
          </x14:formula1>
          <xm:sqref>I133:I140</xm:sqref>
        </x14:dataValidation>
        <x14:dataValidation type="list" allowBlank="1" showInputMessage="1" showErrorMessage="1" xr:uid="{4B43153D-A85D-4960-BF39-E207A71B1E1F}">
          <x14:formula1>
            <xm:f>Settings!$B$110:$B$116</xm:f>
          </x14:formula1>
          <xm:sqref>F11:F18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01AAD-C01B-416A-8B41-E2AF3B3325E4}">
  <dimension ref="B4:S53"/>
  <sheetViews>
    <sheetView rightToLeft="1" topLeftCell="A4" zoomScale="70" zoomScaleNormal="70" workbookViewId="0">
      <selection activeCell="S19" sqref="S19"/>
    </sheetView>
  </sheetViews>
  <sheetFormatPr defaultColWidth="9.09765625" defaultRowHeight="16.2" x14ac:dyDescent="0.25"/>
  <cols>
    <col min="1" max="1" width="12.09765625" style="3" customWidth="1"/>
    <col min="2" max="2" width="13.3984375" style="3" customWidth="1"/>
    <col min="3" max="3" width="31.19921875" style="3" customWidth="1"/>
    <col min="4" max="5" width="17.3984375" style="3" customWidth="1"/>
    <col min="6" max="6" width="15.796875" style="3" customWidth="1"/>
    <col min="7" max="7" width="10" style="3" customWidth="1"/>
    <col min="8" max="8" width="13.296875" style="3" customWidth="1"/>
    <col min="9" max="11" width="15.3984375" style="3" customWidth="1"/>
    <col min="12" max="15" width="12" style="3" customWidth="1"/>
    <col min="16" max="16" width="25.3984375" style="3" customWidth="1"/>
    <col min="17" max="16384" width="9.09765625" style="3"/>
  </cols>
  <sheetData>
    <row r="4" spans="2:19" ht="16.2" customHeight="1" x14ac:dyDescent="0.25">
      <c r="B4" s="9"/>
      <c r="C4" s="9"/>
      <c r="D4" s="9"/>
      <c r="E4" s="9"/>
      <c r="F4" s="9"/>
      <c r="G4" s="9"/>
    </row>
    <row r="5" spans="2:19" ht="16.8" x14ac:dyDescent="0.25">
      <c r="B5" s="27"/>
      <c r="C5" s="16"/>
      <c r="D5" s="16"/>
      <c r="E5" s="16"/>
      <c r="F5" s="16"/>
      <c r="G5" s="16"/>
      <c r="H5" s="16"/>
      <c r="I5" s="16"/>
      <c r="J5" s="16"/>
      <c r="K5" s="16"/>
      <c r="L5" s="16"/>
      <c r="M5" s="16"/>
      <c r="N5" s="16"/>
      <c r="O5" s="16"/>
    </row>
    <row r="6" spans="2:19" ht="16.2" customHeight="1" x14ac:dyDescent="0.25"/>
    <row r="7" spans="2:19" s="279" customFormat="1" ht="30" customHeight="1" x14ac:dyDescent="0.25">
      <c r="B7" s="370" t="s">
        <v>2094</v>
      </c>
      <c r="C7" s="371"/>
      <c r="D7" s="371"/>
      <c r="E7" s="371"/>
      <c r="F7" s="371"/>
      <c r="G7" s="371"/>
      <c r="H7" s="371"/>
      <c r="I7" s="371"/>
      <c r="J7" s="371"/>
      <c r="K7" s="371"/>
      <c r="L7" s="371"/>
      <c r="M7" s="371"/>
      <c r="N7" s="371"/>
      <c r="O7" s="371"/>
      <c r="P7" s="372"/>
    </row>
    <row r="8" spans="2:19" ht="17.25" customHeight="1" x14ac:dyDescent="0.25">
      <c r="B8" s="1013" t="s">
        <v>335</v>
      </c>
      <c r="C8" s="1014" t="s">
        <v>411</v>
      </c>
      <c r="D8" s="1014" t="s">
        <v>398</v>
      </c>
      <c r="E8" s="1014" t="s">
        <v>400</v>
      </c>
      <c r="F8" s="1014" t="s">
        <v>401</v>
      </c>
      <c r="G8" s="1014" t="s">
        <v>402</v>
      </c>
      <c r="H8" s="1014" t="s">
        <v>403</v>
      </c>
      <c r="I8" s="1005" t="s">
        <v>405</v>
      </c>
      <c r="J8" s="1031"/>
      <c r="K8" s="1006"/>
      <c r="L8" s="1005" t="s">
        <v>406</v>
      </c>
      <c r="M8" s="1031"/>
      <c r="N8" s="1031"/>
      <c r="O8" s="1006"/>
      <c r="P8" s="1014" t="s">
        <v>716</v>
      </c>
    </row>
    <row r="9" spans="2:19" ht="28.8" customHeight="1" x14ac:dyDescent="0.25">
      <c r="B9" s="1013"/>
      <c r="C9" s="1008"/>
      <c r="D9" s="1008"/>
      <c r="E9" s="1008"/>
      <c r="F9" s="1008"/>
      <c r="G9" s="1008"/>
      <c r="H9" s="1008"/>
      <c r="I9" s="355" t="s">
        <v>921</v>
      </c>
      <c r="J9" s="355" t="s">
        <v>922</v>
      </c>
      <c r="K9" s="355" t="s">
        <v>923</v>
      </c>
      <c r="L9" s="355" t="s">
        <v>219</v>
      </c>
      <c r="M9" s="355" t="s">
        <v>220</v>
      </c>
      <c r="N9" s="355" t="s">
        <v>221</v>
      </c>
      <c r="O9" s="355" t="s">
        <v>222</v>
      </c>
      <c r="P9" s="1008"/>
    </row>
    <row r="10" spans="2:19" ht="16.2" customHeight="1" x14ac:dyDescent="0.25">
      <c r="B10" s="407" t="s">
        <v>337</v>
      </c>
      <c r="C10" s="356" t="s">
        <v>594</v>
      </c>
      <c r="D10" s="952" t="s">
        <v>2128</v>
      </c>
      <c r="E10" s="953"/>
      <c r="F10" s="607">
        <v>2340000</v>
      </c>
      <c r="G10" s="354" t="s">
        <v>492</v>
      </c>
      <c r="H10" s="414" t="s">
        <v>534</v>
      </c>
      <c r="I10" s="91">
        <f>VLOOKUP(H10,Settings!$C$89:$F$91,2,FALSE)</f>
        <v>2.7241700000000002E-3</v>
      </c>
      <c r="J10" s="91">
        <f>VLOOKUP(H10,Settings!$C$89:$F$91,3,FALSE)</f>
        <v>1.05E-7</v>
      </c>
      <c r="K10" s="91">
        <f>VLOOKUP(H10,Settings!$C$89:$F$91,4,FALSE)</f>
        <v>1.06E-7</v>
      </c>
      <c r="L10" s="65">
        <f>F10*I10</f>
        <v>6374.5578000000005</v>
      </c>
      <c r="M10" s="65">
        <f>F10*J10</f>
        <v>0.2457</v>
      </c>
      <c r="N10" s="65">
        <f>F10*K10</f>
        <v>0.24803999999999998</v>
      </c>
      <c r="O10" s="65">
        <f>N10*Settings!$D$24+M10*Settings!$C$24+L10</f>
        <v>6448.9066200000007</v>
      </c>
      <c r="P10" s="385" t="s">
        <v>885</v>
      </c>
      <c r="Q10" s="10"/>
      <c r="R10" s="10"/>
      <c r="S10" s="10"/>
    </row>
    <row r="11" spans="2:19" x14ac:dyDescent="0.25">
      <c r="B11" s="407" t="s">
        <v>337</v>
      </c>
      <c r="C11" s="356" t="s">
        <v>598</v>
      </c>
      <c r="D11" s="952" t="s">
        <v>2129</v>
      </c>
      <c r="E11" s="953"/>
      <c r="F11" s="607">
        <v>839725</v>
      </c>
      <c r="G11" s="354" t="s">
        <v>492</v>
      </c>
      <c r="H11" s="414" t="s">
        <v>534</v>
      </c>
      <c r="I11" s="91">
        <f>VLOOKUP(H11,Settings!$C$89:$F$91,2,FALSE)</f>
        <v>2.7241700000000002E-3</v>
      </c>
      <c r="J11" s="91">
        <f>VLOOKUP(H11,Settings!$C$89:$F$91,3,FALSE)</f>
        <v>1.05E-7</v>
      </c>
      <c r="K11" s="91">
        <f>VLOOKUP(H11,Settings!$C$89:$F$91,4,FALSE)</f>
        <v>1.06E-7</v>
      </c>
      <c r="L11" s="65">
        <f t="shared" ref="L11:L37" si="0">F11*I11</f>
        <v>2287.55365325</v>
      </c>
      <c r="M11" s="65">
        <f t="shared" ref="M11:M37" si="1">F11*J11</f>
        <v>8.8171125000000003E-2</v>
      </c>
      <c r="N11" s="65">
        <f t="shared" ref="N11:N37" si="2">F11*K11</f>
        <v>8.9010850000000002E-2</v>
      </c>
      <c r="O11" s="65">
        <f>N11*Settings!$D$24+M11*Settings!$C$24+L11</f>
        <v>2314.234235675</v>
      </c>
      <c r="P11" s="385" t="s">
        <v>885</v>
      </c>
      <c r="Q11" s="10"/>
      <c r="R11" s="10"/>
      <c r="S11" s="10"/>
    </row>
    <row r="12" spans="2:19" x14ac:dyDescent="0.25">
      <c r="B12" s="752" t="str">
        <f>VLOOKUP(D12,'Unit List'!$B$9:$E$241,4,0)</f>
        <v>TAS</v>
      </c>
      <c r="C12" s="356" t="str">
        <f>VLOOKUP(D12,'Unit List'!$B$9:$D$241,3,0)</f>
        <v>-</v>
      </c>
      <c r="D12" s="414">
        <v>9595</v>
      </c>
      <c r="E12" s="376">
        <v>20100</v>
      </c>
      <c r="F12" s="416">
        <v>936872</v>
      </c>
      <c r="G12" s="354" t="s">
        <v>492</v>
      </c>
      <c r="H12" s="414" t="s">
        <v>494</v>
      </c>
      <c r="I12" s="91">
        <f>VLOOKUP(H12,Settings!$C$89:$F$91,2,FALSE)</f>
        <v>2.3395500000000001E-3</v>
      </c>
      <c r="J12" s="91">
        <f>VLOOKUP(H12,Settings!$C$89:$F$91,3,FALSE)</f>
        <v>2.7333333333333335E-7</v>
      </c>
      <c r="K12" s="91">
        <f>VLOOKUP(H12,Settings!$C$89:$F$91,4,FALSE)</f>
        <v>2.252830188679245E-8</v>
      </c>
      <c r="L12" s="65">
        <f t="shared" si="0"/>
        <v>2191.8588876000003</v>
      </c>
      <c r="M12" s="65">
        <f t="shared" si="1"/>
        <v>0.25607834666666668</v>
      </c>
      <c r="N12" s="65">
        <f t="shared" si="2"/>
        <v>2.1106135245283018E-2</v>
      </c>
      <c r="O12" s="65">
        <f>N12*Settings!$D$24+M12*Settings!$C$24+L12</f>
        <v>2204.5349778819627</v>
      </c>
      <c r="P12" s="385" t="s">
        <v>885</v>
      </c>
      <c r="Q12" s="10"/>
      <c r="R12" s="10"/>
      <c r="S12" s="10"/>
    </row>
    <row r="13" spans="2:19" x14ac:dyDescent="0.25">
      <c r="B13" s="752" t="str">
        <f>VLOOKUP(D13,'Unit List'!$B$9:$E$241,4,0)</f>
        <v>TAS</v>
      </c>
      <c r="C13" s="356" t="str">
        <f>VLOOKUP(D13,'Unit List'!$B$9:$D$241,3,0)</f>
        <v>-</v>
      </c>
      <c r="D13" s="734">
        <v>9595</v>
      </c>
      <c r="E13" s="376">
        <v>20120</v>
      </c>
      <c r="F13" s="375">
        <v>11206470</v>
      </c>
      <c r="G13" s="354" t="s">
        <v>492</v>
      </c>
      <c r="H13" s="414" t="s">
        <v>534</v>
      </c>
      <c r="I13" s="91">
        <f>VLOOKUP(H13,Settings!$C$89:$F$91,2,FALSE)</f>
        <v>2.7241700000000002E-3</v>
      </c>
      <c r="J13" s="91">
        <f>VLOOKUP(H13,Settings!$C$89:$F$91,3,FALSE)</f>
        <v>1.05E-7</v>
      </c>
      <c r="K13" s="91">
        <f>VLOOKUP(H13,Settings!$C$89:$F$91,4,FALSE)</f>
        <v>1.06E-7</v>
      </c>
      <c r="L13" s="65">
        <f t="shared" si="0"/>
        <v>30528.329379900002</v>
      </c>
      <c r="M13" s="65">
        <f t="shared" si="1"/>
        <v>1.1766793499999999</v>
      </c>
      <c r="N13" s="65">
        <f t="shared" si="2"/>
        <v>1.18788582</v>
      </c>
      <c r="O13" s="65">
        <f>N13*Settings!$D$24+M13*Settings!$C$24+L13</f>
        <v>30884.392551210003</v>
      </c>
      <c r="P13" s="385" t="s">
        <v>885</v>
      </c>
      <c r="Q13" s="10"/>
      <c r="R13" s="10"/>
      <c r="S13" s="10"/>
    </row>
    <row r="14" spans="2:19" x14ac:dyDescent="0.25">
      <c r="B14" s="752" t="str">
        <f>VLOOKUP(D14,'Unit List'!$B$9:$E$241,4,0)</f>
        <v>Transportation</v>
      </c>
      <c r="C14" s="356" t="str">
        <f>VLOOKUP(D14,'Unit List'!$B$9:$D$241,3,0)</f>
        <v>-</v>
      </c>
      <c r="D14" s="734">
        <v>6110</v>
      </c>
      <c r="E14" s="376">
        <v>20120</v>
      </c>
      <c r="F14" s="375">
        <v>1333000</v>
      </c>
      <c r="G14" s="354" t="s">
        <v>492</v>
      </c>
      <c r="H14" s="414" t="s">
        <v>534</v>
      </c>
      <c r="I14" s="91">
        <f>VLOOKUP(H14,Settings!$C$89:$F$91,2,FALSE)</f>
        <v>2.7241700000000002E-3</v>
      </c>
      <c r="J14" s="91">
        <f>VLOOKUP(H14,Settings!$C$89:$F$91,3,FALSE)</f>
        <v>1.05E-7</v>
      </c>
      <c r="K14" s="91">
        <f>VLOOKUP(H14,Settings!$C$89:$F$91,4,FALSE)</f>
        <v>1.06E-7</v>
      </c>
      <c r="L14" s="65">
        <f t="shared" si="0"/>
        <v>3631.3186100000003</v>
      </c>
      <c r="M14" s="65">
        <f t="shared" si="1"/>
        <v>0.13996500000000001</v>
      </c>
      <c r="N14" s="65">
        <f t="shared" si="2"/>
        <v>0.14129800000000001</v>
      </c>
      <c r="O14" s="65">
        <f>N14*Settings!$D$24+M14*Settings!$C$24+L14</f>
        <v>3673.6720190000001</v>
      </c>
      <c r="P14" s="385" t="s">
        <v>885</v>
      </c>
      <c r="Q14" s="10"/>
      <c r="R14" s="10"/>
      <c r="S14" s="10"/>
    </row>
    <row r="15" spans="2:19" x14ac:dyDescent="0.25">
      <c r="B15" s="752" t="str">
        <f>VLOOKUP(D15,'Unit List'!$B$9:$E$241,4,0)</f>
        <v>Transportation</v>
      </c>
      <c r="C15" s="356" t="str">
        <f>VLOOKUP(D15,'Unit List'!$B$9:$D$241,3,0)</f>
        <v>-</v>
      </c>
      <c r="D15" s="734">
        <v>6410</v>
      </c>
      <c r="E15" s="376">
        <v>20120</v>
      </c>
      <c r="F15" s="375">
        <v>839725</v>
      </c>
      <c r="G15" s="354" t="s">
        <v>492</v>
      </c>
      <c r="H15" s="414" t="s">
        <v>534</v>
      </c>
      <c r="I15" s="91">
        <f>VLOOKUP(H15,Settings!$C$89:$F$91,2,FALSE)</f>
        <v>2.7241700000000002E-3</v>
      </c>
      <c r="J15" s="91">
        <f>VLOOKUP(H15,Settings!$C$89:$F$91,3,FALSE)</f>
        <v>1.05E-7</v>
      </c>
      <c r="K15" s="91">
        <f>VLOOKUP(H15,Settings!$C$89:$F$91,4,FALSE)</f>
        <v>1.06E-7</v>
      </c>
      <c r="L15" s="65">
        <f t="shared" si="0"/>
        <v>2287.55365325</v>
      </c>
      <c r="M15" s="65">
        <f t="shared" si="1"/>
        <v>8.8171125000000003E-2</v>
      </c>
      <c r="N15" s="65">
        <f t="shared" si="2"/>
        <v>8.9010850000000002E-2</v>
      </c>
      <c r="O15" s="65">
        <f>N15*Settings!$D$24+M15*Settings!$C$24+L15</f>
        <v>2314.234235675</v>
      </c>
      <c r="P15" s="385" t="s">
        <v>885</v>
      </c>
      <c r="Q15" s="10"/>
      <c r="R15" s="10"/>
      <c r="S15" s="10"/>
    </row>
    <row r="16" spans="2:19" x14ac:dyDescent="0.25">
      <c r="B16" s="752" t="str">
        <f>VLOOKUP(D16,'Unit List'!$B$9:$E$241,4,0)</f>
        <v>TAS</v>
      </c>
      <c r="C16" s="356" t="str">
        <f>VLOOKUP(D16,'Unit List'!$B$9:$D$241,3,0)</f>
        <v>-</v>
      </c>
      <c r="D16" s="734">
        <v>9585</v>
      </c>
      <c r="E16" s="376">
        <v>20120</v>
      </c>
      <c r="F16" s="375">
        <v>135000</v>
      </c>
      <c r="G16" s="354" t="s">
        <v>492</v>
      </c>
      <c r="H16" s="414" t="s">
        <v>534</v>
      </c>
      <c r="I16" s="91">
        <f>VLOOKUP(H16,Settings!$C$89:$F$91,2,FALSE)</f>
        <v>2.7241700000000002E-3</v>
      </c>
      <c r="J16" s="91">
        <f>VLOOKUP(H16,Settings!$C$89:$F$91,3,FALSE)</f>
        <v>1.05E-7</v>
      </c>
      <c r="K16" s="91">
        <f>VLOOKUP(H16,Settings!$C$89:$F$91,4,FALSE)</f>
        <v>1.06E-7</v>
      </c>
      <c r="L16" s="65">
        <f t="shared" si="0"/>
        <v>367.76295000000005</v>
      </c>
      <c r="M16" s="65">
        <f t="shared" si="1"/>
        <v>1.4175E-2</v>
      </c>
      <c r="N16" s="65">
        <f t="shared" si="2"/>
        <v>1.431E-2</v>
      </c>
      <c r="O16" s="65">
        <f>N16*Settings!$D$24+M16*Settings!$C$24+L16</f>
        <v>372.05230500000005</v>
      </c>
      <c r="P16" s="385" t="s">
        <v>885</v>
      </c>
      <c r="Q16" s="10"/>
      <c r="R16" s="10"/>
      <c r="S16" s="10"/>
    </row>
    <row r="17" spans="2:19" x14ac:dyDescent="0.25">
      <c r="B17" s="752" t="str">
        <f>VLOOKUP(D17,'Unit List'!$B$9:$E$241,4,0)</f>
        <v>Steel Making</v>
      </c>
      <c r="C17" s="356" t="str">
        <f>VLOOKUP(D17,'Unit List'!$B$9:$D$241,3,0)</f>
        <v>EAFs</v>
      </c>
      <c r="D17" s="734">
        <v>2210</v>
      </c>
      <c r="E17" s="376">
        <v>20120</v>
      </c>
      <c r="F17" s="375">
        <v>53650</v>
      </c>
      <c r="G17" s="354" t="s">
        <v>492</v>
      </c>
      <c r="H17" s="414" t="s">
        <v>534</v>
      </c>
      <c r="I17" s="91">
        <f>VLOOKUP(H17,Settings!$C$89:$F$91,2,FALSE)</f>
        <v>2.7241700000000002E-3</v>
      </c>
      <c r="J17" s="91">
        <f>VLOOKUP(H17,Settings!$C$89:$F$91,3,FALSE)</f>
        <v>1.05E-7</v>
      </c>
      <c r="K17" s="91">
        <f>VLOOKUP(H17,Settings!$C$89:$F$91,4,FALSE)</f>
        <v>1.06E-7</v>
      </c>
      <c r="L17" s="65">
        <f t="shared" si="0"/>
        <v>146.15172050000001</v>
      </c>
      <c r="M17" s="65">
        <f t="shared" si="1"/>
        <v>5.6332500000000002E-3</v>
      </c>
      <c r="N17" s="65">
        <f t="shared" si="2"/>
        <v>5.6868999999999999E-3</v>
      </c>
      <c r="O17" s="65">
        <f>N17*Settings!$D$24+M17*Settings!$C$24+L17</f>
        <v>147.85634195</v>
      </c>
      <c r="P17" s="385" t="s">
        <v>885</v>
      </c>
      <c r="Q17" s="10"/>
      <c r="R17" s="10"/>
      <c r="S17" s="10"/>
    </row>
    <row r="18" spans="2:19" x14ac:dyDescent="0.25">
      <c r="B18" s="752" t="str">
        <f>VLOOKUP(D18,'Unit List'!$B$9:$E$241,4,0)</f>
        <v>TAS</v>
      </c>
      <c r="C18" s="356" t="str">
        <f>VLOOKUP(D18,'Unit List'!$B$9:$D$241,3,0)</f>
        <v>-</v>
      </c>
      <c r="D18" s="734">
        <v>9230</v>
      </c>
      <c r="E18" s="376">
        <v>20120</v>
      </c>
      <c r="F18" s="375">
        <v>31464</v>
      </c>
      <c r="G18" s="354" t="s">
        <v>492</v>
      </c>
      <c r="H18" s="414" t="s">
        <v>534</v>
      </c>
      <c r="I18" s="91">
        <f>VLOOKUP(H18,Settings!$C$89:$F$91,2,FALSE)</f>
        <v>2.7241700000000002E-3</v>
      </c>
      <c r="J18" s="91">
        <f>VLOOKUP(H18,Settings!$C$89:$F$91,3,FALSE)</f>
        <v>1.05E-7</v>
      </c>
      <c r="K18" s="91">
        <f>VLOOKUP(H18,Settings!$C$89:$F$91,4,FALSE)</f>
        <v>1.06E-7</v>
      </c>
      <c r="L18" s="65">
        <f t="shared" si="0"/>
        <v>85.713284880000003</v>
      </c>
      <c r="M18" s="65">
        <f t="shared" si="1"/>
        <v>3.30372E-3</v>
      </c>
      <c r="N18" s="65">
        <f t="shared" si="2"/>
        <v>3.3351839999999997E-3</v>
      </c>
      <c r="O18" s="65">
        <f>N18*Settings!$D$24+M18*Settings!$C$24+L18</f>
        <v>86.712990552000008</v>
      </c>
      <c r="P18" s="385" t="s">
        <v>885</v>
      </c>
      <c r="Q18" s="10"/>
      <c r="R18" s="10"/>
      <c r="S18" s="10"/>
    </row>
    <row r="19" spans="2:19" x14ac:dyDescent="0.25">
      <c r="B19" s="752" t="str">
        <f>VLOOKUP(D19,'Unit List'!$B$9:$E$241,4,0)</f>
        <v>TAS</v>
      </c>
      <c r="C19" s="356" t="str">
        <f>VLOOKUP(D19,'Unit List'!$B$9:$D$241,3,0)</f>
        <v>-</v>
      </c>
      <c r="D19" s="734">
        <v>9560</v>
      </c>
      <c r="E19" s="376">
        <v>20120</v>
      </c>
      <c r="F19" s="375">
        <v>31000</v>
      </c>
      <c r="G19" s="354" t="s">
        <v>492</v>
      </c>
      <c r="H19" s="414" t="s">
        <v>534</v>
      </c>
      <c r="I19" s="91">
        <f>VLOOKUP(H19,Settings!$C$89:$F$91,2,FALSE)</f>
        <v>2.7241700000000002E-3</v>
      </c>
      <c r="J19" s="91">
        <f>VLOOKUP(H19,Settings!$C$89:$F$91,3,FALSE)</f>
        <v>1.05E-7</v>
      </c>
      <c r="K19" s="91">
        <f>VLOOKUP(H19,Settings!$C$89:$F$91,4,FALSE)</f>
        <v>1.06E-7</v>
      </c>
      <c r="L19" s="65">
        <f t="shared" si="0"/>
        <v>84.449269999999999</v>
      </c>
      <c r="M19" s="65">
        <f t="shared" si="1"/>
        <v>3.2550000000000001E-3</v>
      </c>
      <c r="N19" s="65">
        <f t="shared" si="2"/>
        <v>3.2859999999999999E-3</v>
      </c>
      <c r="O19" s="65">
        <f>N19*Settings!$D$24+M19*Settings!$C$24+L19</f>
        <v>85.434232999999992</v>
      </c>
      <c r="P19" s="385" t="s">
        <v>885</v>
      </c>
      <c r="Q19" s="10"/>
      <c r="R19" s="10"/>
      <c r="S19" s="10"/>
    </row>
    <row r="20" spans="2:19" x14ac:dyDescent="0.25">
      <c r="B20" s="752" t="str">
        <f>VLOOKUP(D20,'Unit List'!$B$9:$E$241,4,0)</f>
        <v>Iron Making</v>
      </c>
      <c r="C20" s="356" t="str">
        <f>VLOOKUP(D20,'Unit List'!$B$9:$D$241,3,0)</f>
        <v>Pelletizing</v>
      </c>
      <c r="D20" s="734">
        <v>1210</v>
      </c>
      <c r="E20" s="376">
        <v>20120</v>
      </c>
      <c r="F20" s="375">
        <v>28800</v>
      </c>
      <c r="G20" s="354" t="s">
        <v>492</v>
      </c>
      <c r="H20" s="414" t="s">
        <v>534</v>
      </c>
      <c r="I20" s="91">
        <f>VLOOKUP(H20,Settings!$C$89:$F$91,2,FALSE)</f>
        <v>2.7241700000000002E-3</v>
      </c>
      <c r="J20" s="91">
        <f>VLOOKUP(H20,Settings!$C$89:$F$91,3,FALSE)</f>
        <v>1.05E-7</v>
      </c>
      <c r="K20" s="91">
        <f>VLOOKUP(H20,Settings!$C$89:$F$91,4,FALSE)</f>
        <v>1.06E-7</v>
      </c>
      <c r="L20" s="65">
        <f t="shared" si="0"/>
        <v>78.456096000000002</v>
      </c>
      <c r="M20" s="65">
        <f t="shared" si="1"/>
        <v>3.0240000000000002E-3</v>
      </c>
      <c r="N20" s="65">
        <f t="shared" si="2"/>
        <v>3.0528E-3</v>
      </c>
      <c r="O20" s="65">
        <f>N20*Settings!$D$24+M20*Settings!$C$24+L20</f>
        <v>79.371158399999999</v>
      </c>
      <c r="P20" s="385" t="s">
        <v>885</v>
      </c>
      <c r="Q20" s="10"/>
      <c r="R20" s="10"/>
      <c r="S20" s="10"/>
    </row>
    <row r="21" spans="2:19" x14ac:dyDescent="0.25">
      <c r="B21" s="752" t="str">
        <f>VLOOKUP(D21,'Unit List'!$B$9:$E$241,4,0)</f>
        <v>Maintenance</v>
      </c>
      <c r="C21" s="356" t="str">
        <f>VLOOKUP(D21,'Unit List'!$B$9:$D$241,3,0)</f>
        <v>-</v>
      </c>
      <c r="D21" s="734">
        <v>7301</v>
      </c>
      <c r="E21" s="376">
        <v>20120</v>
      </c>
      <c r="F21" s="375">
        <v>28500</v>
      </c>
      <c r="G21" s="354" t="s">
        <v>492</v>
      </c>
      <c r="H21" s="414" t="s">
        <v>534</v>
      </c>
      <c r="I21" s="91">
        <f>VLOOKUP(H21,Settings!$C$89:$F$91,2,FALSE)</f>
        <v>2.7241700000000002E-3</v>
      </c>
      <c r="J21" s="91">
        <f>VLOOKUP(H21,Settings!$C$89:$F$91,3,FALSE)</f>
        <v>1.05E-7</v>
      </c>
      <c r="K21" s="91">
        <f>VLOOKUP(H21,Settings!$C$89:$F$91,4,FALSE)</f>
        <v>1.06E-7</v>
      </c>
      <c r="L21" s="65">
        <f t="shared" si="0"/>
        <v>77.638845000000003</v>
      </c>
      <c r="M21" s="65">
        <f t="shared" si="1"/>
        <v>2.9924999999999999E-3</v>
      </c>
      <c r="N21" s="65">
        <f t="shared" si="2"/>
        <v>3.0209999999999998E-3</v>
      </c>
      <c r="O21" s="65">
        <f>N21*Settings!$D$24+M21*Settings!$C$24+L21</f>
        <v>78.544375500000001</v>
      </c>
      <c r="P21" s="385" t="s">
        <v>885</v>
      </c>
      <c r="Q21" s="10"/>
      <c r="R21" s="10"/>
      <c r="S21" s="10"/>
    </row>
    <row r="22" spans="2:19" x14ac:dyDescent="0.25">
      <c r="B22" s="752" t="str">
        <f>VLOOKUP(D22,'Unit List'!$B$9:$E$241,4,0)</f>
        <v>Iron Making</v>
      </c>
      <c r="C22" s="356" t="str">
        <f>VLOOKUP(D22,'Unit List'!$B$9:$D$241,3,0)</f>
        <v>Yard</v>
      </c>
      <c r="D22" s="734">
        <v>1110</v>
      </c>
      <c r="E22" s="376">
        <v>20120</v>
      </c>
      <c r="F22" s="375">
        <v>25000</v>
      </c>
      <c r="G22" s="354" t="s">
        <v>492</v>
      </c>
      <c r="H22" s="414" t="s">
        <v>534</v>
      </c>
      <c r="I22" s="91">
        <f>VLOOKUP(H22,Settings!$C$89:$F$91,2,FALSE)</f>
        <v>2.7241700000000002E-3</v>
      </c>
      <c r="J22" s="91">
        <f>VLOOKUP(H22,Settings!$C$89:$F$91,3,FALSE)</f>
        <v>1.05E-7</v>
      </c>
      <c r="K22" s="91">
        <f>VLOOKUP(H22,Settings!$C$89:$F$91,4,FALSE)</f>
        <v>1.06E-7</v>
      </c>
      <c r="L22" s="65">
        <f t="shared" si="0"/>
        <v>68.104250000000008</v>
      </c>
      <c r="M22" s="65">
        <f t="shared" si="1"/>
        <v>2.6250000000000002E-3</v>
      </c>
      <c r="N22" s="65">
        <f t="shared" si="2"/>
        <v>2.65E-3</v>
      </c>
      <c r="O22" s="65">
        <f>N22*Settings!$D$24+M22*Settings!$C$24+L22</f>
        <v>68.898575000000008</v>
      </c>
      <c r="P22" s="385" t="s">
        <v>885</v>
      </c>
      <c r="Q22" s="10"/>
      <c r="R22" s="10"/>
      <c r="S22" s="10"/>
    </row>
    <row r="23" spans="2:19" x14ac:dyDescent="0.25">
      <c r="B23" s="752" t="str">
        <f>VLOOKUP(D23,'Unit List'!$B$9:$E$241,4,0)</f>
        <v>Cold Rolling</v>
      </c>
      <c r="C23" s="356" t="str">
        <f>VLOOKUP(D23,'Unit List'!$B$9:$D$241,3,0)</f>
        <v>Packaging</v>
      </c>
      <c r="D23" s="734">
        <v>4660</v>
      </c>
      <c r="E23" s="376">
        <v>20120</v>
      </c>
      <c r="F23" s="375">
        <v>21000</v>
      </c>
      <c r="G23" s="354" t="s">
        <v>492</v>
      </c>
      <c r="H23" s="414" t="s">
        <v>534</v>
      </c>
      <c r="I23" s="91">
        <f>VLOOKUP(H23,Settings!$C$89:$F$91,2,FALSE)</f>
        <v>2.7241700000000002E-3</v>
      </c>
      <c r="J23" s="91">
        <f>VLOOKUP(H23,Settings!$C$89:$F$91,3,FALSE)</f>
        <v>1.05E-7</v>
      </c>
      <c r="K23" s="91">
        <f>VLOOKUP(H23,Settings!$C$89:$F$91,4,FALSE)</f>
        <v>1.06E-7</v>
      </c>
      <c r="L23" s="65">
        <f t="shared" si="0"/>
        <v>57.207570000000004</v>
      </c>
      <c r="M23" s="65">
        <f t="shared" si="1"/>
        <v>2.2049999999999999E-3</v>
      </c>
      <c r="N23" s="65">
        <f t="shared" si="2"/>
        <v>2.2260000000000001E-3</v>
      </c>
      <c r="O23" s="65">
        <f>N23*Settings!$D$24+M23*Settings!$C$24+L23</f>
        <v>57.874803000000007</v>
      </c>
      <c r="P23" s="385" t="s">
        <v>885</v>
      </c>
      <c r="Q23" s="10"/>
      <c r="R23" s="10"/>
      <c r="S23" s="10"/>
    </row>
    <row r="24" spans="2:19" x14ac:dyDescent="0.25">
      <c r="B24" s="752" t="str">
        <f>VLOOKUP(D24,'Unit List'!$B$9:$E$241,4,0)</f>
        <v>Iron Making</v>
      </c>
      <c r="C24" s="356" t="str">
        <f>VLOOKUP(D24,'Unit List'!$B$9:$D$241,3,0)</f>
        <v>Direct Reduction</v>
      </c>
      <c r="D24" s="735">
        <v>1315</v>
      </c>
      <c r="E24" s="376">
        <v>20120</v>
      </c>
      <c r="F24" s="375">
        <v>20260</v>
      </c>
      <c r="G24" s="354" t="s">
        <v>492</v>
      </c>
      <c r="H24" s="414" t="s">
        <v>534</v>
      </c>
      <c r="I24" s="91">
        <f>VLOOKUP(H24,Settings!$C$89:$F$91,2,FALSE)</f>
        <v>2.7241700000000002E-3</v>
      </c>
      <c r="J24" s="91">
        <f>VLOOKUP(H24,Settings!$C$89:$F$91,3,FALSE)</f>
        <v>1.05E-7</v>
      </c>
      <c r="K24" s="91">
        <f>VLOOKUP(H24,Settings!$C$89:$F$91,4,FALSE)</f>
        <v>1.06E-7</v>
      </c>
      <c r="L24" s="65">
        <f t="shared" si="0"/>
        <v>55.191684200000005</v>
      </c>
      <c r="M24" s="65">
        <f t="shared" si="1"/>
        <v>2.1272999999999999E-3</v>
      </c>
      <c r="N24" s="65">
        <f t="shared" si="2"/>
        <v>2.1475599999999997E-3</v>
      </c>
      <c r="O24" s="65">
        <f>N24*Settings!$D$24+M24*Settings!$C$24+L24</f>
        <v>55.835405180000002</v>
      </c>
      <c r="P24" s="385" t="s">
        <v>885</v>
      </c>
      <c r="Q24" s="10"/>
      <c r="R24" s="10"/>
      <c r="S24" s="10"/>
    </row>
    <row r="25" spans="2:19" x14ac:dyDescent="0.25">
      <c r="B25" s="752" t="str">
        <f>VLOOKUP(D25,'Unit List'!$B$9:$E$241,4,0)</f>
        <v>Iron Making</v>
      </c>
      <c r="C25" s="356" t="str">
        <f>VLOOKUP(D25,'Unit List'!$B$9:$D$241,3,0)</f>
        <v>Direct Reduction</v>
      </c>
      <c r="D25" s="735">
        <v>1310</v>
      </c>
      <c r="E25" s="376">
        <v>20120</v>
      </c>
      <c r="F25" s="375">
        <v>20000</v>
      </c>
      <c r="G25" s="354" t="s">
        <v>492</v>
      </c>
      <c r="H25" s="414" t="s">
        <v>534</v>
      </c>
      <c r="I25" s="91">
        <f>VLOOKUP(H25,Settings!$C$89:$F$91,2,FALSE)</f>
        <v>2.7241700000000002E-3</v>
      </c>
      <c r="J25" s="91">
        <f>VLOOKUP(H25,Settings!$C$89:$F$91,3,FALSE)</f>
        <v>1.05E-7</v>
      </c>
      <c r="K25" s="91">
        <f>VLOOKUP(H25,Settings!$C$89:$F$91,4,FALSE)</f>
        <v>1.06E-7</v>
      </c>
      <c r="L25" s="65">
        <f t="shared" si="0"/>
        <v>54.483400000000003</v>
      </c>
      <c r="M25" s="65">
        <f t="shared" si="1"/>
        <v>2.0999999999999999E-3</v>
      </c>
      <c r="N25" s="65">
        <f t="shared" si="2"/>
        <v>2.1199999999999999E-3</v>
      </c>
      <c r="O25" s="65">
        <f>N25*Settings!$D$24+M25*Settings!$C$24+L25</f>
        <v>55.118860000000005</v>
      </c>
      <c r="P25" s="385" t="s">
        <v>885</v>
      </c>
      <c r="Q25" s="10"/>
      <c r="R25" s="10"/>
      <c r="S25" s="10"/>
    </row>
    <row r="26" spans="2:19" x14ac:dyDescent="0.25">
      <c r="B26" s="752" t="str">
        <f>VLOOKUP(D26,'Unit List'!$B$9:$E$241,4,0)</f>
        <v>TAS</v>
      </c>
      <c r="C26" s="356" t="str">
        <f>VLOOKUP(D26,'Unit List'!$B$9:$D$241,3,0)</f>
        <v>-</v>
      </c>
      <c r="D26" s="734">
        <v>9110</v>
      </c>
      <c r="E26" s="376">
        <v>20120</v>
      </c>
      <c r="F26" s="375">
        <v>18000</v>
      </c>
      <c r="G26" s="354" t="s">
        <v>492</v>
      </c>
      <c r="H26" s="414" t="s">
        <v>534</v>
      </c>
      <c r="I26" s="91">
        <f>VLOOKUP(H26,Settings!$C$89:$F$91,2,FALSE)</f>
        <v>2.7241700000000002E-3</v>
      </c>
      <c r="J26" s="91">
        <f>VLOOKUP(H26,Settings!$C$89:$F$91,3,FALSE)</f>
        <v>1.05E-7</v>
      </c>
      <c r="K26" s="91">
        <f>VLOOKUP(H26,Settings!$C$89:$F$91,4,FALSE)</f>
        <v>1.06E-7</v>
      </c>
      <c r="L26" s="65">
        <f t="shared" si="0"/>
        <v>49.035060000000001</v>
      </c>
      <c r="M26" s="65">
        <f t="shared" si="1"/>
        <v>1.89E-3</v>
      </c>
      <c r="N26" s="65">
        <f t="shared" si="2"/>
        <v>1.908E-3</v>
      </c>
      <c r="O26" s="65">
        <f>N26*Settings!$D$24+M26*Settings!$C$24+L26</f>
        <v>49.606974000000001</v>
      </c>
      <c r="P26" s="385" t="s">
        <v>885</v>
      </c>
      <c r="Q26" s="10"/>
      <c r="R26" s="10"/>
      <c r="S26" s="10"/>
    </row>
    <row r="27" spans="2:19" x14ac:dyDescent="0.25">
      <c r="B27" s="752" t="str">
        <f>VLOOKUP(D27,'Unit List'!$B$9:$E$241,4,0)</f>
        <v>Transportation</v>
      </c>
      <c r="C27" s="356" t="str">
        <f>VLOOKUP(D27,'Unit List'!$B$9:$D$241,3,0)</f>
        <v>-</v>
      </c>
      <c r="D27" s="734">
        <v>6210</v>
      </c>
      <c r="E27" s="376">
        <v>20120</v>
      </c>
      <c r="F27" s="375">
        <v>16500</v>
      </c>
      <c r="G27" s="354" t="s">
        <v>492</v>
      </c>
      <c r="H27" s="414" t="s">
        <v>534</v>
      </c>
      <c r="I27" s="91">
        <f>VLOOKUP(H27,Settings!$C$89:$F$91,2,FALSE)</f>
        <v>2.7241700000000002E-3</v>
      </c>
      <c r="J27" s="91">
        <f>VLOOKUP(H27,Settings!$C$89:$F$91,3,FALSE)</f>
        <v>1.05E-7</v>
      </c>
      <c r="K27" s="91">
        <f>VLOOKUP(H27,Settings!$C$89:$F$91,4,FALSE)</f>
        <v>1.06E-7</v>
      </c>
      <c r="L27" s="65">
        <f t="shared" si="0"/>
        <v>44.948805</v>
      </c>
      <c r="M27" s="65">
        <f t="shared" si="1"/>
        <v>1.7325000000000001E-3</v>
      </c>
      <c r="N27" s="65">
        <f t="shared" si="2"/>
        <v>1.7489999999999999E-3</v>
      </c>
      <c r="O27" s="65">
        <f>N27*Settings!$D$24+M27*Settings!$C$24+L27</f>
        <v>45.473059499999998</v>
      </c>
      <c r="P27" s="385" t="s">
        <v>885</v>
      </c>
      <c r="Q27" s="10"/>
      <c r="R27" s="10"/>
      <c r="S27" s="10"/>
    </row>
    <row r="28" spans="2:19" x14ac:dyDescent="0.25">
      <c r="B28" s="752" t="str">
        <f>VLOOKUP(D28,'Unit List'!$B$9:$E$241,4,0)</f>
        <v>TAS</v>
      </c>
      <c r="C28" s="356" t="str">
        <f>VLOOKUP(D28,'Unit List'!$B$9:$D$241,3,0)</f>
        <v>-</v>
      </c>
      <c r="D28" s="734">
        <v>9730</v>
      </c>
      <c r="E28" s="376">
        <v>20120</v>
      </c>
      <c r="F28" s="375">
        <v>10000</v>
      </c>
      <c r="G28" s="354" t="s">
        <v>492</v>
      </c>
      <c r="H28" s="414" t="s">
        <v>534</v>
      </c>
      <c r="I28" s="91">
        <f>VLOOKUP(H28,Settings!$C$89:$F$91,2,FALSE)</f>
        <v>2.7241700000000002E-3</v>
      </c>
      <c r="J28" s="91">
        <f>VLOOKUP(H28,Settings!$C$89:$F$91,3,FALSE)</f>
        <v>1.05E-7</v>
      </c>
      <c r="K28" s="91">
        <f>VLOOKUP(H28,Settings!$C$89:$F$91,4,FALSE)</f>
        <v>1.06E-7</v>
      </c>
      <c r="L28" s="65">
        <f t="shared" si="0"/>
        <v>27.241700000000002</v>
      </c>
      <c r="M28" s="65">
        <f t="shared" si="1"/>
        <v>1.0499999999999999E-3</v>
      </c>
      <c r="N28" s="65">
        <f t="shared" si="2"/>
        <v>1.06E-3</v>
      </c>
      <c r="O28" s="65">
        <f>N28*Settings!$D$24+M28*Settings!$C$24+L28</f>
        <v>27.559430000000003</v>
      </c>
      <c r="P28" s="385" t="s">
        <v>885</v>
      </c>
      <c r="Q28" s="10"/>
      <c r="R28" s="10"/>
      <c r="S28" s="10"/>
    </row>
    <row r="29" spans="2:19" x14ac:dyDescent="0.25">
      <c r="B29" s="752" t="str">
        <f>VLOOKUP(D29,'Unit List'!$B$9:$E$241,4,0)</f>
        <v>Steel Making</v>
      </c>
      <c r="C29" s="356" t="str">
        <f>VLOOKUP(D29,'Unit List'!$B$9:$D$241,3,0)</f>
        <v>EAFs</v>
      </c>
      <c r="D29" s="735">
        <v>2120</v>
      </c>
      <c r="E29" s="376">
        <v>20120</v>
      </c>
      <c r="F29" s="375">
        <v>9300</v>
      </c>
      <c r="G29" s="354" t="s">
        <v>492</v>
      </c>
      <c r="H29" s="414" t="s">
        <v>534</v>
      </c>
      <c r="I29" s="91">
        <f>VLOOKUP(H29,Settings!$C$89:$F$91,2,FALSE)</f>
        <v>2.7241700000000002E-3</v>
      </c>
      <c r="J29" s="91">
        <f>VLOOKUP(H29,Settings!$C$89:$F$91,3,FALSE)</f>
        <v>1.05E-7</v>
      </c>
      <c r="K29" s="91">
        <f>VLOOKUP(H29,Settings!$C$89:$F$91,4,FALSE)</f>
        <v>1.06E-7</v>
      </c>
      <c r="L29" s="65">
        <f t="shared" si="0"/>
        <v>25.334781000000003</v>
      </c>
      <c r="M29" s="65">
        <f t="shared" si="1"/>
        <v>9.7650000000000005E-4</v>
      </c>
      <c r="N29" s="65">
        <f t="shared" si="2"/>
        <v>9.858E-4</v>
      </c>
      <c r="O29" s="65">
        <f>N29*Settings!$D$24+M29*Settings!$C$24+L29</f>
        <v>25.630269900000002</v>
      </c>
      <c r="P29" s="385" t="s">
        <v>885</v>
      </c>
      <c r="Q29" s="10"/>
      <c r="R29" s="10"/>
      <c r="S29" s="10"/>
    </row>
    <row r="30" spans="2:19" x14ac:dyDescent="0.25">
      <c r="B30" s="752" t="str">
        <f>VLOOKUP(D30,'Unit List'!$B$9:$E$241,4,0)</f>
        <v>Steel Making</v>
      </c>
      <c r="C30" s="356" t="str">
        <f>VLOOKUP(D30,'Unit List'!$B$9:$D$241,3,0)</f>
        <v>Casting Machines</v>
      </c>
      <c r="D30" s="735">
        <v>2402</v>
      </c>
      <c r="E30" s="376">
        <v>20120</v>
      </c>
      <c r="F30" s="416">
        <v>5000</v>
      </c>
      <c r="G30" s="354" t="s">
        <v>492</v>
      </c>
      <c r="H30" s="414" t="s">
        <v>534</v>
      </c>
      <c r="I30" s="91">
        <f>VLOOKUP(H30,Settings!$C$89:$F$91,2,FALSE)</f>
        <v>2.7241700000000002E-3</v>
      </c>
      <c r="J30" s="91">
        <f>VLOOKUP(H30,Settings!$C$89:$F$91,3,FALSE)</f>
        <v>1.05E-7</v>
      </c>
      <c r="K30" s="91">
        <f>VLOOKUP(H30,Settings!$C$89:$F$91,4,FALSE)</f>
        <v>1.06E-7</v>
      </c>
      <c r="L30" s="65">
        <f t="shared" si="0"/>
        <v>13.620850000000001</v>
      </c>
      <c r="M30" s="65">
        <f t="shared" si="1"/>
        <v>5.2499999999999997E-4</v>
      </c>
      <c r="N30" s="65">
        <f t="shared" si="2"/>
        <v>5.2999999999999998E-4</v>
      </c>
      <c r="O30" s="65">
        <f>N30*Settings!$D$24+M30*Settings!$C$24+L30</f>
        <v>13.779715000000001</v>
      </c>
      <c r="P30" s="385" t="s">
        <v>885</v>
      </c>
      <c r="Q30" s="10"/>
      <c r="R30" s="10"/>
      <c r="S30" s="10"/>
    </row>
    <row r="31" spans="2:19" x14ac:dyDescent="0.25">
      <c r="B31" s="752" t="str">
        <f>VLOOKUP(D31,'Unit List'!$B$9:$E$241,4,0)</f>
        <v>Steel Making</v>
      </c>
      <c r="C31" s="356" t="str">
        <f>VLOOKUP(D31,'Unit List'!$B$9:$D$241,3,0)</f>
        <v>Casting Machines</v>
      </c>
      <c r="D31" s="414">
        <v>2410</v>
      </c>
      <c r="E31" s="376">
        <v>20120</v>
      </c>
      <c r="F31" s="416">
        <v>4150</v>
      </c>
      <c r="G31" s="354" t="s">
        <v>492</v>
      </c>
      <c r="H31" s="414" t="s">
        <v>534</v>
      </c>
      <c r="I31" s="91">
        <f>VLOOKUP(H31,Settings!$C$89:$F$91,2,FALSE)</f>
        <v>2.7241700000000002E-3</v>
      </c>
      <c r="J31" s="91">
        <f>VLOOKUP(H31,Settings!$C$89:$F$91,3,FALSE)</f>
        <v>1.05E-7</v>
      </c>
      <c r="K31" s="91">
        <f>VLOOKUP(H31,Settings!$C$89:$F$91,4,FALSE)</f>
        <v>1.06E-7</v>
      </c>
      <c r="L31" s="65">
        <f t="shared" si="0"/>
        <v>11.305305500000001</v>
      </c>
      <c r="M31" s="65">
        <f t="shared" si="1"/>
        <v>4.3574999999999999E-4</v>
      </c>
      <c r="N31" s="65">
        <f t="shared" si="2"/>
        <v>4.3989999999999996E-4</v>
      </c>
      <c r="O31" s="65">
        <f>N31*Settings!$D$24+M31*Settings!$C$24+L31</f>
        <v>11.437163450000002</v>
      </c>
      <c r="P31" s="385" t="s">
        <v>885</v>
      </c>
      <c r="Q31" s="10"/>
      <c r="R31" s="10"/>
      <c r="S31" s="10"/>
    </row>
    <row r="32" spans="2:19" x14ac:dyDescent="0.25">
      <c r="B32" s="752" t="e">
        <f>VLOOKUP(D32,'Unit List'!$B$9:$E$241,4,0)</f>
        <v>#N/A</v>
      </c>
      <c r="C32" s="356" t="e">
        <f>VLOOKUP(D32,'Unit List'!$B$9:$D$241,3,0)</f>
        <v>#N/A</v>
      </c>
      <c r="D32" s="414"/>
      <c r="E32" s="376"/>
      <c r="F32" s="416"/>
      <c r="G32" s="354"/>
      <c r="H32" s="414"/>
      <c r="I32" s="91" t="e">
        <f>VLOOKUP(H32,Settings!$C$89:$F$91,2,FALSE)</f>
        <v>#N/A</v>
      </c>
      <c r="J32" s="91" t="e">
        <f>VLOOKUP(H32,Settings!$C$89:$F$91,3,FALSE)</f>
        <v>#N/A</v>
      </c>
      <c r="K32" s="91" t="e">
        <f>VLOOKUP(H32,Settings!$C$89:$F$91,4,FALSE)</f>
        <v>#N/A</v>
      </c>
      <c r="L32" s="65" t="e">
        <f t="shared" si="0"/>
        <v>#N/A</v>
      </c>
      <c r="M32" s="65" t="e">
        <f t="shared" si="1"/>
        <v>#N/A</v>
      </c>
      <c r="N32" s="65" t="e">
        <f t="shared" si="2"/>
        <v>#N/A</v>
      </c>
      <c r="O32" s="65" t="e">
        <f>N32*Settings!$D$24+M32*Settings!$C$24+L32</f>
        <v>#N/A</v>
      </c>
      <c r="P32" s="385" t="s">
        <v>885</v>
      </c>
      <c r="Q32" s="10"/>
      <c r="R32" s="10"/>
      <c r="S32" s="10"/>
    </row>
    <row r="33" spans="2:19" x14ac:dyDescent="0.25">
      <c r="B33" s="752" t="e">
        <f>VLOOKUP(D33,'Unit List'!$B$9:$E$241,4,0)</f>
        <v>#N/A</v>
      </c>
      <c r="C33" s="356" t="e">
        <f>VLOOKUP(D33,'Unit List'!$B$9:$D$241,3,0)</f>
        <v>#N/A</v>
      </c>
      <c r="D33" s="414"/>
      <c r="E33" s="376"/>
      <c r="F33" s="416"/>
      <c r="G33" s="354"/>
      <c r="H33" s="414"/>
      <c r="I33" s="91" t="e">
        <f>VLOOKUP(H33,Settings!$C$89:$F$91,2,FALSE)</f>
        <v>#N/A</v>
      </c>
      <c r="J33" s="91" t="e">
        <f>VLOOKUP(H33,Settings!$C$89:$F$91,3,FALSE)</f>
        <v>#N/A</v>
      </c>
      <c r="K33" s="91" t="e">
        <f>VLOOKUP(H33,Settings!$C$89:$F$91,4,FALSE)</f>
        <v>#N/A</v>
      </c>
      <c r="L33" s="65" t="e">
        <f t="shared" si="0"/>
        <v>#N/A</v>
      </c>
      <c r="M33" s="65" t="e">
        <f t="shared" si="1"/>
        <v>#N/A</v>
      </c>
      <c r="N33" s="65" t="e">
        <f t="shared" si="2"/>
        <v>#N/A</v>
      </c>
      <c r="O33" s="65" t="e">
        <f>N33*Settings!$D$24+M33*Settings!$C$24+L33</f>
        <v>#N/A</v>
      </c>
      <c r="P33" s="385" t="s">
        <v>885</v>
      </c>
      <c r="Q33" s="10"/>
      <c r="R33" s="10"/>
      <c r="S33" s="10"/>
    </row>
    <row r="34" spans="2:19" x14ac:dyDescent="0.25">
      <c r="B34" s="752" t="e">
        <f>VLOOKUP(D34,'Unit List'!$B$9:$E$241,4,0)</f>
        <v>#N/A</v>
      </c>
      <c r="C34" s="356" t="e">
        <f>VLOOKUP(D34,'Unit List'!$B$9:$D$241,3,0)</f>
        <v>#N/A</v>
      </c>
      <c r="D34" s="414"/>
      <c r="E34" s="376"/>
      <c r="F34" s="416"/>
      <c r="G34" s="354"/>
      <c r="H34" s="414"/>
      <c r="I34" s="91" t="e">
        <f>VLOOKUP(H34,Settings!$C$89:$F$91,2,FALSE)</f>
        <v>#N/A</v>
      </c>
      <c r="J34" s="91" t="e">
        <f>VLOOKUP(H34,Settings!$C$89:$F$91,3,FALSE)</f>
        <v>#N/A</v>
      </c>
      <c r="K34" s="91" t="e">
        <f>VLOOKUP(H34,Settings!$C$89:$F$91,4,FALSE)</f>
        <v>#N/A</v>
      </c>
      <c r="L34" s="65" t="e">
        <f t="shared" si="0"/>
        <v>#N/A</v>
      </c>
      <c r="M34" s="65" t="e">
        <f t="shared" si="1"/>
        <v>#N/A</v>
      </c>
      <c r="N34" s="65" t="e">
        <f t="shared" si="2"/>
        <v>#N/A</v>
      </c>
      <c r="O34" s="65" t="e">
        <f>N34*Settings!$D$24+M34*Settings!$C$24+L34</f>
        <v>#N/A</v>
      </c>
      <c r="P34" s="385" t="s">
        <v>885</v>
      </c>
      <c r="Q34" s="10"/>
      <c r="R34" s="10"/>
      <c r="S34" s="10"/>
    </row>
    <row r="35" spans="2:19" x14ac:dyDescent="0.25">
      <c r="B35" s="752" t="e">
        <f>VLOOKUP(D35,'Unit List'!$B$9:$E$241,4,0)</f>
        <v>#N/A</v>
      </c>
      <c r="C35" s="356" t="e">
        <f>VLOOKUP(D35,'Unit List'!$B$9:$D$241,3,0)</f>
        <v>#N/A</v>
      </c>
      <c r="D35" s="414"/>
      <c r="E35" s="376"/>
      <c r="F35" s="416"/>
      <c r="G35" s="417"/>
      <c r="H35" s="414"/>
      <c r="I35" s="91" t="e">
        <f>VLOOKUP(H35,Settings!$C$89:$F$91,2,FALSE)</f>
        <v>#N/A</v>
      </c>
      <c r="J35" s="91" t="e">
        <f>VLOOKUP(H35,Settings!$C$89:$F$91,3,FALSE)</f>
        <v>#N/A</v>
      </c>
      <c r="K35" s="91" t="e">
        <f>VLOOKUP(H35,Settings!$C$89:$F$91,4,FALSE)</f>
        <v>#N/A</v>
      </c>
      <c r="L35" s="65" t="e">
        <f t="shared" si="0"/>
        <v>#N/A</v>
      </c>
      <c r="M35" s="65" t="e">
        <f t="shared" si="1"/>
        <v>#N/A</v>
      </c>
      <c r="N35" s="65" t="e">
        <f t="shared" si="2"/>
        <v>#N/A</v>
      </c>
      <c r="O35" s="65" t="e">
        <f>N35*Settings!$D$24+M35*Settings!$C$24+L35</f>
        <v>#N/A</v>
      </c>
      <c r="P35" s="385"/>
      <c r="Q35" s="10"/>
      <c r="R35" s="10"/>
      <c r="S35" s="10"/>
    </row>
    <row r="36" spans="2:19" x14ac:dyDescent="0.25">
      <c r="B36" s="752" t="e">
        <f>VLOOKUP(D36,'Unit List'!$B$9:$E$241,4,0)</f>
        <v>#N/A</v>
      </c>
      <c r="C36" s="356" t="e">
        <f>VLOOKUP(D36,'Unit List'!$B$9:$D$241,3,0)</f>
        <v>#N/A</v>
      </c>
      <c r="D36" s="414"/>
      <c r="E36" s="376"/>
      <c r="F36" s="416"/>
      <c r="G36" s="417"/>
      <c r="H36" s="414"/>
      <c r="I36" s="91" t="e">
        <f>VLOOKUP(H36,Settings!$C$89:$F$91,2,FALSE)</f>
        <v>#N/A</v>
      </c>
      <c r="J36" s="91" t="e">
        <f>VLOOKUP(H36,Settings!$C$89:$F$91,3,FALSE)</f>
        <v>#N/A</v>
      </c>
      <c r="K36" s="91" t="e">
        <f>VLOOKUP(H36,Settings!$C$89:$F$91,4,FALSE)</f>
        <v>#N/A</v>
      </c>
      <c r="L36" s="65" t="e">
        <f t="shared" si="0"/>
        <v>#N/A</v>
      </c>
      <c r="M36" s="65" t="e">
        <f t="shared" si="1"/>
        <v>#N/A</v>
      </c>
      <c r="N36" s="65" t="e">
        <f t="shared" si="2"/>
        <v>#N/A</v>
      </c>
      <c r="O36" s="65" t="e">
        <f>N36*Settings!$D$24+M36*Settings!$C$24+L36</f>
        <v>#N/A</v>
      </c>
      <c r="P36" s="385"/>
      <c r="Q36" s="10"/>
      <c r="R36" s="10"/>
      <c r="S36" s="10"/>
    </row>
    <row r="37" spans="2:19" x14ac:dyDescent="0.25">
      <c r="B37" s="752" t="e">
        <f>VLOOKUP(D37,'Unit List'!$B$9:$E$241,4,0)</f>
        <v>#N/A</v>
      </c>
      <c r="C37" s="356" t="e">
        <f>VLOOKUP(D37,'Unit List'!$B$9:$D$241,3,0)</f>
        <v>#N/A</v>
      </c>
      <c r="D37" s="414"/>
      <c r="E37" s="376"/>
      <c r="F37" s="416"/>
      <c r="G37" s="417"/>
      <c r="H37" s="414"/>
      <c r="I37" s="91" t="e">
        <f>VLOOKUP(H37,Settings!$C$89:$F$91,2,FALSE)</f>
        <v>#N/A</v>
      </c>
      <c r="J37" s="91" t="e">
        <f>VLOOKUP(H37,Settings!$C$89:$F$91,3,FALSE)</f>
        <v>#N/A</v>
      </c>
      <c r="K37" s="91" t="e">
        <f>VLOOKUP(H37,Settings!$C$89:$F$91,4,FALSE)</f>
        <v>#N/A</v>
      </c>
      <c r="L37" s="65" t="e">
        <f t="shared" si="0"/>
        <v>#N/A</v>
      </c>
      <c r="M37" s="65" t="e">
        <f t="shared" si="1"/>
        <v>#N/A</v>
      </c>
      <c r="N37" s="65" t="e">
        <f t="shared" si="2"/>
        <v>#N/A</v>
      </c>
      <c r="O37" s="65" t="e">
        <f>N37*Settings!$D$24+M37*Settings!$C$24+L37</f>
        <v>#N/A</v>
      </c>
      <c r="P37" s="385"/>
      <c r="Q37" s="10"/>
      <c r="R37" s="10"/>
      <c r="S37" s="10"/>
    </row>
    <row r="38" spans="2:19" ht="30" customHeight="1" x14ac:dyDescent="0.25">
      <c r="B38" s="355" t="s">
        <v>410</v>
      </c>
      <c r="C38" s="391"/>
      <c r="D38" s="391"/>
      <c r="E38" s="355"/>
      <c r="F38" s="355"/>
      <c r="G38" s="355"/>
      <c r="H38" s="418"/>
      <c r="I38" s="418"/>
      <c r="J38" s="418"/>
      <c r="K38" s="418"/>
      <c r="L38" s="394">
        <f>_xlfn.AGGREGATE(9,6,L10:L37)</f>
        <v>48547.817556079986</v>
      </c>
      <c r="M38" s="394">
        <f>_xlfn.AGGREGATE(9,6,M10:M37)</f>
        <v>2.0428154666666667</v>
      </c>
      <c r="N38" s="394">
        <f>_xlfn.AGGREGATE(9,6,N10:N37)</f>
        <v>1.8248597992452829</v>
      </c>
      <c r="O38" s="394">
        <f>_xlfn.AGGREGATE(9,6,O10:O37)</f>
        <v>49101.160298873961</v>
      </c>
      <c r="P38" s="395"/>
      <c r="Q38" s="10"/>
      <c r="R38" s="10"/>
      <c r="S38" s="10"/>
    </row>
    <row r="40" spans="2:19" x14ac:dyDescent="0.25">
      <c r="B40" s="2"/>
      <c r="C40" s="2"/>
      <c r="D40" s="2"/>
      <c r="E40" s="2"/>
      <c r="F40" s="2"/>
      <c r="G40" s="2"/>
    </row>
    <row r="42" spans="2:19" ht="30" customHeight="1" x14ac:dyDescent="0.25">
      <c r="B42" s="43"/>
      <c r="C42" s="43"/>
      <c r="D42" s="43"/>
      <c r="E42" s="43"/>
      <c r="F42" s="79"/>
      <c r="G42" s="79"/>
      <c r="J42" s="381" t="s">
        <v>859</v>
      </c>
      <c r="K42" s="381"/>
      <c r="L42" s="381"/>
      <c r="M42" s="381"/>
      <c r="N42" s="381"/>
      <c r="O42" s="381"/>
    </row>
    <row r="43" spans="2:19" ht="16.8" x14ac:dyDescent="0.25">
      <c r="B43" s="78"/>
      <c r="C43" s="1042"/>
      <c r="D43" s="1042"/>
      <c r="E43" s="1043"/>
      <c r="F43" s="1042"/>
      <c r="G43" s="78"/>
      <c r="J43" s="1014" t="s">
        <v>329</v>
      </c>
      <c r="K43" s="1015" t="s">
        <v>335</v>
      </c>
      <c r="L43" s="1013" t="s">
        <v>406</v>
      </c>
      <c r="M43" s="1013"/>
      <c r="N43" s="1013"/>
      <c r="O43" s="1013"/>
    </row>
    <row r="44" spans="2:19" ht="16.2" customHeight="1" x14ac:dyDescent="0.25">
      <c r="B44" s="78"/>
      <c r="C44" s="1042"/>
      <c r="D44" s="1042"/>
      <c r="E44" s="1043"/>
      <c r="F44" s="1042"/>
      <c r="G44" s="78"/>
      <c r="J44" s="1008"/>
      <c r="K44" s="1016"/>
      <c r="L44" s="355" t="s">
        <v>219</v>
      </c>
      <c r="M44" s="355" t="s">
        <v>220</v>
      </c>
      <c r="N44" s="355" t="s">
        <v>221</v>
      </c>
      <c r="O44" s="419" t="s">
        <v>222</v>
      </c>
    </row>
    <row r="45" spans="2:19" x14ac:dyDescent="0.25">
      <c r="B45" s="34"/>
      <c r="C45" s="38"/>
      <c r="D45" s="34"/>
      <c r="E45" s="44"/>
      <c r="F45" s="34"/>
      <c r="G45" s="34"/>
      <c r="J45" s="353" t="s">
        <v>1812</v>
      </c>
      <c r="K45" s="91" t="s">
        <v>337</v>
      </c>
      <c r="L45" s="65">
        <f t="shared" ref="L45:L52" si="3">SUMIF($B$10:$B$37,K45,$L$10:$L$37)</f>
        <v>8918.3468834499981</v>
      </c>
      <c r="M45" s="65">
        <f t="shared" ref="M45:M52" si="4">SUMIF($B$10:$B$37,K45,$M$10:$M$37)</f>
        <v>0.343747425</v>
      </c>
      <c r="N45" s="65">
        <f t="shared" ref="N45:N52" si="5">SUMIF($B$10:$B$37,K45,$N$10:$N$37)</f>
        <v>0.34702121000000002</v>
      </c>
      <c r="O45" s="65">
        <f t="shared" ref="O45:O52" si="6">SUMIF($B$10:$B$37,K45,$O$10:$O$37)</f>
        <v>9022.364854255</v>
      </c>
    </row>
    <row r="46" spans="2:19" x14ac:dyDescent="0.25">
      <c r="B46" s="34"/>
      <c r="C46" s="38"/>
      <c r="D46" s="34"/>
      <c r="E46" s="44"/>
      <c r="F46" s="34"/>
      <c r="G46" s="34"/>
      <c r="J46" s="353" t="s">
        <v>1813</v>
      </c>
      <c r="K46" s="91" t="s">
        <v>338</v>
      </c>
      <c r="L46" s="65">
        <f t="shared" si="3"/>
        <v>196.412657</v>
      </c>
      <c r="M46" s="65">
        <f t="shared" si="4"/>
        <v>7.5705000000000008E-3</v>
      </c>
      <c r="N46" s="65">
        <f t="shared" si="5"/>
        <v>7.6426000000000003E-3</v>
      </c>
      <c r="O46" s="65">
        <f t="shared" si="6"/>
        <v>198.70349030000003</v>
      </c>
    </row>
    <row r="47" spans="2:19" x14ac:dyDescent="0.25">
      <c r="B47" s="34"/>
      <c r="C47" s="38"/>
      <c r="D47" s="34"/>
      <c r="E47" s="44"/>
      <c r="F47" s="34"/>
      <c r="G47" s="34"/>
      <c r="J47" s="353" t="s">
        <v>1814</v>
      </c>
      <c r="K47" s="91" t="s">
        <v>339</v>
      </c>
      <c r="L47" s="65">
        <f t="shared" si="3"/>
        <v>0</v>
      </c>
      <c r="M47" s="65">
        <f t="shared" si="4"/>
        <v>0</v>
      </c>
      <c r="N47" s="65">
        <f t="shared" si="5"/>
        <v>0</v>
      </c>
      <c r="O47" s="65">
        <f t="shared" si="6"/>
        <v>0</v>
      </c>
    </row>
    <row r="48" spans="2:19" x14ac:dyDescent="0.25">
      <c r="B48" s="34"/>
      <c r="C48" s="38"/>
      <c r="D48" s="34"/>
      <c r="E48" s="44"/>
      <c r="F48" s="34"/>
      <c r="G48" s="34"/>
      <c r="J48" s="353" t="s">
        <v>1815</v>
      </c>
      <c r="K48" s="91" t="s">
        <v>340</v>
      </c>
      <c r="L48" s="65">
        <f t="shared" si="3"/>
        <v>57.207570000000004</v>
      </c>
      <c r="M48" s="65">
        <f t="shared" si="4"/>
        <v>2.2049999999999999E-3</v>
      </c>
      <c r="N48" s="65">
        <f t="shared" si="5"/>
        <v>2.2260000000000001E-3</v>
      </c>
      <c r="O48" s="65">
        <f t="shared" si="6"/>
        <v>57.874803000000007</v>
      </c>
    </row>
    <row r="49" spans="2:15" x14ac:dyDescent="0.25">
      <c r="B49" s="34"/>
      <c r="C49" s="38"/>
      <c r="D49" s="34"/>
      <c r="E49" s="44"/>
      <c r="F49" s="34"/>
      <c r="G49" s="34"/>
      <c r="J49" s="353" t="s">
        <v>1816</v>
      </c>
      <c r="K49" s="91" t="s">
        <v>341</v>
      </c>
      <c r="L49" s="65">
        <f t="shared" si="3"/>
        <v>0</v>
      </c>
      <c r="M49" s="65">
        <f t="shared" si="4"/>
        <v>0</v>
      </c>
      <c r="N49" s="65">
        <f t="shared" si="5"/>
        <v>0</v>
      </c>
      <c r="O49" s="65">
        <f t="shared" si="6"/>
        <v>0</v>
      </c>
    </row>
    <row r="50" spans="2:15" x14ac:dyDescent="0.25">
      <c r="B50" s="34"/>
      <c r="C50" s="38"/>
      <c r="D50" s="34"/>
      <c r="E50" s="44"/>
      <c r="F50" s="34"/>
      <c r="G50" s="34"/>
      <c r="J50" s="353" t="s">
        <v>1817</v>
      </c>
      <c r="K50" s="91" t="s">
        <v>342</v>
      </c>
      <c r="L50" s="65">
        <f t="shared" si="3"/>
        <v>5963.8210682500003</v>
      </c>
      <c r="M50" s="65">
        <f t="shared" si="4"/>
        <v>0.22986862500000002</v>
      </c>
      <c r="N50" s="65">
        <f t="shared" si="5"/>
        <v>0.23205785000000001</v>
      </c>
      <c r="O50" s="65">
        <f t="shared" si="6"/>
        <v>6033.3793141750002</v>
      </c>
    </row>
    <row r="51" spans="2:15" x14ac:dyDescent="0.25">
      <c r="B51" s="34"/>
      <c r="C51" s="38"/>
      <c r="D51" s="34"/>
      <c r="E51" s="44"/>
      <c r="F51" s="34"/>
      <c r="G51" s="34"/>
      <c r="J51" s="353" t="s">
        <v>1818</v>
      </c>
      <c r="K51" s="91" t="s">
        <v>343</v>
      </c>
      <c r="L51" s="65">
        <f t="shared" si="3"/>
        <v>77.638845000000003</v>
      </c>
      <c r="M51" s="65">
        <f t="shared" si="4"/>
        <v>2.9924999999999999E-3</v>
      </c>
      <c r="N51" s="65">
        <f t="shared" si="5"/>
        <v>3.0209999999999998E-3</v>
      </c>
      <c r="O51" s="65">
        <f t="shared" si="6"/>
        <v>78.544375500000001</v>
      </c>
    </row>
    <row r="52" spans="2:15" x14ac:dyDescent="0.25">
      <c r="B52" s="34"/>
      <c r="C52" s="38"/>
      <c r="D52" s="34"/>
      <c r="E52" s="44"/>
      <c r="F52" s="34"/>
      <c r="G52" s="34"/>
      <c r="J52" s="353" t="s">
        <v>1819</v>
      </c>
      <c r="K52" s="91" t="s">
        <v>510</v>
      </c>
      <c r="L52" s="65">
        <f t="shared" si="3"/>
        <v>33334.390532379999</v>
      </c>
      <c r="M52" s="65">
        <f t="shared" si="4"/>
        <v>1.4564314166666665</v>
      </c>
      <c r="N52" s="65">
        <f t="shared" si="5"/>
        <v>1.232891139245283</v>
      </c>
      <c r="O52" s="65">
        <f t="shared" si="6"/>
        <v>33710.293461643967</v>
      </c>
    </row>
    <row r="53" spans="2:15" s="4" customFormat="1" ht="30" customHeight="1" x14ac:dyDescent="0.25">
      <c r="B53" s="36"/>
      <c r="C53" s="45"/>
      <c r="D53" s="36"/>
      <c r="E53" s="46"/>
      <c r="F53" s="36"/>
      <c r="G53" s="36"/>
      <c r="J53" s="396" t="s">
        <v>410</v>
      </c>
      <c r="K53" s="420"/>
      <c r="L53" s="66">
        <f t="shared" ref="L53:N53" si="7">_xlfn.AGGREGATE(9,6,L45:L52)</f>
        <v>48547.817556080001</v>
      </c>
      <c r="M53" s="66">
        <f t="shared" si="7"/>
        <v>2.0428154666666662</v>
      </c>
      <c r="N53" s="66">
        <f t="shared" si="7"/>
        <v>1.8248597992452833</v>
      </c>
      <c r="O53" s="66">
        <f>_xlfn.AGGREGATE(9,6,O45:O52)</f>
        <v>49101.160298873969</v>
      </c>
    </row>
  </sheetData>
  <protectedRanges>
    <protectedRange sqref="F10:F37 H10:H37 P10:P37" name="Range2"/>
    <protectedRange sqref="D12:E37" name="Range1"/>
  </protectedRanges>
  <mergeCells count="19">
    <mergeCell ref="L43:O43"/>
    <mergeCell ref="K43:K44"/>
    <mergeCell ref="G8:G9"/>
    <mergeCell ref="J43:J44"/>
    <mergeCell ref="I8:K8"/>
    <mergeCell ref="C43:C44"/>
    <mergeCell ref="D43:D44"/>
    <mergeCell ref="E43:E44"/>
    <mergeCell ref="F43:F44"/>
    <mergeCell ref="B8:B9"/>
    <mergeCell ref="D10:E10"/>
    <mergeCell ref="D11:E11"/>
    <mergeCell ref="P8:P9"/>
    <mergeCell ref="L8:O8"/>
    <mergeCell ref="C8:C9"/>
    <mergeCell ref="E8:E9"/>
    <mergeCell ref="D8:D9"/>
    <mergeCell ref="H8:H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F31692B-6802-42A9-A4D3-0E53F2F4685B}">
          <x14:formula1>
            <xm:f>Settings!$B$341:$B$348</xm:f>
          </x14:formula1>
          <xm:sqref>K45:K52</xm:sqref>
        </x14:dataValidation>
        <x14:dataValidation type="list" allowBlank="1" showInputMessage="1" showErrorMessage="1" xr:uid="{1B05CDD0-0806-44B6-8415-B0B6786DB14D}">
          <x14:formula1>
            <xm:f>Settings!$C$89:$C$91</xm:f>
          </x14:formula1>
          <xm:sqref>H10:H37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BC255A-0D73-4483-8F5C-50C91812F157}">
  <dimension ref="B4:R99"/>
  <sheetViews>
    <sheetView rightToLeft="1" zoomScale="70" zoomScaleNormal="70" workbookViewId="0">
      <selection activeCell="P18" sqref="P18"/>
    </sheetView>
  </sheetViews>
  <sheetFormatPr defaultColWidth="9.09765625" defaultRowHeight="16.2" x14ac:dyDescent="0.25"/>
  <cols>
    <col min="1" max="1" width="12.09765625" style="3" customWidth="1"/>
    <col min="2" max="2" width="22.09765625" style="3" customWidth="1"/>
    <col min="3" max="3" width="17.19921875" style="3" customWidth="1"/>
    <col min="4" max="4" width="16.3984375" style="3" customWidth="1"/>
    <col min="5" max="5" width="15.59765625" style="3" customWidth="1"/>
    <col min="6" max="7" width="15.296875" style="3" customWidth="1"/>
    <col min="8" max="10" width="16.3984375" style="3" customWidth="1"/>
    <col min="11" max="14" width="16" style="3" customWidth="1"/>
    <col min="15" max="15" width="21.69921875" style="3" customWidth="1"/>
    <col min="16" max="16384" width="9.09765625" style="3"/>
  </cols>
  <sheetData>
    <row r="4" spans="2:18" ht="16.2" customHeight="1" x14ac:dyDescent="0.25">
      <c r="B4" s="9"/>
      <c r="C4" s="9"/>
      <c r="D4" s="9"/>
      <c r="E4" s="9"/>
      <c r="F4" s="9"/>
      <c r="G4" s="9"/>
    </row>
    <row r="5" spans="2:18" ht="16.8" x14ac:dyDescent="0.25">
      <c r="B5" s="27"/>
      <c r="C5" s="27"/>
      <c r="D5" s="16"/>
      <c r="E5" s="16"/>
      <c r="F5" s="16"/>
      <c r="G5" s="16"/>
      <c r="H5" s="16"/>
      <c r="I5" s="16"/>
      <c r="J5" s="16"/>
      <c r="K5" s="16"/>
      <c r="L5" s="16"/>
      <c r="M5" s="16"/>
      <c r="N5" s="16"/>
    </row>
    <row r="6" spans="2:18" ht="16.2" customHeight="1" x14ac:dyDescent="0.25"/>
    <row r="7" spans="2:18" s="279" customFormat="1" ht="30" customHeight="1" x14ac:dyDescent="0.25">
      <c r="B7" s="370" t="s">
        <v>355</v>
      </c>
      <c r="C7" s="371"/>
      <c r="D7" s="371"/>
      <c r="E7" s="371"/>
      <c r="F7" s="371"/>
      <c r="G7" s="371"/>
      <c r="H7" s="371"/>
      <c r="I7" s="371"/>
      <c r="J7" s="371"/>
      <c r="K7" s="371"/>
      <c r="L7" s="371"/>
      <c r="M7" s="371"/>
      <c r="N7" s="371"/>
      <c r="O7" s="372"/>
    </row>
    <row r="8" spans="2:18" ht="17.25" customHeight="1" x14ac:dyDescent="0.25">
      <c r="B8" s="976" t="s">
        <v>55</v>
      </c>
      <c r="C8" s="1015" t="s">
        <v>335</v>
      </c>
      <c r="D8" s="1015" t="s">
        <v>384</v>
      </c>
      <c r="E8" s="1014" t="s">
        <v>424</v>
      </c>
      <c r="F8" s="1014" t="s">
        <v>423</v>
      </c>
      <c r="G8" s="1014" t="s">
        <v>926</v>
      </c>
      <c r="H8" s="1005" t="s">
        <v>405</v>
      </c>
      <c r="I8" s="1031"/>
      <c r="J8" s="1006"/>
      <c r="K8" s="1005" t="s">
        <v>406</v>
      </c>
      <c r="L8" s="1031"/>
      <c r="M8" s="1031"/>
      <c r="N8" s="1006"/>
      <c r="O8" s="1014" t="s">
        <v>717</v>
      </c>
    </row>
    <row r="9" spans="2:18" ht="17.25" customHeight="1" x14ac:dyDescent="0.25">
      <c r="B9" s="976"/>
      <c r="C9" s="1016"/>
      <c r="D9" s="1016"/>
      <c r="E9" s="1016"/>
      <c r="F9" s="1016"/>
      <c r="G9" s="1008"/>
      <c r="H9" s="374" t="s">
        <v>906</v>
      </c>
      <c r="I9" s="374" t="s">
        <v>924</v>
      </c>
      <c r="J9" s="374" t="s">
        <v>925</v>
      </c>
      <c r="K9" s="355" t="s">
        <v>219</v>
      </c>
      <c r="L9" s="355" t="s">
        <v>220</v>
      </c>
      <c r="M9" s="355" t="s">
        <v>221</v>
      </c>
      <c r="N9" s="355" t="s">
        <v>222</v>
      </c>
      <c r="O9" s="1008"/>
    </row>
    <row r="10" spans="2:18" x14ac:dyDescent="0.25">
      <c r="B10" s="431" t="s">
        <v>467</v>
      </c>
      <c r="C10" s="415" t="str">
        <f>VLOOKUP(B10,$J$96:$K$99,2,0)</f>
        <v>Steel Making</v>
      </c>
      <c r="D10" s="425" t="s">
        <v>1529</v>
      </c>
      <c r="E10" s="133">
        <v>402061</v>
      </c>
      <c r="F10" s="426">
        <v>300</v>
      </c>
      <c r="G10" s="376" t="s">
        <v>543</v>
      </c>
      <c r="H10" s="86">
        <f>VLOOKUP(G10,Settings!$C$80:$F$83,2,FALSE)</f>
        <v>1.1507067476516331E-4</v>
      </c>
      <c r="I10" s="86">
        <f>VLOOKUP(G10,Settings!$C$80:$F$83,3,FALSE)</f>
        <v>1.0274167389746723E-9</v>
      </c>
      <c r="J10" s="86">
        <f>VLOOKUP(G10,Settings!$C$80:$F$83,4,FALSE)</f>
        <v>3.2192391154539729E-9</v>
      </c>
      <c r="K10" s="65">
        <f>E10*F10*H10</f>
        <v>13879.629170026898</v>
      </c>
      <c r="L10" s="65">
        <f>E10*F10*I10</f>
        <v>0.12392526044666871</v>
      </c>
      <c r="M10" s="65">
        <f>E10*F10*J10</f>
        <v>0.38829914939956195</v>
      </c>
      <c r="N10" s="65">
        <f>M10*Settings!$D$24+L10*Settings!$C$24+K10</f>
        <v>13988.980819845037</v>
      </c>
      <c r="O10" s="385" t="s">
        <v>718</v>
      </c>
      <c r="P10" s="10"/>
      <c r="Q10" s="10"/>
      <c r="R10" s="10"/>
    </row>
    <row r="11" spans="2:18" x14ac:dyDescent="0.25">
      <c r="B11" s="431" t="s">
        <v>467</v>
      </c>
      <c r="C11" s="415" t="str">
        <f t="shared" ref="C11:C73" si="0">VLOOKUP(B11,$J$96:$K$99,2,0)</f>
        <v>Steel Making</v>
      </c>
      <c r="D11" s="425" t="s">
        <v>1530</v>
      </c>
      <c r="E11" s="133">
        <v>3740</v>
      </c>
      <c r="F11" s="426">
        <v>700</v>
      </c>
      <c r="G11" s="376" t="s">
        <v>543</v>
      </c>
      <c r="H11" s="86">
        <f>VLOOKUP(G11,Settings!$C$80:$F$83,2,FALSE)</f>
        <v>1.1507067476516331E-4</v>
      </c>
      <c r="I11" s="86">
        <f>VLOOKUP(G11,Settings!$C$80:$F$83,3,FALSE)</f>
        <v>1.0274167389746723E-9</v>
      </c>
      <c r="J11" s="86">
        <f>VLOOKUP(G11,Settings!$C$80:$F$83,4,FALSE)</f>
        <v>3.2192391154539729E-9</v>
      </c>
      <c r="K11" s="65">
        <f t="shared" ref="K11:K73" si="1">E11*F11*H11</f>
        <v>301.25502653519754</v>
      </c>
      <c r="L11" s="65">
        <f t="shared" ref="L11:L73" si="2">E11*F11*I11</f>
        <v>2.6897770226356923E-3</v>
      </c>
      <c r="M11" s="65">
        <f t="shared" ref="M11:M73" si="3">E11*F11*J11</f>
        <v>8.4279680042585008E-3</v>
      </c>
      <c r="N11" s="65">
        <f>M11*Settings!$D$24+L11*Settings!$C$24+K11</f>
        <v>303.6284857799713</v>
      </c>
      <c r="O11" s="385" t="s">
        <v>718</v>
      </c>
      <c r="P11" s="10"/>
      <c r="Q11" s="10"/>
      <c r="R11" s="10"/>
    </row>
    <row r="12" spans="2:18" x14ac:dyDescent="0.25">
      <c r="B12" s="431" t="s">
        <v>467</v>
      </c>
      <c r="C12" s="415" t="str">
        <f t="shared" si="0"/>
        <v>Steel Making</v>
      </c>
      <c r="D12" s="425" t="s">
        <v>1531</v>
      </c>
      <c r="E12" s="133">
        <v>5745</v>
      </c>
      <c r="F12" s="426">
        <v>480</v>
      </c>
      <c r="G12" s="376" t="s">
        <v>543</v>
      </c>
      <c r="H12" s="86">
        <f>VLOOKUP(G12,Settings!$C$80:$F$83,2,FALSE)</f>
        <v>1.1507067476516331E-4</v>
      </c>
      <c r="I12" s="86">
        <f>VLOOKUP(G12,Settings!$C$80:$F$83,3,FALSE)</f>
        <v>1.0274167389746723E-9</v>
      </c>
      <c r="J12" s="86">
        <f>VLOOKUP(G12,Settings!$C$80:$F$83,4,FALSE)</f>
        <v>3.2192391154539729E-9</v>
      </c>
      <c r="K12" s="65">
        <f t="shared" si="1"/>
        <v>317.31889273241433</v>
      </c>
      <c r="L12" s="65">
        <f t="shared" si="2"/>
        <v>2.8332043993965564E-3</v>
      </c>
      <c r="M12" s="65">
        <f t="shared" si="3"/>
        <v>8.8773737847758754E-3</v>
      </c>
      <c r="N12" s="65">
        <f>M12*Settings!$D$24+L12*Settings!$C$24+K12</f>
        <v>319.81891229444187</v>
      </c>
      <c r="O12" s="385" t="s">
        <v>718</v>
      </c>
      <c r="P12" s="10"/>
      <c r="Q12" s="10"/>
      <c r="R12" s="10"/>
    </row>
    <row r="13" spans="2:18" x14ac:dyDescent="0.25">
      <c r="B13" s="431" t="s">
        <v>467</v>
      </c>
      <c r="C13" s="415" t="str">
        <f t="shared" si="0"/>
        <v>Steel Making</v>
      </c>
      <c r="D13" s="425" t="s">
        <v>1532</v>
      </c>
      <c r="E13" s="133">
        <v>1508701</v>
      </c>
      <c r="F13" s="426">
        <v>650</v>
      </c>
      <c r="G13" s="376" t="s">
        <v>543</v>
      </c>
      <c r="H13" s="86">
        <f>VLOOKUP(G13,Settings!$C$80:$F$83,2,FALSE)</f>
        <v>1.1507067476516331E-4</v>
      </c>
      <c r="I13" s="86">
        <f>VLOOKUP(G13,Settings!$C$80:$F$83,3,FALSE)</f>
        <v>1.0274167389746723E-9</v>
      </c>
      <c r="J13" s="86">
        <f>VLOOKUP(G13,Settings!$C$80:$F$83,4,FALSE)</f>
        <v>3.2192391154539729E-9</v>
      </c>
      <c r="K13" s="65">
        <f t="shared" si="1"/>
        <v>112844.70735776982</v>
      </c>
      <c r="L13" s="65">
        <f t="shared" si="2"/>
        <v>1.0075420299800877</v>
      </c>
      <c r="M13" s="65">
        <f t="shared" si="3"/>
        <v>3.1569650272709406</v>
      </c>
      <c r="N13" s="65">
        <f>M13*Settings!$D$24+L13*Settings!$C$24+K13</f>
        <v>113733.76244502424</v>
      </c>
      <c r="O13" s="385" t="s">
        <v>718</v>
      </c>
      <c r="P13" s="10"/>
      <c r="Q13" s="10"/>
      <c r="R13" s="10"/>
    </row>
    <row r="14" spans="2:18" x14ac:dyDescent="0.25">
      <c r="B14" s="431" t="s">
        <v>467</v>
      </c>
      <c r="C14" s="415" t="str">
        <f t="shared" si="0"/>
        <v>Steel Making</v>
      </c>
      <c r="D14" s="425" t="s">
        <v>1533</v>
      </c>
      <c r="E14" s="133">
        <v>15325</v>
      </c>
      <c r="F14" s="426">
        <v>450</v>
      </c>
      <c r="G14" s="376" t="s">
        <v>543</v>
      </c>
      <c r="H14" s="86">
        <f>VLOOKUP(G14,Settings!$C$80:$F$83,2,FALSE)</f>
        <v>1.1507067476516331E-4</v>
      </c>
      <c r="I14" s="86">
        <f>VLOOKUP(G14,Settings!$C$80:$F$83,3,FALSE)</f>
        <v>1.0274167389746723E-9</v>
      </c>
      <c r="J14" s="86">
        <f>VLOOKUP(G14,Settings!$C$80:$F$83,4,FALSE)</f>
        <v>3.2192391154539729E-9</v>
      </c>
      <c r="K14" s="65">
        <f t="shared" si="1"/>
        <v>793.55614084925742</v>
      </c>
      <c r="L14" s="65">
        <f t="shared" si="2"/>
        <v>7.0853226861540839E-3</v>
      </c>
      <c r="M14" s="65">
        <f t="shared" si="3"/>
        <v>2.2200677749949462E-2</v>
      </c>
      <c r="N14" s="65">
        <f>M14*Settings!$D$24+L14*Settings!$C$24+K14</f>
        <v>799.8082295875198</v>
      </c>
      <c r="O14" s="385" t="s">
        <v>718</v>
      </c>
      <c r="P14" s="10"/>
      <c r="Q14" s="10"/>
      <c r="R14" s="10"/>
    </row>
    <row r="15" spans="2:18" x14ac:dyDescent="0.25">
      <c r="B15" s="431" t="s">
        <v>467</v>
      </c>
      <c r="C15" s="415" t="str">
        <f t="shared" si="0"/>
        <v>Steel Making</v>
      </c>
      <c r="D15" s="425" t="s">
        <v>1534</v>
      </c>
      <c r="E15" s="133">
        <v>6724</v>
      </c>
      <c r="F15" s="426">
        <v>750</v>
      </c>
      <c r="G15" s="376" t="s">
        <v>543</v>
      </c>
      <c r="H15" s="86">
        <f>VLOOKUP(G15,Settings!$C$80:$F$83,2,FALSE)</f>
        <v>1.1507067476516331E-4</v>
      </c>
      <c r="I15" s="86">
        <f>VLOOKUP(G15,Settings!$C$80:$F$83,3,FALSE)</f>
        <v>1.0274167389746723E-9</v>
      </c>
      <c r="J15" s="86">
        <f>VLOOKUP(G15,Settings!$C$80:$F$83,4,FALSE)</f>
        <v>3.2192391154539729E-9</v>
      </c>
      <c r="K15" s="65">
        <f t="shared" si="1"/>
        <v>580.30141284071851</v>
      </c>
      <c r="L15" s="65">
        <f t="shared" si="2"/>
        <v>5.1812626146492723E-3</v>
      </c>
      <c r="M15" s="65">
        <f t="shared" si="3"/>
        <v>1.6234622859234386E-2</v>
      </c>
      <c r="N15" s="65">
        <f>M15*Settings!$D$24+L15*Settings!$C$24+K15</f>
        <v>584.87335897188507</v>
      </c>
      <c r="O15" s="385" t="s">
        <v>718</v>
      </c>
      <c r="P15" s="10"/>
      <c r="Q15" s="10"/>
      <c r="R15" s="10"/>
    </row>
    <row r="16" spans="2:18" x14ac:dyDescent="0.25">
      <c r="B16" s="431" t="s">
        <v>467</v>
      </c>
      <c r="C16" s="415" t="str">
        <f t="shared" si="0"/>
        <v>Steel Making</v>
      </c>
      <c r="D16" s="425" t="s">
        <v>1535</v>
      </c>
      <c r="E16" s="133">
        <v>7808</v>
      </c>
      <c r="F16" s="426">
        <v>960</v>
      </c>
      <c r="G16" s="376" t="s">
        <v>543</v>
      </c>
      <c r="H16" s="86">
        <f>VLOOKUP(G16,Settings!$C$80:$F$83,2,FALSE)</f>
        <v>1.1507067476516331E-4</v>
      </c>
      <c r="I16" s="86">
        <f>VLOOKUP(G16,Settings!$C$80:$F$83,3,FALSE)</f>
        <v>1.0274167389746723E-9</v>
      </c>
      <c r="J16" s="86">
        <f>VLOOKUP(G16,Settings!$C$80:$F$83,4,FALSE)</f>
        <v>3.2192391154539729E-9</v>
      </c>
      <c r="K16" s="65">
        <f t="shared" si="1"/>
        <v>862.53295542373928</v>
      </c>
      <c r="L16" s="65">
        <f t="shared" si="2"/>
        <v>7.7011871019976716E-3</v>
      </c>
      <c r="M16" s="65">
        <f t="shared" si="3"/>
        <v>2.4130386252926034E-2</v>
      </c>
      <c r="N16" s="65">
        <f>M16*Settings!$D$24+L16*Settings!$C$24+K16</f>
        <v>869.32848292254198</v>
      </c>
      <c r="O16" s="385" t="s">
        <v>718</v>
      </c>
      <c r="P16" s="10"/>
      <c r="Q16" s="10"/>
      <c r="R16" s="10"/>
    </row>
    <row r="17" spans="2:18" x14ac:dyDescent="0.25">
      <c r="B17" s="431" t="s">
        <v>467</v>
      </c>
      <c r="C17" s="415" t="str">
        <f t="shared" si="0"/>
        <v>Steel Making</v>
      </c>
      <c r="D17" s="425" t="s">
        <v>1536</v>
      </c>
      <c r="E17" s="133">
        <v>37896</v>
      </c>
      <c r="F17" s="426">
        <v>970</v>
      </c>
      <c r="G17" s="376" t="s">
        <v>543</v>
      </c>
      <c r="H17" s="86">
        <f>VLOOKUP(G17,Settings!$C$80:$F$83,2,FALSE)</f>
        <v>1.1507067476516331E-4</v>
      </c>
      <c r="I17" s="86">
        <f>VLOOKUP(G17,Settings!$C$80:$F$83,3,FALSE)</f>
        <v>1.0274167389746723E-9</v>
      </c>
      <c r="J17" s="86">
        <f>VLOOKUP(G17,Settings!$C$80:$F$83,4,FALSE)</f>
        <v>3.2192391154539729E-9</v>
      </c>
      <c r="K17" s="65">
        <f t="shared" si="1"/>
        <v>4229.8967421736097</v>
      </c>
      <c r="L17" s="65">
        <f t="shared" si="2"/>
        <v>3.7766935197978656E-2</v>
      </c>
      <c r="M17" s="65">
        <f t="shared" si="3"/>
        <v>0.11833639695366645</v>
      </c>
      <c r="N17" s="65">
        <f>M17*Settings!$D$24+L17*Settings!$C$24+K17</f>
        <v>4263.2222857923061</v>
      </c>
      <c r="O17" s="385" t="s">
        <v>718</v>
      </c>
      <c r="P17" s="10"/>
      <c r="Q17" s="10"/>
      <c r="R17" s="10"/>
    </row>
    <row r="18" spans="2:18" x14ac:dyDescent="0.25">
      <c r="B18" s="431" t="s">
        <v>467</v>
      </c>
      <c r="C18" s="415" t="str">
        <f t="shared" si="0"/>
        <v>Steel Making</v>
      </c>
      <c r="D18" s="425" t="s">
        <v>1537</v>
      </c>
      <c r="E18" s="133">
        <v>15196</v>
      </c>
      <c r="F18" s="426">
        <v>310</v>
      </c>
      <c r="G18" s="376" t="s">
        <v>543</v>
      </c>
      <c r="H18" s="86">
        <f>VLOOKUP(G18,Settings!$C$80:$F$83,2,FALSE)</f>
        <v>1.1507067476516331E-4</v>
      </c>
      <c r="I18" s="86">
        <f>VLOOKUP(G18,Settings!$C$80:$F$83,3,FALSE)</f>
        <v>1.0274167389746723E-9</v>
      </c>
      <c r="J18" s="86">
        <f>VLOOKUP(G18,Settings!$C$80:$F$83,4,FALSE)</f>
        <v>3.2192391154539729E-9</v>
      </c>
      <c r="K18" s="65">
        <f t="shared" si="1"/>
        <v>542.07033185674072</v>
      </c>
      <c r="L18" s="65">
        <f t="shared" si="2"/>
        <v>4.8399136772923276E-3</v>
      </c>
      <c r="M18" s="65">
        <f t="shared" si="3"/>
        <v>1.5165062855515957E-2</v>
      </c>
      <c r="N18" s="65">
        <f>M18*Settings!$D$24+L18*Settings!$C$24+K18</f>
        <v>546.34107168558342</v>
      </c>
      <c r="O18" s="385" t="s">
        <v>718</v>
      </c>
      <c r="P18" s="10"/>
      <c r="Q18" s="10"/>
      <c r="R18" s="10"/>
    </row>
    <row r="19" spans="2:18" x14ac:dyDescent="0.25">
      <c r="B19" s="431" t="s">
        <v>467</v>
      </c>
      <c r="C19" s="415" t="str">
        <f t="shared" si="0"/>
        <v>Steel Making</v>
      </c>
      <c r="D19" s="425" t="s">
        <v>1538</v>
      </c>
      <c r="E19" s="133">
        <v>104242</v>
      </c>
      <c r="F19" s="426">
        <v>970</v>
      </c>
      <c r="G19" s="376" t="s">
        <v>543</v>
      </c>
      <c r="H19" s="86">
        <f>VLOOKUP(G19,Settings!$C$80:$F$83,2,FALSE)</f>
        <v>1.1507067476516331E-4</v>
      </c>
      <c r="I19" s="86">
        <f>VLOOKUP(G19,Settings!$C$80:$F$83,3,FALSE)</f>
        <v>1.0274167389746723E-9</v>
      </c>
      <c r="J19" s="86">
        <f>VLOOKUP(G19,Settings!$C$80:$F$83,4,FALSE)</f>
        <v>3.2192391154539729E-9</v>
      </c>
      <c r="K19" s="65">
        <f t="shared" si="1"/>
        <v>11635.34136050405</v>
      </c>
      <c r="L19" s="65">
        <f t="shared" si="2"/>
        <v>0.10388697643307186</v>
      </c>
      <c r="M19" s="65">
        <f t="shared" si="3"/>
        <v>0.32551252615695847</v>
      </c>
      <c r="N19" s="65">
        <f>M19*Settings!$D$24+L19*Settings!$C$24+K19</f>
        <v>11727.011228508592</v>
      </c>
      <c r="O19" s="385" t="s">
        <v>718</v>
      </c>
      <c r="P19" s="10"/>
      <c r="Q19" s="10"/>
      <c r="R19" s="10"/>
    </row>
    <row r="20" spans="2:18" x14ac:dyDescent="0.25">
      <c r="B20" s="431" t="s">
        <v>467</v>
      </c>
      <c r="C20" s="415" t="str">
        <f t="shared" si="0"/>
        <v>Steel Making</v>
      </c>
      <c r="D20" s="425" t="s">
        <v>1539</v>
      </c>
      <c r="E20" s="133">
        <v>288544</v>
      </c>
      <c r="F20" s="426">
        <v>75</v>
      </c>
      <c r="G20" s="376" t="s">
        <v>543</v>
      </c>
      <c r="H20" s="86">
        <f>VLOOKUP(G20,Settings!$C$80:$F$83,2,FALSE)</f>
        <v>1.1507067476516331E-4</v>
      </c>
      <c r="I20" s="86">
        <f>VLOOKUP(G20,Settings!$C$80:$F$83,3,FALSE)</f>
        <v>1.0274167389746723E-9</v>
      </c>
      <c r="J20" s="86">
        <f>VLOOKUP(G20,Settings!$C$80:$F$83,4,FALSE)</f>
        <v>3.2192391154539729E-9</v>
      </c>
      <c r="K20" s="65">
        <f t="shared" si="1"/>
        <v>2490.221458457946</v>
      </c>
      <c r="L20" s="65">
        <f t="shared" si="2"/>
        <v>2.2234120164803087E-2</v>
      </c>
      <c r="M20" s="65">
        <f t="shared" si="3"/>
        <v>6.9666909849716338E-2</v>
      </c>
      <c r="N20" s="65">
        <f>M20*Settings!$D$24+L20*Settings!$C$24+K20</f>
        <v>2509.8408460913683</v>
      </c>
      <c r="O20" s="385" t="s">
        <v>718</v>
      </c>
      <c r="P20" s="10"/>
      <c r="Q20" s="10"/>
      <c r="R20" s="10"/>
    </row>
    <row r="21" spans="2:18" x14ac:dyDescent="0.25">
      <c r="B21" s="431" t="s">
        <v>467</v>
      </c>
      <c r="C21" s="415" t="str">
        <f t="shared" si="0"/>
        <v>Steel Making</v>
      </c>
      <c r="D21" s="425" t="s">
        <v>1540</v>
      </c>
      <c r="E21" s="133">
        <v>21644</v>
      </c>
      <c r="F21" s="426">
        <v>920</v>
      </c>
      <c r="G21" s="376" t="s">
        <v>543</v>
      </c>
      <c r="H21" s="86">
        <f>VLOOKUP(G21,Settings!$C$80:$F$83,2,FALSE)</f>
        <v>1.1507067476516331E-4</v>
      </c>
      <c r="I21" s="86">
        <f>VLOOKUP(G21,Settings!$C$80:$F$83,3,FALSE)</f>
        <v>1.0274167389746723E-9</v>
      </c>
      <c r="J21" s="86">
        <f>VLOOKUP(G21,Settings!$C$80:$F$83,4,FALSE)</f>
        <v>3.2192391154539729E-9</v>
      </c>
      <c r="K21" s="65">
        <f t="shared" si="1"/>
        <v>2291.3425098478192</v>
      </c>
      <c r="L21" s="65">
        <f t="shared" si="2"/>
        <v>2.0458415266498383E-2</v>
      </c>
      <c r="M21" s="65">
        <f t="shared" si="3"/>
        <v>6.4103034501694925E-2</v>
      </c>
      <c r="N21" s="65">
        <f>M21*Settings!$D$24+L21*Settings!$C$24+K21</f>
        <v>2309.3950154789773</v>
      </c>
      <c r="O21" s="385" t="s">
        <v>718</v>
      </c>
      <c r="P21" s="10"/>
      <c r="Q21" s="10"/>
      <c r="R21" s="10"/>
    </row>
    <row r="22" spans="2:18" x14ac:dyDescent="0.25">
      <c r="B22" s="431" t="s">
        <v>467</v>
      </c>
      <c r="C22" s="415" t="str">
        <f t="shared" si="0"/>
        <v>Steel Making</v>
      </c>
      <c r="D22" s="425" t="s">
        <v>1541</v>
      </c>
      <c r="E22" s="133">
        <v>16978</v>
      </c>
      <c r="F22" s="426">
        <v>920</v>
      </c>
      <c r="G22" s="376" t="s">
        <v>543</v>
      </c>
      <c r="H22" s="86">
        <f>VLOOKUP(G22,Settings!$C$80:$F$83,2,FALSE)</f>
        <v>1.1507067476516331E-4</v>
      </c>
      <c r="I22" s="86">
        <f>VLOOKUP(G22,Settings!$C$80:$F$83,3,FALSE)</f>
        <v>1.0274167389746723E-9</v>
      </c>
      <c r="J22" s="86">
        <f>VLOOKUP(G22,Settings!$C$80:$F$83,4,FALSE)</f>
        <v>3.2192391154539729E-9</v>
      </c>
      <c r="K22" s="65">
        <f t="shared" si="1"/>
        <v>1797.3763228699072</v>
      </c>
      <c r="L22" s="65">
        <f t="shared" si="2"/>
        <v>1.6048002882767028E-2</v>
      </c>
      <c r="M22" s="65">
        <f t="shared" si="3"/>
        <v>5.0283742366003345E-2</v>
      </c>
      <c r="N22" s="65">
        <f>M22*Settings!$D$24+L22*Settings!$C$24+K22</f>
        <v>1811.5370806136609</v>
      </c>
      <c r="O22" s="385" t="s">
        <v>718</v>
      </c>
      <c r="P22" s="10"/>
      <c r="Q22" s="10"/>
      <c r="R22" s="10"/>
    </row>
    <row r="23" spans="2:18" x14ac:dyDescent="0.25">
      <c r="B23" s="431" t="s">
        <v>467</v>
      </c>
      <c r="C23" s="415" t="str">
        <f t="shared" si="0"/>
        <v>Steel Making</v>
      </c>
      <c r="D23" s="425" t="s">
        <v>1542</v>
      </c>
      <c r="E23" s="133">
        <v>931</v>
      </c>
      <c r="F23" s="426">
        <v>630</v>
      </c>
      <c r="G23" s="376" t="s">
        <v>543</v>
      </c>
      <c r="H23" s="86">
        <f>VLOOKUP(G23,Settings!$C$80:$F$83,2,FALSE)</f>
        <v>1.1507067476516331E-4</v>
      </c>
      <c r="I23" s="86">
        <f>VLOOKUP(G23,Settings!$C$80:$F$83,3,FALSE)</f>
        <v>1.0274167389746723E-9</v>
      </c>
      <c r="J23" s="86">
        <f>VLOOKUP(G23,Settings!$C$80:$F$83,4,FALSE)</f>
        <v>3.2192391154539729E-9</v>
      </c>
      <c r="K23" s="65">
        <f t="shared" si="1"/>
        <v>67.492402870011233</v>
      </c>
      <c r="L23" s="65">
        <f t="shared" si="2"/>
        <v>6.0261073991081454E-4</v>
      </c>
      <c r="M23" s="65">
        <f t="shared" si="3"/>
        <v>1.8881803183872187E-3</v>
      </c>
      <c r="N23" s="65">
        <f>M23*Settings!$D$24+L23*Settings!$C$24+K23</f>
        <v>68.024146586908529</v>
      </c>
      <c r="O23" s="385" t="s">
        <v>718</v>
      </c>
      <c r="P23" s="10"/>
      <c r="Q23" s="10"/>
      <c r="R23" s="10"/>
    </row>
    <row r="24" spans="2:18" x14ac:dyDescent="0.25">
      <c r="B24" s="431" t="s">
        <v>467</v>
      </c>
      <c r="C24" s="415" t="str">
        <f t="shared" si="0"/>
        <v>Steel Making</v>
      </c>
      <c r="D24" s="425" t="s">
        <v>1543</v>
      </c>
      <c r="E24" s="133">
        <v>2499</v>
      </c>
      <c r="F24" s="426">
        <v>560</v>
      </c>
      <c r="G24" s="376" t="s">
        <v>543</v>
      </c>
      <c r="H24" s="86">
        <f>VLOOKUP(G24,Settings!$C$80:$F$83,2,FALSE)</f>
        <v>1.1507067476516331E-4</v>
      </c>
      <c r="I24" s="86">
        <f>VLOOKUP(G24,Settings!$C$80:$F$83,3,FALSE)</f>
        <v>1.0274167389746723E-9</v>
      </c>
      <c r="J24" s="86">
        <f>VLOOKUP(G24,Settings!$C$80:$F$83,4,FALSE)</f>
        <v>3.2192391154539729E-9</v>
      </c>
      <c r="K24" s="65">
        <f t="shared" si="1"/>
        <v>161.03450509336014</v>
      </c>
      <c r="L24" s="65">
        <f t="shared" si="2"/>
        <v>1.4378080811907154E-3</v>
      </c>
      <c r="M24" s="65">
        <f t="shared" si="3"/>
        <v>4.5051319877309074E-3</v>
      </c>
      <c r="N24" s="65">
        <f>M24*Settings!$D$24+L24*Settings!$C$24+K24</f>
        <v>162.30322694420283</v>
      </c>
      <c r="O24" s="385" t="s">
        <v>718</v>
      </c>
      <c r="P24" s="10"/>
      <c r="Q24" s="10"/>
      <c r="R24" s="10"/>
    </row>
    <row r="25" spans="2:18" x14ac:dyDescent="0.25">
      <c r="B25" s="431" t="s">
        <v>680</v>
      </c>
      <c r="C25" s="415" t="str">
        <f t="shared" si="0"/>
        <v>Steel Making</v>
      </c>
      <c r="D25" s="425" t="s">
        <v>1563</v>
      </c>
      <c r="E25" s="133">
        <v>73971</v>
      </c>
      <c r="F25" s="426">
        <v>920</v>
      </c>
      <c r="G25" s="376" t="s">
        <v>543</v>
      </c>
      <c r="H25" s="86">
        <f>VLOOKUP(G25,Settings!$C$80:$F$83,2,FALSE)</f>
        <v>1.1507067476516331E-4</v>
      </c>
      <c r="I25" s="86">
        <f>VLOOKUP(G25,Settings!$C$80:$F$83,3,FALSE)</f>
        <v>1.0274167389746723E-9</v>
      </c>
      <c r="J25" s="86">
        <f>VLOOKUP(G25,Settings!$C$80:$F$83,4,FALSE)</f>
        <v>3.2192391154539729E-9</v>
      </c>
      <c r="K25" s="65">
        <f t="shared" si="1"/>
        <v>7830.9414524095837</v>
      </c>
      <c r="L25" s="65">
        <f t="shared" si="2"/>
        <v>6.9919120110799843E-2</v>
      </c>
      <c r="M25" s="65">
        <f t="shared" si="3"/>
        <v>0.21907990968050617</v>
      </c>
      <c r="N25" s="65">
        <f>M25*Settings!$D$24+L25*Settings!$C$24+K25</f>
        <v>7892.6380839953536</v>
      </c>
      <c r="O25" s="385" t="s">
        <v>718</v>
      </c>
      <c r="P25" s="10"/>
      <c r="Q25" s="10"/>
      <c r="R25" s="10"/>
    </row>
    <row r="26" spans="2:18" x14ac:dyDescent="0.25">
      <c r="B26" s="431" t="s">
        <v>680</v>
      </c>
      <c r="C26" s="415" t="str">
        <f t="shared" si="0"/>
        <v>Steel Making</v>
      </c>
      <c r="D26" s="425" t="s">
        <v>1541</v>
      </c>
      <c r="E26" s="133">
        <v>30924</v>
      </c>
      <c r="F26" s="426">
        <v>920</v>
      </c>
      <c r="G26" s="376" t="s">
        <v>543</v>
      </c>
      <c r="H26" s="86">
        <f>VLOOKUP(G26,Settings!$C$80:$F$83,2,FALSE)</f>
        <v>1.1507067476516331E-4</v>
      </c>
      <c r="I26" s="86">
        <f>VLOOKUP(G26,Settings!$C$80:$F$83,3,FALSE)</f>
        <v>1.0274167389746723E-9</v>
      </c>
      <c r="J26" s="86">
        <f>VLOOKUP(G26,Settings!$C$80:$F$83,4,FALSE)</f>
        <v>3.2192391154539729E-9</v>
      </c>
      <c r="K26" s="65">
        <f t="shared" si="1"/>
        <v>3273.7699027228773</v>
      </c>
      <c r="L26" s="65">
        <f t="shared" si="2"/>
        <v>2.9230088417168544E-2</v>
      </c>
      <c r="M26" s="65">
        <f t="shared" si="3"/>
        <v>9.1587610373794759E-2</v>
      </c>
      <c r="N26" s="65">
        <f>M26*Settings!$D$24+L26*Settings!$C$24+K26</f>
        <v>3299.5625327421867</v>
      </c>
      <c r="O26" s="385" t="s">
        <v>718</v>
      </c>
      <c r="P26" s="10"/>
      <c r="Q26" s="10"/>
      <c r="R26" s="10"/>
    </row>
    <row r="27" spans="2:18" x14ac:dyDescent="0.25">
      <c r="B27" s="431" t="s">
        <v>468</v>
      </c>
      <c r="C27" s="415" t="str">
        <f t="shared" si="0"/>
        <v>Iron Making</v>
      </c>
      <c r="D27" s="425" t="s">
        <v>1544</v>
      </c>
      <c r="E27" s="133">
        <v>202381</v>
      </c>
      <c r="F27" s="426">
        <v>780</v>
      </c>
      <c r="G27" s="376" t="s">
        <v>543</v>
      </c>
      <c r="H27" s="86">
        <f>VLOOKUP(G27,Settings!$C$80:$F$83,2,FALSE)</f>
        <v>1.1507067476516331E-4</v>
      </c>
      <c r="I27" s="86">
        <f>VLOOKUP(G27,Settings!$C$80:$F$83,3,FALSE)</f>
        <v>1.0274167389746723E-9</v>
      </c>
      <c r="J27" s="86">
        <f>VLOOKUP(G27,Settings!$C$80:$F$83,4,FALSE)</f>
        <v>3.2192391154539729E-9</v>
      </c>
      <c r="K27" s="65">
        <f t="shared" si="1"/>
        <v>18164.732219125843</v>
      </c>
      <c r="L27" s="65">
        <f t="shared" si="2"/>
        <v>0.16218510909933787</v>
      </c>
      <c r="M27" s="65">
        <f t="shared" si="3"/>
        <v>0.50818000851125855</v>
      </c>
      <c r="N27" s="65">
        <f>M27*Settings!$D$24+L27*Settings!$C$24+K27</f>
        <v>18307.844359395098</v>
      </c>
      <c r="O27" s="385" t="s">
        <v>718</v>
      </c>
      <c r="P27" s="10"/>
      <c r="Q27" s="10"/>
      <c r="R27" s="10"/>
    </row>
    <row r="28" spans="2:18" x14ac:dyDescent="0.25">
      <c r="B28" s="431" t="s">
        <v>468</v>
      </c>
      <c r="C28" s="415" t="str">
        <f t="shared" si="0"/>
        <v>Iron Making</v>
      </c>
      <c r="D28" s="425" t="s">
        <v>1545</v>
      </c>
      <c r="E28" s="133">
        <v>305890</v>
      </c>
      <c r="F28" s="426">
        <v>700</v>
      </c>
      <c r="G28" s="376" t="s">
        <v>543</v>
      </c>
      <c r="H28" s="86">
        <f>VLOOKUP(G28,Settings!$C$80:$F$83,2,FALSE)</f>
        <v>1.1507067476516331E-4</v>
      </c>
      <c r="I28" s="86">
        <f>VLOOKUP(G28,Settings!$C$80:$F$83,3,FALSE)</f>
        <v>1.0274167389746723E-9</v>
      </c>
      <c r="J28" s="86">
        <f>VLOOKUP(G28,Settings!$C$80:$F$83,4,FALSE)</f>
        <v>3.2192391154539729E-9</v>
      </c>
      <c r="K28" s="65">
        <f t="shared" si="1"/>
        <v>24639.278092741064</v>
      </c>
      <c r="L28" s="65">
        <f t="shared" si="2"/>
        <v>0.21999355439947377</v>
      </c>
      <c r="M28" s="65">
        <f t="shared" si="3"/>
        <v>0.68931313711835107</v>
      </c>
      <c r="N28" s="65">
        <f>M28*Settings!$D$24+L28*Settings!$C$24+K28</f>
        <v>24833.400405143158</v>
      </c>
      <c r="O28" s="385" t="s">
        <v>718</v>
      </c>
      <c r="P28" s="10"/>
      <c r="Q28" s="10"/>
      <c r="R28" s="10"/>
    </row>
    <row r="29" spans="2:18" x14ac:dyDescent="0.25">
      <c r="B29" s="431" t="s">
        <v>468</v>
      </c>
      <c r="C29" s="415" t="str">
        <f t="shared" si="0"/>
        <v>Iron Making</v>
      </c>
      <c r="D29" s="425" t="s">
        <v>1546</v>
      </c>
      <c r="E29" s="133">
        <v>11349</v>
      </c>
      <c r="F29" s="426">
        <v>325</v>
      </c>
      <c r="G29" s="376" t="s">
        <v>543</v>
      </c>
      <c r="H29" s="86">
        <f>VLOOKUP(G29,Settings!$C$80:$F$83,2,FALSE)</f>
        <v>1.1507067476516331E-4</v>
      </c>
      <c r="I29" s="86">
        <f>VLOOKUP(G29,Settings!$C$80:$F$83,3,FALSE)</f>
        <v>1.0274167389746723E-9</v>
      </c>
      <c r="J29" s="86">
        <f>VLOOKUP(G29,Settings!$C$80:$F$83,4,FALSE)</f>
        <v>3.2192391154539729E-9</v>
      </c>
      <c r="K29" s="65">
        <f t="shared" si="1"/>
        <v>424.42955357069746</v>
      </c>
      <c r="L29" s="65">
        <f t="shared" si="2"/>
        <v>3.7895495854526557E-3</v>
      </c>
      <c r="M29" s="65">
        <f t="shared" si="3"/>
        <v>1.1873922034418319E-2</v>
      </c>
      <c r="N29" s="65">
        <f>M29*Settings!$D$24+L29*Settings!$C$24+K29</f>
        <v>427.77345212490087</v>
      </c>
      <c r="O29" s="385" t="s">
        <v>718</v>
      </c>
      <c r="P29" s="10"/>
      <c r="Q29" s="10"/>
      <c r="R29" s="10"/>
    </row>
    <row r="30" spans="2:18" x14ac:dyDescent="0.25">
      <c r="B30" s="431" t="s">
        <v>468</v>
      </c>
      <c r="C30" s="415" t="str">
        <f t="shared" si="0"/>
        <v>Iron Making</v>
      </c>
      <c r="D30" s="425" t="s">
        <v>1547</v>
      </c>
      <c r="E30" s="133">
        <v>149442</v>
      </c>
      <c r="F30" s="426">
        <v>690</v>
      </c>
      <c r="G30" s="376" t="s">
        <v>543</v>
      </c>
      <c r="H30" s="86">
        <f>VLOOKUP(G30,Settings!$C$80:$F$83,2,FALSE)</f>
        <v>1.1507067476516331E-4</v>
      </c>
      <c r="I30" s="86">
        <f>VLOOKUP(G30,Settings!$C$80:$F$83,3,FALSE)</f>
        <v>1.0274167389746723E-9</v>
      </c>
      <c r="J30" s="86">
        <f>VLOOKUP(G30,Settings!$C$80:$F$83,4,FALSE)</f>
        <v>3.2192391154539729E-9</v>
      </c>
      <c r="K30" s="65">
        <f t="shared" si="1"/>
        <v>11865.510326996318</v>
      </c>
      <c r="L30" s="65">
        <f t="shared" si="2"/>
        <v>0.10594205649103855</v>
      </c>
      <c r="M30" s="65">
        <f t="shared" si="3"/>
        <v>0.33195177700525408</v>
      </c>
      <c r="N30" s="65">
        <f>M30*Settings!$D$24+L30*Settings!$C$24+K30</f>
        <v>11958.99359764401</v>
      </c>
      <c r="O30" s="385" t="s">
        <v>718</v>
      </c>
      <c r="P30" s="10"/>
      <c r="Q30" s="10"/>
      <c r="R30" s="10"/>
    </row>
    <row r="31" spans="2:18" x14ac:dyDescent="0.25">
      <c r="B31" s="431" t="s">
        <v>468</v>
      </c>
      <c r="C31" s="415" t="str">
        <f t="shared" si="0"/>
        <v>Iron Making</v>
      </c>
      <c r="D31" s="425" t="s">
        <v>1533</v>
      </c>
      <c r="E31" s="133">
        <v>430391</v>
      </c>
      <c r="F31" s="426">
        <v>450</v>
      </c>
      <c r="G31" s="376" t="s">
        <v>543</v>
      </c>
      <c r="H31" s="86">
        <f>VLOOKUP(G31,Settings!$C$80:$F$83,2,FALSE)</f>
        <v>1.1507067476516331E-4</v>
      </c>
      <c r="I31" s="86">
        <f>VLOOKUP(G31,Settings!$C$80:$F$83,3,FALSE)</f>
        <v>1.0274167389746723E-9</v>
      </c>
      <c r="J31" s="86">
        <f>VLOOKUP(G31,Settings!$C$80:$F$83,4,FALSE)</f>
        <v>3.2192391154539729E-9</v>
      </c>
      <c r="K31" s="65">
        <f t="shared" si="1"/>
        <v>22286.422252284032</v>
      </c>
      <c r="L31" s="65">
        <f t="shared" si="2"/>
        <v>0.19898591296682169</v>
      </c>
      <c r="M31" s="65">
        <f t="shared" si="3"/>
        <v>0.62348919396270785</v>
      </c>
      <c r="N31" s="65">
        <f>M31*Settings!$D$24+L31*Settings!$C$24+K31</f>
        <v>22462.007421885955</v>
      </c>
      <c r="O31" s="385" t="s">
        <v>718</v>
      </c>
      <c r="P31" s="10"/>
      <c r="Q31" s="10"/>
      <c r="R31" s="10"/>
    </row>
    <row r="32" spans="2:18" x14ac:dyDescent="0.25">
      <c r="B32" s="431" t="s">
        <v>468</v>
      </c>
      <c r="C32" s="415" t="str">
        <f t="shared" si="0"/>
        <v>Iron Making</v>
      </c>
      <c r="D32" s="425" t="s">
        <v>1548</v>
      </c>
      <c r="E32" s="133">
        <v>1800</v>
      </c>
      <c r="F32" s="426">
        <v>650</v>
      </c>
      <c r="G32" s="376" t="s">
        <v>543</v>
      </c>
      <c r="H32" s="86">
        <f>VLOOKUP(G32,Settings!$C$80:$F$83,2,FALSE)</f>
        <v>1.1507067476516331E-4</v>
      </c>
      <c r="I32" s="86">
        <f>VLOOKUP(G32,Settings!$C$80:$F$83,3,FALSE)</f>
        <v>1.0274167389746723E-9</v>
      </c>
      <c r="J32" s="86">
        <f>VLOOKUP(G32,Settings!$C$80:$F$83,4,FALSE)</f>
        <v>3.2192391154539729E-9</v>
      </c>
      <c r="K32" s="65">
        <f t="shared" si="1"/>
        <v>134.63268947524108</v>
      </c>
      <c r="L32" s="65">
        <f t="shared" si="2"/>
        <v>1.2020775846003666E-3</v>
      </c>
      <c r="M32" s="65">
        <f t="shared" si="3"/>
        <v>3.7665097650811481E-3</v>
      </c>
      <c r="N32" s="65">
        <f>M32*Settings!$D$24+L32*Settings!$C$24+K32</f>
        <v>135.69340273589245</v>
      </c>
      <c r="O32" s="385" t="s">
        <v>718</v>
      </c>
      <c r="P32" s="10"/>
      <c r="Q32" s="10"/>
      <c r="R32" s="10"/>
    </row>
    <row r="33" spans="2:18" x14ac:dyDescent="0.25">
      <c r="B33" s="431" t="s">
        <v>468</v>
      </c>
      <c r="C33" s="415" t="str">
        <f t="shared" si="0"/>
        <v>Iron Making</v>
      </c>
      <c r="D33" s="425" t="s">
        <v>1549</v>
      </c>
      <c r="E33" s="133">
        <v>20584</v>
      </c>
      <c r="F33" s="426">
        <v>865</v>
      </c>
      <c r="G33" s="376" t="s">
        <v>543</v>
      </c>
      <c r="H33" s="86">
        <f>VLOOKUP(G33,Settings!$C$80:$F$83,2,FALSE)</f>
        <v>1.1507067476516331E-4</v>
      </c>
      <c r="I33" s="86">
        <f>VLOOKUP(G33,Settings!$C$80:$F$83,3,FALSE)</f>
        <v>1.0274167389746723E-9</v>
      </c>
      <c r="J33" s="86">
        <f>VLOOKUP(G33,Settings!$C$80:$F$83,4,FALSE)</f>
        <v>3.2192391154539729E-9</v>
      </c>
      <c r="K33" s="65">
        <f t="shared" si="1"/>
        <v>2048.8517755016951</v>
      </c>
      <c r="L33" s="65">
        <f t="shared" si="2"/>
        <v>1.8293319424122278E-2</v>
      </c>
      <c r="M33" s="65">
        <f t="shared" si="3"/>
        <v>5.7319067528916461E-2</v>
      </c>
      <c r="N33" s="65">
        <f>M33*Settings!$D$24+L33*Settings!$C$24+K33</f>
        <v>2064.9938005615404</v>
      </c>
      <c r="O33" s="385" t="s">
        <v>718</v>
      </c>
      <c r="P33" s="10"/>
      <c r="Q33" s="10"/>
      <c r="R33" s="10"/>
    </row>
    <row r="34" spans="2:18" x14ac:dyDescent="0.25">
      <c r="B34" s="431" t="s">
        <v>468</v>
      </c>
      <c r="C34" s="415" t="str">
        <f t="shared" si="0"/>
        <v>Iron Making</v>
      </c>
      <c r="D34" s="425" t="s">
        <v>1550</v>
      </c>
      <c r="E34" s="133">
        <v>700627</v>
      </c>
      <c r="F34" s="426">
        <v>500</v>
      </c>
      <c r="G34" s="376" t="s">
        <v>543</v>
      </c>
      <c r="H34" s="86">
        <f>VLOOKUP(G34,Settings!$C$80:$F$83,2,FALSE)</f>
        <v>1.1507067476516331E-4</v>
      </c>
      <c r="I34" s="86">
        <f>VLOOKUP(G34,Settings!$C$80:$F$83,3,FALSE)</f>
        <v>1.0274167389746723E-9</v>
      </c>
      <c r="J34" s="86">
        <f>VLOOKUP(G34,Settings!$C$80:$F$83,4,FALSE)</f>
        <v>3.2192391154539729E-9</v>
      </c>
      <c r="K34" s="65">
        <f t="shared" si="1"/>
        <v>40310.810824346037</v>
      </c>
      <c r="L34" s="65">
        <f t="shared" si="2"/>
        <v>0.35991795378880387</v>
      </c>
      <c r="M34" s="65">
        <f t="shared" si="3"/>
        <v>1.1277429218715853</v>
      </c>
      <c r="N34" s="65">
        <f>M34*Settings!$D$24+L34*Settings!$C$24+K34</f>
        <v>40628.40242676928</v>
      </c>
      <c r="O34" s="385" t="s">
        <v>718</v>
      </c>
      <c r="P34" s="10"/>
      <c r="Q34" s="10"/>
      <c r="R34" s="10"/>
    </row>
    <row r="35" spans="2:18" x14ac:dyDescent="0.25">
      <c r="B35" s="431" t="s">
        <v>468</v>
      </c>
      <c r="C35" s="415" t="str">
        <f t="shared" si="0"/>
        <v>Iron Making</v>
      </c>
      <c r="D35" s="425" t="s">
        <v>1561</v>
      </c>
      <c r="E35" s="133">
        <v>60626</v>
      </c>
      <c r="F35" s="426">
        <v>55</v>
      </c>
      <c r="G35" s="376" t="s">
        <v>543</v>
      </c>
      <c r="H35" s="86">
        <f>VLOOKUP(G35,Settings!$C$80:$F$83,2,FALSE)</f>
        <v>1.1507067476516331E-4</v>
      </c>
      <c r="I35" s="86">
        <f>VLOOKUP(G35,Settings!$C$80:$F$83,3,FALSE)</f>
        <v>1.0274167389746723E-9</v>
      </c>
      <c r="J35" s="86">
        <f>VLOOKUP(G35,Settings!$C$80:$F$83,4,FALSE)</f>
        <v>3.2192391154539729E-9</v>
      </c>
      <c r="K35" s="65">
        <f t="shared" si="1"/>
        <v>383.69511005720346</v>
      </c>
      <c r="L35" s="65">
        <f t="shared" si="2"/>
        <v>3.4258491969393168E-3</v>
      </c>
      <c r="M35" s="65">
        <f t="shared" si="3"/>
        <v>1.0734327483743191E-2</v>
      </c>
      <c r="N35" s="65">
        <f>M35*Settings!$D$24+L35*Settings!$C$24+K35</f>
        <v>386.71807938858274</v>
      </c>
      <c r="O35" s="385" t="s">
        <v>718</v>
      </c>
      <c r="P35" s="10"/>
      <c r="Q35" s="10"/>
      <c r="R35" s="10"/>
    </row>
    <row r="36" spans="2:18" x14ac:dyDescent="0.25">
      <c r="B36" s="431" t="s">
        <v>468</v>
      </c>
      <c r="C36" s="415" t="str">
        <f t="shared" si="0"/>
        <v>Iron Making</v>
      </c>
      <c r="D36" s="425" t="s">
        <v>1551</v>
      </c>
      <c r="E36" s="133">
        <v>66615</v>
      </c>
      <c r="F36" s="426">
        <v>690</v>
      </c>
      <c r="G36" s="376" t="s">
        <v>543</v>
      </c>
      <c r="H36" s="86">
        <f>VLOOKUP(G36,Settings!$C$80:$F$83,2,FALSE)</f>
        <v>1.1507067476516331E-4</v>
      </c>
      <c r="I36" s="86">
        <f>VLOOKUP(G36,Settings!$C$80:$F$83,3,FALSE)</f>
        <v>1.0274167389746723E-9</v>
      </c>
      <c r="J36" s="86">
        <f>VLOOKUP(G36,Settings!$C$80:$F$83,4,FALSE)</f>
        <v>3.2192391154539729E-9</v>
      </c>
      <c r="K36" s="65">
        <f t="shared" si="1"/>
        <v>5289.1487696421345</v>
      </c>
      <c r="L36" s="65">
        <f t="shared" si="2"/>
        <v>4.7224542586090476E-2</v>
      </c>
      <c r="M36" s="65">
        <f t="shared" si="3"/>
        <v>0.14797023343641683</v>
      </c>
      <c r="N36" s="65">
        <f>M36*Settings!$D$24+L36*Settings!$C$24+K36</f>
        <v>5330.819706020101</v>
      </c>
      <c r="O36" s="385" t="s">
        <v>718</v>
      </c>
      <c r="P36" s="10"/>
      <c r="Q36" s="10"/>
      <c r="R36" s="10"/>
    </row>
    <row r="37" spans="2:18" x14ac:dyDescent="0.25">
      <c r="B37" s="431" t="s">
        <v>468</v>
      </c>
      <c r="C37" s="415" t="str">
        <f t="shared" si="0"/>
        <v>Iron Making</v>
      </c>
      <c r="D37" s="425" t="s">
        <v>1552</v>
      </c>
      <c r="E37" s="133">
        <v>8045</v>
      </c>
      <c r="F37" s="426">
        <v>500</v>
      </c>
      <c r="G37" s="376" t="s">
        <v>543</v>
      </c>
      <c r="H37" s="86">
        <f>VLOOKUP(G37,Settings!$C$80:$F$83,2,FALSE)</f>
        <v>1.1507067476516331E-4</v>
      </c>
      <c r="I37" s="86">
        <f>VLOOKUP(G37,Settings!$C$80:$F$83,3,FALSE)</f>
        <v>1.0274167389746723E-9</v>
      </c>
      <c r="J37" s="86">
        <f>VLOOKUP(G37,Settings!$C$80:$F$83,4,FALSE)</f>
        <v>3.2192391154539729E-9</v>
      </c>
      <c r="K37" s="65">
        <f t="shared" si="1"/>
        <v>462.8717892428694</v>
      </c>
      <c r="L37" s="65">
        <f t="shared" si="2"/>
        <v>4.1327838325256197E-3</v>
      </c>
      <c r="M37" s="65">
        <f t="shared" si="3"/>
        <v>1.2949389341913605E-2</v>
      </c>
      <c r="N37" s="65">
        <f>M37*Settings!$D$24+L37*Settings!$C$24+K37</f>
        <v>466.51855769668998</v>
      </c>
      <c r="O37" s="385" t="s">
        <v>718</v>
      </c>
      <c r="P37" s="10"/>
      <c r="Q37" s="10"/>
      <c r="R37" s="10"/>
    </row>
    <row r="38" spans="2:18" x14ac:dyDescent="0.25">
      <c r="B38" s="431" t="s">
        <v>468</v>
      </c>
      <c r="C38" s="415" t="str">
        <f t="shared" si="0"/>
        <v>Iron Making</v>
      </c>
      <c r="D38" s="425" t="s">
        <v>1553</v>
      </c>
      <c r="E38" s="133">
        <v>410009</v>
      </c>
      <c r="F38" s="426">
        <v>450</v>
      </c>
      <c r="G38" s="376" t="s">
        <v>543</v>
      </c>
      <c r="H38" s="86">
        <f>VLOOKUP(G38,Settings!$C$80:$F$83,2,FALSE)</f>
        <v>1.1507067476516331E-4</v>
      </c>
      <c r="I38" s="86">
        <f>VLOOKUP(G38,Settings!$C$80:$F$83,3,FALSE)</f>
        <v>1.0274167389746723E-9</v>
      </c>
      <c r="J38" s="86">
        <f>VLOOKUP(G38,Settings!$C$80:$F$83,4,FALSE)</f>
        <v>3.2192391154539729E-9</v>
      </c>
      <c r="K38" s="65">
        <f t="shared" si="1"/>
        <v>21231.005530405429</v>
      </c>
      <c r="L38" s="65">
        <f t="shared" si="2"/>
        <v>0.18956254937861988</v>
      </c>
      <c r="M38" s="65">
        <f t="shared" si="3"/>
        <v>0.59396265471967558</v>
      </c>
      <c r="N38" s="65">
        <f>M38*Settings!$D$24+L38*Settings!$C$24+K38</f>
        <v>21398.275523977125</v>
      </c>
      <c r="O38" s="385" t="s">
        <v>718</v>
      </c>
      <c r="P38" s="10"/>
      <c r="Q38" s="10"/>
      <c r="R38" s="10"/>
    </row>
    <row r="39" spans="2:18" x14ac:dyDescent="0.25">
      <c r="B39" s="431" t="s">
        <v>468</v>
      </c>
      <c r="C39" s="415" t="str">
        <f t="shared" si="0"/>
        <v>Iron Making</v>
      </c>
      <c r="D39" s="425" t="s">
        <v>1554</v>
      </c>
      <c r="E39" s="133">
        <v>24572</v>
      </c>
      <c r="F39" s="426">
        <v>490</v>
      </c>
      <c r="G39" s="376" t="s">
        <v>543</v>
      </c>
      <c r="H39" s="86">
        <f>VLOOKUP(G39,Settings!$C$80:$F$83,2,FALSE)</f>
        <v>1.1507067476516331E-4</v>
      </c>
      <c r="I39" s="86">
        <f>VLOOKUP(G39,Settings!$C$80:$F$83,3,FALSE)</f>
        <v>1.0274167389746723E-9</v>
      </c>
      <c r="J39" s="86">
        <f>VLOOKUP(G39,Settings!$C$80:$F$83,4,FALSE)</f>
        <v>3.2192391154539729E-9</v>
      </c>
      <c r="K39" s="65">
        <f t="shared" si="1"/>
        <v>1385.4831439615004</v>
      </c>
      <c r="L39" s="65">
        <f t="shared" si="2"/>
        <v>1.2370385213941968E-2</v>
      </c>
      <c r="M39" s="65">
        <f t="shared" si="3"/>
        <v>3.8760540337018159E-2</v>
      </c>
      <c r="N39" s="65">
        <f>M39*Settings!$D$24+L39*Settings!$C$24+K39</f>
        <v>1396.3987718742828</v>
      </c>
      <c r="O39" s="385" t="s">
        <v>718</v>
      </c>
      <c r="P39" s="10"/>
      <c r="Q39" s="10"/>
      <c r="R39" s="10"/>
    </row>
    <row r="40" spans="2:18" x14ac:dyDescent="0.25">
      <c r="B40" s="431" t="s">
        <v>468</v>
      </c>
      <c r="C40" s="415" t="str">
        <f t="shared" si="0"/>
        <v>Iron Making</v>
      </c>
      <c r="D40" s="425" t="s">
        <v>1555</v>
      </c>
      <c r="E40" s="133">
        <v>10886</v>
      </c>
      <c r="F40" s="426">
        <v>780</v>
      </c>
      <c r="G40" s="376" t="s">
        <v>543</v>
      </c>
      <c r="H40" s="86">
        <f>VLOOKUP(G40,Settings!$C$80:$F$83,2,FALSE)</f>
        <v>1.1507067476516331E-4</v>
      </c>
      <c r="I40" s="86">
        <f>VLOOKUP(G40,Settings!$C$80:$F$83,3,FALSE)</f>
        <v>1.0274167389746723E-9</v>
      </c>
      <c r="J40" s="86">
        <f>VLOOKUP(G40,Settings!$C$80:$F$83,4,FALSE)</f>
        <v>3.2192391154539729E-9</v>
      </c>
      <c r="K40" s="65">
        <f t="shared" si="1"/>
        <v>977.07430508498283</v>
      </c>
      <c r="L40" s="65">
        <f t="shared" si="2"/>
        <v>8.72387772397306E-3</v>
      </c>
      <c r="M40" s="65">
        <f t="shared" si="3"/>
        <v>2.7334816868448918E-2</v>
      </c>
      <c r="N40" s="65">
        <f>M40*Settings!$D$24+L40*Settings!$C$24+K40</f>
        <v>984.77225478861669</v>
      </c>
      <c r="O40" s="385" t="s">
        <v>718</v>
      </c>
      <c r="P40" s="10"/>
      <c r="Q40" s="10"/>
      <c r="R40" s="10"/>
    </row>
    <row r="41" spans="2:18" x14ac:dyDescent="0.25">
      <c r="B41" s="431" t="s">
        <v>468</v>
      </c>
      <c r="C41" s="415" t="str">
        <f t="shared" si="0"/>
        <v>Iron Making</v>
      </c>
      <c r="D41" s="425" t="s">
        <v>1556</v>
      </c>
      <c r="E41" s="133">
        <v>133514</v>
      </c>
      <c r="F41" s="426">
        <v>550</v>
      </c>
      <c r="G41" s="376" t="s">
        <v>543</v>
      </c>
      <c r="H41" s="86">
        <f>VLOOKUP(G41,Settings!$C$80:$F$83,2,FALSE)</f>
        <v>1.1507067476516331E-4</v>
      </c>
      <c r="I41" s="86">
        <f>VLOOKUP(G41,Settings!$C$80:$F$83,3,FALSE)</f>
        <v>1.0274167389746723E-9</v>
      </c>
      <c r="J41" s="86">
        <f>VLOOKUP(G41,Settings!$C$80:$F$83,4,FALSE)</f>
        <v>3.2192391154539729E-9</v>
      </c>
      <c r="K41" s="65">
        <f t="shared" si="1"/>
        <v>8449.9503388278081</v>
      </c>
      <c r="L41" s="65">
        <f t="shared" si="2"/>
        <v>7.5445985168105426E-2</v>
      </c>
      <c r="M41" s="65">
        <f t="shared" si="3"/>
        <v>0.23639742019339696</v>
      </c>
      <c r="N41" s="65">
        <f>M41*Settings!$D$24+L41*Settings!$C$24+K41</f>
        <v>8516.5238761401451</v>
      </c>
      <c r="O41" s="385" t="s">
        <v>718</v>
      </c>
      <c r="P41" s="10"/>
      <c r="Q41" s="10"/>
      <c r="R41" s="10"/>
    </row>
    <row r="42" spans="2:18" x14ac:dyDescent="0.25">
      <c r="B42" s="431" t="s">
        <v>468</v>
      </c>
      <c r="C42" s="415" t="str">
        <f t="shared" si="0"/>
        <v>Iron Making</v>
      </c>
      <c r="D42" s="425" t="s">
        <v>1557</v>
      </c>
      <c r="E42" s="133">
        <v>84758</v>
      </c>
      <c r="F42" s="426">
        <v>650</v>
      </c>
      <c r="G42" s="376" t="s">
        <v>543</v>
      </c>
      <c r="H42" s="86">
        <f>VLOOKUP(G42,Settings!$C$80:$F$83,2,FALSE)</f>
        <v>1.1507067476516331E-4</v>
      </c>
      <c r="I42" s="86">
        <f>VLOOKUP(G42,Settings!$C$80:$F$83,3,FALSE)</f>
        <v>1.0274167389746723E-9</v>
      </c>
      <c r="J42" s="86">
        <f>VLOOKUP(G42,Settings!$C$80:$F$83,4,FALSE)</f>
        <v>3.2192391154539729E-9</v>
      </c>
      <c r="K42" s="65">
        <f t="shared" si="1"/>
        <v>6339.5541636347125</v>
      </c>
      <c r="L42" s="65">
        <f t="shared" si="2"/>
        <v>5.6603162175309932E-2</v>
      </c>
      <c r="M42" s="65">
        <f t="shared" si="3"/>
        <v>0.17735657481597109</v>
      </c>
      <c r="N42" s="65">
        <f>M42*Settings!$D$24+L42*Settings!$C$24+K42</f>
        <v>6389.5007939382058</v>
      </c>
      <c r="O42" s="385" t="s">
        <v>718</v>
      </c>
      <c r="P42" s="10"/>
      <c r="Q42" s="10"/>
      <c r="R42" s="10"/>
    </row>
    <row r="43" spans="2:18" x14ac:dyDescent="0.25">
      <c r="B43" s="431" t="s">
        <v>468</v>
      </c>
      <c r="C43" s="415" t="str">
        <f t="shared" si="0"/>
        <v>Iron Making</v>
      </c>
      <c r="D43" s="425" t="s">
        <v>1558</v>
      </c>
      <c r="E43" s="133">
        <v>8358</v>
      </c>
      <c r="F43" s="426">
        <v>800</v>
      </c>
      <c r="G43" s="376" t="s">
        <v>543</v>
      </c>
      <c r="H43" s="86">
        <f>VLOOKUP(G43,Settings!$C$80:$F$83,2,FALSE)</f>
        <v>1.1507067476516331E-4</v>
      </c>
      <c r="I43" s="86">
        <f>VLOOKUP(G43,Settings!$C$80:$F$83,3,FALSE)</f>
        <v>1.0274167389746723E-9</v>
      </c>
      <c r="J43" s="86">
        <f>VLOOKUP(G43,Settings!$C$80:$F$83,4,FALSE)</f>
        <v>3.2192391154539729E-9</v>
      </c>
      <c r="K43" s="65">
        <f t="shared" si="1"/>
        <v>769.40855974978797</v>
      </c>
      <c r="L43" s="65">
        <f t="shared" si="2"/>
        <v>6.8697192834802486E-3</v>
      </c>
      <c r="M43" s="65">
        <f t="shared" si="3"/>
        <v>2.1525120421571443E-2</v>
      </c>
      <c r="N43" s="65">
        <f>M43*Settings!$D$24+L43*Settings!$C$24+K43</f>
        <v>775.47040004553094</v>
      </c>
      <c r="O43" s="385" t="s">
        <v>718</v>
      </c>
      <c r="P43" s="10"/>
      <c r="Q43" s="10"/>
      <c r="R43" s="10"/>
    </row>
    <row r="44" spans="2:18" x14ac:dyDescent="0.25">
      <c r="B44" s="431" t="s">
        <v>468</v>
      </c>
      <c r="C44" s="415" t="str">
        <f t="shared" si="0"/>
        <v>Iron Making</v>
      </c>
      <c r="D44" s="425" t="s">
        <v>1559</v>
      </c>
      <c r="E44" s="133">
        <v>403979</v>
      </c>
      <c r="F44" s="426">
        <v>550</v>
      </c>
      <c r="G44" s="376" t="s">
        <v>543</v>
      </c>
      <c r="H44" s="86">
        <f>VLOOKUP(G44,Settings!$C$80:$F$83,2,FALSE)</f>
        <v>1.1507067476516331E-4</v>
      </c>
      <c r="I44" s="86">
        <f>VLOOKUP(G44,Settings!$C$80:$F$83,3,FALSE)</f>
        <v>1.0274167389746723E-9</v>
      </c>
      <c r="J44" s="86">
        <f>VLOOKUP(G44,Settings!$C$80:$F$83,4,FALSE)</f>
        <v>3.2192391154539729E-9</v>
      </c>
      <c r="K44" s="65">
        <f t="shared" si="1"/>
        <v>25567.374866525748</v>
      </c>
      <c r="L44" s="65">
        <f t="shared" si="2"/>
        <v>0.22828013273683703</v>
      </c>
      <c r="M44" s="65">
        <f t="shared" si="3"/>
        <v>0.71527774924208931</v>
      </c>
      <c r="N44" s="65">
        <f>M44*Settings!$D$24+L44*Settings!$C$24+K44</f>
        <v>25768.809255652734</v>
      </c>
      <c r="O44" s="385" t="s">
        <v>718</v>
      </c>
      <c r="P44" s="10"/>
      <c r="Q44" s="10"/>
      <c r="R44" s="10"/>
    </row>
    <row r="45" spans="2:18" x14ac:dyDescent="0.25">
      <c r="B45" s="431" t="s">
        <v>468</v>
      </c>
      <c r="C45" s="415" t="str">
        <f t="shared" si="0"/>
        <v>Iron Making</v>
      </c>
      <c r="D45" s="425" t="s">
        <v>1560</v>
      </c>
      <c r="E45" s="133">
        <v>22774</v>
      </c>
      <c r="F45" s="426">
        <v>350</v>
      </c>
      <c r="G45" s="376" t="s">
        <v>543</v>
      </c>
      <c r="H45" s="86">
        <f>VLOOKUP(G45,Settings!$C$80:$F$83,2,FALSE)</f>
        <v>1.1507067476516331E-4</v>
      </c>
      <c r="I45" s="86">
        <f>VLOOKUP(G45,Settings!$C$80:$F$83,3,FALSE)</f>
        <v>1.0274167389746723E-9</v>
      </c>
      <c r="J45" s="86">
        <f>VLOOKUP(G45,Settings!$C$80:$F$83,4,FALSE)</f>
        <v>3.2192391154539729E-9</v>
      </c>
      <c r="K45" s="65">
        <f t="shared" si="1"/>
        <v>917.2168414856402</v>
      </c>
      <c r="L45" s="65">
        <f t="shared" si="2"/>
        <v>8.1894360846932156E-3</v>
      </c>
      <c r="M45" s="65">
        <f t="shared" si="3"/>
        <v>2.5660233065372073E-2</v>
      </c>
      <c r="N45" s="65">
        <f>M45*Settings!$D$24+L45*Settings!$C$24+K45</f>
        <v>924.44319988677353</v>
      </c>
      <c r="O45" s="385" t="s">
        <v>718</v>
      </c>
      <c r="P45" s="10"/>
      <c r="Q45" s="10"/>
      <c r="R45" s="10"/>
    </row>
    <row r="46" spans="2:18" x14ac:dyDescent="0.25">
      <c r="B46" s="431" t="s">
        <v>469</v>
      </c>
      <c r="C46" s="415" t="str">
        <f t="shared" si="0"/>
        <v>Iron Making</v>
      </c>
      <c r="D46" s="425" t="s">
        <v>1555</v>
      </c>
      <c r="E46" s="133">
        <v>759734</v>
      </c>
      <c r="F46" s="426">
        <v>780</v>
      </c>
      <c r="G46" s="376" t="s">
        <v>543</v>
      </c>
      <c r="H46" s="86">
        <f>VLOOKUP(G46,Settings!$C$80:$F$83,2,FALSE)</f>
        <v>1.1507067476516331E-4</v>
      </c>
      <c r="I46" s="86">
        <f>VLOOKUP(G46,Settings!$C$80:$F$83,3,FALSE)</f>
        <v>1.0274167389746723E-9</v>
      </c>
      <c r="J46" s="86">
        <f>VLOOKUP(G46,Settings!$C$80:$F$83,4,FALSE)</f>
        <v>3.2192391154539729E-9</v>
      </c>
      <c r="K46" s="65">
        <f t="shared" si="1"/>
        <v>68190.021137188538</v>
      </c>
      <c r="L46" s="65">
        <f t="shared" si="2"/>
        <v>0.60883947443918329</v>
      </c>
      <c r="M46" s="65">
        <f t="shared" si="3"/>
        <v>1.9076970199094407</v>
      </c>
      <c r="N46" s="65">
        <f>M46*Settings!$D$24+L46*Settings!$C$24+K46</f>
        <v>68727.261089433669</v>
      </c>
      <c r="O46" s="385" t="s">
        <v>718</v>
      </c>
      <c r="P46" s="10"/>
      <c r="Q46" s="10"/>
      <c r="R46" s="10"/>
    </row>
    <row r="47" spans="2:18" x14ac:dyDescent="0.25">
      <c r="B47" s="431" t="s">
        <v>469</v>
      </c>
      <c r="C47" s="415" t="str">
        <f t="shared" si="0"/>
        <v>Iron Making</v>
      </c>
      <c r="D47" s="425" t="s">
        <v>1562</v>
      </c>
      <c r="E47" s="133">
        <v>70079</v>
      </c>
      <c r="F47" s="426">
        <v>650</v>
      </c>
      <c r="G47" s="376" t="s">
        <v>543</v>
      </c>
      <c r="H47" s="86">
        <f>VLOOKUP(G47,Settings!$C$80:$F$83,2,FALSE)</f>
        <v>1.1507067476516331E-4</v>
      </c>
      <c r="I47" s="86">
        <f>VLOOKUP(G47,Settings!$C$80:$F$83,3,FALSE)</f>
        <v>1.0274167389746723E-9</v>
      </c>
      <c r="J47" s="86">
        <f>VLOOKUP(G47,Settings!$C$80:$F$83,4,FALSE)</f>
        <v>3.2192391154539729E-9</v>
      </c>
      <c r="K47" s="65">
        <f t="shared" si="1"/>
        <v>5241.6245809641214</v>
      </c>
      <c r="L47" s="65">
        <f t="shared" si="2"/>
        <v>4.6800219472893936E-2</v>
      </c>
      <c r="M47" s="65">
        <f t="shared" si="3"/>
        <v>0.14664068768173433</v>
      </c>
      <c r="N47" s="65">
        <f>M47*Settings!$D$24+L47*Settings!$C$24+K47</f>
        <v>5282.9210946270032</v>
      </c>
      <c r="O47" s="385" t="s">
        <v>718</v>
      </c>
      <c r="P47" s="10"/>
      <c r="Q47" s="10"/>
      <c r="R47" s="10"/>
    </row>
    <row r="48" spans="2:18" x14ac:dyDescent="0.25">
      <c r="B48" s="431" t="s">
        <v>469</v>
      </c>
      <c r="C48" s="415" t="str">
        <f t="shared" si="0"/>
        <v>Iron Making</v>
      </c>
      <c r="D48" s="425" t="s">
        <v>1557</v>
      </c>
      <c r="E48" s="133">
        <v>39963</v>
      </c>
      <c r="F48" s="426">
        <v>650</v>
      </c>
      <c r="G48" s="376" t="s">
        <v>543</v>
      </c>
      <c r="H48" s="86">
        <f>VLOOKUP(G48,Settings!$C$80:$F$83,2,FALSE)</f>
        <v>1.1507067476516331E-4</v>
      </c>
      <c r="I48" s="86">
        <f>VLOOKUP(G48,Settings!$C$80:$F$83,3,FALSE)</f>
        <v>1.0274167389746723E-9</v>
      </c>
      <c r="J48" s="86">
        <f>VLOOKUP(G48,Settings!$C$80:$F$83,4,FALSE)</f>
        <v>3.2192391154539729E-9</v>
      </c>
      <c r="K48" s="65">
        <f t="shared" si="1"/>
        <v>2989.0700941661439</v>
      </c>
      <c r="L48" s="65">
        <f t="shared" si="2"/>
        <v>2.6688125840769138E-2</v>
      </c>
      <c r="M48" s="65">
        <f t="shared" si="3"/>
        <v>8.3622794301076622E-2</v>
      </c>
      <c r="N48" s="65">
        <f>M48*Settings!$D$24+L48*Settings!$C$24+K48</f>
        <v>3012.6196964080386</v>
      </c>
      <c r="O48" s="385" t="s">
        <v>718</v>
      </c>
      <c r="P48" s="10"/>
      <c r="Q48" s="10"/>
      <c r="R48" s="10"/>
    </row>
    <row r="49" spans="2:18" x14ac:dyDescent="0.25">
      <c r="B49" s="431" t="s">
        <v>468</v>
      </c>
      <c r="C49" s="415" t="str">
        <f t="shared" si="0"/>
        <v>Iron Making</v>
      </c>
      <c r="D49" s="425" t="s">
        <v>1564</v>
      </c>
      <c r="E49" s="133">
        <v>328378.7</v>
      </c>
      <c r="F49" s="426">
        <v>1198</v>
      </c>
      <c r="G49" s="376" t="s">
        <v>1691</v>
      </c>
      <c r="H49" s="86">
        <f>VLOOKUP(G49,Settings!$C$80:$F$83,2,FALSE)</f>
        <v>1.5068778838295193E-5</v>
      </c>
      <c r="I49" s="86">
        <f>VLOOKUP(G49,Settings!$C$80:$F$83,3,FALSE)</f>
        <v>1.1644056375046285E-9</v>
      </c>
      <c r="J49" s="86">
        <f>VLOOKUP(G49,Settings!$C$80:$F$83,4,FALSE)</f>
        <v>3.4247224632489072E-10</v>
      </c>
      <c r="K49" s="65">
        <f t="shared" si="1"/>
        <v>5928.0226745972495</v>
      </c>
      <c r="L49" s="65">
        <f t="shared" si="2"/>
        <v>0.45807447940069651</v>
      </c>
      <c r="M49" s="65">
        <f t="shared" si="3"/>
        <v>0.13472778805902838</v>
      </c>
      <c r="N49" s="65">
        <f>M49*Settings!$D$24+L49*Settings!$C$24+K49</f>
        <v>5977.1713716811828</v>
      </c>
      <c r="O49" s="385" t="s">
        <v>718</v>
      </c>
      <c r="P49" s="10"/>
      <c r="Q49" s="10"/>
      <c r="R49" s="10"/>
    </row>
    <row r="50" spans="2:18" x14ac:dyDescent="0.25">
      <c r="B50" s="431" t="s">
        <v>468</v>
      </c>
      <c r="C50" s="415" t="str">
        <f t="shared" si="0"/>
        <v>Iron Making</v>
      </c>
      <c r="D50" s="425" t="s">
        <v>258</v>
      </c>
      <c r="E50" s="133">
        <v>40241</v>
      </c>
      <c r="F50" s="426">
        <v>514</v>
      </c>
      <c r="G50" s="376" t="s">
        <v>1691</v>
      </c>
      <c r="H50" s="86">
        <f>VLOOKUP(G50,Settings!$C$80:$F$83,2,FALSE)</f>
        <v>1.5068778838295193E-5</v>
      </c>
      <c r="I50" s="86">
        <f>VLOOKUP(G50,Settings!$C$80:$F$83,3,FALSE)</f>
        <v>1.1644056375046285E-9</v>
      </c>
      <c r="J50" s="86">
        <f>VLOOKUP(G50,Settings!$C$80:$F$83,4,FALSE)</f>
        <v>3.4247224632489072E-10</v>
      </c>
      <c r="K50" s="65">
        <f t="shared" si="1"/>
        <v>311.68072282516414</v>
      </c>
      <c r="L50" s="65">
        <f t="shared" si="2"/>
        <v>2.408441949103541E-2</v>
      </c>
      <c r="M50" s="65">
        <f t="shared" si="3"/>
        <v>7.0836527914810024E-3</v>
      </c>
      <c r="N50" s="65">
        <f>M50*Settings!$D$24+L50*Settings!$C$24+K50</f>
        <v>314.26483936349643</v>
      </c>
      <c r="O50" s="385" t="s">
        <v>718</v>
      </c>
      <c r="P50" s="10"/>
      <c r="Q50" s="10"/>
      <c r="R50" s="10"/>
    </row>
    <row r="51" spans="2:18" x14ac:dyDescent="0.25">
      <c r="B51" s="431" t="s">
        <v>468</v>
      </c>
      <c r="C51" s="415" t="str">
        <f t="shared" si="0"/>
        <v>Iron Making</v>
      </c>
      <c r="D51" s="425" t="s">
        <v>260</v>
      </c>
      <c r="E51" s="133">
        <v>54367.5</v>
      </c>
      <c r="F51" s="426">
        <v>608</v>
      </c>
      <c r="G51" s="376" t="s">
        <v>1691</v>
      </c>
      <c r="H51" s="86">
        <f>VLOOKUP(G51,Settings!$C$80:$F$83,2,FALSE)</f>
        <v>1.5068778838295193E-5</v>
      </c>
      <c r="I51" s="86">
        <f>VLOOKUP(G51,Settings!$C$80:$F$83,3,FALSE)</f>
        <v>1.1644056375046285E-9</v>
      </c>
      <c r="J51" s="86">
        <f>VLOOKUP(G51,Settings!$C$80:$F$83,4,FALSE)</f>
        <v>3.4247224632489072E-10</v>
      </c>
      <c r="K51" s="65">
        <f t="shared" si="1"/>
        <v>498.10511476253646</v>
      </c>
      <c r="L51" s="65">
        <f t="shared" si="2"/>
        <v>3.8489940686195996E-2</v>
      </c>
      <c r="M51" s="65">
        <f t="shared" si="3"/>
        <v>1.1320570790057646E-2</v>
      </c>
      <c r="N51" s="65">
        <f>M51*Settings!$D$24+L51*Settings!$C$24+K51</f>
        <v>502.23485898674949</v>
      </c>
      <c r="O51" s="385" t="s">
        <v>718</v>
      </c>
      <c r="P51" s="10"/>
      <c r="Q51" s="10"/>
      <c r="R51" s="10"/>
    </row>
    <row r="52" spans="2:18" x14ac:dyDescent="0.25">
      <c r="B52" s="431" t="s">
        <v>468</v>
      </c>
      <c r="C52" s="415" t="str">
        <f t="shared" si="0"/>
        <v>Iron Making</v>
      </c>
      <c r="D52" s="425" t="s">
        <v>1565</v>
      </c>
      <c r="E52" s="133">
        <v>13650</v>
      </c>
      <c r="F52" s="426">
        <v>884</v>
      </c>
      <c r="G52" s="376" t="s">
        <v>1691</v>
      </c>
      <c r="H52" s="86">
        <f>VLOOKUP(G52,Settings!$C$80:$F$83,2,FALSE)</f>
        <v>1.5068778838295193E-5</v>
      </c>
      <c r="I52" s="86">
        <f>VLOOKUP(G52,Settings!$C$80:$F$83,3,FALSE)</f>
        <v>1.1644056375046285E-9</v>
      </c>
      <c r="J52" s="86">
        <f>VLOOKUP(G52,Settings!$C$80:$F$83,4,FALSE)</f>
        <v>3.4247224632489072E-10</v>
      </c>
      <c r="K52" s="65">
        <f t="shared" si="1"/>
        <v>181.82892673017278</v>
      </c>
      <c r="L52" s="65">
        <f t="shared" si="2"/>
        <v>1.4050417065513349E-2</v>
      </c>
      <c r="M52" s="65">
        <f t="shared" si="3"/>
        <v>4.1324756075039265E-3</v>
      </c>
      <c r="N52" s="65">
        <f>M52*Settings!$D$24+L52*Settings!$C$24+K52</f>
        <v>183.33645383179021</v>
      </c>
      <c r="O52" s="385" t="s">
        <v>718</v>
      </c>
      <c r="P52" s="10"/>
      <c r="Q52" s="10"/>
      <c r="R52" s="10"/>
    </row>
    <row r="53" spans="2:18" x14ac:dyDescent="0.25">
      <c r="B53" s="431" t="s">
        <v>468</v>
      </c>
      <c r="C53" s="415" t="str">
        <f t="shared" si="0"/>
        <v>Iron Making</v>
      </c>
      <c r="D53" s="425" t="s">
        <v>1566</v>
      </c>
      <c r="E53" s="133">
        <v>98717.5</v>
      </c>
      <c r="F53" s="426">
        <v>773</v>
      </c>
      <c r="G53" s="376" t="s">
        <v>1691</v>
      </c>
      <c r="H53" s="86">
        <f>VLOOKUP(G53,Settings!$C$80:$F$83,2,FALSE)</f>
        <v>1.5068778838295193E-5</v>
      </c>
      <c r="I53" s="86">
        <f>VLOOKUP(G53,Settings!$C$80:$F$83,3,FALSE)</f>
        <v>1.1644056375046285E-9</v>
      </c>
      <c r="J53" s="86">
        <f>VLOOKUP(G53,Settings!$C$80:$F$83,4,FALSE)</f>
        <v>3.4247224632489072E-10</v>
      </c>
      <c r="K53" s="65">
        <f t="shared" si="1"/>
        <v>1149.8778312513507</v>
      </c>
      <c r="L53" s="65">
        <f t="shared" si="2"/>
        <v>8.8854196051240716E-2</v>
      </c>
      <c r="M53" s="65">
        <f t="shared" si="3"/>
        <v>2.6133587073894331E-2</v>
      </c>
      <c r="N53" s="65">
        <f>M53*Settings!$D$24+L53*Settings!$C$24+K53</f>
        <v>1159.4113638159074</v>
      </c>
      <c r="O53" s="385" t="s">
        <v>718</v>
      </c>
      <c r="P53" s="10"/>
      <c r="Q53" s="10"/>
      <c r="R53" s="10"/>
    </row>
    <row r="54" spans="2:18" x14ac:dyDescent="0.25">
      <c r="B54" s="431" t="s">
        <v>468</v>
      </c>
      <c r="C54" s="415" t="str">
        <f t="shared" si="0"/>
        <v>Iron Making</v>
      </c>
      <c r="D54" s="425" t="s">
        <v>1569</v>
      </c>
      <c r="E54" s="133">
        <v>563701.69999999995</v>
      </c>
      <c r="F54" s="426">
        <v>50</v>
      </c>
      <c r="G54" s="376" t="s">
        <v>1691</v>
      </c>
      <c r="H54" s="86">
        <f>VLOOKUP(G54,Settings!$C$80:$F$83,2,FALSE)</f>
        <v>1.5068778838295193E-5</v>
      </c>
      <c r="I54" s="86">
        <f>VLOOKUP(G54,Settings!$C$80:$F$83,3,FALSE)</f>
        <v>1.1644056375046285E-9</v>
      </c>
      <c r="J54" s="86">
        <f>VLOOKUP(G54,Settings!$C$80:$F$83,4,FALSE)</f>
        <v>3.4247224632489072E-10</v>
      </c>
      <c r="K54" s="65">
        <f t="shared" si="1"/>
        <v>424.71481240355121</v>
      </c>
      <c r="L54" s="65">
        <f t="shared" si="2"/>
        <v>3.2818871867547138E-2</v>
      </c>
      <c r="M54" s="65">
        <f t="shared" si="3"/>
        <v>9.6526093728079819E-3</v>
      </c>
      <c r="N54" s="65">
        <f>M54*Settings!$D$24+L54*Settings!$C$24+K54</f>
        <v>428.23608430275158</v>
      </c>
      <c r="O54" s="385" t="s">
        <v>718</v>
      </c>
      <c r="P54" s="10"/>
      <c r="Q54" s="10"/>
      <c r="R54" s="10"/>
    </row>
    <row r="55" spans="2:18" x14ac:dyDescent="0.25">
      <c r="B55" s="431" t="s">
        <v>468</v>
      </c>
      <c r="C55" s="415" t="str">
        <f t="shared" si="0"/>
        <v>Iron Making</v>
      </c>
      <c r="D55" s="425" t="s">
        <v>259</v>
      </c>
      <c r="E55" s="133">
        <v>2989764</v>
      </c>
      <c r="F55" s="426">
        <v>449</v>
      </c>
      <c r="G55" s="376" t="s">
        <v>1691</v>
      </c>
      <c r="H55" s="86">
        <f>VLOOKUP(G55,Settings!$C$80:$F$83,2,FALSE)</f>
        <v>1.5068778838295193E-5</v>
      </c>
      <c r="I55" s="86">
        <f>VLOOKUP(G55,Settings!$C$80:$F$83,3,FALSE)</f>
        <v>1.1644056375046285E-9</v>
      </c>
      <c r="J55" s="86">
        <f>VLOOKUP(G55,Settings!$C$80:$F$83,4,FALSE)</f>
        <v>3.4247224632489072E-10</v>
      </c>
      <c r="K55" s="65">
        <f t="shared" si="1"/>
        <v>20228.389530118857</v>
      </c>
      <c r="L55" s="65">
        <f t="shared" si="2"/>
        <v>1.5631028273273662</v>
      </c>
      <c r="M55" s="65">
        <f t="shared" si="3"/>
        <v>0.45973612568451949</v>
      </c>
      <c r="N55" s="65">
        <f>M55*Settings!$D$24+L55*Settings!$C$24+K55</f>
        <v>20396.101268768569</v>
      </c>
      <c r="O55" s="385" t="s">
        <v>718</v>
      </c>
      <c r="P55" s="10"/>
      <c r="Q55" s="10"/>
      <c r="R55" s="10"/>
    </row>
    <row r="56" spans="2:18" x14ac:dyDescent="0.25">
      <c r="B56" s="431" t="s">
        <v>469</v>
      </c>
      <c r="C56" s="415" t="str">
        <f t="shared" si="0"/>
        <v>Iron Making</v>
      </c>
      <c r="D56" s="425" t="s">
        <v>1567</v>
      </c>
      <c r="E56" s="133">
        <v>29190</v>
      </c>
      <c r="F56" s="426">
        <v>1202</v>
      </c>
      <c r="G56" s="376" t="s">
        <v>1691</v>
      </c>
      <c r="H56" s="86">
        <f>VLOOKUP(G56,Settings!$C$80:$F$83,2,FALSE)</f>
        <v>1.5068778838295193E-5</v>
      </c>
      <c r="I56" s="86">
        <f>VLOOKUP(G56,Settings!$C$80:$F$83,3,FALSE)</f>
        <v>1.1644056375046285E-9</v>
      </c>
      <c r="J56" s="86">
        <f>VLOOKUP(G56,Settings!$C$80:$F$83,4,FALSE)</f>
        <v>3.4247224632489072E-10</v>
      </c>
      <c r="K56" s="65">
        <f t="shared" si="1"/>
        <v>528.70890045638373</v>
      </c>
      <c r="L56" s="65">
        <f t="shared" si="2"/>
        <v>4.0854778671629649E-2</v>
      </c>
      <c r="M56" s="65">
        <f t="shared" si="3"/>
        <v>1.2016111374008719E-2</v>
      </c>
      <c r="N56" s="65">
        <f>M56*Settings!$D$24+L56*Settings!$C$24+K56</f>
        <v>533.09237788562211</v>
      </c>
      <c r="O56" s="385" t="s">
        <v>718</v>
      </c>
      <c r="P56" s="10"/>
      <c r="Q56" s="10"/>
      <c r="R56" s="10"/>
    </row>
    <row r="57" spans="2:18" x14ac:dyDescent="0.25">
      <c r="B57" s="431" t="s">
        <v>469</v>
      </c>
      <c r="C57" s="415" t="str">
        <f t="shared" si="0"/>
        <v>Iron Making</v>
      </c>
      <c r="D57" s="425" t="s">
        <v>261</v>
      </c>
      <c r="E57" s="133">
        <v>1237215</v>
      </c>
      <c r="F57" s="426">
        <v>1199</v>
      </c>
      <c r="G57" s="376" t="s">
        <v>1691</v>
      </c>
      <c r="H57" s="86">
        <f>VLOOKUP(G57,Settings!$C$80:$F$83,2,FALSE)</f>
        <v>1.5068778838295193E-5</v>
      </c>
      <c r="I57" s="86">
        <f>VLOOKUP(G57,Settings!$C$80:$F$83,3,FALSE)</f>
        <v>1.1644056375046285E-9</v>
      </c>
      <c r="J57" s="86">
        <f>VLOOKUP(G57,Settings!$C$80:$F$83,4,FALSE)</f>
        <v>3.4247224632489072E-10</v>
      </c>
      <c r="K57" s="65">
        <f t="shared" si="1"/>
        <v>22353.339733295245</v>
      </c>
      <c r="L57" s="65">
        <f t="shared" si="2"/>
        <v>1.7273035248455413</v>
      </c>
      <c r="M57" s="65">
        <f t="shared" si="3"/>
        <v>0.50803044848398271</v>
      </c>
      <c r="N57" s="65">
        <f>M57*Settings!$D$24+L57*Settings!$C$24+K57</f>
        <v>22538.6692409022</v>
      </c>
      <c r="O57" s="385" t="s">
        <v>718</v>
      </c>
      <c r="P57" s="10"/>
      <c r="Q57" s="10"/>
      <c r="R57" s="10"/>
    </row>
    <row r="58" spans="2:18" x14ac:dyDescent="0.25">
      <c r="B58" s="431" t="s">
        <v>469</v>
      </c>
      <c r="C58" s="415" t="str">
        <f t="shared" si="0"/>
        <v>Iron Making</v>
      </c>
      <c r="D58" s="425" t="s">
        <v>1568</v>
      </c>
      <c r="E58" s="133">
        <v>40215</v>
      </c>
      <c r="F58" s="426">
        <v>773</v>
      </c>
      <c r="G58" s="376" t="s">
        <v>1691</v>
      </c>
      <c r="H58" s="86">
        <f>VLOOKUP(G58,Settings!$C$80:$F$83,2,FALSE)</f>
        <v>1.5068778838295193E-5</v>
      </c>
      <c r="I58" s="86">
        <f>VLOOKUP(G58,Settings!$C$80:$F$83,3,FALSE)</f>
        <v>1.1644056375046285E-9</v>
      </c>
      <c r="J58" s="86">
        <f>VLOOKUP(G58,Settings!$C$80:$F$83,4,FALSE)</f>
        <v>3.4247224632489072E-10</v>
      </c>
      <c r="K58" s="65">
        <f t="shared" si="1"/>
        <v>468.43099737911785</v>
      </c>
      <c r="L58" s="65">
        <f t="shared" si="2"/>
        <v>3.6196940706568197E-2</v>
      </c>
      <c r="M58" s="65">
        <f t="shared" si="3"/>
        <v>1.0646159031343586E-2</v>
      </c>
      <c r="N58" s="65">
        <f>M58*Settings!$D$24+L58*Settings!$C$24+K58</f>
        <v>472.31471619375202</v>
      </c>
      <c r="O58" s="385" t="s">
        <v>718</v>
      </c>
      <c r="P58" s="10"/>
      <c r="Q58" s="10"/>
      <c r="R58" s="10"/>
    </row>
    <row r="59" spans="2:18" x14ac:dyDescent="0.25">
      <c r="B59" s="431" t="s">
        <v>469</v>
      </c>
      <c r="C59" s="415" t="str">
        <f t="shared" si="0"/>
        <v>Iron Making</v>
      </c>
      <c r="D59" s="425" t="s">
        <v>1566</v>
      </c>
      <c r="E59" s="133">
        <v>46620</v>
      </c>
      <c r="F59" s="426">
        <v>773</v>
      </c>
      <c r="G59" s="376" t="s">
        <v>1691</v>
      </c>
      <c r="H59" s="86">
        <f>VLOOKUP(G59,Settings!$C$80:$F$83,2,FALSE)</f>
        <v>1.5068778838295193E-5</v>
      </c>
      <c r="I59" s="86">
        <f>VLOOKUP(G59,Settings!$C$80:$F$83,3,FALSE)</f>
        <v>1.1644056375046285E-9</v>
      </c>
      <c r="J59" s="86">
        <f>VLOOKUP(G59,Settings!$C$80:$F$83,4,FALSE)</f>
        <v>3.4247224632489072E-10</v>
      </c>
      <c r="K59" s="65">
        <f t="shared" si="1"/>
        <v>543.03750087814183</v>
      </c>
      <c r="L59" s="65">
        <f t="shared" si="2"/>
        <v>4.1961988704220049E-2</v>
      </c>
      <c r="M59" s="65">
        <f t="shared" si="3"/>
        <v>1.2341761383594132E-2</v>
      </c>
      <c r="N59" s="65">
        <f>M59*Settings!$D$24+L59*Settings!$C$24+K59</f>
        <v>547.53977543087694</v>
      </c>
      <c r="O59" s="385" t="s">
        <v>718</v>
      </c>
      <c r="P59" s="10"/>
      <c r="Q59" s="10"/>
      <c r="R59" s="10"/>
    </row>
    <row r="60" spans="2:18" x14ac:dyDescent="0.25">
      <c r="B60" s="431"/>
      <c r="C60" s="415" t="e">
        <f t="shared" si="0"/>
        <v>#N/A</v>
      </c>
      <c r="D60" s="425"/>
      <c r="E60" s="133"/>
      <c r="F60" s="426"/>
      <c r="G60" s="376"/>
      <c r="H60" s="86" t="e">
        <f>VLOOKUP(G60,Settings!$C$80:$F$83,2,FALSE)</f>
        <v>#N/A</v>
      </c>
      <c r="I60" s="86" t="e">
        <f>VLOOKUP(G60,Settings!$C$80:$F$83,3,FALSE)</f>
        <v>#N/A</v>
      </c>
      <c r="J60" s="86" t="e">
        <f>VLOOKUP(G60,Settings!$C$80:$F$83,4,FALSE)</f>
        <v>#N/A</v>
      </c>
      <c r="K60" s="65" t="e">
        <f t="shared" si="1"/>
        <v>#N/A</v>
      </c>
      <c r="L60" s="65" t="e">
        <f t="shared" si="2"/>
        <v>#N/A</v>
      </c>
      <c r="M60" s="65" t="e">
        <f t="shared" si="3"/>
        <v>#N/A</v>
      </c>
      <c r="N60" s="65" t="e">
        <f>M60*Settings!$D$24+L60*Settings!$C$24+K60</f>
        <v>#N/A</v>
      </c>
      <c r="O60" s="385"/>
      <c r="P60" s="10"/>
      <c r="Q60" s="10"/>
      <c r="R60" s="10"/>
    </row>
    <row r="61" spans="2:18" x14ac:dyDescent="0.25">
      <c r="B61" s="431"/>
      <c r="C61" s="415" t="e">
        <f t="shared" si="0"/>
        <v>#N/A</v>
      </c>
      <c r="D61" s="425"/>
      <c r="E61" s="133"/>
      <c r="F61" s="426"/>
      <c r="G61" s="376"/>
      <c r="H61" s="86" t="e">
        <f>VLOOKUP(G61,Settings!$C$80:$F$83,2,FALSE)</f>
        <v>#N/A</v>
      </c>
      <c r="I61" s="86" t="e">
        <f>VLOOKUP(G61,Settings!$C$80:$F$83,3,FALSE)</f>
        <v>#N/A</v>
      </c>
      <c r="J61" s="86" t="e">
        <f>VLOOKUP(G61,Settings!$C$80:$F$83,4,FALSE)</f>
        <v>#N/A</v>
      </c>
      <c r="K61" s="65" t="e">
        <f t="shared" si="1"/>
        <v>#N/A</v>
      </c>
      <c r="L61" s="65" t="e">
        <f t="shared" si="2"/>
        <v>#N/A</v>
      </c>
      <c r="M61" s="65" t="e">
        <f t="shared" si="3"/>
        <v>#N/A</v>
      </c>
      <c r="N61" s="65" t="e">
        <f>M61*Settings!$D$24+L61*Settings!$C$24+K61</f>
        <v>#N/A</v>
      </c>
      <c r="O61" s="385"/>
      <c r="P61" s="10"/>
      <c r="Q61" s="10"/>
      <c r="R61" s="10"/>
    </row>
    <row r="62" spans="2:18" x14ac:dyDescent="0.25">
      <c r="B62" s="431"/>
      <c r="C62" s="415" t="e">
        <f t="shared" si="0"/>
        <v>#N/A</v>
      </c>
      <c r="D62" s="425"/>
      <c r="E62" s="133"/>
      <c r="F62" s="426"/>
      <c r="G62" s="376"/>
      <c r="H62" s="86" t="e">
        <f>VLOOKUP(G62,Settings!$C$80:$F$83,2,FALSE)</f>
        <v>#N/A</v>
      </c>
      <c r="I62" s="86" t="e">
        <f>VLOOKUP(G62,Settings!$C$80:$F$83,3,FALSE)</f>
        <v>#N/A</v>
      </c>
      <c r="J62" s="86" t="e">
        <f>VLOOKUP(G62,Settings!$C$80:$F$83,4,FALSE)</f>
        <v>#N/A</v>
      </c>
      <c r="K62" s="65" t="e">
        <f t="shared" si="1"/>
        <v>#N/A</v>
      </c>
      <c r="L62" s="65" t="e">
        <f t="shared" si="2"/>
        <v>#N/A</v>
      </c>
      <c r="M62" s="65" t="e">
        <f t="shared" si="3"/>
        <v>#N/A</v>
      </c>
      <c r="N62" s="65" t="e">
        <f>M62*Settings!$D$24+L62*Settings!$C$24+K62</f>
        <v>#N/A</v>
      </c>
      <c r="O62" s="385"/>
      <c r="P62" s="10"/>
      <c r="Q62" s="10"/>
      <c r="R62" s="10"/>
    </row>
    <row r="63" spans="2:18" x14ac:dyDescent="0.25">
      <c r="B63" s="431"/>
      <c r="C63" s="415" t="e">
        <f t="shared" si="0"/>
        <v>#N/A</v>
      </c>
      <c r="D63" s="425"/>
      <c r="E63" s="428"/>
      <c r="F63" s="426"/>
      <c r="G63" s="376"/>
      <c r="H63" s="86" t="e">
        <f>VLOOKUP(G63,Settings!$C$80:$F$83,2,FALSE)</f>
        <v>#N/A</v>
      </c>
      <c r="I63" s="86" t="e">
        <f>VLOOKUP(G63,Settings!$C$80:$F$83,3,FALSE)</f>
        <v>#N/A</v>
      </c>
      <c r="J63" s="86" t="e">
        <f>VLOOKUP(G63,Settings!$C$80:$F$83,4,FALSE)</f>
        <v>#N/A</v>
      </c>
      <c r="K63" s="65" t="e">
        <f t="shared" si="1"/>
        <v>#N/A</v>
      </c>
      <c r="L63" s="65" t="e">
        <f t="shared" si="2"/>
        <v>#N/A</v>
      </c>
      <c r="M63" s="65" t="e">
        <f t="shared" si="3"/>
        <v>#N/A</v>
      </c>
      <c r="N63" s="65" t="e">
        <f>M63*Settings!$D$24+L63*Settings!$C$24+K63</f>
        <v>#N/A</v>
      </c>
      <c r="O63" s="385"/>
      <c r="P63" s="10"/>
      <c r="Q63" s="10"/>
      <c r="R63" s="10"/>
    </row>
    <row r="64" spans="2:18" x14ac:dyDescent="0.25">
      <c r="B64" s="670"/>
      <c r="C64" s="415" t="e">
        <f t="shared" si="0"/>
        <v>#N/A</v>
      </c>
      <c r="D64" s="425"/>
      <c r="E64" s="428"/>
      <c r="F64" s="426"/>
      <c r="G64" s="376"/>
      <c r="H64" s="86" t="e">
        <f>VLOOKUP(G64,Settings!$C$80:$F$83,2,FALSE)</f>
        <v>#N/A</v>
      </c>
      <c r="I64" s="86" t="e">
        <f>VLOOKUP(G64,Settings!$C$80:$F$83,3,FALSE)</f>
        <v>#N/A</v>
      </c>
      <c r="J64" s="86" t="e">
        <f>VLOOKUP(G64,Settings!$C$80:$F$83,4,FALSE)</f>
        <v>#N/A</v>
      </c>
      <c r="K64" s="65" t="e">
        <f t="shared" si="1"/>
        <v>#N/A</v>
      </c>
      <c r="L64" s="65" t="e">
        <f t="shared" si="2"/>
        <v>#N/A</v>
      </c>
      <c r="M64" s="65" t="e">
        <f t="shared" si="3"/>
        <v>#N/A</v>
      </c>
      <c r="N64" s="65" t="e">
        <f>M64*Settings!$D$24+L64*Settings!$C$24+K64</f>
        <v>#N/A</v>
      </c>
      <c r="O64" s="385"/>
      <c r="P64" s="10"/>
      <c r="Q64" s="10"/>
      <c r="R64" s="10"/>
    </row>
    <row r="65" spans="2:18" x14ac:dyDescent="0.25">
      <c r="B65" s="670"/>
      <c r="C65" s="415" t="e">
        <f t="shared" si="0"/>
        <v>#N/A</v>
      </c>
      <c r="D65" s="425"/>
      <c r="E65" s="428"/>
      <c r="F65" s="426"/>
      <c r="G65" s="376"/>
      <c r="H65" s="86" t="e">
        <f>VLOOKUP(G65,Settings!$C$80:$F$83,2,FALSE)</f>
        <v>#N/A</v>
      </c>
      <c r="I65" s="86" t="e">
        <f>VLOOKUP(G65,Settings!$C$80:$F$83,3,FALSE)</f>
        <v>#N/A</v>
      </c>
      <c r="J65" s="86" t="e">
        <f>VLOOKUP(G65,Settings!$C$80:$F$83,4,FALSE)</f>
        <v>#N/A</v>
      </c>
      <c r="K65" s="65" t="e">
        <f t="shared" si="1"/>
        <v>#N/A</v>
      </c>
      <c r="L65" s="65" t="e">
        <f t="shared" si="2"/>
        <v>#N/A</v>
      </c>
      <c r="M65" s="65" t="e">
        <f t="shared" si="3"/>
        <v>#N/A</v>
      </c>
      <c r="N65" s="65" t="e">
        <f>M65*Settings!$D$24+L65*Settings!$C$24+K65</f>
        <v>#N/A</v>
      </c>
      <c r="O65" s="385"/>
      <c r="P65" s="10"/>
      <c r="Q65" s="10"/>
      <c r="R65" s="10"/>
    </row>
    <row r="66" spans="2:18" x14ac:dyDescent="0.25">
      <c r="B66" s="670"/>
      <c r="C66" s="415" t="e">
        <f t="shared" si="0"/>
        <v>#N/A</v>
      </c>
      <c r="D66" s="425"/>
      <c r="E66" s="428"/>
      <c r="F66" s="426"/>
      <c r="G66" s="376"/>
      <c r="H66" s="86" t="e">
        <f>VLOOKUP(G66,Settings!$C$80:$F$83,2,FALSE)</f>
        <v>#N/A</v>
      </c>
      <c r="I66" s="86" t="e">
        <f>VLOOKUP(G66,Settings!$C$80:$F$83,3,FALSE)</f>
        <v>#N/A</v>
      </c>
      <c r="J66" s="86" t="e">
        <f>VLOOKUP(G66,Settings!$C$80:$F$83,4,FALSE)</f>
        <v>#N/A</v>
      </c>
      <c r="K66" s="65" t="e">
        <f t="shared" si="1"/>
        <v>#N/A</v>
      </c>
      <c r="L66" s="65" t="e">
        <f t="shared" si="2"/>
        <v>#N/A</v>
      </c>
      <c r="M66" s="65" t="e">
        <f t="shared" si="3"/>
        <v>#N/A</v>
      </c>
      <c r="N66" s="65" t="e">
        <f>M66*Settings!$D$24+L66*Settings!$C$24+K66</f>
        <v>#N/A</v>
      </c>
      <c r="O66" s="385"/>
      <c r="P66" s="10"/>
      <c r="Q66" s="10"/>
      <c r="R66" s="10"/>
    </row>
    <row r="67" spans="2:18" x14ac:dyDescent="0.25">
      <c r="B67" s="670"/>
      <c r="C67" s="415" t="e">
        <f t="shared" si="0"/>
        <v>#N/A</v>
      </c>
      <c r="D67" s="425"/>
      <c r="E67" s="428"/>
      <c r="F67" s="426"/>
      <c r="G67" s="376"/>
      <c r="H67" s="86" t="e">
        <f>VLOOKUP(G67,Settings!$C$80:$F$83,2,FALSE)</f>
        <v>#N/A</v>
      </c>
      <c r="I67" s="86" t="e">
        <f>VLOOKUP(G67,Settings!$C$80:$F$83,3,FALSE)</f>
        <v>#N/A</v>
      </c>
      <c r="J67" s="86" t="e">
        <f>VLOOKUP(G67,Settings!$C$80:$F$83,4,FALSE)</f>
        <v>#N/A</v>
      </c>
      <c r="K67" s="65" t="e">
        <f t="shared" si="1"/>
        <v>#N/A</v>
      </c>
      <c r="L67" s="65" t="e">
        <f t="shared" si="2"/>
        <v>#N/A</v>
      </c>
      <c r="M67" s="65" t="e">
        <f t="shared" si="3"/>
        <v>#N/A</v>
      </c>
      <c r="N67" s="65" t="e">
        <f>M67*Settings!$D$24+L67*Settings!$C$24+K67</f>
        <v>#N/A</v>
      </c>
      <c r="O67" s="385"/>
      <c r="P67" s="10"/>
      <c r="Q67" s="10"/>
      <c r="R67" s="10"/>
    </row>
    <row r="68" spans="2:18" x14ac:dyDescent="0.25">
      <c r="B68" s="670"/>
      <c r="C68" s="415" t="e">
        <f t="shared" si="0"/>
        <v>#N/A</v>
      </c>
      <c r="D68" s="425"/>
      <c r="E68" s="428"/>
      <c r="F68" s="426"/>
      <c r="G68" s="376"/>
      <c r="H68" s="86" t="e">
        <f>VLOOKUP(G68,Settings!$C$80:$F$83,2,FALSE)</f>
        <v>#N/A</v>
      </c>
      <c r="I68" s="86" t="e">
        <f>VLOOKUP(G68,Settings!$C$80:$F$83,3,FALSE)</f>
        <v>#N/A</v>
      </c>
      <c r="J68" s="86" t="e">
        <f>VLOOKUP(G68,Settings!$C$80:$F$83,4,FALSE)</f>
        <v>#N/A</v>
      </c>
      <c r="K68" s="65" t="e">
        <f t="shared" si="1"/>
        <v>#N/A</v>
      </c>
      <c r="L68" s="65" t="e">
        <f t="shared" si="2"/>
        <v>#N/A</v>
      </c>
      <c r="M68" s="65" t="e">
        <f t="shared" si="3"/>
        <v>#N/A</v>
      </c>
      <c r="N68" s="65" t="e">
        <f>M68*Settings!$D$24+L68*Settings!$C$24+K68</f>
        <v>#N/A</v>
      </c>
      <c r="O68" s="385"/>
      <c r="P68" s="10"/>
      <c r="Q68" s="10"/>
      <c r="R68" s="10"/>
    </row>
    <row r="69" spans="2:18" x14ac:dyDescent="0.25">
      <c r="B69" s="670"/>
      <c r="C69" s="415" t="e">
        <f t="shared" si="0"/>
        <v>#N/A</v>
      </c>
      <c r="D69" s="425"/>
      <c r="E69" s="428"/>
      <c r="F69" s="426"/>
      <c r="G69" s="376"/>
      <c r="H69" s="86" t="e">
        <f>VLOOKUP(G69,Settings!$C$80:$F$83,2,FALSE)</f>
        <v>#N/A</v>
      </c>
      <c r="I69" s="86" t="e">
        <f>VLOOKUP(G69,Settings!$C$80:$F$83,3,FALSE)</f>
        <v>#N/A</v>
      </c>
      <c r="J69" s="86" t="e">
        <f>VLOOKUP(G69,Settings!$C$80:$F$83,4,FALSE)</f>
        <v>#N/A</v>
      </c>
      <c r="K69" s="65" t="e">
        <f t="shared" si="1"/>
        <v>#N/A</v>
      </c>
      <c r="L69" s="65" t="e">
        <f t="shared" si="2"/>
        <v>#N/A</v>
      </c>
      <c r="M69" s="65" t="e">
        <f t="shared" si="3"/>
        <v>#N/A</v>
      </c>
      <c r="N69" s="65" t="e">
        <f>M69*Settings!$D$24+L69*Settings!$C$24+K69</f>
        <v>#N/A</v>
      </c>
      <c r="O69" s="385"/>
      <c r="P69" s="10"/>
      <c r="Q69" s="10"/>
      <c r="R69" s="10"/>
    </row>
    <row r="70" spans="2:18" x14ac:dyDescent="0.25">
      <c r="B70" s="431"/>
      <c r="C70" s="415" t="e">
        <f t="shared" si="0"/>
        <v>#N/A</v>
      </c>
      <c r="D70" s="425"/>
      <c r="E70" s="428"/>
      <c r="F70" s="426"/>
      <c r="G70" s="376"/>
      <c r="H70" s="86" t="e">
        <f>VLOOKUP(G70,Settings!$C$80:$F$83,2,FALSE)</f>
        <v>#N/A</v>
      </c>
      <c r="I70" s="86" t="e">
        <f>VLOOKUP(G70,Settings!$C$80:$F$83,3,FALSE)</f>
        <v>#N/A</v>
      </c>
      <c r="J70" s="86" t="e">
        <f>VLOOKUP(G70,Settings!$C$80:$F$83,4,FALSE)</f>
        <v>#N/A</v>
      </c>
      <c r="K70" s="65" t="e">
        <f t="shared" si="1"/>
        <v>#N/A</v>
      </c>
      <c r="L70" s="65" t="e">
        <f t="shared" si="2"/>
        <v>#N/A</v>
      </c>
      <c r="M70" s="65" t="e">
        <f t="shared" si="3"/>
        <v>#N/A</v>
      </c>
      <c r="N70" s="65" t="e">
        <f>M70*Settings!$D$24+L70*Settings!$C$24+K70</f>
        <v>#N/A</v>
      </c>
      <c r="O70" s="385"/>
      <c r="P70" s="10"/>
      <c r="Q70" s="10"/>
      <c r="R70" s="10"/>
    </row>
    <row r="71" spans="2:18" x14ac:dyDescent="0.25">
      <c r="B71" s="670"/>
      <c r="C71" s="415" t="e">
        <f t="shared" si="0"/>
        <v>#N/A</v>
      </c>
      <c r="D71" s="425"/>
      <c r="E71" s="429"/>
      <c r="F71" s="426"/>
      <c r="G71" s="376"/>
      <c r="H71" s="86" t="e">
        <f>VLOOKUP(G71,Settings!$C$80:$F$83,2,FALSE)</f>
        <v>#N/A</v>
      </c>
      <c r="I71" s="86" t="e">
        <f>VLOOKUP(G71,Settings!$C$80:$F$83,3,FALSE)</f>
        <v>#N/A</v>
      </c>
      <c r="J71" s="86" t="e">
        <f>VLOOKUP(G71,Settings!$C$80:$F$83,4,FALSE)</f>
        <v>#N/A</v>
      </c>
      <c r="K71" s="65" t="e">
        <f t="shared" si="1"/>
        <v>#N/A</v>
      </c>
      <c r="L71" s="65" t="e">
        <f t="shared" si="2"/>
        <v>#N/A</v>
      </c>
      <c r="M71" s="65" t="e">
        <f t="shared" si="3"/>
        <v>#N/A</v>
      </c>
      <c r="N71" s="65" t="e">
        <f>M71*Settings!$D$24+L71*Settings!$C$24+K71</f>
        <v>#N/A</v>
      </c>
      <c r="O71" s="385"/>
      <c r="P71" s="10"/>
      <c r="Q71" s="10"/>
      <c r="R71" s="10"/>
    </row>
    <row r="72" spans="2:18" x14ac:dyDescent="0.25">
      <c r="B72" s="670"/>
      <c r="C72" s="415" t="e">
        <f t="shared" si="0"/>
        <v>#N/A</v>
      </c>
      <c r="D72" s="425"/>
      <c r="E72" s="429"/>
      <c r="F72" s="426"/>
      <c r="G72" s="376"/>
      <c r="H72" s="86" t="e">
        <f>VLOOKUP(G72,Settings!$C$80:$F$83,2,FALSE)</f>
        <v>#N/A</v>
      </c>
      <c r="I72" s="86" t="e">
        <f>VLOOKUP(G72,Settings!$C$80:$F$83,3,FALSE)</f>
        <v>#N/A</v>
      </c>
      <c r="J72" s="86" t="e">
        <f>VLOOKUP(G72,Settings!$C$80:$F$83,4,FALSE)</f>
        <v>#N/A</v>
      </c>
      <c r="K72" s="65" t="e">
        <f t="shared" si="1"/>
        <v>#N/A</v>
      </c>
      <c r="L72" s="65" t="e">
        <f t="shared" si="2"/>
        <v>#N/A</v>
      </c>
      <c r="M72" s="65" t="e">
        <f t="shared" si="3"/>
        <v>#N/A</v>
      </c>
      <c r="N72" s="65" t="e">
        <f>M72*Settings!$D$24+L72*Settings!$C$24+K72</f>
        <v>#N/A</v>
      </c>
      <c r="O72" s="385"/>
      <c r="P72" s="10"/>
      <c r="Q72" s="10"/>
      <c r="R72" s="10"/>
    </row>
    <row r="73" spans="2:18" x14ac:dyDescent="0.25">
      <c r="B73" s="671"/>
      <c r="C73" s="415" t="e">
        <f t="shared" si="0"/>
        <v>#N/A</v>
      </c>
      <c r="D73" s="425"/>
      <c r="E73" s="429"/>
      <c r="F73" s="426"/>
      <c r="G73" s="376"/>
      <c r="H73" s="86" t="e">
        <f>VLOOKUP(G73,Settings!$C$80:$F$83,2,FALSE)</f>
        <v>#N/A</v>
      </c>
      <c r="I73" s="86" t="e">
        <f>VLOOKUP(G73,Settings!$C$80:$F$83,3,FALSE)</f>
        <v>#N/A</v>
      </c>
      <c r="J73" s="86" t="e">
        <f>VLOOKUP(G73,Settings!$C$80:$F$83,4,FALSE)</f>
        <v>#N/A</v>
      </c>
      <c r="K73" s="65" t="e">
        <f t="shared" si="1"/>
        <v>#N/A</v>
      </c>
      <c r="L73" s="65" t="e">
        <f t="shared" si="2"/>
        <v>#N/A</v>
      </c>
      <c r="M73" s="65" t="e">
        <f t="shared" si="3"/>
        <v>#N/A</v>
      </c>
      <c r="N73" s="65" t="e">
        <f>M73*Settings!$D$24+L73*Settings!$C$24+K73</f>
        <v>#N/A</v>
      </c>
      <c r="O73" s="385"/>
      <c r="P73" s="10"/>
      <c r="Q73" s="10"/>
      <c r="R73" s="10"/>
    </row>
    <row r="74" spans="2:18" ht="30" customHeight="1" x14ac:dyDescent="0.25">
      <c r="B74" s="355" t="s">
        <v>410</v>
      </c>
      <c r="C74" s="391"/>
      <c r="D74" s="391"/>
      <c r="E74" s="430">
        <f>SUM(E10:E73)</f>
        <v>11911365.4</v>
      </c>
      <c r="F74" s="355"/>
      <c r="G74" s="355"/>
      <c r="H74" s="418"/>
      <c r="I74" s="418"/>
      <c r="J74" s="418"/>
      <c r="K74" s="394">
        <f t="shared" ref="K74:M74" si="4">_xlfn.AGGREGATE(9,6,K10:K73)</f>
        <v>484583.09165465931</v>
      </c>
      <c r="L74" s="394">
        <f t="shared" si="4"/>
        <v>7.9226401965136377</v>
      </c>
      <c r="M74" s="394">
        <f t="shared" si="4"/>
        <v>13.280611099633282</v>
      </c>
      <c r="N74" s="394">
        <f>_xlfn.AGGREGATE(9,6,N10:N73)</f>
        <v>488422.60977016494</v>
      </c>
      <c r="O74" s="395"/>
      <c r="P74" s="10"/>
      <c r="Q74" s="10"/>
      <c r="R74" s="10"/>
    </row>
    <row r="76" spans="2:18" x14ac:dyDescent="0.25">
      <c r="B76" s="2"/>
      <c r="C76" s="2"/>
      <c r="D76" s="2"/>
      <c r="E76" s="2"/>
      <c r="F76" s="2"/>
      <c r="G76" s="2"/>
    </row>
    <row r="77" spans="2:18" x14ac:dyDescent="0.25">
      <c r="B77" s="2"/>
      <c r="C77" s="2"/>
      <c r="D77" s="2"/>
      <c r="E77" s="2"/>
      <c r="F77" s="2"/>
      <c r="G77" s="2"/>
    </row>
    <row r="78" spans="2:18" ht="30" customHeight="1" x14ac:dyDescent="0.25">
      <c r="B78" s="2"/>
      <c r="C78" s="2"/>
      <c r="D78" s="2"/>
      <c r="E78" s="2"/>
      <c r="F78" s="2"/>
      <c r="G78" s="2"/>
      <c r="I78" s="381" t="s">
        <v>927</v>
      </c>
      <c r="J78" s="381"/>
      <c r="K78" s="381"/>
      <c r="L78" s="381"/>
      <c r="M78" s="381"/>
      <c r="N78" s="381"/>
    </row>
    <row r="79" spans="2:18" x14ac:dyDescent="0.25">
      <c r="I79" s="1015" t="s">
        <v>329</v>
      </c>
      <c r="J79" s="1015" t="s">
        <v>335</v>
      </c>
      <c r="K79" s="1005" t="s">
        <v>406</v>
      </c>
      <c r="L79" s="1031"/>
      <c r="M79" s="1031"/>
      <c r="N79" s="1006"/>
    </row>
    <row r="80" spans="2:18" ht="16.2" customHeight="1" x14ac:dyDescent="0.25">
      <c r="I80" s="1016"/>
      <c r="J80" s="1016"/>
      <c r="K80" s="419" t="s">
        <v>219</v>
      </c>
      <c r="L80" s="419" t="s">
        <v>220</v>
      </c>
      <c r="M80" s="419" t="s">
        <v>221</v>
      </c>
      <c r="N80" s="419" t="s">
        <v>222</v>
      </c>
    </row>
    <row r="81" spans="9:14" x14ac:dyDescent="0.25">
      <c r="I81" s="353" t="s">
        <v>1820</v>
      </c>
      <c r="J81" s="91" t="s">
        <v>337</v>
      </c>
      <c r="K81" s="21">
        <f t="shared" ref="K81:K88" si="5">SUMIF($C$10:$C$73,J81,$K$10:$K$73)</f>
        <v>320684.30370967533</v>
      </c>
      <c r="L81" s="21">
        <f t="shared" ref="L81:L88" si="6">SUMIF($C$10:$C$73,J81,$L$10:$L$73)</f>
        <v>6.4592581612905686</v>
      </c>
      <c r="M81" s="21">
        <f t="shared" ref="M81:M88" si="7">SUMIF($C$10:$C$73,J81,$M$10:$M$73)</f>
        <v>8.6953473892676634</v>
      </c>
      <c r="N81" s="90">
        <f t="shared" ref="N81:N88" si="8">SUMIF($C$10:$C$73,J81,$N$10:$N$73)</f>
        <v>323232.53351730027</v>
      </c>
    </row>
    <row r="82" spans="9:14" x14ac:dyDescent="0.25">
      <c r="I82" s="353" t="s">
        <v>1821</v>
      </c>
      <c r="J82" s="91" t="s">
        <v>338</v>
      </c>
      <c r="K82" s="21">
        <f t="shared" si="5"/>
        <v>163898.78794498392</v>
      </c>
      <c r="L82" s="21">
        <f t="shared" si="6"/>
        <v>1.4633820352230709</v>
      </c>
      <c r="M82" s="21">
        <f t="shared" si="7"/>
        <v>4.5852637103656209</v>
      </c>
      <c r="N82" s="90">
        <f t="shared" si="8"/>
        <v>165190.07625286479</v>
      </c>
    </row>
    <row r="83" spans="9:14" x14ac:dyDescent="0.25">
      <c r="I83" s="353" t="s">
        <v>1822</v>
      </c>
      <c r="J83" s="91" t="s">
        <v>339</v>
      </c>
      <c r="K83" s="21">
        <f t="shared" si="5"/>
        <v>0</v>
      </c>
      <c r="L83" s="21">
        <f t="shared" si="6"/>
        <v>0</v>
      </c>
      <c r="M83" s="21">
        <f t="shared" si="7"/>
        <v>0</v>
      </c>
      <c r="N83" s="90">
        <f t="shared" si="8"/>
        <v>0</v>
      </c>
    </row>
    <row r="84" spans="9:14" x14ac:dyDescent="0.25">
      <c r="I84" s="353" t="s">
        <v>1823</v>
      </c>
      <c r="J84" s="91" t="s">
        <v>340</v>
      </c>
      <c r="K84" s="21">
        <f t="shared" si="5"/>
        <v>0</v>
      </c>
      <c r="L84" s="21">
        <f t="shared" si="6"/>
        <v>0</v>
      </c>
      <c r="M84" s="21">
        <f t="shared" si="7"/>
        <v>0</v>
      </c>
      <c r="N84" s="90">
        <f t="shared" si="8"/>
        <v>0</v>
      </c>
    </row>
    <row r="85" spans="9:14" x14ac:dyDescent="0.25">
      <c r="I85" s="353" t="s">
        <v>1824</v>
      </c>
      <c r="J85" s="91" t="s">
        <v>341</v>
      </c>
      <c r="K85" s="21">
        <f t="shared" si="5"/>
        <v>0</v>
      </c>
      <c r="L85" s="21">
        <f t="shared" si="6"/>
        <v>0</v>
      </c>
      <c r="M85" s="21">
        <f t="shared" si="7"/>
        <v>0</v>
      </c>
      <c r="N85" s="90">
        <f t="shared" si="8"/>
        <v>0</v>
      </c>
    </row>
    <row r="86" spans="9:14" x14ac:dyDescent="0.25">
      <c r="I86" s="353" t="s">
        <v>1825</v>
      </c>
      <c r="J86" s="91" t="s">
        <v>342</v>
      </c>
      <c r="K86" s="21">
        <f t="shared" si="5"/>
        <v>0</v>
      </c>
      <c r="L86" s="21">
        <f t="shared" si="6"/>
        <v>0</v>
      </c>
      <c r="M86" s="21">
        <f t="shared" si="7"/>
        <v>0</v>
      </c>
      <c r="N86" s="90">
        <f t="shared" si="8"/>
        <v>0</v>
      </c>
    </row>
    <row r="87" spans="9:14" x14ac:dyDescent="0.25">
      <c r="I87" s="353" t="s">
        <v>1826</v>
      </c>
      <c r="J87" s="91" t="s">
        <v>343</v>
      </c>
      <c r="K87" s="21">
        <f t="shared" si="5"/>
        <v>0</v>
      </c>
      <c r="L87" s="21">
        <f t="shared" si="6"/>
        <v>0</v>
      </c>
      <c r="M87" s="21">
        <f t="shared" si="7"/>
        <v>0</v>
      </c>
      <c r="N87" s="90">
        <f t="shared" si="8"/>
        <v>0</v>
      </c>
    </row>
    <row r="88" spans="9:14" x14ac:dyDescent="0.25">
      <c r="I88" s="353" t="s">
        <v>1827</v>
      </c>
      <c r="J88" s="91" t="s">
        <v>510</v>
      </c>
      <c r="K88" s="21">
        <f t="shared" si="5"/>
        <v>0</v>
      </c>
      <c r="L88" s="21">
        <f t="shared" si="6"/>
        <v>0</v>
      </c>
      <c r="M88" s="21">
        <f t="shared" si="7"/>
        <v>0</v>
      </c>
      <c r="N88" s="90">
        <f t="shared" si="8"/>
        <v>0</v>
      </c>
    </row>
    <row r="89" spans="9:14" ht="30" customHeight="1" x14ac:dyDescent="0.25">
      <c r="I89" s="355" t="s">
        <v>410</v>
      </c>
      <c r="J89" s="394"/>
      <c r="K89" s="394">
        <f t="shared" ref="K89:M89" si="9">_xlfn.AGGREGATE(9,6,K81:K88)</f>
        <v>484583.09165465925</v>
      </c>
      <c r="L89" s="394">
        <f t="shared" si="9"/>
        <v>7.9226401965136395</v>
      </c>
      <c r="M89" s="394">
        <f t="shared" si="9"/>
        <v>13.280611099633283</v>
      </c>
      <c r="N89" s="394">
        <f>_xlfn.AGGREGATE(9,6,N81:N88)</f>
        <v>488422.60977016506</v>
      </c>
    </row>
    <row r="93" spans="9:14" ht="30" customHeight="1" x14ac:dyDescent="0.25">
      <c r="I93" s="421" t="s">
        <v>928</v>
      </c>
      <c r="J93" s="421"/>
      <c r="K93" s="421"/>
      <c r="L93" s="422"/>
      <c r="M93" s="422"/>
      <c r="N93" s="423"/>
    </row>
    <row r="94" spans="9:14" ht="29.4" customHeight="1" x14ac:dyDescent="0.25">
      <c r="I94" s="976" t="s">
        <v>411</v>
      </c>
      <c r="J94" s="976" t="s">
        <v>55</v>
      </c>
      <c r="K94" s="976" t="s">
        <v>335</v>
      </c>
      <c r="L94" s="374" t="s">
        <v>930</v>
      </c>
      <c r="M94" s="374" t="s">
        <v>929</v>
      </c>
      <c r="N94" s="374" t="s">
        <v>670</v>
      </c>
    </row>
    <row r="95" spans="9:14" ht="16.2" customHeight="1" x14ac:dyDescent="0.25">
      <c r="I95" s="976"/>
      <c r="J95" s="976"/>
      <c r="K95" s="976"/>
      <c r="L95" s="378" t="s">
        <v>302</v>
      </c>
      <c r="M95" s="355" t="s">
        <v>222</v>
      </c>
      <c r="N95" s="355" t="s">
        <v>270</v>
      </c>
    </row>
    <row r="96" spans="9:14" x14ac:dyDescent="0.25">
      <c r="I96" s="679" t="s">
        <v>594</v>
      </c>
      <c r="J96" s="91" t="s">
        <v>468</v>
      </c>
      <c r="K96" s="91" t="s">
        <v>337</v>
      </c>
      <c r="L96" s="21">
        <f>SUMIF($B$10:$B$73,J96,$E$10:$E$73)</f>
        <v>7145420.4000000004</v>
      </c>
      <c r="M96" s="21">
        <f>SUMIF($B$10:$B$73,J96,$N$10:$N$73)</f>
        <v>222118.11552641907</v>
      </c>
      <c r="N96" s="424">
        <f>M96/L96</f>
        <v>3.1085380998215173E-2</v>
      </c>
    </row>
    <row r="97" spans="9:14" x14ac:dyDescent="0.25">
      <c r="I97" s="679" t="s">
        <v>627</v>
      </c>
      <c r="J97" s="91" t="s">
        <v>467</v>
      </c>
      <c r="K97" s="91" t="s">
        <v>338</v>
      </c>
      <c r="L97" s="21">
        <f t="shared" ref="L97:L99" si="10">SUMIF($B$10:$B$73,J97,$E$10:$E$73)</f>
        <v>2438034</v>
      </c>
      <c r="M97" s="21">
        <f t="shared" ref="M97:M99" si="11">SUMIF($B$10:$B$73,J97,$N$10:$N$73)</f>
        <v>153997.87563612725</v>
      </c>
      <c r="N97" s="424">
        <f t="shared" ref="N97:N99" si="12">M97/L97</f>
        <v>6.3164777700445221E-2</v>
      </c>
    </row>
    <row r="98" spans="9:14" x14ac:dyDescent="0.25">
      <c r="I98" s="679" t="s">
        <v>594</v>
      </c>
      <c r="J98" s="91" t="s">
        <v>469</v>
      </c>
      <c r="K98" s="91" t="s">
        <v>337</v>
      </c>
      <c r="L98" s="21">
        <f t="shared" si="10"/>
        <v>2223016</v>
      </c>
      <c r="M98" s="21">
        <f t="shared" si="11"/>
        <v>101114.41799088116</v>
      </c>
      <c r="N98" s="424">
        <f t="shared" si="12"/>
        <v>4.5485240767894231E-2</v>
      </c>
    </row>
    <row r="99" spans="9:14" x14ac:dyDescent="0.25">
      <c r="I99" s="679" t="s">
        <v>627</v>
      </c>
      <c r="J99" s="91" t="s">
        <v>680</v>
      </c>
      <c r="K99" s="91" t="s">
        <v>338</v>
      </c>
      <c r="L99" s="21">
        <f t="shared" si="10"/>
        <v>104895</v>
      </c>
      <c r="M99" s="21">
        <f t="shared" si="11"/>
        <v>11192.20061673754</v>
      </c>
      <c r="N99" s="424">
        <f t="shared" si="12"/>
        <v>0.10669908591198379</v>
      </c>
    </row>
  </sheetData>
  <protectedRanges>
    <protectedRange sqref="O10:O73" name="Range3"/>
    <protectedRange sqref="D10:G73" name="Range2"/>
    <protectedRange sqref="B10:B73" name="Range1"/>
  </protectedRanges>
  <mergeCells count="15">
    <mergeCell ref="O8:O9"/>
    <mergeCell ref="K94:K95"/>
    <mergeCell ref="H8:J8"/>
    <mergeCell ref="K8:N8"/>
    <mergeCell ref="K79:N79"/>
    <mergeCell ref="I79:I80"/>
    <mergeCell ref="J79:J80"/>
    <mergeCell ref="J94:J95"/>
    <mergeCell ref="I94:I95"/>
    <mergeCell ref="G8:G9"/>
    <mergeCell ref="B8:B9"/>
    <mergeCell ref="C8:C9"/>
    <mergeCell ref="D8:D9"/>
    <mergeCell ref="E8:E9"/>
    <mergeCell ref="F8:F9"/>
  </mergeCells>
  <dataValidations count="1">
    <dataValidation type="list" allowBlank="1" showInputMessage="1" showErrorMessage="1" sqref="B10:B73" xr:uid="{07D248E6-0BE5-4BE9-9748-E4715E21D60A}">
      <formula1>$J$96:$J$99</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F364524-8B84-4F1F-8240-1717A2E433F3}">
          <x14:formula1>
            <xm:f>Settings!$B$341:$B$348</xm:f>
          </x14:formula1>
          <xm:sqref>C81:C88 J81:J88 K96:K99</xm:sqref>
        </x14:dataValidation>
        <x14:dataValidation type="list" allowBlank="1" showInputMessage="1" showErrorMessage="1" xr:uid="{D2B28771-CCDE-4DEF-B083-2AE6913C19B6}">
          <x14:formula1>
            <xm:f>Settings!$C$80:$C$83</xm:f>
          </x14:formula1>
          <xm:sqref>G10:G73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5FC94-8195-4EFC-A91C-B01464D77B79}">
  <dimension ref="B4:R65"/>
  <sheetViews>
    <sheetView rightToLeft="1" zoomScale="70" zoomScaleNormal="70" workbookViewId="0">
      <selection activeCell="P16" sqref="P16"/>
    </sheetView>
  </sheetViews>
  <sheetFormatPr defaultColWidth="9.09765625" defaultRowHeight="16.2" x14ac:dyDescent="0.25"/>
  <cols>
    <col min="1" max="1" width="12.09765625" style="3" customWidth="1"/>
    <col min="2" max="2" width="22.19921875" style="3" customWidth="1"/>
    <col min="3" max="3" width="17.19921875" style="3" customWidth="1"/>
    <col min="4" max="4" width="16.3984375" style="3" customWidth="1"/>
    <col min="5" max="5" width="15.59765625" style="3" customWidth="1"/>
    <col min="6" max="7" width="15.296875" style="3" customWidth="1"/>
    <col min="8" max="10" width="16.3984375" style="3" customWidth="1"/>
    <col min="11" max="14" width="16" style="3" customWidth="1"/>
    <col min="15" max="15" width="21.69921875" style="3" customWidth="1"/>
    <col min="16" max="16384" width="9.09765625" style="3"/>
  </cols>
  <sheetData>
    <row r="4" spans="2:18" ht="16.2" customHeight="1" x14ac:dyDescent="0.25">
      <c r="B4" s="9"/>
      <c r="C4" s="9"/>
      <c r="D4" s="9"/>
      <c r="E4" s="9"/>
      <c r="F4" s="9"/>
      <c r="G4" s="9"/>
    </row>
    <row r="5" spans="2:18" ht="16.8" x14ac:dyDescent="0.25">
      <c r="B5" s="27"/>
      <c r="C5" s="27"/>
      <c r="D5" s="16"/>
      <c r="E5" s="16"/>
      <c r="F5" s="16"/>
      <c r="G5" s="16"/>
      <c r="H5" s="16"/>
      <c r="I5" s="16"/>
      <c r="J5" s="16"/>
      <c r="K5" s="16"/>
      <c r="L5" s="16"/>
      <c r="M5" s="16"/>
      <c r="N5" s="16"/>
    </row>
    <row r="6" spans="2:18" ht="16.2" customHeight="1" x14ac:dyDescent="0.25"/>
    <row r="7" spans="2:18" s="279" customFormat="1" ht="30" customHeight="1" x14ac:dyDescent="0.25">
      <c r="B7" s="370" t="s">
        <v>356</v>
      </c>
      <c r="C7" s="371"/>
      <c r="D7" s="371"/>
      <c r="E7" s="371"/>
      <c r="F7" s="371"/>
      <c r="G7" s="371"/>
      <c r="H7" s="371"/>
      <c r="I7" s="371"/>
      <c r="J7" s="371"/>
      <c r="K7" s="371"/>
      <c r="L7" s="371"/>
      <c r="M7" s="371"/>
      <c r="N7" s="371"/>
      <c r="O7" s="372"/>
    </row>
    <row r="8" spans="2:18" ht="17.25" customHeight="1" x14ac:dyDescent="0.25">
      <c r="B8" s="976" t="s">
        <v>425</v>
      </c>
      <c r="C8" s="1015" t="s">
        <v>335</v>
      </c>
      <c r="D8" s="1015" t="s">
        <v>386</v>
      </c>
      <c r="E8" s="1014" t="s">
        <v>424</v>
      </c>
      <c r="F8" s="1014" t="s">
        <v>423</v>
      </c>
      <c r="G8" s="1014" t="s">
        <v>926</v>
      </c>
      <c r="H8" s="1005" t="s">
        <v>405</v>
      </c>
      <c r="I8" s="1031"/>
      <c r="J8" s="1006"/>
      <c r="K8" s="1005" t="s">
        <v>406</v>
      </c>
      <c r="L8" s="1031"/>
      <c r="M8" s="1031"/>
      <c r="N8" s="1006"/>
      <c r="O8" s="1014" t="s">
        <v>717</v>
      </c>
    </row>
    <row r="9" spans="2:18" ht="17.25" customHeight="1" x14ac:dyDescent="0.25">
      <c r="B9" s="976"/>
      <c r="C9" s="1016"/>
      <c r="D9" s="1016"/>
      <c r="E9" s="1016"/>
      <c r="F9" s="1016"/>
      <c r="G9" s="1008"/>
      <c r="H9" s="374" t="s">
        <v>906</v>
      </c>
      <c r="I9" s="374" t="s">
        <v>924</v>
      </c>
      <c r="J9" s="374" t="s">
        <v>925</v>
      </c>
      <c r="K9" s="355" t="s">
        <v>219</v>
      </c>
      <c r="L9" s="355" t="s">
        <v>220</v>
      </c>
      <c r="M9" s="355" t="s">
        <v>221</v>
      </c>
      <c r="N9" s="355" t="s">
        <v>222</v>
      </c>
      <c r="O9" s="1008"/>
    </row>
    <row r="10" spans="2:18" x14ac:dyDescent="0.25">
      <c r="B10" s="431"/>
      <c r="C10" s="415" t="e">
        <f>VLOOKUP(B10,Settings!$B$185:$D$197,3,0)</f>
        <v>#N/A</v>
      </c>
      <c r="D10" s="425"/>
      <c r="E10" s="133"/>
      <c r="F10" s="426"/>
      <c r="G10" s="376"/>
      <c r="H10" s="86" t="e">
        <f>VLOOKUP(G10,Settings!$C$80:$F$83,2,FALSE)</f>
        <v>#N/A</v>
      </c>
      <c r="I10" s="86" t="e">
        <f>VLOOKUP(G10,Settings!$C$80:$F$83,3,FALSE)</f>
        <v>#N/A</v>
      </c>
      <c r="J10" s="86" t="e">
        <f>VLOOKUP(G10,Settings!$C$80:$F$83,4,FALSE)</f>
        <v>#N/A</v>
      </c>
      <c r="K10" s="65" t="e">
        <f>E10*F10*H10</f>
        <v>#N/A</v>
      </c>
      <c r="L10" s="65" t="e">
        <f>E10*F10*I10</f>
        <v>#N/A</v>
      </c>
      <c r="M10" s="65" t="e">
        <f>E10*F10*J10</f>
        <v>#N/A</v>
      </c>
      <c r="N10" s="65" t="e">
        <f>M10*Settings!$D$24+L10*Settings!$C$24+K10</f>
        <v>#N/A</v>
      </c>
      <c r="O10" s="385"/>
      <c r="P10" s="10"/>
      <c r="Q10" s="10"/>
      <c r="R10" s="10"/>
    </row>
    <row r="11" spans="2:18" x14ac:dyDescent="0.25">
      <c r="B11" s="431"/>
      <c r="C11" s="415" t="e">
        <f>VLOOKUP(B11,Settings!$B$185:$D$197,3,0)</f>
        <v>#N/A</v>
      </c>
      <c r="D11" s="425"/>
      <c r="E11" s="133"/>
      <c r="F11" s="426"/>
      <c r="G11" s="376"/>
      <c r="H11" s="86" t="e">
        <f>VLOOKUP(G11,Settings!$C$80:$F$83,2,FALSE)</f>
        <v>#N/A</v>
      </c>
      <c r="I11" s="86" t="e">
        <f>VLOOKUP(G11,Settings!$C$80:$F$83,3,FALSE)</f>
        <v>#N/A</v>
      </c>
      <c r="J11" s="86" t="e">
        <f>VLOOKUP(G11,Settings!$C$80:$F$83,4,FALSE)</f>
        <v>#N/A</v>
      </c>
      <c r="K11" s="65" t="e">
        <f t="shared" ref="K11:K49" si="0">E11*F11*H11</f>
        <v>#N/A</v>
      </c>
      <c r="L11" s="65" t="e">
        <f t="shared" ref="L11:L49" si="1">E11*F11*I11</f>
        <v>#N/A</v>
      </c>
      <c r="M11" s="65" t="e">
        <f t="shared" ref="M11:M49" si="2">E11*F11*J11</f>
        <v>#N/A</v>
      </c>
      <c r="N11" s="65" t="e">
        <f>M11*Settings!$D$24+L11*Settings!$C$24+K11</f>
        <v>#N/A</v>
      </c>
      <c r="O11" s="385"/>
      <c r="P11" s="10"/>
      <c r="Q11" s="10"/>
      <c r="R11" s="10"/>
    </row>
    <row r="12" spans="2:18" x14ac:dyDescent="0.25">
      <c r="B12" s="431"/>
      <c r="C12" s="415" t="e">
        <f>VLOOKUP(B12,Settings!$B$185:$D$197,3,0)</f>
        <v>#N/A</v>
      </c>
      <c r="D12" s="425"/>
      <c r="E12" s="133"/>
      <c r="F12" s="426"/>
      <c r="G12" s="376"/>
      <c r="H12" s="86" t="e">
        <f>VLOOKUP(G12,Settings!$C$80:$F$83,2,FALSE)</f>
        <v>#N/A</v>
      </c>
      <c r="I12" s="86" t="e">
        <f>VLOOKUP(G12,Settings!$C$80:$F$83,3,FALSE)</f>
        <v>#N/A</v>
      </c>
      <c r="J12" s="86" t="e">
        <f>VLOOKUP(G12,Settings!$C$80:$F$83,4,FALSE)</f>
        <v>#N/A</v>
      </c>
      <c r="K12" s="65" t="e">
        <f t="shared" si="0"/>
        <v>#N/A</v>
      </c>
      <c r="L12" s="65" t="e">
        <f t="shared" si="1"/>
        <v>#N/A</v>
      </c>
      <c r="M12" s="65" t="e">
        <f t="shared" si="2"/>
        <v>#N/A</v>
      </c>
      <c r="N12" s="65" t="e">
        <f>M12*Settings!$D$24+L12*Settings!$C$24+K12</f>
        <v>#N/A</v>
      </c>
      <c r="O12" s="385"/>
      <c r="P12" s="10"/>
      <c r="Q12" s="10"/>
      <c r="R12" s="10"/>
    </row>
    <row r="13" spans="2:18" x14ac:dyDescent="0.25">
      <c r="B13" s="431"/>
      <c r="C13" s="415" t="e">
        <f>VLOOKUP(B13,Settings!$B$185:$D$197,3,0)</f>
        <v>#N/A</v>
      </c>
      <c r="D13" s="425"/>
      <c r="E13" s="133"/>
      <c r="F13" s="426"/>
      <c r="G13" s="376"/>
      <c r="H13" s="86" t="e">
        <f>VLOOKUP(G13,Settings!$C$80:$F$83,2,FALSE)</f>
        <v>#N/A</v>
      </c>
      <c r="I13" s="86" t="e">
        <f>VLOOKUP(G13,Settings!$C$80:$F$83,3,FALSE)</f>
        <v>#N/A</v>
      </c>
      <c r="J13" s="86" t="e">
        <f>VLOOKUP(G13,Settings!$C$80:$F$83,4,FALSE)</f>
        <v>#N/A</v>
      </c>
      <c r="K13" s="65" t="e">
        <f t="shared" si="0"/>
        <v>#N/A</v>
      </c>
      <c r="L13" s="65" t="e">
        <f t="shared" si="1"/>
        <v>#N/A</v>
      </c>
      <c r="M13" s="65" t="e">
        <f t="shared" si="2"/>
        <v>#N/A</v>
      </c>
      <c r="N13" s="65" t="e">
        <f>M13*Settings!$D$24+L13*Settings!$C$24+K13</f>
        <v>#N/A</v>
      </c>
      <c r="O13" s="385"/>
      <c r="P13" s="10"/>
      <c r="Q13" s="10"/>
      <c r="R13" s="10"/>
    </row>
    <row r="14" spans="2:18" x14ac:dyDescent="0.25">
      <c r="B14" s="431"/>
      <c r="C14" s="415" t="e">
        <f>VLOOKUP(B14,Settings!$B$185:$D$197,3,0)</f>
        <v>#N/A</v>
      </c>
      <c r="D14" s="425"/>
      <c r="E14" s="133"/>
      <c r="F14" s="426"/>
      <c r="G14" s="376"/>
      <c r="H14" s="86" t="e">
        <f>VLOOKUP(G14,Settings!$C$80:$F$83,2,FALSE)</f>
        <v>#N/A</v>
      </c>
      <c r="I14" s="86" t="e">
        <f>VLOOKUP(G14,Settings!$C$80:$F$83,3,FALSE)</f>
        <v>#N/A</v>
      </c>
      <c r="J14" s="86" t="e">
        <f>VLOOKUP(G14,Settings!$C$80:$F$83,4,FALSE)</f>
        <v>#N/A</v>
      </c>
      <c r="K14" s="65" t="e">
        <f t="shared" si="0"/>
        <v>#N/A</v>
      </c>
      <c r="L14" s="65" t="e">
        <f t="shared" si="1"/>
        <v>#N/A</v>
      </c>
      <c r="M14" s="65" t="e">
        <f t="shared" si="2"/>
        <v>#N/A</v>
      </c>
      <c r="N14" s="65" t="e">
        <f>M14*Settings!$D$24+L14*Settings!$C$24+K14</f>
        <v>#N/A</v>
      </c>
      <c r="O14" s="385"/>
      <c r="P14" s="10"/>
      <c r="Q14" s="10"/>
      <c r="R14" s="10"/>
    </row>
    <row r="15" spans="2:18" x14ac:dyDescent="0.25">
      <c r="B15" s="431"/>
      <c r="C15" s="415" t="e">
        <f>VLOOKUP(B15,Settings!$B$185:$D$197,3,0)</f>
        <v>#N/A</v>
      </c>
      <c r="D15" s="425"/>
      <c r="E15" s="133"/>
      <c r="F15" s="426"/>
      <c r="G15" s="376"/>
      <c r="H15" s="86" t="e">
        <f>VLOOKUP(G15,Settings!$C$80:$F$83,2,FALSE)</f>
        <v>#N/A</v>
      </c>
      <c r="I15" s="86" t="e">
        <f>VLOOKUP(G15,Settings!$C$80:$F$83,3,FALSE)</f>
        <v>#N/A</v>
      </c>
      <c r="J15" s="86" t="e">
        <f>VLOOKUP(G15,Settings!$C$80:$F$83,4,FALSE)</f>
        <v>#N/A</v>
      </c>
      <c r="K15" s="65" t="e">
        <f t="shared" si="0"/>
        <v>#N/A</v>
      </c>
      <c r="L15" s="65" t="e">
        <f t="shared" si="1"/>
        <v>#N/A</v>
      </c>
      <c r="M15" s="65" t="e">
        <f t="shared" si="2"/>
        <v>#N/A</v>
      </c>
      <c r="N15" s="65" t="e">
        <f>M15*Settings!$D$24+L15*Settings!$C$24+K15</f>
        <v>#N/A</v>
      </c>
      <c r="O15" s="385"/>
      <c r="P15" s="10"/>
      <c r="Q15" s="10"/>
      <c r="R15" s="10"/>
    </row>
    <row r="16" spans="2:18" x14ac:dyDescent="0.25">
      <c r="B16" s="431"/>
      <c r="C16" s="415" t="e">
        <f>VLOOKUP(B16,Settings!$B$185:$D$197,3,0)</f>
        <v>#N/A</v>
      </c>
      <c r="D16" s="425"/>
      <c r="E16" s="133"/>
      <c r="F16" s="426"/>
      <c r="G16" s="376"/>
      <c r="H16" s="86" t="e">
        <f>VLOOKUP(G16,Settings!$C$80:$F$83,2,FALSE)</f>
        <v>#N/A</v>
      </c>
      <c r="I16" s="86" t="e">
        <f>VLOOKUP(G16,Settings!$C$80:$F$83,3,FALSE)</f>
        <v>#N/A</v>
      </c>
      <c r="J16" s="86" t="e">
        <f>VLOOKUP(G16,Settings!$C$80:$F$83,4,FALSE)</f>
        <v>#N/A</v>
      </c>
      <c r="K16" s="65" t="e">
        <f t="shared" si="0"/>
        <v>#N/A</v>
      </c>
      <c r="L16" s="65" t="e">
        <f t="shared" si="1"/>
        <v>#N/A</v>
      </c>
      <c r="M16" s="65" t="e">
        <f t="shared" si="2"/>
        <v>#N/A</v>
      </c>
      <c r="N16" s="65" t="e">
        <f>M16*Settings!$D$24+L16*Settings!$C$24+K16</f>
        <v>#N/A</v>
      </c>
      <c r="O16" s="385"/>
      <c r="P16" s="10"/>
      <c r="Q16" s="10"/>
      <c r="R16" s="10"/>
    </row>
    <row r="17" spans="2:18" x14ac:dyDescent="0.25">
      <c r="B17" s="431"/>
      <c r="C17" s="415" t="e">
        <f>VLOOKUP(B17,Settings!$B$185:$D$197,3,0)</f>
        <v>#N/A</v>
      </c>
      <c r="D17" s="425"/>
      <c r="E17" s="133"/>
      <c r="F17" s="426"/>
      <c r="G17" s="376"/>
      <c r="H17" s="86" t="e">
        <f>VLOOKUP(G17,Settings!$C$80:$F$83,2,FALSE)</f>
        <v>#N/A</v>
      </c>
      <c r="I17" s="86" t="e">
        <f>VLOOKUP(G17,Settings!$C$80:$F$83,3,FALSE)</f>
        <v>#N/A</v>
      </c>
      <c r="J17" s="86" t="e">
        <f>VLOOKUP(G17,Settings!$C$80:$F$83,4,FALSE)</f>
        <v>#N/A</v>
      </c>
      <c r="K17" s="65" t="e">
        <f t="shared" si="0"/>
        <v>#N/A</v>
      </c>
      <c r="L17" s="65" t="e">
        <f t="shared" si="1"/>
        <v>#N/A</v>
      </c>
      <c r="M17" s="65" t="e">
        <f t="shared" si="2"/>
        <v>#N/A</v>
      </c>
      <c r="N17" s="65" t="e">
        <f>M17*Settings!$D$24+L17*Settings!$C$24+K17</f>
        <v>#N/A</v>
      </c>
      <c r="O17" s="385"/>
      <c r="P17" s="10"/>
      <c r="Q17" s="10"/>
      <c r="R17" s="10"/>
    </row>
    <row r="18" spans="2:18" x14ac:dyDescent="0.25">
      <c r="B18" s="431"/>
      <c r="C18" s="415" t="e">
        <f>VLOOKUP(B18,Settings!$B$185:$D$197,3,0)</f>
        <v>#N/A</v>
      </c>
      <c r="D18" s="425"/>
      <c r="E18" s="133"/>
      <c r="F18" s="426"/>
      <c r="G18" s="376"/>
      <c r="H18" s="86" t="e">
        <f>VLOOKUP(G18,Settings!$C$80:$F$83,2,FALSE)</f>
        <v>#N/A</v>
      </c>
      <c r="I18" s="86" t="e">
        <f>VLOOKUP(G18,Settings!$C$80:$F$83,3,FALSE)</f>
        <v>#N/A</v>
      </c>
      <c r="J18" s="86" t="e">
        <f>VLOOKUP(G18,Settings!$C$80:$F$83,4,FALSE)</f>
        <v>#N/A</v>
      </c>
      <c r="K18" s="65" t="e">
        <f t="shared" si="0"/>
        <v>#N/A</v>
      </c>
      <c r="L18" s="65" t="e">
        <f t="shared" si="1"/>
        <v>#N/A</v>
      </c>
      <c r="M18" s="65" t="e">
        <f t="shared" si="2"/>
        <v>#N/A</v>
      </c>
      <c r="N18" s="65" t="e">
        <f>M18*Settings!$D$24+L18*Settings!$C$24+K18</f>
        <v>#N/A</v>
      </c>
      <c r="O18" s="385"/>
      <c r="P18" s="10"/>
      <c r="Q18" s="10"/>
      <c r="R18" s="10"/>
    </row>
    <row r="19" spans="2:18" x14ac:dyDescent="0.25">
      <c r="B19" s="431"/>
      <c r="C19" s="415" t="e">
        <f>VLOOKUP(B19,Settings!$B$185:$D$197,3,0)</f>
        <v>#N/A</v>
      </c>
      <c r="D19" s="425"/>
      <c r="E19" s="133"/>
      <c r="F19" s="426"/>
      <c r="G19" s="376"/>
      <c r="H19" s="86" t="e">
        <f>VLOOKUP(G19,Settings!$C$80:$F$83,2,FALSE)</f>
        <v>#N/A</v>
      </c>
      <c r="I19" s="86" t="e">
        <f>VLOOKUP(G19,Settings!$C$80:$F$83,3,FALSE)</f>
        <v>#N/A</v>
      </c>
      <c r="J19" s="86" t="e">
        <f>VLOOKUP(G19,Settings!$C$80:$F$83,4,FALSE)</f>
        <v>#N/A</v>
      </c>
      <c r="K19" s="65" t="e">
        <f t="shared" si="0"/>
        <v>#N/A</v>
      </c>
      <c r="L19" s="65" t="e">
        <f t="shared" si="1"/>
        <v>#N/A</v>
      </c>
      <c r="M19" s="65" t="e">
        <f t="shared" si="2"/>
        <v>#N/A</v>
      </c>
      <c r="N19" s="65" t="e">
        <f>M19*Settings!$D$24+L19*Settings!$C$24+K19</f>
        <v>#N/A</v>
      </c>
      <c r="O19" s="385"/>
      <c r="P19" s="10"/>
      <c r="Q19" s="10"/>
      <c r="R19" s="10"/>
    </row>
    <row r="20" spans="2:18" x14ac:dyDescent="0.25">
      <c r="B20" s="431"/>
      <c r="C20" s="415" t="e">
        <f>VLOOKUP(B20,Settings!$B$185:$D$197,3,0)</f>
        <v>#N/A</v>
      </c>
      <c r="D20" s="425"/>
      <c r="E20" s="133"/>
      <c r="F20" s="426"/>
      <c r="G20" s="376"/>
      <c r="H20" s="86" t="e">
        <f>VLOOKUP(G20,Settings!$C$80:$F$83,2,FALSE)</f>
        <v>#N/A</v>
      </c>
      <c r="I20" s="86" t="e">
        <f>VLOOKUP(G20,Settings!$C$80:$F$83,3,FALSE)</f>
        <v>#N/A</v>
      </c>
      <c r="J20" s="86" t="e">
        <f>VLOOKUP(G20,Settings!$C$80:$F$83,4,FALSE)</f>
        <v>#N/A</v>
      </c>
      <c r="K20" s="65" t="e">
        <f t="shared" si="0"/>
        <v>#N/A</v>
      </c>
      <c r="L20" s="65" t="e">
        <f t="shared" si="1"/>
        <v>#N/A</v>
      </c>
      <c r="M20" s="65" t="e">
        <f t="shared" si="2"/>
        <v>#N/A</v>
      </c>
      <c r="N20" s="65" t="e">
        <f>M20*Settings!$D$24+L20*Settings!$C$24+K20</f>
        <v>#N/A</v>
      </c>
      <c r="O20" s="385"/>
      <c r="P20" s="10"/>
      <c r="Q20" s="10"/>
      <c r="R20" s="10"/>
    </row>
    <row r="21" spans="2:18" x14ac:dyDescent="0.25">
      <c r="B21" s="431"/>
      <c r="C21" s="415" t="e">
        <f>VLOOKUP(B21,Settings!$B$185:$D$197,3,0)</f>
        <v>#N/A</v>
      </c>
      <c r="D21" s="425"/>
      <c r="E21" s="133"/>
      <c r="F21" s="426"/>
      <c r="G21" s="376"/>
      <c r="H21" s="86" t="e">
        <f>VLOOKUP(G21,Settings!$C$80:$F$83,2,FALSE)</f>
        <v>#N/A</v>
      </c>
      <c r="I21" s="86" t="e">
        <f>VLOOKUP(G21,Settings!$C$80:$F$83,3,FALSE)</f>
        <v>#N/A</v>
      </c>
      <c r="J21" s="86" t="e">
        <f>VLOOKUP(G21,Settings!$C$80:$F$83,4,FALSE)</f>
        <v>#N/A</v>
      </c>
      <c r="K21" s="65" t="e">
        <f t="shared" si="0"/>
        <v>#N/A</v>
      </c>
      <c r="L21" s="65" t="e">
        <f t="shared" si="1"/>
        <v>#N/A</v>
      </c>
      <c r="M21" s="65" t="e">
        <f t="shared" si="2"/>
        <v>#N/A</v>
      </c>
      <c r="N21" s="65" t="e">
        <f>M21*Settings!$D$24+L21*Settings!$C$24+K21</f>
        <v>#N/A</v>
      </c>
      <c r="O21" s="385"/>
      <c r="P21" s="10"/>
      <c r="Q21" s="10"/>
      <c r="R21" s="10"/>
    </row>
    <row r="22" spans="2:18" x14ac:dyDescent="0.25">
      <c r="B22" s="431"/>
      <c r="C22" s="415" t="e">
        <f>VLOOKUP(B22,Settings!$B$185:$D$197,3,0)</f>
        <v>#N/A</v>
      </c>
      <c r="D22" s="425"/>
      <c r="E22" s="133"/>
      <c r="F22" s="426"/>
      <c r="G22" s="376"/>
      <c r="H22" s="86" t="e">
        <f>VLOOKUP(G22,Settings!$C$80:$F$83,2,FALSE)</f>
        <v>#N/A</v>
      </c>
      <c r="I22" s="86" t="e">
        <f>VLOOKUP(G22,Settings!$C$80:$F$83,3,FALSE)</f>
        <v>#N/A</v>
      </c>
      <c r="J22" s="86" t="e">
        <f>VLOOKUP(G22,Settings!$C$80:$F$83,4,FALSE)</f>
        <v>#N/A</v>
      </c>
      <c r="K22" s="65" t="e">
        <f t="shared" si="0"/>
        <v>#N/A</v>
      </c>
      <c r="L22" s="65" t="e">
        <f t="shared" si="1"/>
        <v>#N/A</v>
      </c>
      <c r="M22" s="65" t="e">
        <f t="shared" si="2"/>
        <v>#N/A</v>
      </c>
      <c r="N22" s="65" t="e">
        <f>M22*Settings!$D$24+L22*Settings!$C$24+K22</f>
        <v>#N/A</v>
      </c>
      <c r="O22" s="385"/>
      <c r="P22" s="10"/>
      <c r="Q22" s="10"/>
      <c r="R22" s="10"/>
    </row>
    <row r="23" spans="2:18" x14ac:dyDescent="0.25">
      <c r="B23" s="431"/>
      <c r="C23" s="415" t="e">
        <f>VLOOKUP(B23,Settings!$B$185:$D$197,3,0)</f>
        <v>#N/A</v>
      </c>
      <c r="D23" s="425"/>
      <c r="E23" s="133"/>
      <c r="F23" s="426"/>
      <c r="G23" s="376"/>
      <c r="H23" s="86" t="e">
        <f>VLOOKUP(G23,Settings!$C$80:$F$83,2,FALSE)</f>
        <v>#N/A</v>
      </c>
      <c r="I23" s="86" t="e">
        <f>VLOOKUP(G23,Settings!$C$80:$F$83,3,FALSE)</f>
        <v>#N/A</v>
      </c>
      <c r="J23" s="86" t="e">
        <f>VLOOKUP(G23,Settings!$C$80:$F$83,4,FALSE)</f>
        <v>#N/A</v>
      </c>
      <c r="K23" s="65" t="e">
        <f t="shared" si="0"/>
        <v>#N/A</v>
      </c>
      <c r="L23" s="65" t="e">
        <f t="shared" si="1"/>
        <v>#N/A</v>
      </c>
      <c r="M23" s="65" t="e">
        <f t="shared" si="2"/>
        <v>#N/A</v>
      </c>
      <c r="N23" s="65" t="e">
        <f>M23*Settings!$D$24+L23*Settings!$C$24+K23</f>
        <v>#N/A</v>
      </c>
      <c r="O23" s="385"/>
      <c r="P23" s="10"/>
      <c r="Q23" s="10"/>
      <c r="R23" s="10"/>
    </row>
    <row r="24" spans="2:18" x14ac:dyDescent="0.25">
      <c r="B24" s="431"/>
      <c r="C24" s="415" t="e">
        <f>VLOOKUP(B24,Settings!$B$185:$D$197,3,0)</f>
        <v>#N/A</v>
      </c>
      <c r="D24" s="425"/>
      <c r="E24" s="133"/>
      <c r="F24" s="426"/>
      <c r="G24" s="376"/>
      <c r="H24" s="86" t="e">
        <f>VLOOKUP(G24,Settings!$C$80:$F$83,2,FALSE)</f>
        <v>#N/A</v>
      </c>
      <c r="I24" s="86" t="e">
        <f>VLOOKUP(G24,Settings!$C$80:$F$83,3,FALSE)</f>
        <v>#N/A</v>
      </c>
      <c r="J24" s="86" t="e">
        <f>VLOOKUP(G24,Settings!$C$80:$F$83,4,FALSE)</f>
        <v>#N/A</v>
      </c>
      <c r="K24" s="65" t="e">
        <f t="shared" si="0"/>
        <v>#N/A</v>
      </c>
      <c r="L24" s="65" t="e">
        <f t="shared" si="1"/>
        <v>#N/A</v>
      </c>
      <c r="M24" s="65" t="e">
        <f t="shared" si="2"/>
        <v>#N/A</v>
      </c>
      <c r="N24" s="65" t="e">
        <f>M24*Settings!$D$24+L24*Settings!$C$24+K24</f>
        <v>#N/A</v>
      </c>
      <c r="O24" s="385"/>
      <c r="P24" s="10"/>
      <c r="Q24" s="10"/>
      <c r="R24" s="10"/>
    </row>
    <row r="25" spans="2:18" x14ac:dyDescent="0.25">
      <c r="B25" s="431"/>
      <c r="C25" s="415" t="e">
        <f>VLOOKUP(B25,Settings!$B$185:$D$197,3,0)</f>
        <v>#N/A</v>
      </c>
      <c r="D25" s="425"/>
      <c r="E25" s="133"/>
      <c r="F25" s="426"/>
      <c r="G25" s="376"/>
      <c r="H25" s="86" t="e">
        <f>VLOOKUP(G25,Settings!$C$80:$F$83,2,FALSE)</f>
        <v>#N/A</v>
      </c>
      <c r="I25" s="86" t="e">
        <f>VLOOKUP(G25,Settings!$C$80:$F$83,3,FALSE)</f>
        <v>#N/A</v>
      </c>
      <c r="J25" s="86" t="e">
        <f>VLOOKUP(G25,Settings!$C$80:$F$83,4,FALSE)</f>
        <v>#N/A</v>
      </c>
      <c r="K25" s="65" t="e">
        <f t="shared" si="0"/>
        <v>#N/A</v>
      </c>
      <c r="L25" s="65" t="e">
        <f t="shared" si="1"/>
        <v>#N/A</v>
      </c>
      <c r="M25" s="65" t="e">
        <f t="shared" si="2"/>
        <v>#N/A</v>
      </c>
      <c r="N25" s="65" t="e">
        <f>M25*Settings!$D$24+L25*Settings!$C$24+K25</f>
        <v>#N/A</v>
      </c>
      <c r="O25" s="385"/>
      <c r="P25" s="10"/>
      <c r="Q25" s="10"/>
      <c r="R25" s="10"/>
    </row>
    <row r="26" spans="2:18" x14ac:dyDescent="0.25">
      <c r="B26" s="431"/>
      <c r="C26" s="415" t="e">
        <f>VLOOKUP(B26,Settings!$B$185:$D$197,3,0)</f>
        <v>#N/A</v>
      </c>
      <c r="D26" s="425"/>
      <c r="E26" s="133"/>
      <c r="F26" s="426"/>
      <c r="G26" s="376"/>
      <c r="H26" s="86" t="e">
        <f>VLOOKUP(G26,Settings!$C$80:$F$83,2,FALSE)</f>
        <v>#N/A</v>
      </c>
      <c r="I26" s="86" t="e">
        <f>VLOOKUP(G26,Settings!$C$80:$F$83,3,FALSE)</f>
        <v>#N/A</v>
      </c>
      <c r="J26" s="86" t="e">
        <f>VLOOKUP(G26,Settings!$C$80:$F$83,4,FALSE)</f>
        <v>#N/A</v>
      </c>
      <c r="K26" s="65" t="e">
        <f t="shared" si="0"/>
        <v>#N/A</v>
      </c>
      <c r="L26" s="65" t="e">
        <f t="shared" si="1"/>
        <v>#N/A</v>
      </c>
      <c r="M26" s="65" t="e">
        <f t="shared" si="2"/>
        <v>#N/A</v>
      </c>
      <c r="N26" s="65" t="e">
        <f>M26*Settings!$D$24+L26*Settings!$C$24+K26</f>
        <v>#N/A</v>
      </c>
      <c r="O26" s="385"/>
      <c r="P26" s="10"/>
      <c r="Q26" s="10"/>
      <c r="R26" s="10"/>
    </row>
    <row r="27" spans="2:18" x14ac:dyDescent="0.25">
      <c r="B27" s="431"/>
      <c r="C27" s="415" t="e">
        <f>VLOOKUP(B27,Settings!$B$185:$D$197,3,0)</f>
        <v>#N/A</v>
      </c>
      <c r="D27" s="425"/>
      <c r="E27" s="133"/>
      <c r="F27" s="426"/>
      <c r="G27" s="376"/>
      <c r="H27" s="86" t="e">
        <f>VLOOKUP(G27,Settings!$C$80:$F$83,2,FALSE)</f>
        <v>#N/A</v>
      </c>
      <c r="I27" s="86" t="e">
        <f>VLOOKUP(G27,Settings!$C$80:$F$83,3,FALSE)</f>
        <v>#N/A</v>
      </c>
      <c r="J27" s="86" t="e">
        <f>VLOOKUP(G27,Settings!$C$80:$F$83,4,FALSE)</f>
        <v>#N/A</v>
      </c>
      <c r="K27" s="65" t="e">
        <f t="shared" si="0"/>
        <v>#N/A</v>
      </c>
      <c r="L27" s="65" t="e">
        <f t="shared" si="1"/>
        <v>#N/A</v>
      </c>
      <c r="M27" s="65" t="e">
        <f t="shared" si="2"/>
        <v>#N/A</v>
      </c>
      <c r="N27" s="65" t="e">
        <f>M27*Settings!$D$24+L27*Settings!$C$24+K27</f>
        <v>#N/A</v>
      </c>
      <c r="O27" s="385"/>
      <c r="P27" s="10"/>
      <c r="Q27" s="10"/>
      <c r="R27" s="10"/>
    </row>
    <row r="28" spans="2:18" x14ac:dyDescent="0.25">
      <c r="B28" s="431"/>
      <c r="C28" s="415" t="e">
        <f>VLOOKUP(B28,Settings!$B$185:$D$197,3,0)</f>
        <v>#N/A</v>
      </c>
      <c r="D28" s="425"/>
      <c r="E28" s="133"/>
      <c r="F28" s="426"/>
      <c r="G28" s="376"/>
      <c r="H28" s="86" t="e">
        <f>VLOOKUP(G28,Settings!$C$80:$F$83,2,FALSE)</f>
        <v>#N/A</v>
      </c>
      <c r="I28" s="86" t="e">
        <f>VLOOKUP(G28,Settings!$C$80:$F$83,3,FALSE)</f>
        <v>#N/A</v>
      </c>
      <c r="J28" s="86" t="e">
        <f>VLOOKUP(G28,Settings!$C$80:$F$83,4,FALSE)</f>
        <v>#N/A</v>
      </c>
      <c r="K28" s="65" t="e">
        <f t="shared" si="0"/>
        <v>#N/A</v>
      </c>
      <c r="L28" s="65" t="e">
        <f t="shared" si="1"/>
        <v>#N/A</v>
      </c>
      <c r="M28" s="65" t="e">
        <f t="shared" si="2"/>
        <v>#N/A</v>
      </c>
      <c r="N28" s="65" t="e">
        <f>M28*Settings!$D$24+L28*Settings!$C$24+K28</f>
        <v>#N/A</v>
      </c>
      <c r="O28" s="385"/>
      <c r="P28" s="10"/>
      <c r="Q28" s="10"/>
      <c r="R28" s="10"/>
    </row>
    <row r="29" spans="2:18" x14ac:dyDescent="0.25">
      <c r="B29" s="431"/>
      <c r="C29" s="415" t="e">
        <f>VLOOKUP(B29,Settings!$B$185:$D$197,3,0)</f>
        <v>#N/A</v>
      </c>
      <c r="D29" s="425"/>
      <c r="E29" s="133"/>
      <c r="F29" s="426"/>
      <c r="G29" s="376"/>
      <c r="H29" s="86" t="e">
        <f>VLOOKUP(G29,Settings!$C$80:$F$83,2,FALSE)</f>
        <v>#N/A</v>
      </c>
      <c r="I29" s="86" t="e">
        <f>VLOOKUP(G29,Settings!$C$80:$F$83,3,FALSE)</f>
        <v>#N/A</v>
      </c>
      <c r="J29" s="86" t="e">
        <f>VLOOKUP(G29,Settings!$C$80:$F$83,4,FALSE)</f>
        <v>#N/A</v>
      </c>
      <c r="K29" s="65" t="e">
        <f t="shared" si="0"/>
        <v>#N/A</v>
      </c>
      <c r="L29" s="65" t="e">
        <f t="shared" si="1"/>
        <v>#N/A</v>
      </c>
      <c r="M29" s="65" t="e">
        <f t="shared" si="2"/>
        <v>#N/A</v>
      </c>
      <c r="N29" s="65" t="e">
        <f>M29*Settings!$D$24+L29*Settings!$C$24+K29</f>
        <v>#N/A</v>
      </c>
      <c r="O29" s="385"/>
      <c r="P29" s="10"/>
      <c r="Q29" s="10"/>
      <c r="R29" s="10"/>
    </row>
    <row r="30" spans="2:18" x14ac:dyDescent="0.25">
      <c r="B30" s="431"/>
      <c r="C30" s="415" t="e">
        <f>VLOOKUP(B30,Settings!$B$185:$D$197,3,0)</f>
        <v>#N/A</v>
      </c>
      <c r="D30" s="425"/>
      <c r="E30" s="133"/>
      <c r="F30" s="426"/>
      <c r="G30" s="376"/>
      <c r="H30" s="86" t="e">
        <f>VLOOKUP(G30,Settings!$C$80:$F$83,2,FALSE)</f>
        <v>#N/A</v>
      </c>
      <c r="I30" s="86" t="e">
        <f>VLOOKUP(G30,Settings!$C$80:$F$83,3,FALSE)</f>
        <v>#N/A</v>
      </c>
      <c r="J30" s="86" t="e">
        <f>VLOOKUP(G30,Settings!$C$80:$F$83,4,FALSE)</f>
        <v>#N/A</v>
      </c>
      <c r="K30" s="65" t="e">
        <f t="shared" si="0"/>
        <v>#N/A</v>
      </c>
      <c r="L30" s="65" t="e">
        <f t="shared" si="1"/>
        <v>#N/A</v>
      </c>
      <c r="M30" s="65" t="e">
        <f t="shared" si="2"/>
        <v>#N/A</v>
      </c>
      <c r="N30" s="65" t="e">
        <f>M30*Settings!$D$24+L30*Settings!$C$24+K30</f>
        <v>#N/A</v>
      </c>
      <c r="O30" s="385"/>
      <c r="P30" s="10"/>
      <c r="Q30" s="10"/>
      <c r="R30" s="10"/>
    </row>
    <row r="31" spans="2:18" x14ac:dyDescent="0.25">
      <c r="B31" s="431"/>
      <c r="C31" s="415" t="e">
        <f>VLOOKUP(B31,Settings!$B$185:$D$197,3,0)</f>
        <v>#N/A</v>
      </c>
      <c r="D31" s="425"/>
      <c r="E31" s="133"/>
      <c r="F31" s="426"/>
      <c r="G31" s="376"/>
      <c r="H31" s="86" t="e">
        <f>VLOOKUP(G31,Settings!$C$80:$F$83,2,FALSE)</f>
        <v>#N/A</v>
      </c>
      <c r="I31" s="86" t="e">
        <f>VLOOKUP(G31,Settings!$C$80:$F$83,3,FALSE)</f>
        <v>#N/A</v>
      </c>
      <c r="J31" s="86" t="e">
        <f>VLOOKUP(G31,Settings!$C$80:$F$83,4,FALSE)</f>
        <v>#N/A</v>
      </c>
      <c r="K31" s="65" t="e">
        <f t="shared" si="0"/>
        <v>#N/A</v>
      </c>
      <c r="L31" s="65" t="e">
        <f t="shared" si="1"/>
        <v>#N/A</v>
      </c>
      <c r="M31" s="65" t="e">
        <f t="shared" si="2"/>
        <v>#N/A</v>
      </c>
      <c r="N31" s="65" t="e">
        <f>M31*Settings!$D$24+L31*Settings!$C$24+K31</f>
        <v>#N/A</v>
      </c>
      <c r="O31" s="385"/>
      <c r="P31" s="10"/>
      <c r="Q31" s="10"/>
      <c r="R31" s="10"/>
    </row>
    <row r="32" spans="2:18" x14ac:dyDescent="0.25">
      <c r="B32" s="431"/>
      <c r="C32" s="415" t="e">
        <f>VLOOKUP(B32,Settings!$B$185:$D$197,3,0)</f>
        <v>#N/A</v>
      </c>
      <c r="D32" s="425"/>
      <c r="E32" s="133"/>
      <c r="F32" s="426"/>
      <c r="G32" s="376"/>
      <c r="H32" s="86" t="e">
        <f>VLOOKUP(G32,Settings!$C$80:$F$83,2,FALSE)</f>
        <v>#N/A</v>
      </c>
      <c r="I32" s="86" t="e">
        <f>VLOOKUP(G32,Settings!$C$80:$F$83,3,FALSE)</f>
        <v>#N/A</v>
      </c>
      <c r="J32" s="86" t="e">
        <f>VLOOKUP(G32,Settings!$C$80:$F$83,4,FALSE)</f>
        <v>#N/A</v>
      </c>
      <c r="K32" s="65" t="e">
        <f t="shared" si="0"/>
        <v>#N/A</v>
      </c>
      <c r="L32" s="65" t="e">
        <f t="shared" si="1"/>
        <v>#N/A</v>
      </c>
      <c r="M32" s="65" t="e">
        <f t="shared" si="2"/>
        <v>#N/A</v>
      </c>
      <c r="N32" s="65" t="e">
        <f>M32*Settings!$D$24+L32*Settings!$C$24+K32</f>
        <v>#N/A</v>
      </c>
      <c r="O32" s="385"/>
      <c r="P32" s="10"/>
      <c r="Q32" s="10"/>
      <c r="R32" s="10"/>
    </row>
    <row r="33" spans="2:18" x14ac:dyDescent="0.25">
      <c r="B33" s="431"/>
      <c r="C33" s="415" t="e">
        <f>VLOOKUP(B33,Settings!$B$185:$D$197,3,0)</f>
        <v>#N/A</v>
      </c>
      <c r="D33" s="425"/>
      <c r="E33" s="133"/>
      <c r="F33" s="426"/>
      <c r="G33" s="376"/>
      <c r="H33" s="86" t="e">
        <f>VLOOKUP(G33,Settings!$C$80:$F$83,2,FALSE)</f>
        <v>#N/A</v>
      </c>
      <c r="I33" s="86" t="e">
        <f>VLOOKUP(G33,Settings!$C$80:$F$83,3,FALSE)</f>
        <v>#N/A</v>
      </c>
      <c r="J33" s="86" t="e">
        <f>VLOOKUP(G33,Settings!$C$80:$F$83,4,FALSE)</f>
        <v>#N/A</v>
      </c>
      <c r="K33" s="65" t="e">
        <f t="shared" si="0"/>
        <v>#N/A</v>
      </c>
      <c r="L33" s="65" t="e">
        <f t="shared" si="1"/>
        <v>#N/A</v>
      </c>
      <c r="M33" s="65" t="e">
        <f t="shared" si="2"/>
        <v>#N/A</v>
      </c>
      <c r="N33" s="65" t="e">
        <f>M33*Settings!$D$24+L33*Settings!$C$24+K33</f>
        <v>#N/A</v>
      </c>
      <c r="O33" s="385"/>
      <c r="P33" s="10"/>
      <c r="Q33" s="10"/>
      <c r="R33" s="10"/>
    </row>
    <row r="34" spans="2:18" x14ac:dyDescent="0.25">
      <c r="B34" s="431"/>
      <c r="C34" s="415" t="e">
        <f>VLOOKUP(B34,Settings!$B$185:$D$197,3,0)</f>
        <v>#N/A</v>
      </c>
      <c r="D34" s="425"/>
      <c r="E34" s="133"/>
      <c r="F34" s="426"/>
      <c r="G34" s="376"/>
      <c r="H34" s="86" t="e">
        <f>VLOOKUP(G34,Settings!$C$80:$F$83,2,FALSE)</f>
        <v>#N/A</v>
      </c>
      <c r="I34" s="86" t="e">
        <f>VLOOKUP(G34,Settings!$C$80:$F$83,3,FALSE)</f>
        <v>#N/A</v>
      </c>
      <c r="J34" s="86" t="e">
        <f>VLOOKUP(G34,Settings!$C$80:$F$83,4,FALSE)</f>
        <v>#N/A</v>
      </c>
      <c r="K34" s="65" t="e">
        <f t="shared" si="0"/>
        <v>#N/A</v>
      </c>
      <c r="L34" s="65" t="e">
        <f t="shared" si="1"/>
        <v>#N/A</v>
      </c>
      <c r="M34" s="65" t="e">
        <f t="shared" si="2"/>
        <v>#N/A</v>
      </c>
      <c r="N34" s="65" t="e">
        <f>M34*Settings!$D$24+L34*Settings!$C$24+K34</f>
        <v>#N/A</v>
      </c>
      <c r="O34" s="385"/>
      <c r="P34" s="10"/>
      <c r="Q34" s="10"/>
      <c r="R34" s="10"/>
    </row>
    <row r="35" spans="2:18" x14ac:dyDescent="0.25">
      <c r="B35" s="431"/>
      <c r="C35" s="415" t="e">
        <f>VLOOKUP(B35,Settings!$B$185:$D$197,3,0)</f>
        <v>#N/A</v>
      </c>
      <c r="D35" s="425"/>
      <c r="E35" s="133"/>
      <c r="F35" s="426"/>
      <c r="G35" s="376"/>
      <c r="H35" s="86" t="e">
        <f>VLOOKUP(G35,Settings!$C$80:$F$83,2,FALSE)</f>
        <v>#N/A</v>
      </c>
      <c r="I35" s="86" t="e">
        <f>VLOOKUP(G35,Settings!$C$80:$F$83,3,FALSE)</f>
        <v>#N/A</v>
      </c>
      <c r="J35" s="86" t="e">
        <f>VLOOKUP(G35,Settings!$C$80:$F$83,4,FALSE)</f>
        <v>#N/A</v>
      </c>
      <c r="K35" s="65" t="e">
        <f t="shared" si="0"/>
        <v>#N/A</v>
      </c>
      <c r="L35" s="65" t="e">
        <f t="shared" si="1"/>
        <v>#N/A</v>
      </c>
      <c r="M35" s="65" t="e">
        <f t="shared" si="2"/>
        <v>#N/A</v>
      </c>
      <c r="N35" s="65" t="e">
        <f>M35*Settings!$D$24+L35*Settings!$C$24+K35</f>
        <v>#N/A</v>
      </c>
      <c r="O35" s="385"/>
      <c r="P35" s="10"/>
      <c r="Q35" s="10"/>
      <c r="R35" s="10"/>
    </row>
    <row r="36" spans="2:18" x14ac:dyDescent="0.25">
      <c r="B36" s="431"/>
      <c r="C36" s="415" t="e">
        <f>VLOOKUP(B36,Settings!$B$185:$D$197,3,0)</f>
        <v>#N/A</v>
      </c>
      <c r="D36" s="425"/>
      <c r="E36" s="133"/>
      <c r="F36" s="426"/>
      <c r="G36" s="376"/>
      <c r="H36" s="86" t="e">
        <f>VLOOKUP(G36,Settings!$C$80:$F$83,2,FALSE)</f>
        <v>#N/A</v>
      </c>
      <c r="I36" s="86" t="e">
        <f>VLOOKUP(G36,Settings!$C$80:$F$83,3,FALSE)</f>
        <v>#N/A</v>
      </c>
      <c r="J36" s="86" t="e">
        <f>VLOOKUP(G36,Settings!$C$80:$F$83,4,FALSE)</f>
        <v>#N/A</v>
      </c>
      <c r="K36" s="65" t="e">
        <f t="shared" si="0"/>
        <v>#N/A</v>
      </c>
      <c r="L36" s="65" t="e">
        <f t="shared" si="1"/>
        <v>#N/A</v>
      </c>
      <c r="M36" s="65" t="e">
        <f t="shared" si="2"/>
        <v>#N/A</v>
      </c>
      <c r="N36" s="65" t="e">
        <f>M36*Settings!$D$24+L36*Settings!$C$24+K36</f>
        <v>#N/A</v>
      </c>
      <c r="O36" s="385"/>
      <c r="P36" s="10"/>
      <c r="Q36" s="10"/>
      <c r="R36" s="10"/>
    </row>
    <row r="37" spans="2:18" x14ac:dyDescent="0.25">
      <c r="B37" s="431"/>
      <c r="C37" s="415" t="e">
        <f>VLOOKUP(B37,Settings!$B$185:$D$197,3,0)</f>
        <v>#N/A</v>
      </c>
      <c r="D37" s="425"/>
      <c r="E37" s="133"/>
      <c r="F37" s="426"/>
      <c r="G37" s="376"/>
      <c r="H37" s="86" t="e">
        <f>VLOOKUP(G37,Settings!$C$80:$F$83,2,FALSE)</f>
        <v>#N/A</v>
      </c>
      <c r="I37" s="86" t="e">
        <f>VLOOKUP(G37,Settings!$C$80:$F$83,3,FALSE)</f>
        <v>#N/A</v>
      </c>
      <c r="J37" s="86" t="e">
        <f>VLOOKUP(G37,Settings!$C$80:$F$83,4,FALSE)</f>
        <v>#N/A</v>
      </c>
      <c r="K37" s="65" t="e">
        <f t="shared" si="0"/>
        <v>#N/A</v>
      </c>
      <c r="L37" s="65" t="e">
        <f t="shared" si="1"/>
        <v>#N/A</v>
      </c>
      <c r="M37" s="65" t="e">
        <f t="shared" si="2"/>
        <v>#N/A</v>
      </c>
      <c r="N37" s="65" t="e">
        <f>M37*Settings!$D$24+L37*Settings!$C$24+K37</f>
        <v>#N/A</v>
      </c>
      <c r="O37" s="385"/>
      <c r="P37" s="10"/>
      <c r="Q37" s="10"/>
      <c r="R37" s="10"/>
    </row>
    <row r="38" spans="2:18" x14ac:dyDescent="0.25">
      <c r="B38" s="431"/>
      <c r="C38" s="415" t="e">
        <f>VLOOKUP(B38,Settings!$B$185:$D$197,3,0)</f>
        <v>#N/A</v>
      </c>
      <c r="D38" s="425"/>
      <c r="E38" s="133"/>
      <c r="F38" s="426"/>
      <c r="G38" s="376"/>
      <c r="H38" s="86" t="e">
        <f>VLOOKUP(G38,Settings!$C$80:$F$83,2,FALSE)</f>
        <v>#N/A</v>
      </c>
      <c r="I38" s="86" t="e">
        <f>VLOOKUP(G38,Settings!$C$80:$F$83,3,FALSE)</f>
        <v>#N/A</v>
      </c>
      <c r="J38" s="86" t="e">
        <f>VLOOKUP(G38,Settings!$C$80:$F$83,4,FALSE)</f>
        <v>#N/A</v>
      </c>
      <c r="K38" s="65" t="e">
        <f t="shared" si="0"/>
        <v>#N/A</v>
      </c>
      <c r="L38" s="65" t="e">
        <f t="shared" si="1"/>
        <v>#N/A</v>
      </c>
      <c r="M38" s="65" t="e">
        <f t="shared" si="2"/>
        <v>#N/A</v>
      </c>
      <c r="N38" s="65" t="e">
        <f>M38*Settings!$D$24+L38*Settings!$C$24+K38</f>
        <v>#N/A</v>
      </c>
      <c r="O38" s="385"/>
      <c r="P38" s="10"/>
      <c r="Q38" s="10"/>
      <c r="R38" s="10"/>
    </row>
    <row r="39" spans="2:18" x14ac:dyDescent="0.25">
      <c r="B39" s="670"/>
      <c r="C39" s="415" t="e">
        <f>VLOOKUP(B39,Settings!$B$185:$D$197,3,0)</f>
        <v>#N/A</v>
      </c>
      <c r="D39" s="425"/>
      <c r="E39" s="428"/>
      <c r="F39" s="426"/>
      <c r="G39" s="376"/>
      <c r="H39" s="86" t="e">
        <f>VLOOKUP(G39,Settings!$C$80:$F$83,2,FALSE)</f>
        <v>#N/A</v>
      </c>
      <c r="I39" s="86" t="e">
        <f>VLOOKUP(G39,Settings!$C$80:$F$83,3,FALSE)</f>
        <v>#N/A</v>
      </c>
      <c r="J39" s="86" t="e">
        <f>VLOOKUP(G39,Settings!$C$80:$F$83,4,FALSE)</f>
        <v>#N/A</v>
      </c>
      <c r="K39" s="65" t="e">
        <f t="shared" si="0"/>
        <v>#N/A</v>
      </c>
      <c r="L39" s="65" t="e">
        <f t="shared" si="1"/>
        <v>#N/A</v>
      </c>
      <c r="M39" s="65" t="e">
        <f t="shared" si="2"/>
        <v>#N/A</v>
      </c>
      <c r="N39" s="65" t="e">
        <f>M39*Settings!$D$24+L39*Settings!$C$24+K39</f>
        <v>#N/A</v>
      </c>
      <c r="O39" s="385"/>
      <c r="P39" s="10"/>
      <c r="Q39" s="10"/>
      <c r="R39" s="10"/>
    </row>
    <row r="40" spans="2:18" x14ac:dyDescent="0.25">
      <c r="B40" s="670"/>
      <c r="C40" s="415" t="e">
        <f>VLOOKUP(B40,Settings!$B$185:$D$197,3,0)</f>
        <v>#N/A</v>
      </c>
      <c r="D40" s="425"/>
      <c r="E40" s="428"/>
      <c r="F40" s="426"/>
      <c r="G40" s="376"/>
      <c r="H40" s="86" t="e">
        <f>VLOOKUP(G40,Settings!$C$80:$F$83,2,FALSE)</f>
        <v>#N/A</v>
      </c>
      <c r="I40" s="86" t="e">
        <f>VLOOKUP(G40,Settings!$C$80:$F$83,3,FALSE)</f>
        <v>#N/A</v>
      </c>
      <c r="J40" s="86" t="e">
        <f>VLOOKUP(G40,Settings!$C$80:$F$83,4,FALSE)</f>
        <v>#N/A</v>
      </c>
      <c r="K40" s="65" t="e">
        <f t="shared" si="0"/>
        <v>#N/A</v>
      </c>
      <c r="L40" s="65" t="e">
        <f t="shared" si="1"/>
        <v>#N/A</v>
      </c>
      <c r="M40" s="65" t="e">
        <f t="shared" si="2"/>
        <v>#N/A</v>
      </c>
      <c r="N40" s="65" t="e">
        <f>M40*Settings!$D$24+L40*Settings!$C$24+K40</f>
        <v>#N/A</v>
      </c>
      <c r="O40" s="385"/>
      <c r="P40" s="10"/>
      <c r="Q40" s="10"/>
      <c r="R40" s="10"/>
    </row>
    <row r="41" spans="2:18" x14ac:dyDescent="0.25">
      <c r="B41" s="670"/>
      <c r="C41" s="415" t="e">
        <f>VLOOKUP(B41,Settings!$B$185:$D$197,3,0)</f>
        <v>#N/A</v>
      </c>
      <c r="D41" s="425"/>
      <c r="E41" s="428"/>
      <c r="F41" s="426"/>
      <c r="G41" s="376"/>
      <c r="H41" s="86" t="e">
        <f>VLOOKUP(G41,Settings!$C$80:$F$83,2,FALSE)</f>
        <v>#N/A</v>
      </c>
      <c r="I41" s="86" t="e">
        <f>VLOOKUP(G41,Settings!$C$80:$F$83,3,FALSE)</f>
        <v>#N/A</v>
      </c>
      <c r="J41" s="86" t="e">
        <f>VLOOKUP(G41,Settings!$C$80:$F$83,4,FALSE)</f>
        <v>#N/A</v>
      </c>
      <c r="K41" s="65" t="e">
        <f t="shared" si="0"/>
        <v>#N/A</v>
      </c>
      <c r="L41" s="65" t="e">
        <f t="shared" si="1"/>
        <v>#N/A</v>
      </c>
      <c r="M41" s="65" t="e">
        <f t="shared" si="2"/>
        <v>#N/A</v>
      </c>
      <c r="N41" s="65" t="e">
        <f>M41*Settings!$D$24+L41*Settings!$C$24+K41</f>
        <v>#N/A</v>
      </c>
      <c r="O41" s="385"/>
      <c r="P41" s="10"/>
      <c r="Q41" s="10"/>
      <c r="R41" s="10"/>
    </row>
    <row r="42" spans="2:18" x14ac:dyDescent="0.25">
      <c r="B42" s="670"/>
      <c r="C42" s="415" t="e">
        <f>VLOOKUP(B42,Settings!$B$185:$D$197,3,0)</f>
        <v>#N/A</v>
      </c>
      <c r="D42" s="425"/>
      <c r="E42" s="428"/>
      <c r="F42" s="426"/>
      <c r="G42" s="376"/>
      <c r="H42" s="86" t="e">
        <f>VLOOKUP(G42,Settings!$C$80:$F$83,2,FALSE)</f>
        <v>#N/A</v>
      </c>
      <c r="I42" s="86" t="e">
        <f>VLOOKUP(G42,Settings!$C$80:$F$83,3,FALSE)</f>
        <v>#N/A</v>
      </c>
      <c r="J42" s="86" t="e">
        <f>VLOOKUP(G42,Settings!$C$80:$F$83,4,FALSE)</f>
        <v>#N/A</v>
      </c>
      <c r="K42" s="65" t="e">
        <f t="shared" si="0"/>
        <v>#N/A</v>
      </c>
      <c r="L42" s="65" t="e">
        <f t="shared" si="1"/>
        <v>#N/A</v>
      </c>
      <c r="M42" s="65" t="e">
        <f t="shared" si="2"/>
        <v>#N/A</v>
      </c>
      <c r="N42" s="65" t="e">
        <f>M42*Settings!$D$24+L42*Settings!$C$24+K42</f>
        <v>#N/A</v>
      </c>
      <c r="O42" s="385"/>
      <c r="P42" s="10"/>
      <c r="Q42" s="10"/>
      <c r="R42" s="10"/>
    </row>
    <row r="43" spans="2:18" x14ac:dyDescent="0.25">
      <c r="B43" s="670"/>
      <c r="C43" s="415" t="e">
        <f>VLOOKUP(B43,Settings!$B$185:$D$197,3,0)</f>
        <v>#N/A</v>
      </c>
      <c r="D43" s="425"/>
      <c r="E43" s="428"/>
      <c r="F43" s="426"/>
      <c r="G43" s="376"/>
      <c r="H43" s="86" t="e">
        <f>VLOOKUP(G43,Settings!$C$80:$F$83,2,FALSE)</f>
        <v>#N/A</v>
      </c>
      <c r="I43" s="86" t="e">
        <f>VLOOKUP(G43,Settings!$C$80:$F$83,3,FALSE)</f>
        <v>#N/A</v>
      </c>
      <c r="J43" s="86" t="e">
        <f>VLOOKUP(G43,Settings!$C$80:$F$83,4,FALSE)</f>
        <v>#N/A</v>
      </c>
      <c r="K43" s="65" t="e">
        <f t="shared" si="0"/>
        <v>#N/A</v>
      </c>
      <c r="L43" s="65" t="e">
        <f t="shared" si="1"/>
        <v>#N/A</v>
      </c>
      <c r="M43" s="65" t="e">
        <f t="shared" si="2"/>
        <v>#N/A</v>
      </c>
      <c r="N43" s="65" t="e">
        <f>M43*Settings!$D$24+L43*Settings!$C$24+K43</f>
        <v>#N/A</v>
      </c>
      <c r="O43" s="385"/>
      <c r="P43" s="10"/>
      <c r="Q43" s="10"/>
      <c r="R43" s="10"/>
    </row>
    <row r="44" spans="2:18" x14ac:dyDescent="0.25">
      <c r="B44" s="670"/>
      <c r="C44" s="415" t="e">
        <f>VLOOKUP(B44,Settings!$B$185:$D$197,3,0)</f>
        <v>#N/A</v>
      </c>
      <c r="D44" s="425"/>
      <c r="E44" s="428"/>
      <c r="F44" s="426"/>
      <c r="G44" s="376"/>
      <c r="H44" s="86" t="e">
        <f>VLOOKUP(G44,Settings!$C$80:$F$83,2,FALSE)</f>
        <v>#N/A</v>
      </c>
      <c r="I44" s="86" t="e">
        <f>VLOOKUP(G44,Settings!$C$80:$F$83,3,FALSE)</f>
        <v>#N/A</v>
      </c>
      <c r="J44" s="86" t="e">
        <f>VLOOKUP(G44,Settings!$C$80:$F$83,4,FALSE)</f>
        <v>#N/A</v>
      </c>
      <c r="K44" s="65" t="e">
        <f t="shared" si="0"/>
        <v>#N/A</v>
      </c>
      <c r="L44" s="65" t="e">
        <f t="shared" si="1"/>
        <v>#N/A</v>
      </c>
      <c r="M44" s="65" t="e">
        <f t="shared" si="2"/>
        <v>#N/A</v>
      </c>
      <c r="N44" s="65" t="e">
        <f>M44*Settings!$D$24+L44*Settings!$C$24+K44</f>
        <v>#N/A</v>
      </c>
      <c r="O44" s="385"/>
      <c r="P44" s="10"/>
      <c r="Q44" s="10"/>
      <c r="R44" s="10"/>
    </row>
    <row r="45" spans="2:18" x14ac:dyDescent="0.25">
      <c r="B45" s="670"/>
      <c r="C45" s="415" t="e">
        <f>VLOOKUP(B45,Settings!$B$185:$D$197,3,0)</f>
        <v>#N/A</v>
      </c>
      <c r="D45" s="425"/>
      <c r="E45" s="428"/>
      <c r="F45" s="426"/>
      <c r="G45" s="376"/>
      <c r="H45" s="86" t="e">
        <f>VLOOKUP(G45,Settings!$C$80:$F$83,2,FALSE)</f>
        <v>#N/A</v>
      </c>
      <c r="I45" s="86" t="e">
        <f>VLOOKUP(G45,Settings!$C$80:$F$83,3,FALSE)</f>
        <v>#N/A</v>
      </c>
      <c r="J45" s="86" t="e">
        <f>VLOOKUP(G45,Settings!$C$80:$F$83,4,FALSE)</f>
        <v>#N/A</v>
      </c>
      <c r="K45" s="65" t="e">
        <f t="shared" si="0"/>
        <v>#N/A</v>
      </c>
      <c r="L45" s="65" t="e">
        <f t="shared" si="1"/>
        <v>#N/A</v>
      </c>
      <c r="M45" s="65" t="e">
        <f t="shared" si="2"/>
        <v>#N/A</v>
      </c>
      <c r="N45" s="65" t="e">
        <f>M45*Settings!$D$24+L45*Settings!$C$24+K45</f>
        <v>#N/A</v>
      </c>
      <c r="O45" s="385"/>
      <c r="P45" s="10"/>
      <c r="Q45" s="10"/>
      <c r="R45" s="10"/>
    </row>
    <row r="46" spans="2:18" x14ac:dyDescent="0.25">
      <c r="B46" s="670"/>
      <c r="C46" s="415" t="e">
        <f>VLOOKUP(B46,Settings!$B$185:$D$197,3,0)</f>
        <v>#N/A</v>
      </c>
      <c r="D46" s="425"/>
      <c r="E46" s="428"/>
      <c r="F46" s="426"/>
      <c r="G46" s="376"/>
      <c r="H46" s="86" t="e">
        <f>VLOOKUP(G46,Settings!$C$80:$F$83,2,FALSE)</f>
        <v>#N/A</v>
      </c>
      <c r="I46" s="86" t="e">
        <f>VLOOKUP(G46,Settings!$C$80:$F$83,3,FALSE)</f>
        <v>#N/A</v>
      </c>
      <c r="J46" s="86" t="e">
        <f>VLOOKUP(G46,Settings!$C$80:$F$83,4,FALSE)</f>
        <v>#N/A</v>
      </c>
      <c r="K46" s="65" t="e">
        <f t="shared" si="0"/>
        <v>#N/A</v>
      </c>
      <c r="L46" s="65" t="e">
        <f t="shared" si="1"/>
        <v>#N/A</v>
      </c>
      <c r="M46" s="65" t="e">
        <f t="shared" si="2"/>
        <v>#N/A</v>
      </c>
      <c r="N46" s="65" t="e">
        <f>M46*Settings!$D$24+L46*Settings!$C$24+K46</f>
        <v>#N/A</v>
      </c>
      <c r="O46" s="385"/>
      <c r="P46" s="10"/>
      <c r="Q46" s="10"/>
      <c r="R46" s="10"/>
    </row>
    <row r="47" spans="2:18" x14ac:dyDescent="0.25">
      <c r="B47" s="670"/>
      <c r="C47" s="415" t="e">
        <f>VLOOKUP(B47,Settings!$B$185:$D$197,3,0)</f>
        <v>#N/A</v>
      </c>
      <c r="D47" s="425"/>
      <c r="E47" s="429"/>
      <c r="F47" s="426"/>
      <c r="G47" s="376"/>
      <c r="H47" s="86" t="e">
        <f>VLOOKUP(G47,Settings!$C$80:$F$83,2,FALSE)</f>
        <v>#N/A</v>
      </c>
      <c r="I47" s="86" t="e">
        <f>VLOOKUP(G47,Settings!$C$80:$F$83,3,FALSE)</f>
        <v>#N/A</v>
      </c>
      <c r="J47" s="86" t="e">
        <f>VLOOKUP(G47,Settings!$C$80:$F$83,4,FALSE)</f>
        <v>#N/A</v>
      </c>
      <c r="K47" s="65" t="e">
        <f t="shared" si="0"/>
        <v>#N/A</v>
      </c>
      <c r="L47" s="65" t="e">
        <f t="shared" si="1"/>
        <v>#N/A</v>
      </c>
      <c r="M47" s="65" t="e">
        <f t="shared" si="2"/>
        <v>#N/A</v>
      </c>
      <c r="N47" s="65" t="e">
        <f>M47*Settings!$D$24+L47*Settings!$C$24+K47</f>
        <v>#N/A</v>
      </c>
      <c r="O47" s="385"/>
      <c r="P47" s="10"/>
      <c r="Q47" s="10"/>
      <c r="R47" s="10"/>
    </row>
    <row r="48" spans="2:18" x14ac:dyDescent="0.25">
      <c r="B48" s="670"/>
      <c r="C48" s="415" t="e">
        <f>VLOOKUP(B48,Settings!$B$185:$D$197,3,0)</f>
        <v>#N/A</v>
      </c>
      <c r="D48" s="425"/>
      <c r="E48" s="429"/>
      <c r="F48" s="426"/>
      <c r="G48" s="376"/>
      <c r="H48" s="86" t="e">
        <f>VLOOKUP(G48,Settings!$C$80:$F$83,2,FALSE)</f>
        <v>#N/A</v>
      </c>
      <c r="I48" s="86" t="e">
        <f>VLOOKUP(G48,Settings!$C$80:$F$83,3,FALSE)</f>
        <v>#N/A</v>
      </c>
      <c r="J48" s="86" t="e">
        <f>VLOOKUP(G48,Settings!$C$80:$F$83,4,FALSE)</f>
        <v>#N/A</v>
      </c>
      <c r="K48" s="65" t="e">
        <f t="shared" si="0"/>
        <v>#N/A</v>
      </c>
      <c r="L48" s="65" t="e">
        <f t="shared" si="1"/>
        <v>#N/A</v>
      </c>
      <c r="M48" s="65" t="e">
        <f t="shared" si="2"/>
        <v>#N/A</v>
      </c>
      <c r="N48" s="65" t="e">
        <f>M48*Settings!$D$24+L48*Settings!$C$24+K48</f>
        <v>#N/A</v>
      </c>
      <c r="O48" s="385"/>
      <c r="P48" s="10"/>
      <c r="Q48" s="10"/>
      <c r="R48" s="10"/>
    </row>
    <row r="49" spans="2:18" x14ac:dyDescent="0.25">
      <c r="B49" s="671"/>
      <c r="C49" s="415" t="e">
        <f>VLOOKUP(B49,Settings!$B$185:$D$197,3,0)</f>
        <v>#N/A</v>
      </c>
      <c r="D49" s="425"/>
      <c r="E49" s="429"/>
      <c r="F49" s="426"/>
      <c r="G49" s="376"/>
      <c r="H49" s="86" t="e">
        <f>VLOOKUP(G49,Settings!$C$80:$F$83,2,FALSE)</f>
        <v>#N/A</v>
      </c>
      <c r="I49" s="86" t="e">
        <f>VLOOKUP(G49,Settings!$C$80:$F$83,3,FALSE)</f>
        <v>#N/A</v>
      </c>
      <c r="J49" s="86" t="e">
        <f>VLOOKUP(G49,Settings!$C$80:$F$83,4,FALSE)</f>
        <v>#N/A</v>
      </c>
      <c r="K49" s="65" t="e">
        <f t="shared" si="0"/>
        <v>#N/A</v>
      </c>
      <c r="L49" s="65" t="e">
        <f t="shared" si="1"/>
        <v>#N/A</v>
      </c>
      <c r="M49" s="65" t="e">
        <f t="shared" si="2"/>
        <v>#N/A</v>
      </c>
      <c r="N49" s="65" t="e">
        <f>M49*Settings!$D$24+L49*Settings!$C$24+K49</f>
        <v>#N/A</v>
      </c>
      <c r="O49" s="385"/>
      <c r="P49" s="10"/>
      <c r="Q49" s="10"/>
      <c r="R49" s="10"/>
    </row>
    <row r="50" spans="2:18" ht="30" customHeight="1" x14ac:dyDescent="0.25">
      <c r="B50" s="355" t="s">
        <v>410</v>
      </c>
      <c r="C50" s="391"/>
      <c r="D50" s="391"/>
      <c r="E50" s="430"/>
      <c r="F50" s="355"/>
      <c r="G50" s="355"/>
      <c r="H50" s="418"/>
      <c r="I50" s="418"/>
      <c r="J50" s="418"/>
      <c r="K50" s="394">
        <f t="shared" ref="K50:M50" si="3">_xlfn.AGGREGATE(9,6,K10:K49)</f>
        <v>0</v>
      </c>
      <c r="L50" s="394">
        <f t="shared" si="3"/>
        <v>0</v>
      </c>
      <c r="M50" s="394">
        <f t="shared" si="3"/>
        <v>0</v>
      </c>
      <c r="N50" s="394">
        <f>_xlfn.AGGREGATE(9,6,N10:N49)</f>
        <v>0</v>
      </c>
      <c r="O50" s="395"/>
      <c r="P50" s="10"/>
      <c r="Q50" s="10"/>
      <c r="R50" s="10"/>
    </row>
    <row r="52" spans="2:18" x14ac:dyDescent="0.25">
      <c r="B52" s="2"/>
      <c r="C52" s="2"/>
      <c r="D52" s="2"/>
      <c r="E52" s="2"/>
      <c r="F52" s="2"/>
      <c r="G52" s="2"/>
    </row>
    <row r="53" spans="2:18" x14ac:dyDescent="0.25">
      <c r="B53" s="2"/>
      <c r="C53" s="2"/>
      <c r="D53" s="2"/>
      <c r="E53" s="2"/>
      <c r="F53" s="2"/>
      <c r="G53" s="2"/>
    </row>
    <row r="54" spans="2:18" ht="30" customHeight="1" x14ac:dyDescent="0.25">
      <c r="B54" s="2"/>
      <c r="C54" s="2"/>
      <c r="D54" s="2"/>
      <c r="E54" s="2"/>
      <c r="F54" s="2"/>
      <c r="G54" s="2"/>
      <c r="I54" s="381" t="s">
        <v>948</v>
      </c>
      <c r="J54" s="381"/>
      <c r="K54" s="381"/>
      <c r="L54" s="381"/>
      <c r="M54" s="381"/>
      <c r="N54" s="381"/>
    </row>
    <row r="55" spans="2:18" x14ac:dyDescent="0.25">
      <c r="I55" s="1015" t="s">
        <v>329</v>
      </c>
      <c r="J55" s="1015" t="s">
        <v>335</v>
      </c>
      <c r="K55" s="1005" t="s">
        <v>406</v>
      </c>
      <c r="L55" s="1031"/>
      <c r="M55" s="1031"/>
      <c r="N55" s="1006"/>
    </row>
    <row r="56" spans="2:18" ht="16.2" customHeight="1" x14ac:dyDescent="0.25">
      <c r="I56" s="1016"/>
      <c r="J56" s="1016"/>
      <c r="K56" s="419" t="s">
        <v>219</v>
      </c>
      <c r="L56" s="419" t="s">
        <v>220</v>
      </c>
      <c r="M56" s="419" t="s">
        <v>221</v>
      </c>
      <c r="N56" s="419" t="s">
        <v>222</v>
      </c>
    </row>
    <row r="57" spans="2:18" x14ac:dyDescent="0.25">
      <c r="I57" s="353" t="s">
        <v>1828</v>
      </c>
      <c r="J57" s="91" t="s">
        <v>337</v>
      </c>
      <c r="K57" s="21">
        <f>SUMIF($C$10:$C$49,J57,$K$10:$K$49)</f>
        <v>0</v>
      </c>
      <c r="L57" s="21">
        <f>SUMIF($C$10:$C$49,J57,$L$10:$L$49)</f>
        <v>0</v>
      </c>
      <c r="M57" s="21">
        <f>SUMIF($C$10:$C$49,J57,$M$10:$M$49)</f>
        <v>0</v>
      </c>
      <c r="N57" s="90">
        <f>SUMIF($C$10:$C$49,J57,$N$10:$N$49)</f>
        <v>0</v>
      </c>
    </row>
    <row r="58" spans="2:18" x14ac:dyDescent="0.25">
      <c r="I58" s="353" t="s">
        <v>1829</v>
      </c>
      <c r="J58" s="91" t="s">
        <v>338</v>
      </c>
      <c r="K58" s="21">
        <f t="shared" ref="K58:K64" si="4">SUMIF($C$10:$C$49,J58,$K$10:$K$49)</f>
        <v>0</v>
      </c>
      <c r="L58" s="21">
        <f t="shared" ref="L58:L64" si="5">SUMIF($C$10:$C$49,J58,$L$10:$L$49)</f>
        <v>0</v>
      </c>
      <c r="M58" s="21">
        <f t="shared" ref="M58:M64" si="6">SUMIF($C$10:$C$49,J58,$M$10:$M$49)</f>
        <v>0</v>
      </c>
      <c r="N58" s="90">
        <f t="shared" ref="N58:N64" si="7">SUMIF($C$10:$C$49,J58,$N$10:$N$49)</f>
        <v>0</v>
      </c>
    </row>
    <row r="59" spans="2:18" x14ac:dyDescent="0.25">
      <c r="I59" s="353" t="s">
        <v>1830</v>
      </c>
      <c r="J59" s="91" t="s">
        <v>339</v>
      </c>
      <c r="K59" s="21">
        <f t="shared" si="4"/>
        <v>0</v>
      </c>
      <c r="L59" s="21">
        <f t="shared" si="5"/>
        <v>0</v>
      </c>
      <c r="M59" s="21">
        <f t="shared" si="6"/>
        <v>0</v>
      </c>
      <c r="N59" s="90">
        <f t="shared" si="7"/>
        <v>0</v>
      </c>
    </row>
    <row r="60" spans="2:18" x14ac:dyDescent="0.25">
      <c r="I60" s="353" t="s">
        <v>1831</v>
      </c>
      <c r="J60" s="91" t="s">
        <v>340</v>
      </c>
      <c r="K60" s="21">
        <f t="shared" si="4"/>
        <v>0</v>
      </c>
      <c r="L60" s="21">
        <f t="shared" si="5"/>
        <v>0</v>
      </c>
      <c r="M60" s="21">
        <f t="shared" si="6"/>
        <v>0</v>
      </c>
      <c r="N60" s="90">
        <f t="shared" si="7"/>
        <v>0</v>
      </c>
    </row>
    <row r="61" spans="2:18" x14ac:dyDescent="0.25">
      <c r="I61" s="353" t="s">
        <v>1832</v>
      </c>
      <c r="J61" s="91" t="s">
        <v>341</v>
      </c>
      <c r="K61" s="21">
        <f t="shared" si="4"/>
        <v>0</v>
      </c>
      <c r="L61" s="21">
        <f t="shared" si="5"/>
        <v>0</v>
      </c>
      <c r="M61" s="21">
        <f t="shared" si="6"/>
        <v>0</v>
      </c>
      <c r="N61" s="90">
        <f t="shared" si="7"/>
        <v>0</v>
      </c>
    </row>
    <row r="62" spans="2:18" x14ac:dyDescent="0.25">
      <c r="I62" s="353" t="s">
        <v>1833</v>
      </c>
      <c r="J62" s="91" t="s">
        <v>342</v>
      </c>
      <c r="K62" s="21">
        <f t="shared" si="4"/>
        <v>0</v>
      </c>
      <c r="L62" s="21">
        <f t="shared" si="5"/>
        <v>0</v>
      </c>
      <c r="M62" s="21">
        <f t="shared" si="6"/>
        <v>0</v>
      </c>
      <c r="N62" s="90">
        <f t="shared" si="7"/>
        <v>0</v>
      </c>
    </row>
    <row r="63" spans="2:18" x14ac:dyDescent="0.25">
      <c r="I63" s="353" t="s">
        <v>1834</v>
      </c>
      <c r="J63" s="91" t="s">
        <v>343</v>
      </c>
      <c r="K63" s="21">
        <f t="shared" si="4"/>
        <v>0</v>
      </c>
      <c r="L63" s="21">
        <f t="shared" si="5"/>
        <v>0</v>
      </c>
      <c r="M63" s="21">
        <f t="shared" si="6"/>
        <v>0</v>
      </c>
      <c r="N63" s="90">
        <f t="shared" si="7"/>
        <v>0</v>
      </c>
    </row>
    <row r="64" spans="2:18" x14ac:dyDescent="0.25">
      <c r="I64" s="353" t="s">
        <v>1835</v>
      </c>
      <c r="J64" s="91" t="s">
        <v>510</v>
      </c>
      <c r="K64" s="21">
        <f t="shared" si="4"/>
        <v>0</v>
      </c>
      <c r="L64" s="21">
        <f t="shared" si="5"/>
        <v>0</v>
      </c>
      <c r="M64" s="21">
        <f t="shared" si="6"/>
        <v>0</v>
      </c>
      <c r="N64" s="90">
        <f t="shared" si="7"/>
        <v>0</v>
      </c>
    </row>
    <row r="65" spans="9:14" ht="30" customHeight="1" x14ac:dyDescent="0.25">
      <c r="I65" s="355" t="s">
        <v>410</v>
      </c>
      <c r="J65" s="394"/>
      <c r="K65" s="394">
        <f t="shared" ref="K65:M65" si="8">_xlfn.AGGREGATE(9,6,K57:K64)</f>
        <v>0</v>
      </c>
      <c r="L65" s="394">
        <f t="shared" si="8"/>
        <v>0</v>
      </c>
      <c r="M65" s="394">
        <f t="shared" si="8"/>
        <v>0</v>
      </c>
      <c r="N65" s="394">
        <f>_xlfn.AGGREGATE(9,6,N57:N64)</f>
        <v>0</v>
      </c>
    </row>
  </sheetData>
  <protectedRanges>
    <protectedRange sqref="O10:O49" name="Range3"/>
    <protectedRange sqref="D10:G49" name="Range2"/>
    <protectedRange sqref="B10:B49" name="Range1"/>
  </protectedRanges>
  <mergeCells count="12">
    <mergeCell ref="O8:O9"/>
    <mergeCell ref="I55:I56"/>
    <mergeCell ref="J55:J56"/>
    <mergeCell ref="K55:N55"/>
    <mergeCell ref="B8:B9"/>
    <mergeCell ref="C8:C9"/>
    <mergeCell ref="D8:D9"/>
    <mergeCell ref="E8:E9"/>
    <mergeCell ref="F8:F9"/>
    <mergeCell ref="G8:G9"/>
    <mergeCell ref="H8:J8"/>
    <mergeCell ref="K8:N8"/>
  </mergeCells>
  <pageMargins left="0.7" right="0.7" top="0.75" bottom="0.75" header="0.3" footer="0.3"/>
  <drawing r:id="rId1"/>
  <extLst>
    <ext xmlns:x14="http://schemas.microsoft.com/office/spreadsheetml/2009/9/main" uri="{CCE6A557-97BC-4b89-ADB6-D9C93CAAB3DF}">
      <x14:dataValidations xmlns:xm="http://schemas.microsoft.com/office/excel/2006/main" count="3">
        <x14:dataValidation type="list" allowBlank="1" showInputMessage="1" showErrorMessage="1" xr:uid="{09400F61-CF2C-404E-AC5A-08B670191B79}">
          <x14:formula1>
            <xm:f>Settings!$C$80:$C$83</xm:f>
          </x14:formula1>
          <xm:sqref>G10:G49</xm:sqref>
        </x14:dataValidation>
        <x14:dataValidation type="list" allowBlank="1" showInputMessage="1" showErrorMessage="1" xr:uid="{D7AE373F-38AF-4E8A-A470-ACB87E226DC2}">
          <x14:formula1>
            <xm:f>Settings!$B$341:$B$348</xm:f>
          </x14:formula1>
          <xm:sqref>C57:C64 J57:J64</xm:sqref>
        </x14:dataValidation>
        <x14:dataValidation type="list" allowBlank="1" showInputMessage="1" showErrorMessage="1" xr:uid="{FAFD2FB5-1958-438E-AFF0-B26DD90AA1BB}">
          <x14:formula1>
            <xm:f>Settings!$B$185:$B$197</xm:f>
          </x14:formula1>
          <xm:sqref>B10:B49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113DB-B46B-4234-93B7-66C34A23DC15}">
  <dimension ref="B4:R68"/>
  <sheetViews>
    <sheetView rightToLeft="1" zoomScale="70" zoomScaleNormal="70" workbookViewId="0">
      <selection activeCell="E25" sqref="E25"/>
    </sheetView>
  </sheetViews>
  <sheetFormatPr defaultColWidth="9.09765625" defaultRowHeight="16.2" x14ac:dyDescent="0.25"/>
  <cols>
    <col min="1" max="1" width="12.09765625" style="3" customWidth="1"/>
    <col min="2" max="2" width="19.796875" style="3" bestFit="1" customWidth="1"/>
    <col min="3" max="3" width="16.3984375" style="3" customWidth="1"/>
    <col min="4" max="13" width="18.09765625" style="3" customWidth="1"/>
    <col min="14" max="15" width="16.3984375" style="3" customWidth="1"/>
    <col min="16" max="16384" width="9.09765625" style="3"/>
  </cols>
  <sheetData>
    <row r="4" spans="2:18" ht="16.2" customHeight="1" x14ac:dyDescent="0.25">
      <c r="B4" s="9"/>
      <c r="C4" s="9"/>
      <c r="D4" s="9"/>
      <c r="E4" s="9"/>
      <c r="F4" s="9"/>
      <c r="G4" s="9"/>
      <c r="H4" s="9"/>
      <c r="I4" s="9"/>
    </row>
    <row r="5" spans="2:18" ht="16.8" x14ac:dyDescent="0.25">
      <c r="B5" s="27"/>
      <c r="C5" s="27"/>
      <c r="D5" s="27"/>
      <c r="E5" s="16"/>
      <c r="F5" s="16"/>
      <c r="G5" s="16"/>
      <c r="H5" s="16"/>
      <c r="I5" s="16"/>
      <c r="J5" s="16"/>
      <c r="K5" s="16"/>
      <c r="L5" s="16"/>
      <c r="M5" s="16"/>
      <c r="N5" s="16"/>
      <c r="O5" s="16"/>
    </row>
    <row r="6" spans="2:18" ht="16.2" customHeight="1" x14ac:dyDescent="0.25"/>
    <row r="7" spans="2:18" s="279" customFormat="1" ht="30" customHeight="1" x14ac:dyDescent="0.25">
      <c r="B7" s="370" t="s">
        <v>358</v>
      </c>
      <c r="C7" s="371"/>
      <c r="D7" s="371"/>
      <c r="E7" s="371"/>
      <c r="F7" s="371"/>
      <c r="G7" s="371"/>
      <c r="H7" s="371"/>
      <c r="I7" s="371"/>
      <c r="J7" s="371"/>
      <c r="K7" s="371"/>
      <c r="L7" s="371"/>
      <c r="M7" s="371"/>
      <c r="N7" s="371"/>
      <c r="O7" s="372"/>
    </row>
    <row r="8" spans="2:18" ht="17.25" customHeight="1" x14ac:dyDescent="0.25">
      <c r="B8" s="976" t="s">
        <v>935</v>
      </c>
      <c r="C8" s="1015" t="s">
        <v>934</v>
      </c>
      <c r="D8" s="1015" t="s">
        <v>427</v>
      </c>
      <c r="E8" s="1014" t="s">
        <v>428</v>
      </c>
      <c r="F8" s="1014" t="s">
        <v>429</v>
      </c>
      <c r="G8" s="1005" t="s">
        <v>405</v>
      </c>
      <c r="H8" s="1031"/>
      <c r="I8" s="1006"/>
      <c r="J8" s="1005" t="s">
        <v>406</v>
      </c>
      <c r="K8" s="1031"/>
      <c r="L8" s="1031"/>
      <c r="M8" s="1031"/>
      <c r="N8" s="1006"/>
      <c r="O8" s="1014" t="s">
        <v>724</v>
      </c>
    </row>
    <row r="9" spans="2:18" ht="17.25" customHeight="1" x14ac:dyDescent="0.25">
      <c r="B9" s="976"/>
      <c r="C9" s="1016"/>
      <c r="D9" s="1016"/>
      <c r="E9" s="1016"/>
      <c r="F9" s="1016"/>
      <c r="G9" s="374" t="s">
        <v>931</v>
      </c>
      <c r="H9" s="374" t="s">
        <v>933</v>
      </c>
      <c r="I9" s="374" t="s">
        <v>932</v>
      </c>
      <c r="J9" s="419" t="s">
        <v>219</v>
      </c>
      <c r="K9" s="419" t="s">
        <v>220</v>
      </c>
      <c r="L9" s="419" t="s">
        <v>221</v>
      </c>
      <c r="M9" s="355" t="s">
        <v>222</v>
      </c>
      <c r="N9" s="355" t="s">
        <v>222</v>
      </c>
      <c r="O9" s="1008"/>
    </row>
    <row r="10" spans="2:18" x14ac:dyDescent="0.25">
      <c r="B10" s="415" t="s">
        <v>674</v>
      </c>
      <c r="C10" s="431" t="s">
        <v>547</v>
      </c>
      <c r="D10" s="91" t="s">
        <v>671</v>
      </c>
      <c r="E10" s="133">
        <v>50080</v>
      </c>
      <c r="F10" s="92">
        <f>E10*Settings!D15</f>
        <v>12520000</v>
      </c>
      <c r="G10" s="89">
        <f>VLOOKUP(C10,Settings!$C$61:$F$63,2,FALSE)</f>
        <v>7.7484987642400009E-4</v>
      </c>
      <c r="H10" s="219">
        <f>VLOOKUP(C10,Settings!$C$61:$F$63,3,FALSE)</f>
        <v>6.8350831119999998E-12</v>
      </c>
      <c r="I10" s="219">
        <f>VLOOKUP(C10,Settings!$C$61:$F$63,4,FALSE)</f>
        <v>2.1747991719999999E-11</v>
      </c>
      <c r="J10" s="99">
        <f>F10*G10</f>
        <v>9701.1204528284816</v>
      </c>
      <c r="K10" s="99">
        <f>F10*H10</f>
        <v>8.5575240562240002E-5</v>
      </c>
      <c r="L10" s="99">
        <f>F10*I10</f>
        <v>2.7228485633440001E-4</v>
      </c>
      <c r="M10" s="99">
        <f>L10*Settings!$D$24+K10*Settings!$C$24+J10</f>
        <v>9701.197097125756</v>
      </c>
      <c r="N10" s="1044">
        <f>SUM(M10:M13)</f>
        <v>31836.354145772715</v>
      </c>
      <c r="O10" s="385" t="s">
        <v>719</v>
      </c>
      <c r="P10" s="10"/>
      <c r="Q10" s="10"/>
      <c r="R10" s="10"/>
    </row>
    <row r="11" spans="2:18" x14ac:dyDescent="0.25">
      <c r="B11" s="415" t="s">
        <v>674</v>
      </c>
      <c r="C11" s="431" t="s">
        <v>547</v>
      </c>
      <c r="D11" s="91" t="s">
        <v>427</v>
      </c>
      <c r="E11" s="133">
        <v>57280</v>
      </c>
      <c r="F11" s="92">
        <f>E11*Settings!D14</f>
        <v>20907200</v>
      </c>
      <c r="G11" s="89">
        <f>VLOOKUP(C11,Settings!$C$61:$F$63,2,FALSE)</f>
        <v>7.7484987642400009E-4</v>
      </c>
      <c r="H11" s="219">
        <f>VLOOKUP(C11,Settings!$C$61:$F$63,3,FALSE)</f>
        <v>6.8350831119999998E-12</v>
      </c>
      <c r="I11" s="219">
        <f>VLOOKUP(C11,Settings!$C$61:$F$63,4,FALSE)</f>
        <v>2.1747991719999999E-11</v>
      </c>
      <c r="J11" s="99">
        <f t="shared" ref="J11:J14" si="0">F11*G11</f>
        <v>16199.941336371854</v>
      </c>
      <c r="K11" s="99">
        <f t="shared" ref="K11:K14" si="1">F11*H11</f>
        <v>1.4290244963920638E-4</v>
      </c>
      <c r="L11" s="99">
        <f t="shared" ref="L11:L14" si="2">F11*I11</f>
        <v>4.54689612488384E-4</v>
      </c>
      <c r="M11" s="99">
        <f>L11*Settings!$D$24+K11*Settings!$C$24+J11</f>
        <v>16200.069325002203</v>
      </c>
      <c r="N11" s="1045"/>
      <c r="O11" s="385" t="s">
        <v>719</v>
      </c>
      <c r="P11" s="10"/>
      <c r="Q11" s="10"/>
      <c r="R11" s="10"/>
    </row>
    <row r="12" spans="2:18" x14ac:dyDescent="0.25">
      <c r="B12" s="415" t="s">
        <v>674</v>
      </c>
      <c r="C12" s="431" t="s">
        <v>551</v>
      </c>
      <c r="D12" s="91" t="s">
        <v>671</v>
      </c>
      <c r="E12" s="133">
        <v>22720</v>
      </c>
      <c r="F12" s="92">
        <f>E12*Settings!D15</f>
        <v>5680000</v>
      </c>
      <c r="G12" s="89">
        <f>VLOOKUP(C12,Settings!$C$61:$F$63,2,FALSE)</f>
        <v>5.9340948836000005E-4</v>
      </c>
      <c r="H12" s="219">
        <f>VLOOKUP(C12,Settings!$C$61:$F$63,3,FALSE)</f>
        <v>1.6155650991999999E-11</v>
      </c>
      <c r="I12" s="219">
        <f>VLOOKUP(C12,Settings!$C$61:$F$63,4,FALSE)</f>
        <v>1.4291537416E-11</v>
      </c>
      <c r="J12" s="99">
        <f t="shared" si="0"/>
        <v>3370.5658938848001</v>
      </c>
      <c r="K12" s="99">
        <f t="shared" si="1"/>
        <v>9.1764097634559994E-5</v>
      </c>
      <c r="L12" s="99">
        <f t="shared" si="2"/>
        <v>8.1175932522879995E-5</v>
      </c>
      <c r="M12" s="99">
        <f>L12*Settings!$D$24+K12*Settings!$C$24+J12</f>
        <v>3370.5905325450149</v>
      </c>
      <c r="N12" s="1045"/>
      <c r="O12" s="385" t="s">
        <v>719</v>
      </c>
      <c r="P12" s="10"/>
      <c r="Q12" s="10"/>
      <c r="R12" s="10"/>
    </row>
    <row r="13" spans="2:18" x14ac:dyDescent="0.25">
      <c r="B13" s="415" t="s">
        <v>674</v>
      </c>
      <c r="C13" s="431" t="s">
        <v>551</v>
      </c>
      <c r="D13" s="91" t="s">
        <v>427</v>
      </c>
      <c r="E13" s="133">
        <v>11840</v>
      </c>
      <c r="F13" s="92">
        <f>E13*Settings!D14</f>
        <v>4321600</v>
      </c>
      <c r="G13" s="89">
        <f>VLOOKUP(C13,Settings!$C$61:$F$63,2,FALSE)</f>
        <v>5.9340948836000005E-4</v>
      </c>
      <c r="H13" s="219">
        <f>VLOOKUP(C13,Settings!$C$61:$F$63,3,FALSE)</f>
        <v>1.6155650991999999E-11</v>
      </c>
      <c r="I13" s="219">
        <f>VLOOKUP(C13,Settings!$C$61:$F$63,4,FALSE)</f>
        <v>1.4291537416E-11</v>
      </c>
      <c r="J13" s="99">
        <f t="shared" si="0"/>
        <v>2564.4784448965761</v>
      </c>
      <c r="K13" s="99">
        <f t="shared" si="1"/>
        <v>6.9818261327027199E-5</v>
      </c>
      <c r="L13" s="99">
        <f t="shared" si="2"/>
        <v>6.1762308096985596E-5</v>
      </c>
      <c r="M13" s="99">
        <f>L13*Settings!$D$24+K13*Settings!$C$24+J13</f>
        <v>2564.4971910997424</v>
      </c>
      <c r="N13" s="1046"/>
      <c r="O13" s="385" t="s">
        <v>719</v>
      </c>
      <c r="P13" s="10"/>
      <c r="Q13" s="10"/>
      <c r="R13" s="10"/>
    </row>
    <row r="14" spans="2:18" x14ac:dyDescent="0.25">
      <c r="B14" s="415" t="s">
        <v>675</v>
      </c>
      <c r="C14" s="431" t="s">
        <v>546</v>
      </c>
      <c r="D14" s="384"/>
      <c r="E14" s="384"/>
      <c r="F14" s="432">
        <v>19039999</v>
      </c>
      <c r="G14" s="89">
        <f>VLOOKUP(C14,Settings!$C$61:$F$63,2,FALSE)</f>
        <v>1.0873995860000001E-4</v>
      </c>
      <c r="H14" s="219">
        <f>VLOOKUP(C14,Settings!$C$61:$F$63,3,FALSE)</f>
        <v>3.1068559599999997E-12</v>
      </c>
      <c r="I14" s="219">
        <f>VLOOKUP(C14,Settings!$C$61:$F$63,4,FALSE)</f>
        <v>1.8641135760000002E-12</v>
      </c>
      <c r="J14" s="99">
        <f t="shared" si="0"/>
        <v>2070.4087030040419</v>
      </c>
      <c r="K14" s="99">
        <f t="shared" si="1"/>
        <v>5.9154534371544033E-5</v>
      </c>
      <c r="L14" s="99">
        <f t="shared" si="2"/>
        <v>3.5492720622926428E-5</v>
      </c>
      <c r="M14" s="99">
        <f>L14*Settings!$D$24+K14*Settings!$C$24+J14</f>
        <v>2070.4199896892001</v>
      </c>
      <c r="N14" s="19">
        <f>M14</f>
        <v>2070.4199896892001</v>
      </c>
      <c r="O14" s="385" t="s">
        <v>719</v>
      </c>
      <c r="P14" s="10"/>
      <c r="Q14" s="10"/>
      <c r="R14" s="10"/>
    </row>
    <row r="15" spans="2:18" ht="30" customHeight="1" x14ac:dyDescent="0.25">
      <c r="B15" s="355" t="s">
        <v>410</v>
      </c>
      <c r="C15" s="391"/>
      <c r="D15" s="391"/>
      <c r="E15" s="391"/>
      <c r="F15" s="355"/>
      <c r="G15" s="433"/>
      <c r="H15" s="433"/>
      <c r="I15" s="433"/>
      <c r="J15" s="394">
        <f>_xlfn.AGGREGATE(9,6,J10:J14)</f>
        <v>33906.514830985754</v>
      </c>
      <c r="K15" s="394">
        <f t="shared" ref="K15:L15" si="3">_xlfn.AGGREGATE(9,6,K10:K14)</f>
        <v>4.4921458353457762E-4</v>
      </c>
      <c r="L15" s="394">
        <f t="shared" si="3"/>
        <v>9.05405430065576E-4</v>
      </c>
      <c r="M15" s="394">
        <f>_xlfn.AGGREGATE(9,6,M10:M14)</f>
        <v>33906.774135461914</v>
      </c>
      <c r="N15" s="394">
        <f>_xlfn.AGGREGATE(9,6,N10:N14)</f>
        <v>33906.774135461914</v>
      </c>
      <c r="O15" s="394"/>
      <c r="P15" s="10"/>
      <c r="Q15" s="10"/>
      <c r="R15" s="10"/>
    </row>
    <row r="17" spans="2:15" x14ac:dyDescent="0.25">
      <c r="B17" s="2"/>
      <c r="C17" s="2"/>
      <c r="D17" s="2"/>
      <c r="E17" s="2"/>
      <c r="F17" s="2"/>
      <c r="G17" s="2"/>
      <c r="H17" s="2"/>
      <c r="I17" s="2"/>
    </row>
    <row r="18" spans="2:15" x14ac:dyDescent="0.25">
      <c r="C18" s="2"/>
    </row>
    <row r="19" spans="2:15" ht="30" customHeight="1" x14ac:dyDescent="0.25">
      <c r="B19" s="2"/>
      <c r="C19" s="2"/>
      <c r="D19" s="2"/>
      <c r="E19" s="2"/>
      <c r="F19" s="381" t="s">
        <v>858</v>
      </c>
      <c r="G19" s="381"/>
      <c r="H19" s="381"/>
      <c r="I19" s="381"/>
      <c r="J19" s="381"/>
      <c r="K19" s="381"/>
      <c r="L19" s="381"/>
      <c r="M19" s="381"/>
      <c r="N19" s="381"/>
      <c r="O19" s="95"/>
    </row>
    <row r="20" spans="2:15" ht="16.8" customHeight="1" x14ac:dyDescent="0.25">
      <c r="B20" s="2"/>
      <c r="C20" s="2"/>
      <c r="D20" s="2"/>
      <c r="E20" s="2"/>
      <c r="F20" s="1014" t="s">
        <v>329</v>
      </c>
      <c r="G20" s="976" t="s">
        <v>335</v>
      </c>
      <c r="H20" s="1015" t="s">
        <v>523</v>
      </c>
      <c r="I20" s="1014" t="s">
        <v>672</v>
      </c>
      <c r="J20" s="1014" t="s">
        <v>673</v>
      </c>
      <c r="K20" s="1005" t="s">
        <v>406</v>
      </c>
      <c r="L20" s="1031"/>
      <c r="M20" s="1031"/>
      <c r="N20" s="1006"/>
      <c r="O20" s="94"/>
    </row>
    <row r="21" spans="2:15" ht="16.8" customHeight="1" x14ac:dyDescent="0.25">
      <c r="C21" s="2"/>
      <c r="F21" s="1008"/>
      <c r="G21" s="976"/>
      <c r="H21" s="1016"/>
      <c r="I21" s="1016"/>
      <c r="J21" s="1016"/>
      <c r="K21" s="419" t="s">
        <v>219</v>
      </c>
      <c r="L21" s="419" t="s">
        <v>220</v>
      </c>
      <c r="M21" s="419" t="s">
        <v>221</v>
      </c>
      <c r="N21" s="355" t="s">
        <v>222</v>
      </c>
      <c r="O21" s="96"/>
    </row>
    <row r="22" spans="2:15" ht="16.2" customHeight="1" x14ac:dyDescent="0.25">
      <c r="C22" s="2"/>
      <c r="F22" s="353" t="s">
        <v>1836</v>
      </c>
      <c r="G22" s="91" t="s">
        <v>337</v>
      </c>
      <c r="H22" s="434">
        <f>Settings!E386</f>
        <v>1572</v>
      </c>
      <c r="I22" s="435">
        <f>H22/$H$30</f>
        <v>6.1095996890788963E-2</v>
      </c>
      <c r="J22" s="436">
        <v>0</v>
      </c>
      <c r="K22" s="437">
        <f>SUM($J$10:$J$13)*I22+$J$14*J22</f>
        <v>1945.0586410099982</v>
      </c>
      <c r="L22" s="437">
        <f>SUM($K$10:$K$13)*I22+$K$14*J22</f>
        <v>2.3831107550885691E-5</v>
      </c>
      <c r="M22" s="437">
        <f>SUM($L$10:$L$13)*I22+$L$14*J22</f>
        <v>5.3148184191365922E-5</v>
      </c>
      <c r="N22" s="21">
        <f>M22*Settings!$D$24+L22*Settings!$C$24+K22</f>
        <v>1945.0737939041862</v>
      </c>
      <c r="O22" s="97"/>
    </row>
    <row r="23" spans="2:15" ht="16.2" customHeight="1" x14ac:dyDescent="0.25">
      <c r="C23" s="2"/>
      <c r="F23" s="353" t="s">
        <v>1837</v>
      </c>
      <c r="G23" s="91" t="s">
        <v>338</v>
      </c>
      <c r="H23" s="434">
        <f>Settings!E387</f>
        <v>2872</v>
      </c>
      <c r="I23" s="435">
        <f t="shared" ref="I23:I29" si="4">H23/$H$30</f>
        <v>0.11162067625340071</v>
      </c>
      <c r="J23" s="436">
        <v>0</v>
      </c>
      <c r="K23" s="437">
        <f t="shared" ref="K23:K29" si="5">SUM($J$10:$J$13)*I23+$J$14*J23</f>
        <v>3553.5676952803528</v>
      </c>
      <c r="L23" s="437">
        <f t="shared" ref="L23:L29" si="6">SUM($K$10:$K$13)*I23+$K$14*J23</f>
        <v>4.3538766467012535E-5</v>
      </c>
      <c r="M23" s="437">
        <f t="shared" ref="M23:M29" si="7">SUM($L$10:$L$13)*I23+$L$14*J23</f>
        <v>9.7100244909416629E-5</v>
      </c>
      <c r="N23" s="21">
        <f>M23*Settings!$D$24+L23*Settings!$C$24+K23</f>
        <v>3553.5953791939078</v>
      </c>
      <c r="O23" s="97"/>
    </row>
    <row r="24" spans="2:15" ht="16.2" customHeight="1" x14ac:dyDescent="0.25">
      <c r="C24" s="2"/>
      <c r="F24" s="353" t="s">
        <v>1838</v>
      </c>
      <c r="G24" s="91" t="s">
        <v>339</v>
      </c>
      <c r="H24" s="434">
        <f>Settings!E388</f>
        <v>1285</v>
      </c>
      <c r="I24" s="435">
        <f t="shared" si="4"/>
        <v>4.9941702293043143E-2</v>
      </c>
      <c r="J24" s="436">
        <v>0</v>
      </c>
      <c r="K24" s="437">
        <f t="shared" si="5"/>
        <v>1589.9493344133891</v>
      </c>
      <c r="L24" s="437">
        <f t="shared" si="6"/>
        <v>1.9480262851709995E-5</v>
      </c>
      <c r="M24" s="437">
        <f t="shared" si="7"/>
        <v>4.344492155591935E-5</v>
      </c>
      <c r="N24" s="21">
        <f>M24*Settings!$D$24+L24*Settings!$C$24+K24</f>
        <v>1589.9617208440709</v>
      </c>
      <c r="O24" s="97"/>
    </row>
    <row r="25" spans="2:15" ht="16.2" customHeight="1" x14ac:dyDescent="0.25">
      <c r="C25" s="2"/>
      <c r="F25" s="353" t="s">
        <v>1839</v>
      </c>
      <c r="G25" s="91" t="s">
        <v>340</v>
      </c>
      <c r="H25" s="434">
        <f>Settings!E389</f>
        <v>2010</v>
      </c>
      <c r="I25" s="435">
        <f t="shared" si="4"/>
        <v>7.8118927322192E-2</v>
      </c>
      <c r="J25" s="436">
        <v>0</v>
      </c>
      <c r="K25" s="437">
        <f t="shared" si="5"/>
        <v>2487.0024608333947</v>
      </c>
      <c r="L25" s="437">
        <f t="shared" si="6"/>
        <v>3.0471072631857658E-5</v>
      </c>
      <c r="M25" s="437">
        <f t="shared" si="7"/>
        <v>6.7956647725601478E-5</v>
      </c>
      <c r="N25" s="21">
        <f>M25*Settings!$D$24+L25*Settings!$C$24+K25</f>
        <v>2487.0218357171848</v>
      </c>
      <c r="O25" s="97"/>
    </row>
    <row r="26" spans="2:15" ht="16.2" customHeight="1" x14ac:dyDescent="0.25">
      <c r="C26" s="2"/>
      <c r="F26" s="353" t="s">
        <v>1840</v>
      </c>
      <c r="G26" s="91" t="s">
        <v>341</v>
      </c>
      <c r="H26" s="434">
        <f>Settings!E390</f>
        <v>883</v>
      </c>
      <c r="I26" s="435">
        <f t="shared" si="4"/>
        <v>3.4317916828604744E-2</v>
      </c>
      <c r="J26" s="436">
        <v>0</v>
      </c>
      <c r="K26" s="437">
        <f t="shared" si="5"/>
        <v>1092.5488422467101</v>
      </c>
      <c r="L26" s="437">
        <f t="shared" si="6"/>
        <v>1.3386048325338463E-5</v>
      </c>
      <c r="M26" s="437">
        <f t="shared" si="7"/>
        <v>2.9853592010799053E-5</v>
      </c>
      <c r="N26" s="21">
        <f>M26*Settings!$D$24+L26*Settings!$C$24+K26</f>
        <v>1092.5573537006339</v>
      </c>
      <c r="O26" s="97"/>
    </row>
    <row r="27" spans="2:15" ht="16.2" customHeight="1" x14ac:dyDescent="0.25">
      <c r="C27" s="2"/>
      <c r="F27" s="353" t="s">
        <v>1841</v>
      </c>
      <c r="G27" s="91" t="s">
        <v>342</v>
      </c>
      <c r="H27" s="434">
        <f>Settings!E391/2</f>
        <v>2565</v>
      </c>
      <c r="I27" s="435">
        <f t="shared" si="4"/>
        <v>9.9689078896230077E-2</v>
      </c>
      <c r="J27" s="436">
        <v>0</v>
      </c>
      <c r="K27" s="437">
        <f t="shared" si="5"/>
        <v>3173.7120955411228</v>
      </c>
      <c r="L27" s="437">
        <f t="shared" si="6"/>
        <v>3.8884727015281035E-5</v>
      </c>
      <c r="M27" s="437">
        <f t="shared" si="7"/>
        <v>8.6720796724461575E-5</v>
      </c>
      <c r="N27" s="21">
        <f>M27*Settings!$D$24+L27*Settings!$C$24+K27</f>
        <v>3173.736820206258</v>
      </c>
      <c r="O27" s="97"/>
    </row>
    <row r="28" spans="2:15" ht="16.2" customHeight="1" x14ac:dyDescent="0.25">
      <c r="C28" s="2"/>
      <c r="F28" s="353" t="s">
        <v>1842</v>
      </c>
      <c r="G28" s="91" t="s">
        <v>343</v>
      </c>
      <c r="H28" s="434">
        <f>Settings!E391/2</f>
        <v>2565</v>
      </c>
      <c r="I28" s="435">
        <f t="shared" si="4"/>
        <v>9.9689078896230077E-2</v>
      </c>
      <c r="J28" s="436">
        <v>0</v>
      </c>
      <c r="K28" s="437">
        <f t="shared" si="5"/>
        <v>3173.7120955411228</v>
      </c>
      <c r="L28" s="437">
        <f t="shared" si="6"/>
        <v>3.8884727015281035E-5</v>
      </c>
      <c r="M28" s="437">
        <f t="shared" si="7"/>
        <v>8.6720796724461575E-5</v>
      </c>
      <c r="N28" s="21">
        <f>M28*Settings!$D$24+L28*Settings!$C$24+K28</f>
        <v>3173.736820206258</v>
      </c>
      <c r="O28" s="97"/>
    </row>
    <row r="29" spans="2:15" ht="16.2" customHeight="1" x14ac:dyDescent="0.25">
      <c r="C29" s="2"/>
      <c r="F29" s="353" t="s">
        <v>1843</v>
      </c>
      <c r="G29" s="91" t="s">
        <v>510</v>
      </c>
      <c r="H29" s="434">
        <f>Settings!E392</f>
        <v>11978</v>
      </c>
      <c r="I29" s="435">
        <f t="shared" si="4"/>
        <v>0.46552662261951028</v>
      </c>
      <c r="J29" s="436">
        <v>1</v>
      </c>
      <c r="K29" s="437">
        <f t="shared" si="5"/>
        <v>16890.963666119664</v>
      </c>
      <c r="L29" s="437">
        <f t="shared" si="6"/>
        <v>2.4073787167721119E-4</v>
      </c>
      <c r="M29" s="437">
        <f t="shared" si="7"/>
        <v>4.4046024622355049E-4</v>
      </c>
      <c r="N29" s="21">
        <f>M29*Settings!$D$24+L29*Settings!$C$24+K29</f>
        <v>16891.090411689416</v>
      </c>
      <c r="O29" s="97"/>
    </row>
    <row r="30" spans="2:15" ht="30" customHeight="1" x14ac:dyDescent="0.25">
      <c r="C30" s="2"/>
      <c r="F30" s="355" t="s">
        <v>410</v>
      </c>
      <c r="G30" s="438"/>
      <c r="H30" s="439">
        <f>_xlfn.AGGREGATE(9,6,H22:H29)</f>
        <v>25730</v>
      </c>
      <c r="I30" s="439">
        <f>_xlfn.AGGREGATE(9,6,I22:I29)</f>
        <v>1</v>
      </c>
      <c r="J30" s="439">
        <f>_xlfn.AGGREGATE(9,6,J22:J29)</f>
        <v>1</v>
      </c>
      <c r="K30" s="394">
        <f t="shared" ref="K30:M30" si="8">_xlfn.AGGREGATE(9,6,K22:K29)</f>
        <v>33906.514830985754</v>
      </c>
      <c r="L30" s="394">
        <f t="shared" si="8"/>
        <v>4.4921458353457762E-4</v>
      </c>
      <c r="M30" s="394">
        <f t="shared" si="8"/>
        <v>9.05405430065576E-4</v>
      </c>
      <c r="N30" s="394">
        <f>_xlfn.AGGREGATE(9,6,N22:N29)</f>
        <v>33906.774135461914</v>
      </c>
      <c r="O30" s="98"/>
    </row>
    <row r="31" spans="2:15" x14ac:dyDescent="0.25">
      <c r="C31" s="2"/>
    </row>
    <row r="32" spans="2:15" x14ac:dyDescent="0.25">
      <c r="C32" s="2"/>
    </row>
    <row r="33" spans="3:3" x14ac:dyDescent="0.25">
      <c r="C33" s="2"/>
    </row>
    <row r="34" spans="3:3" x14ac:dyDescent="0.25">
      <c r="C34" s="2"/>
    </row>
    <row r="35" spans="3:3" x14ac:dyDescent="0.25">
      <c r="C35" s="2"/>
    </row>
    <row r="36" spans="3:3" x14ac:dyDescent="0.25">
      <c r="C36" s="2"/>
    </row>
    <row r="37" spans="3:3" x14ac:dyDescent="0.25">
      <c r="C37" s="2"/>
    </row>
    <row r="38" spans="3:3" x14ac:dyDescent="0.25">
      <c r="C38" s="2"/>
    </row>
    <row r="39" spans="3:3" x14ac:dyDescent="0.25">
      <c r="C39" s="2"/>
    </row>
    <row r="40" spans="3:3" x14ac:dyDescent="0.25">
      <c r="C40" s="2"/>
    </row>
    <row r="41" spans="3:3" x14ac:dyDescent="0.25">
      <c r="C41" s="2"/>
    </row>
    <row r="42" spans="3:3" x14ac:dyDescent="0.25">
      <c r="C42" s="2"/>
    </row>
    <row r="43" spans="3:3" x14ac:dyDescent="0.25">
      <c r="C43" s="2"/>
    </row>
    <row r="44" spans="3:3" x14ac:dyDescent="0.25">
      <c r="C44" s="2"/>
    </row>
    <row r="45" spans="3:3" x14ac:dyDescent="0.25">
      <c r="C45" s="2"/>
    </row>
    <row r="46" spans="3:3" x14ac:dyDescent="0.25">
      <c r="C46" s="2"/>
    </row>
    <row r="47" spans="3:3" x14ac:dyDescent="0.25">
      <c r="C47" s="2"/>
    </row>
    <row r="48" spans="3:3" x14ac:dyDescent="0.25">
      <c r="C48" s="2"/>
    </row>
    <row r="49" spans="3:3" x14ac:dyDescent="0.25">
      <c r="C49" s="2"/>
    </row>
    <row r="50" spans="3:3" x14ac:dyDescent="0.25">
      <c r="C50" s="2"/>
    </row>
    <row r="51" spans="3:3" x14ac:dyDescent="0.25">
      <c r="C51" s="2"/>
    </row>
    <row r="52" spans="3:3" x14ac:dyDescent="0.25">
      <c r="C52" s="2"/>
    </row>
    <row r="53" spans="3:3" x14ac:dyDescent="0.25">
      <c r="C53" s="2"/>
    </row>
    <row r="54" spans="3:3" x14ac:dyDescent="0.25">
      <c r="C54" s="2"/>
    </row>
    <row r="55" spans="3:3" x14ac:dyDescent="0.25">
      <c r="C55" s="2"/>
    </row>
    <row r="56" spans="3:3" x14ac:dyDescent="0.25">
      <c r="C56" s="2"/>
    </row>
    <row r="57" spans="3:3" x14ac:dyDescent="0.25">
      <c r="C57" s="2"/>
    </row>
    <row r="58" spans="3:3" x14ac:dyDescent="0.25">
      <c r="C58" s="2"/>
    </row>
    <row r="59" spans="3:3" x14ac:dyDescent="0.25">
      <c r="C59" s="2"/>
    </row>
    <row r="60" spans="3:3" x14ac:dyDescent="0.25">
      <c r="C60" s="2"/>
    </row>
    <row r="61" spans="3:3" x14ac:dyDescent="0.25">
      <c r="C61" s="2"/>
    </row>
    <row r="62" spans="3:3" x14ac:dyDescent="0.25">
      <c r="C62" s="2"/>
    </row>
    <row r="63" spans="3:3" x14ac:dyDescent="0.25">
      <c r="C63" s="2"/>
    </row>
    <row r="64" spans="3:3" x14ac:dyDescent="0.25">
      <c r="C64" s="2"/>
    </row>
    <row r="65" spans="3:3" x14ac:dyDescent="0.25">
      <c r="C65" s="2"/>
    </row>
    <row r="66" spans="3:3" x14ac:dyDescent="0.25">
      <c r="C66" s="2"/>
    </row>
    <row r="67" spans="3:3" x14ac:dyDescent="0.25">
      <c r="C67" s="2"/>
    </row>
    <row r="68" spans="3:3" x14ac:dyDescent="0.25">
      <c r="C68" s="2"/>
    </row>
  </sheetData>
  <protectedRanges>
    <protectedRange sqref="E10:E13 F14 O10:O14" name="Range2"/>
    <protectedRange sqref="C10:C14" name="Range1"/>
  </protectedRanges>
  <mergeCells count="15">
    <mergeCell ref="O8:O9"/>
    <mergeCell ref="G8:I8"/>
    <mergeCell ref="J8:N8"/>
    <mergeCell ref="N10:N13"/>
    <mergeCell ref="B8:B9"/>
    <mergeCell ref="C8:C9"/>
    <mergeCell ref="D8:D9"/>
    <mergeCell ref="E8:E9"/>
    <mergeCell ref="F8:F9"/>
    <mergeCell ref="F20:F21"/>
    <mergeCell ref="K20:N20"/>
    <mergeCell ref="J20:J21"/>
    <mergeCell ref="I20:I21"/>
    <mergeCell ref="H20:H21"/>
    <mergeCell ref="G20:G21"/>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CE6BF9DC-9E9A-46E3-890A-77AE1599D963}">
          <x14:formula1>
            <xm:f>Settings!$C$61:$C$63</xm:f>
          </x14:formula1>
          <xm:sqref>C10:C14</xm:sqref>
        </x14:dataValidation>
        <x14:dataValidation type="list" allowBlank="1" showInputMessage="1" showErrorMessage="1" xr:uid="{D153F6C2-A4EA-467E-AD93-6C93A15A4BBE}">
          <x14:formula1>
            <xm:f>Settings!$B$341:$B$348</xm:f>
          </x14:formula1>
          <xm:sqref>G22:G29</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57B58-DDFB-47C6-9DC1-8D2010FF47CC}">
  <dimension ref="B7:Q183"/>
  <sheetViews>
    <sheetView rightToLeft="1" zoomScale="70" zoomScaleNormal="70" workbookViewId="0">
      <selection activeCell="C65" sqref="C65:H65"/>
    </sheetView>
  </sheetViews>
  <sheetFormatPr defaultColWidth="9.09765625" defaultRowHeight="16.2" x14ac:dyDescent="0.25"/>
  <cols>
    <col min="1" max="1" width="12.09765625" style="3" customWidth="1"/>
    <col min="2" max="2" width="14.3984375" style="3" customWidth="1"/>
    <col min="3" max="3" width="19" style="3" customWidth="1"/>
    <col min="4" max="4" width="10.19921875" style="3" customWidth="1"/>
    <col min="5" max="6" width="11.8984375" style="3" customWidth="1"/>
    <col min="7" max="8" width="12.19921875" style="3" customWidth="1"/>
    <col min="9" max="9" width="22.19921875" style="3" bestFit="1" customWidth="1"/>
    <col min="10" max="10" width="18.59765625" style="3" customWidth="1"/>
    <col min="11" max="17" width="18.19921875" style="3" customWidth="1"/>
    <col min="18" max="16384" width="9.09765625" style="3"/>
  </cols>
  <sheetData>
    <row r="7" spans="2:17" s="279" customFormat="1" ht="30" customHeight="1" x14ac:dyDescent="0.25">
      <c r="B7" s="381" t="s">
        <v>883</v>
      </c>
      <c r="C7" s="381"/>
      <c r="D7" s="381"/>
      <c r="E7" s="381"/>
      <c r="F7" s="381"/>
      <c r="G7" s="381"/>
      <c r="H7" s="381"/>
      <c r="I7" s="381"/>
      <c r="J7" s="381"/>
      <c r="K7" s="381"/>
      <c r="L7" s="381"/>
      <c r="M7" s="381"/>
      <c r="N7" s="381"/>
      <c r="O7" s="381"/>
      <c r="P7" s="381"/>
      <c r="Q7" s="381"/>
    </row>
    <row r="8" spans="2:17" x14ac:dyDescent="0.25">
      <c r="B8" s="1016" t="s">
        <v>335</v>
      </c>
      <c r="C8" s="1018" t="s">
        <v>353</v>
      </c>
      <c r="D8" s="1047"/>
      <c r="E8" s="1047"/>
      <c r="F8" s="1047"/>
      <c r="G8" s="1047"/>
      <c r="H8" s="1019"/>
      <c r="I8" s="1007" t="s">
        <v>431</v>
      </c>
      <c r="J8" s="1007" t="s">
        <v>936</v>
      </c>
      <c r="K8" s="1005" t="s">
        <v>405</v>
      </c>
      <c r="L8" s="1031"/>
      <c r="M8" s="1006"/>
      <c r="N8" s="1005" t="s">
        <v>406</v>
      </c>
      <c r="O8" s="1031"/>
      <c r="P8" s="1031"/>
      <c r="Q8" s="1006"/>
    </row>
    <row r="9" spans="2:17" x14ac:dyDescent="0.25">
      <c r="B9" s="976"/>
      <c r="C9" s="1011"/>
      <c r="D9" s="1048"/>
      <c r="E9" s="1048"/>
      <c r="F9" s="1048"/>
      <c r="G9" s="1048"/>
      <c r="H9" s="1012"/>
      <c r="I9" s="1008"/>
      <c r="J9" s="1016"/>
      <c r="K9" s="374" t="s">
        <v>937</v>
      </c>
      <c r="L9" s="374" t="s">
        <v>938</v>
      </c>
      <c r="M9" s="374" t="s">
        <v>939</v>
      </c>
      <c r="N9" s="419" t="s">
        <v>219</v>
      </c>
      <c r="O9" s="419" t="s">
        <v>220</v>
      </c>
      <c r="P9" s="419" t="s">
        <v>221</v>
      </c>
      <c r="Q9" s="355" t="s">
        <v>222</v>
      </c>
    </row>
    <row r="10" spans="2:17" x14ac:dyDescent="0.25">
      <c r="B10" s="353" t="s">
        <v>337</v>
      </c>
      <c r="C10" s="672"/>
      <c r="D10" s="440"/>
      <c r="E10" s="673"/>
      <c r="F10" s="673"/>
      <c r="G10" s="673"/>
      <c r="H10" s="674"/>
      <c r="I10" s="407" t="s">
        <v>546</v>
      </c>
      <c r="J10" s="416">
        <v>18555</v>
      </c>
      <c r="K10" s="83">
        <f>VLOOKUP(I10,Settings!$C$69:$F$74,2,FALSE)</f>
        <v>1.0873995860000001E-4</v>
      </c>
      <c r="L10" s="83">
        <f>VLOOKUP(I10,Settings!$C$69:$F$74,3,FALSE)</f>
        <v>3.1068559599999997E-12</v>
      </c>
      <c r="M10" s="83">
        <f>VLOOKUP(I10,Settings!$C$69:$F$74,4,FALSE)</f>
        <v>1.8641135760000002E-12</v>
      </c>
      <c r="N10" s="397">
        <f>J10*K10</f>
        <v>2.0176699318230003</v>
      </c>
      <c r="O10" s="397">
        <f>J10*L10</f>
        <v>5.7647712337799997E-8</v>
      </c>
      <c r="P10" s="397">
        <f>J10*M10</f>
        <v>3.4588627402680002E-8</v>
      </c>
      <c r="Q10" s="397">
        <f>P10*Settings!$D$24+O10*Settings!$C$24+N10</f>
        <v>2.0176809310065145</v>
      </c>
    </row>
    <row r="11" spans="2:17" x14ac:dyDescent="0.25">
      <c r="B11" s="353" t="s">
        <v>338</v>
      </c>
      <c r="C11" s="644"/>
      <c r="D11" s="440"/>
      <c r="E11" s="440"/>
      <c r="F11" s="440"/>
      <c r="G11" s="440"/>
      <c r="H11" s="440"/>
      <c r="I11" s="407" t="s">
        <v>546</v>
      </c>
      <c r="J11" s="416">
        <v>10014</v>
      </c>
      <c r="K11" s="83">
        <f>VLOOKUP(I11,Settings!$C$69:$F$74,2,FALSE)</f>
        <v>1.0873995860000001E-4</v>
      </c>
      <c r="L11" s="83">
        <f>VLOOKUP(I11,Settings!$C$69:$F$74,3,FALSE)</f>
        <v>3.1068559599999997E-12</v>
      </c>
      <c r="M11" s="83">
        <f>VLOOKUP(I11,Settings!$C$69:$F$74,4,FALSE)</f>
        <v>1.8641135760000002E-12</v>
      </c>
      <c r="N11" s="397">
        <f t="shared" ref="N11:N62" si="0">J11*K11</f>
        <v>1.0889219454204002</v>
      </c>
      <c r="O11" s="397">
        <f t="shared" ref="O11:O62" si="1">J11*L11</f>
        <v>3.1112055583439995E-8</v>
      </c>
      <c r="P11" s="397">
        <f t="shared" ref="P11:P62" si="2">J11*M11</f>
        <v>1.8667233350064002E-8</v>
      </c>
      <c r="Q11" s="397">
        <f>P11*Settings!$D$24+O11*Settings!$C$24+N11</f>
        <v>1.0889278816006056</v>
      </c>
    </row>
    <row r="12" spans="2:17" x14ac:dyDescent="0.25">
      <c r="B12" s="353" t="s">
        <v>339</v>
      </c>
      <c r="C12" s="644"/>
      <c r="D12" s="440"/>
      <c r="E12" s="440"/>
      <c r="F12" s="440"/>
      <c r="G12" s="440"/>
      <c r="H12" s="440"/>
      <c r="I12" s="407" t="s">
        <v>546</v>
      </c>
      <c r="J12" s="416">
        <v>75</v>
      </c>
      <c r="K12" s="83">
        <f>VLOOKUP(I12,Settings!$C$69:$F$74,2,FALSE)</f>
        <v>1.0873995860000001E-4</v>
      </c>
      <c r="L12" s="83">
        <f>VLOOKUP(I12,Settings!$C$69:$F$74,3,FALSE)</f>
        <v>3.1068559599999997E-12</v>
      </c>
      <c r="M12" s="83">
        <f>VLOOKUP(I12,Settings!$C$69:$F$74,4,FALSE)</f>
        <v>1.8641135760000002E-12</v>
      </c>
      <c r="N12" s="397">
        <f t="shared" si="0"/>
        <v>8.1554968950000011E-3</v>
      </c>
      <c r="O12" s="397">
        <f t="shared" si="1"/>
        <v>2.3301419699999997E-10</v>
      </c>
      <c r="P12" s="397">
        <f t="shared" si="2"/>
        <v>1.3980851820000001E-10</v>
      </c>
      <c r="Q12" s="397">
        <f>P12*Settings!$D$24+O12*Settings!$C$24+N12</f>
        <v>8.155541354108788E-3</v>
      </c>
    </row>
    <row r="13" spans="2:17" x14ac:dyDescent="0.25">
      <c r="B13" s="353" t="s">
        <v>340</v>
      </c>
      <c r="C13" s="644"/>
      <c r="D13" s="440"/>
      <c r="E13" s="440"/>
      <c r="F13" s="440"/>
      <c r="G13" s="440"/>
      <c r="H13" s="440"/>
      <c r="I13" s="407" t="s">
        <v>546</v>
      </c>
      <c r="J13" s="416">
        <v>23195</v>
      </c>
      <c r="K13" s="83">
        <f>VLOOKUP(I13,Settings!$C$69:$F$74,2,FALSE)</f>
        <v>1.0873995860000001E-4</v>
      </c>
      <c r="L13" s="83">
        <f>VLOOKUP(I13,Settings!$C$69:$F$74,3,FALSE)</f>
        <v>3.1068559599999997E-12</v>
      </c>
      <c r="M13" s="83">
        <f>VLOOKUP(I13,Settings!$C$69:$F$74,4,FALSE)</f>
        <v>1.8641135760000002E-12</v>
      </c>
      <c r="N13" s="397">
        <f t="shared" si="0"/>
        <v>2.5222233397270002</v>
      </c>
      <c r="O13" s="397">
        <f t="shared" si="1"/>
        <v>7.2063523992199988E-8</v>
      </c>
      <c r="P13" s="397">
        <f t="shared" si="2"/>
        <v>4.3238114395320007E-8</v>
      </c>
      <c r="Q13" s="397">
        <f>P13*Settings!$D$24+O13*Settings!$C$24+N13</f>
        <v>2.522237089447378</v>
      </c>
    </row>
    <row r="14" spans="2:17" x14ac:dyDescent="0.25">
      <c r="B14" s="353" t="s">
        <v>341</v>
      </c>
      <c r="C14" s="644"/>
      <c r="D14" s="440"/>
      <c r="E14" s="440"/>
      <c r="F14" s="440"/>
      <c r="G14" s="440"/>
      <c r="H14" s="440"/>
      <c r="I14" s="407" t="s">
        <v>546</v>
      </c>
      <c r="J14" s="416">
        <v>4881</v>
      </c>
      <c r="K14" s="83">
        <f>VLOOKUP(I14,Settings!$C$69:$F$74,2,FALSE)</f>
        <v>1.0873995860000001E-4</v>
      </c>
      <c r="L14" s="83">
        <f>VLOOKUP(I14,Settings!$C$69:$F$74,3,FALSE)</f>
        <v>3.1068559599999997E-12</v>
      </c>
      <c r="M14" s="83">
        <f>VLOOKUP(I14,Settings!$C$69:$F$74,4,FALSE)</f>
        <v>1.8641135760000002E-12</v>
      </c>
      <c r="N14" s="397">
        <f t="shared" si="0"/>
        <v>0.53075973792660003</v>
      </c>
      <c r="O14" s="397">
        <f t="shared" si="1"/>
        <v>1.5164563940759998E-8</v>
      </c>
      <c r="P14" s="397">
        <f t="shared" si="2"/>
        <v>9.0987383644560014E-9</v>
      </c>
      <c r="Q14" s="397">
        <f>P14*Settings!$D$24+O14*Settings!$C$24+N14</f>
        <v>0.53076263132539991</v>
      </c>
    </row>
    <row r="15" spans="2:17" x14ac:dyDescent="0.25">
      <c r="B15" s="353" t="s">
        <v>342</v>
      </c>
      <c r="C15" s="644"/>
      <c r="D15" s="440"/>
      <c r="E15" s="440"/>
      <c r="F15" s="440"/>
      <c r="G15" s="440"/>
      <c r="H15" s="440"/>
      <c r="I15" s="407" t="s">
        <v>546</v>
      </c>
      <c r="J15" s="416">
        <v>9180</v>
      </c>
      <c r="K15" s="83">
        <f>VLOOKUP(I15,Settings!$C$69:$F$74,2,FALSE)</f>
        <v>1.0873995860000001E-4</v>
      </c>
      <c r="L15" s="83">
        <f>VLOOKUP(I15,Settings!$C$69:$F$74,3,FALSE)</f>
        <v>3.1068559599999997E-12</v>
      </c>
      <c r="M15" s="83">
        <f>VLOOKUP(I15,Settings!$C$69:$F$74,4,FALSE)</f>
        <v>1.8641135760000002E-12</v>
      </c>
      <c r="N15" s="397">
        <f t="shared" si="0"/>
        <v>0.99823281994800017</v>
      </c>
      <c r="O15" s="397">
        <f t="shared" si="1"/>
        <v>2.8520937712799997E-8</v>
      </c>
      <c r="P15" s="397">
        <f t="shared" si="2"/>
        <v>1.7112562627680003E-8</v>
      </c>
      <c r="Q15" s="397">
        <f>P15*Settings!$D$24+O15*Settings!$C$24+N15</f>
        <v>0.99823826174291574</v>
      </c>
    </row>
    <row r="16" spans="2:17" x14ac:dyDescent="0.25">
      <c r="B16" s="353" t="s">
        <v>343</v>
      </c>
      <c r="C16" s="644"/>
      <c r="D16" s="440"/>
      <c r="E16" s="440"/>
      <c r="F16" s="440"/>
      <c r="G16" s="440"/>
      <c r="H16" s="440"/>
      <c r="I16" s="407" t="s">
        <v>546</v>
      </c>
      <c r="J16" s="416">
        <v>38513</v>
      </c>
      <c r="K16" s="83">
        <f>VLOOKUP(I16,Settings!$C$69:$F$74,2,FALSE)</f>
        <v>1.0873995860000001E-4</v>
      </c>
      <c r="L16" s="83">
        <f>VLOOKUP(I16,Settings!$C$69:$F$74,3,FALSE)</f>
        <v>3.1068559599999997E-12</v>
      </c>
      <c r="M16" s="83">
        <f>VLOOKUP(I16,Settings!$C$69:$F$74,4,FALSE)</f>
        <v>1.8641135760000002E-12</v>
      </c>
      <c r="N16" s="397">
        <f t="shared" si="0"/>
        <v>4.1879020255618009</v>
      </c>
      <c r="O16" s="397">
        <f t="shared" si="1"/>
        <v>1.1965434358748E-7</v>
      </c>
      <c r="P16" s="397">
        <f t="shared" si="2"/>
        <v>7.1792606152488006E-8</v>
      </c>
      <c r="Q16" s="397">
        <f>P16*Settings!$D$24+O16*Settings!$C$24+N16</f>
        <v>4.1879248556105573</v>
      </c>
    </row>
    <row r="17" spans="2:17" x14ac:dyDescent="0.25">
      <c r="B17" s="353" t="s">
        <v>510</v>
      </c>
      <c r="C17" s="644"/>
      <c r="D17" s="440"/>
      <c r="E17" s="440"/>
      <c r="F17" s="440"/>
      <c r="G17" s="440"/>
      <c r="H17" s="440"/>
      <c r="I17" s="407" t="s">
        <v>546</v>
      </c>
      <c r="J17" s="416">
        <v>365157</v>
      </c>
      <c r="K17" s="83">
        <f>VLOOKUP(I17,Settings!$C$69:$F$74,2,FALSE)</f>
        <v>1.0873995860000001E-4</v>
      </c>
      <c r="L17" s="83">
        <f>VLOOKUP(I17,Settings!$C$69:$F$74,3,FALSE)</f>
        <v>3.1068559599999997E-12</v>
      </c>
      <c r="M17" s="83">
        <f>VLOOKUP(I17,Settings!$C$69:$F$74,4,FALSE)</f>
        <v>1.8641135760000002E-12</v>
      </c>
      <c r="N17" s="397">
        <f t="shared" si="0"/>
        <v>39.707157062500208</v>
      </c>
      <c r="O17" s="397">
        <f t="shared" si="1"/>
        <v>1.1344902017857199E-6</v>
      </c>
      <c r="P17" s="397">
        <f t="shared" si="2"/>
        <v>6.8069412107143204E-7</v>
      </c>
      <c r="Q17" s="397">
        <f>P17*Settings!$D$24+O17*Settings!$C$24+N17</f>
        <v>39.707373523230707</v>
      </c>
    </row>
    <row r="18" spans="2:17" x14ac:dyDescent="0.25">
      <c r="B18" s="353" t="s">
        <v>337</v>
      </c>
      <c r="C18" s="644"/>
      <c r="D18" s="440"/>
      <c r="E18" s="440"/>
      <c r="F18" s="440"/>
      <c r="G18" s="440"/>
      <c r="H18" s="440"/>
      <c r="I18" s="407" t="s">
        <v>547</v>
      </c>
      <c r="J18" s="416">
        <v>5668</v>
      </c>
      <c r="K18" s="83">
        <f>VLOOKUP(I18,Settings!$C$69:$F$74,2,FALSE)</f>
        <v>4</v>
      </c>
      <c r="L18" s="83">
        <f>VLOOKUP(I18,Settings!$C$69:$F$74,3,FALSE)</f>
        <v>0</v>
      </c>
      <c r="M18" s="83">
        <f>VLOOKUP(I18,Settings!$C$69:$F$74,4,FALSE)</f>
        <v>1.3048795032000001E-9</v>
      </c>
      <c r="N18" s="397">
        <f t="shared" si="0"/>
        <v>22672</v>
      </c>
      <c r="O18" s="397">
        <f t="shared" si="1"/>
        <v>0</v>
      </c>
      <c r="P18" s="397">
        <f t="shared" si="2"/>
        <v>7.3960570241376007E-6</v>
      </c>
      <c r="Q18" s="397">
        <f>P18*Settings!$D$24+O18*Settings!$C$24+N18</f>
        <v>22672.002019123567</v>
      </c>
    </row>
    <row r="19" spans="2:17" x14ac:dyDescent="0.25">
      <c r="B19" s="353" t="s">
        <v>338</v>
      </c>
      <c r="C19" s="644"/>
      <c r="D19" s="440"/>
      <c r="E19" s="440"/>
      <c r="F19" s="440"/>
      <c r="G19" s="440"/>
      <c r="H19" s="440"/>
      <c r="I19" s="407" t="s">
        <v>547</v>
      </c>
      <c r="J19" s="416">
        <v>2616</v>
      </c>
      <c r="K19" s="83">
        <f>VLOOKUP(I19,Settings!$C$69:$F$74,2,FALSE)</f>
        <v>4</v>
      </c>
      <c r="L19" s="83">
        <f>VLOOKUP(I19,Settings!$C$69:$F$74,3,FALSE)</f>
        <v>0</v>
      </c>
      <c r="M19" s="83">
        <f>VLOOKUP(I19,Settings!$C$69:$F$74,4,FALSE)</f>
        <v>1.3048795032000001E-9</v>
      </c>
      <c r="N19" s="397">
        <f t="shared" si="0"/>
        <v>10464</v>
      </c>
      <c r="O19" s="397">
        <f t="shared" si="1"/>
        <v>0</v>
      </c>
      <c r="P19" s="397">
        <f t="shared" si="2"/>
        <v>3.4135647803712003E-6</v>
      </c>
      <c r="Q19" s="397">
        <f>P19*Settings!$D$24+O19*Settings!$C$24+N19</f>
        <v>10464.000931903185</v>
      </c>
    </row>
    <row r="20" spans="2:17" x14ac:dyDescent="0.25">
      <c r="B20" s="353" t="s">
        <v>339</v>
      </c>
      <c r="C20" s="644"/>
      <c r="D20" s="440"/>
      <c r="E20" s="440"/>
      <c r="F20" s="440"/>
      <c r="G20" s="440"/>
      <c r="H20" s="440"/>
      <c r="I20" s="407" t="s">
        <v>547</v>
      </c>
      <c r="J20" s="416">
        <v>872</v>
      </c>
      <c r="K20" s="83">
        <f>VLOOKUP(I20,Settings!$C$69:$F$74,2,FALSE)</f>
        <v>4</v>
      </c>
      <c r="L20" s="83">
        <f>VLOOKUP(I20,Settings!$C$69:$F$74,3,FALSE)</f>
        <v>0</v>
      </c>
      <c r="M20" s="83">
        <f>VLOOKUP(I20,Settings!$C$69:$F$74,4,FALSE)</f>
        <v>1.3048795032000001E-9</v>
      </c>
      <c r="N20" s="397">
        <f t="shared" si="0"/>
        <v>3488</v>
      </c>
      <c r="O20" s="397">
        <f t="shared" si="1"/>
        <v>0</v>
      </c>
      <c r="P20" s="397">
        <f t="shared" si="2"/>
        <v>1.1378549267904E-6</v>
      </c>
      <c r="Q20" s="397">
        <f>P20*Settings!$D$24+O20*Settings!$C$24+N20</f>
        <v>3488.0003106343952</v>
      </c>
    </row>
    <row r="21" spans="2:17" x14ac:dyDescent="0.25">
      <c r="B21" s="353" t="s">
        <v>340</v>
      </c>
      <c r="C21" s="644"/>
      <c r="D21" s="440"/>
      <c r="E21" s="440"/>
      <c r="F21" s="440"/>
      <c r="G21" s="440"/>
      <c r="H21" s="440"/>
      <c r="I21" s="407" t="s">
        <v>547</v>
      </c>
      <c r="J21" s="416">
        <v>9592</v>
      </c>
      <c r="K21" s="83">
        <f>VLOOKUP(I21,Settings!$C$69:$F$74,2,FALSE)</f>
        <v>4</v>
      </c>
      <c r="L21" s="83">
        <f>VLOOKUP(I21,Settings!$C$69:$F$74,3,FALSE)</f>
        <v>0</v>
      </c>
      <c r="M21" s="83">
        <f>VLOOKUP(I21,Settings!$C$69:$F$74,4,FALSE)</f>
        <v>1.3048795032000001E-9</v>
      </c>
      <c r="N21" s="397">
        <f t="shared" si="0"/>
        <v>38368</v>
      </c>
      <c r="O21" s="397">
        <f t="shared" si="1"/>
        <v>0</v>
      </c>
      <c r="P21" s="397">
        <f t="shared" si="2"/>
        <v>1.2516404194694401E-5</v>
      </c>
      <c r="Q21" s="397">
        <f>P21*Settings!$D$24+O21*Settings!$C$24+N21</f>
        <v>38368.003416978347</v>
      </c>
    </row>
    <row r="22" spans="2:17" x14ac:dyDescent="0.25">
      <c r="B22" s="353" t="s">
        <v>341</v>
      </c>
      <c r="C22" s="644"/>
      <c r="D22" s="440"/>
      <c r="E22" s="440"/>
      <c r="F22" s="440"/>
      <c r="G22" s="440"/>
      <c r="H22" s="440"/>
      <c r="I22" s="407" t="s">
        <v>547</v>
      </c>
      <c r="J22" s="416">
        <v>2616</v>
      </c>
      <c r="K22" s="83">
        <f>VLOOKUP(I22,Settings!$C$69:$F$74,2,FALSE)</f>
        <v>4</v>
      </c>
      <c r="L22" s="83">
        <f>VLOOKUP(I22,Settings!$C$69:$F$74,3,FALSE)</f>
        <v>0</v>
      </c>
      <c r="M22" s="83">
        <f>VLOOKUP(I22,Settings!$C$69:$F$74,4,FALSE)</f>
        <v>1.3048795032000001E-9</v>
      </c>
      <c r="N22" s="397">
        <f t="shared" si="0"/>
        <v>10464</v>
      </c>
      <c r="O22" s="397">
        <f t="shared" si="1"/>
        <v>0</v>
      </c>
      <c r="P22" s="397">
        <f t="shared" si="2"/>
        <v>3.4135647803712003E-6</v>
      </c>
      <c r="Q22" s="397">
        <f>P22*Settings!$D$24+O22*Settings!$C$24+N22</f>
        <v>10464.000931903185</v>
      </c>
    </row>
    <row r="23" spans="2:17" x14ac:dyDescent="0.25">
      <c r="B23" s="353" t="s">
        <v>342</v>
      </c>
      <c r="C23" s="644"/>
      <c r="D23" s="440"/>
      <c r="E23" s="440"/>
      <c r="F23" s="440"/>
      <c r="G23" s="440"/>
      <c r="H23" s="440"/>
      <c r="I23" s="407" t="s">
        <v>547</v>
      </c>
      <c r="J23" s="416">
        <v>4360</v>
      </c>
      <c r="K23" s="83">
        <f>VLOOKUP(I23,Settings!$C$69:$F$74,2,FALSE)</f>
        <v>4</v>
      </c>
      <c r="L23" s="83">
        <f>VLOOKUP(I23,Settings!$C$69:$F$74,3,FALSE)</f>
        <v>0</v>
      </c>
      <c r="M23" s="83">
        <f>VLOOKUP(I23,Settings!$C$69:$F$74,4,FALSE)</f>
        <v>1.3048795032000001E-9</v>
      </c>
      <c r="N23" s="397">
        <f t="shared" si="0"/>
        <v>17440</v>
      </c>
      <c r="O23" s="397">
        <f t="shared" si="1"/>
        <v>0</v>
      </c>
      <c r="P23" s="397">
        <f t="shared" si="2"/>
        <v>5.6892746339520003E-6</v>
      </c>
      <c r="Q23" s="397">
        <f>P23*Settings!$D$24+O23*Settings!$C$24+N23</f>
        <v>17440.001553171976</v>
      </c>
    </row>
    <row r="24" spans="2:17" x14ac:dyDescent="0.25">
      <c r="B24" s="353" t="s">
        <v>343</v>
      </c>
      <c r="C24" s="644"/>
      <c r="D24" s="440"/>
      <c r="E24" s="440"/>
      <c r="F24" s="440"/>
      <c r="G24" s="440"/>
      <c r="H24" s="440"/>
      <c r="I24" s="407" t="s">
        <v>547</v>
      </c>
      <c r="J24" s="416">
        <v>12208</v>
      </c>
      <c r="K24" s="83">
        <f>VLOOKUP(I24,Settings!$C$69:$F$74,2,FALSE)</f>
        <v>4</v>
      </c>
      <c r="L24" s="83">
        <f>VLOOKUP(I24,Settings!$C$69:$F$74,3,FALSE)</f>
        <v>0</v>
      </c>
      <c r="M24" s="83">
        <f>VLOOKUP(I24,Settings!$C$69:$F$74,4,FALSE)</f>
        <v>1.3048795032000001E-9</v>
      </c>
      <c r="N24" s="397">
        <f t="shared" si="0"/>
        <v>48832</v>
      </c>
      <c r="O24" s="397">
        <f t="shared" si="1"/>
        <v>0</v>
      </c>
      <c r="P24" s="397">
        <f t="shared" si="2"/>
        <v>1.59299689750656E-5</v>
      </c>
      <c r="Q24" s="397">
        <f>P24*Settings!$D$24+O24*Settings!$C$24+N24</f>
        <v>48832.004348881528</v>
      </c>
    </row>
    <row r="25" spans="2:17" x14ac:dyDescent="0.25">
      <c r="B25" s="353" t="s">
        <v>510</v>
      </c>
      <c r="C25" s="644"/>
      <c r="D25" s="440"/>
      <c r="E25" s="440"/>
      <c r="F25" s="440"/>
      <c r="G25" s="440"/>
      <c r="H25" s="440"/>
      <c r="I25" s="407" t="s">
        <v>547</v>
      </c>
      <c r="J25" s="416">
        <v>138212</v>
      </c>
      <c r="K25" s="83">
        <f>VLOOKUP(I25,Settings!$C$69:$F$74,2,FALSE)</f>
        <v>4</v>
      </c>
      <c r="L25" s="83">
        <f>VLOOKUP(I25,Settings!$C$69:$F$74,3,FALSE)</f>
        <v>0</v>
      </c>
      <c r="M25" s="83">
        <f>VLOOKUP(I25,Settings!$C$69:$F$74,4,FALSE)</f>
        <v>1.3048795032000001E-9</v>
      </c>
      <c r="N25" s="397">
        <f t="shared" si="0"/>
        <v>552848</v>
      </c>
      <c r="O25" s="397">
        <f t="shared" si="1"/>
        <v>0</v>
      </c>
      <c r="P25" s="397">
        <f t="shared" si="2"/>
        <v>1.8035000589627841E-4</v>
      </c>
      <c r="Q25" s="397">
        <f>P25*Settings!$D$24+O25*Settings!$C$24+N25</f>
        <v>552848.04923555162</v>
      </c>
    </row>
    <row r="26" spans="2:17" x14ac:dyDescent="0.25">
      <c r="B26" s="353" t="s">
        <v>337</v>
      </c>
      <c r="C26" s="644"/>
      <c r="D26" s="440"/>
      <c r="E26" s="440"/>
      <c r="F26" s="440"/>
      <c r="G26" s="440"/>
      <c r="H26" s="440"/>
      <c r="I26" s="407" t="s">
        <v>550</v>
      </c>
      <c r="J26" s="416">
        <v>0</v>
      </c>
      <c r="K26" s="83">
        <f>VLOOKUP(I26,Settings!$C$69:$F$74,2,FALSE)</f>
        <v>7.0214944696000005E-5</v>
      </c>
      <c r="L26" s="83">
        <f>VLOOKUP(I26,Settings!$C$69:$F$74,3,FALSE)</f>
        <v>5.7166149663999993E-9</v>
      </c>
      <c r="M26" s="83">
        <f>VLOOKUP(I26,Settings!$C$69:$F$74,4,FALSE)</f>
        <v>1.6155650992000001E-9</v>
      </c>
      <c r="N26" s="397">
        <f t="shared" si="0"/>
        <v>0</v>
      </c>
      <c r="O26" s="397">
        <f t="shared" si="1"/>
        <v>0</v>
      </c>
      <c r="P26" s="397">
        <f t="shared" si="2"/>
        <v>0</v>
      </c>
      <c r="Q26" s="397">
        <f>P26*Settings!$D$24+O26*Settings!$C$24+N26</f>
        <v>0</v>
      </c>
    </row>
    <row r="27" spans="2:17" x14ac:dyDescent="0.25">
      <c r="B27" s="353" t="s">
        <v>338</v>
      </c>
      <c r="C27" s="644"/>
      <c r="D27" s="440"/>
      <c r="E27" s="440"/>
      <c r="F27" s="440"/>
      <c r="G27" s="440"/>
      <c r="H27" s="440"/>
      <c r="I27" s="407" t="s">
        <v>550</v>
      </c>
      <c r="J27" s="416">
        <v>0</v>
      </c>
      <c r="K27" s="83">
        <f>VLOOKUP(I27,Settings!$C$69:$F$74,2,FALSE)</f>
        <v>7.0214944696000005E-5</v>
      </c>
      <c r="L27" s="83">
        <f>VLOOKUP(I27,Settings!$C$69:$F$74,3,FALSE)</f>
        <v>5.7166149663999993E-9</v>
      </c>
      <c r="M27" s="83">
        <f>VLOOKUP(I27,Settings!$C$69:$F$74,4,FALSE)</f>
        <v>1.6155650992000001E-9</v>
      </c>
      <c r="N27" s="397">
        <f t="shared" si="0"/>
        <v>0</v>
      </c>
      <c r="O27" s="397">
        <f t="shared" si="1"/>
        <v>0</v>
      </c>
      <c r="P27" s="397">
        <f t="shared" si="2"/>
        <v>0</v>
      </c>
      <c r="Q27" s="397">
        <f>P27*Settings!$D$24+O27*Settings!$C$24+N27</f>
        <v>0</v>
      </c>
    </row>
    <row r="28" spans="2:17" x14ac:dyDescent="0.25">
      <c r="B28" s="353" t="s">
        <v>339</v>
      </c>
      <c r="C28" s="644"/>
      <c r="D28" s="440"/>
      <c r="E28" s="440"/>
      <c r="F28" s="440"/>
      <c r="G28" s="440"/>
      <c r="H28" s="440"/>
      <c r="I28" s="407" t="s">
        <v>550</v>
      </c>
      <c r="J28" s="416">
        <v>0</v>
      </c>
      <c r="K28" s="83">
        <f>VLOOKUP(I28,Settings!$C$69:$F$74,2,FALSE)</f>
        <v>7.0214944696000005E-5</v>
      </c>
      <c r="L28" s="83">
        <f>VLOOKUP(I28,Settings!$C$69:$F$74,3,FALSE)</f>
        <v>5.7166149663999993E-9</v>
      </c>
      <c r="M28" s="83">
        <f>VLOOKUP(I28,Settings!$C$69:$F$74,4,FALSE)</f>
        <v>1.6155650992000001E-9</v>
      </c>
      <c r="N28" s="397">
        <f t="shared" si="0"/>
        <v>0</v>
      </c>
      <c r="O28" s="397">
        <f t="shared" si="1"/>
        <v>0</v>
      </c>
      <c r="P28" s="397">
        <f t="shared" si="2"/>
        <v>0</v>
      </c>
      <c r="Q28" s="397">
        <f>P28*Settings!$D$24+O28*Settings!$C$24+N28</f>
        <v>0</v>
      </c>
    </row>
    <row r="29" spans="2:17" x14ac:dyDescent="0.25">
      <c r="B29" s="353" t="s">
        <v>340</v>
      </c>
      <c r="C29" s="644"/>
      <c r="D29" s="440"/>
      <c r="E29" s="440"/>
      <c r="F29" s="440"/>
      <c r="G29" s="440"/>
      <c r="H29" s="440"/>
      <c r="I29" s="407" t="s">
        <v>550</v>
      </c>
      <c r="J29" s="416">
        <v>956</v>
      </c>
      <c r="K29" s="83">
        <f>VLOOKUP(I29,Settings!$C$69:$F$74,2,FALSE)</f>
        <v>7.0214944696000005E-5</v>
      </c>
      <c r="L29" s="83">
        <f>VLOOKUP(I29,Settings!$C$69:$F$74,3,FALSE)</f>
        <v>5.7166149663999993E-9</v>
      </c>
      <c r="M29" s="83">
        <f>VLOOKUP(I29,Settings!$C$69:$F$74,4,FALSE)</f>
        <v>1.6155650992000001E-9</v>
      </c>
      <c r="N29" s="397">
        <f t="shared" si="0"/>
        <v>6.7125487129376007E-2</v>
      </c>
      <c r="O29" s="397">
        <f t="shared" si="1"/>
        <v>5.4650839078783992E-6</v>
      </c>
      <c r="P29" s="397">
        <f t="shared" si="2"/>
        <v>1.5444802348352E-6</v>
      </c>
      <c r="Q29" s="397">
        <f>P29*Settings!$D$24+O29*Settings!$C$24+N29</f>
        <v>6.7694687498998735E-2</v>
      </c>
    </row>
    <row r="30" spans="2:17" x14ac:dyDescent="0.25">
      <c r="B30" s="353" t="s">
        <v>341</v>
      </c>
      <c r="C30" s="644"/>
      <c r="D30" s="440"/>
      <c r="E30" s="440"/>
      <c r="F30" s="440"/>
      <c r="G30" s="440"/>
      <c r="H30" s="440"/>
      <c r="I30" s="407" t="s">
        <v>550</v>
      </c>
      <c r="J30" s="416">
        <v>0</v>
      </c>
      <c r="K30" s="83">
        <f>VLOOKUP(I30,Settings!$C$69:$F$74,2,FALSE)</f>
        <v>7.0214944696000005E-5</v>
      </c>
      <c r="L30" s="83">
        <f>VLOOKUP(I30,Settings!$C$69:$F$74,3,FALSE)</f>
        <v>5.7166149663999993E-9</v>
      </c>
      <c r="M30" s="83">
        <f>VLOOKUP(I30,Settings!$C$69:$F$74,4,FALSE)</f>
        <v>1.6155650992000001E-9</v>
      </c>
      <c r="N30" s="397">
        <f t="shared" si="0"/>
        <v>0</v>
      </c>
      <c r="O30" s="397">
        <f t="shared" si="1"/>
        <v>0</v>
      </c>
      <c r="P30" s="397">
        <f t="shared" si="2"/>
        <v>0</v>
      </c>
      <c r="Q30" s="397">
        <f>P30*Settings!$D$24+O30*Settings!$C$24+N30</f>
        <v>0</v>
      </c>
    </row>
    <row r="31" spans="2:17" x14ac:dyDescent="0.25">
      <c r="B31" s="353" t="s">
        <v>342</v>
      </c>
      <c r="C31" s="644"/>
      <c r="D31" s="440"/>
      <c r="E31" s="440"/>
      <c r="F31" s="440"/>
      <c r="G31" s="440"/>
      <c r="H31" s="440"/>
      <c r="I31" s="407" t="s">
        <v>550</v>
      </c>
      <c r="J31" s="416">
        <v>626</v>
      </c>
      <c r="K31" s="83">
        <f>VLOOKUP(I31,Settings!$C$69:$F$74,2,FALSE)</f>
        <v>7.0214944696000005E-5</v>
      </c>
      <c r="L31" s="83">
        <f>VLOOKUP(I31,Settings!$C$69:$F$74,3,FALSE)</f>
        <v>5.7166149663999993E-9</v>
      </c>
      <c r="M31" s="83">
        <f>VLOOKUP(I31,Settings!$C$69:$F$74,4,FALSE)</f>
        <v>1.6155650992000001E-9</v>
      </c>
      <c r="N31" s="397">
        <f t="shared" si="0"/>
        <v>4.3954555379696003E-2</v>
      </c>
      <c r="O31" s="397">
        <f t="shared" si="1"/>
        <v>3.5786009689663994E-6</v>
      </c>
      <c r="P31" s="397">
        <f t="shared" si="2"/>
        <v>1.0113437520992001E-6</v>
      </c>
      <c r="Q31" s="397">
        <f>P31*Settings!$D$24+O31*Settings!$C$24+N31</f>
        <v>4.4327274450181177E-2</v>
      </c>
    </row>
    <row r="32" spans="2:17" x14ac:dyDescent="0.25">
      <c r="B32" s="353" t="s">
        <v>343</v>
      </c>
      <c r="C32" s="644"/>
      <c r="D32" s="440"/>
      <c r="E32" s="440"/>
      <c r="F32" s="440"/>
      <c r="G32" s="440"/>
      <c r="H32" s="440"/>
      <c r="I32" s="407" t="s">
        <v>550</v>
      </c>
      <c r="J32" s="416">
        <v>0</v>
      </c>
      <c r="K32" s="83">
        <f>VLOOKUP(I32,Settings!$C$69:$F$74,2,FALSE)</f>
        <v>7.0214944696000005E-5</v>
      </c>
      <c r="L32" s="83">
        <f>VLOOKUP(I32,Settings!$C$69:$F$74,3,FALSE)</f>
        <v>5.7166149663999993E-9</v>
      </c>
      <c r="M32" s="83">
        <f>VLOOKUP(I32,Settings!$C$69:$F$74,4,FALSE)</f>
        <v>1.6155650992000001E-9</v>
      </c>
      <c r="N32" s="397">
        <f t="shared" si="0"/>
        <v>0</v>
      </c>
      <c r="O32" s="397">
        <f t="shared" si="1"/>
        <v>0</v>
      </c>
      <c r="P32" s="397">
        <f t="shared" si="2"/>
        <v>0</v>
      </c>
      <c r="Q32" s="397">
        <f>P32*Settings!$D$24+O32*Settings!$C$24+N32</f>
        <v>0</v>
      </c>
    </row>
    <row r="33" spans="2:17" x14ac:dyDescent="0.25">
      <c r="B33" s="353" t="s">
        <v>510</v>
      </c>
      <c r="C33" s="644"/>
      <c r="D33" s="440"/>
      <c r="E33" s="440"/>
      <c r="F33" s="440"/>
      <c r="G33" s="440"/>
      <c r="H33" s="440"/>
      <c r="I33" s="407" t="s">
        <v>550</v>
      </c>
      <c r="J33" s="416">
        <v>1350</v>
      </c>
      <c r="K33" s="83">
        <f>VLOOKUP(I33,Settings!$C$69:$F$74,2,FALSE)</f>
        <v>7.0214944696000005E-5</v>
      </c>
      <c r="L33" s="83">
        <f>VLOOKUP(I33,Settings!$C$69:$F$74,3,FALSE)</f>
        <v>5.7166149663999993E-9</v>
      </c>
      <c r="M33" s="83">
        <f>VLOOKUP(I33,Settings!$C$69:$F$74,4,FALSE)</f>
        <v>1.6155650992000001E-9</v>
      </c>
      <c r="N33" s="397">
        <f t="shared" si="0"/>
        <v>9.4790175339600005E-2</v>
      </c>
      <c r="O33" s="397">
        <f t="shared" si="1"/>
        <v>7.7174302046399993E-6</v>
      </c>
      <c r="P33" s="397">
        <f t="shared" si="2"/>
        <v>2.18101288392E-6</v>
      </c>
      <c r="Q33" s="397">
        <f>P33*Settings!$D$24+O33*Settings!$C$24+N33</f>
        <v>9.5593962472435443E-2</v>
      </c>
    </row>
    <row r="34" spans="2:17" x14ac:dyDescent="0.25">
      <c r="B34" s="353" t="s">
        <v>337</v>
      </c>
      <c r="C34" s="644"/>
      <c r="D34" s="440"/>
      <c r="E34" s="440"/>
      <c r="F34" s="440"/>
      <c r="G34" s="440"/>
      <c r="H34" s="440"/>
      <c r="I34" s="407" t="s">
        <v>903</v>
      </c>
      <c r="J34" s="416">
        <v>76680</v>
      </c>
      <c r="K34" s="83">
        <f>VLOOKUP(I34,Settings!$C$69:$F$74,2,FALSE)</f>
        <v>8.0156883768000008E-5</v>
      </c>
      <c r="L34" s="83">
        <f>VLOOKUP(I34,Settings!$C$69:$F$74,3,FALSE)</f>
        <v>3.7282271519999998E-10</v>
      </c>
      <c r="M34" s="83">
        <f>VLOOKUP(I34,Settings!$C$69:$F$74,4,FALSE)</f>
        <v>2.5476218872000005E-9</v>
      </c>
      <c r="N34" s="397">
        <f t="shared" si="0"/>
        <v>6.146429847330241</v>
      </c>
      <c r="O34" s="397">
        <f t="shared" si="1"/>
        <v>2.8588045801535997E-5</v>
      </c>
      <c r="P34" s="397">
        <f t="shared" si="2"/>
        <v>1.9535164631049603E-4</v>
      </c>
      <c r="Q34" s="397">
        <f>P34*Settings!$D$24+O34*Settings!$C$24+N34</f>
        <v>6.2005327240096477</v>
      </c>
    </row>
    <row r="35" spans="2:17" x14ac:dyDescent="0.25">
      <c r="B35" s="353" t="s">
        <v>338</v>
      </c>
      <c r="C35" s="644"/>
      <c r="D35" s="440"/>
      <c r="E35" s="440"/>
      <c r="F35" s="440"/>
      <c r="G35" s="440"/>
      <c r="H35" s="440"/>
      <c r="I35" s="407" t="s">
        <v>903</v>
      </c>
      <c r="J35" s="416">
        <v>51285</v>
      </c>
      <c r="K35" s="83">
        <f>VLOOKUP(I35,Settings!$C$69:$F$74,2,FALSE)</f>
        <v>8.0156883768000008E-5</v>
      </c>
      <c r="L35" s="83">
        <f>VLOOKUP(I35,Settings!$C$69:$F$74,3,FALSE)</f>
        <v>3.7282271519999998E-10</v>
      </c>
      <c r="M35" s="83">
        <f>VLOOKUP(I35,Settings!$C$69:$F$74,4,FALSE)</f>
        <v>2.5476218872000005E-9</v>
      </c>
      <c r="N35" s="397">
        <f t="shared" si="0"/>
        <v>4.1108457840418806</v>
      </c>
      <c r="O35" s="397">
        <f t="shared" si="1"/>
        <v>1.9120212949031997E-5</v>
      </c>
      <c r="P35" s="397">
        <f t="shared" si="2"/>
        <v>1.3065478848505203E-4</v>
      </c>
      <c r="Q35" s="397">
        <f>P35*Settings!$D$24+O35*Settings!$C$24+N35</f>
        <v>4.1470307870479237</v>
      </c>
    </row>
    <row r="36" spans="2:17" x14ac:dyDescent="0.25">
      <c r="B36" s="353" t="s">
        <v>339</v>
      </c>
      <c r="C36" s="644"/>
      <c r="D36" s="440"/>
      <c r="E36" s="440"/>
      <c r="F36" s="440"/>
      <c r="G36" s="440"/>
      <c r="H36" s="440"/>
      <c r="I36" s="407" t="s">
        <v>903</v>
      </c>
      <c r="J36" s="416">
        <v>28144</v>
      </c>
      <c r="K36" s="83">
        <f>VLOOKUP(I36,Settings!$C$69:$F$74,2,FALSE)</f>
        <v>8.0156883768000008E-5</v>
      </c>
      <c r="L36" s="83">
        <f>VLOOKUP(I36,Settings!$C$69:$F$74,3,FALSE)</f>
        <v>3.7282271519999998E-10</v>
      </c>
      <c r="M36" s="83">
        <f>VLOOKUP(I36,Settings!$C$69:$F$74,4,FALSE)</f>
        <v>2.5476218872000005E-9</v>
      </c>
      <c r="N36" s="397">
        <f t="shared" si="0"/>
        <v>2.2559353367665924</v>
      </c>
      <c r="O36" s="397">
        <f t="shared" si="1"/>
        <v>1.0492722496588799E-5</v>
      </c>
      <c r="P36" s="397">
        <f t="shared" si="2"/>
        <v>7.1700270393356815E-5</v>
      </c>
      <c r="Q36" s="397">
        <f>P36*Settings!$D$24+O36*Settings!$C$24+N36</f>
        <v>2.2757928140913868</v>
      </c>
    </row>
    <row r="37" spans="2:17" x14ac:dyDescent="0.25">
      <c r="B37" s="353" t="s">
        <v>340</v>
      </c>
      <c r="C37" s="644"/>
      <c r="D37" s="440"/>
      <c r="E37" s="440"/>
      <c r="F37" s="440"/>
      <c r="G37" s="440"/>
      <c r="H37" s="440"/>
      <c r="I37" s="407" t="s">
        <v>903</v>
      </c>
      <c r="J37" s="416">
        <v>48994</v>
      </c>
      <c r="K37" s="83">
        <f>VLOOKUP(I37,Settings!$C$69:$F$74,2,FALSE)</f>
        <v>8.0156883768000008E-5</v>
      </c>
      <c r="L37" s="83">
        <f>VLOOKUP(I37,Settings!$C$69:$F$74,3,FALSE)</f>
        <v>3.7282271519999998E-10</v>
      </c>
      <c r="M37" s="83">
        <f>VLOOKUP(I37,Settings!$C$69:$F$74,4,FALSE)</f>
        <v>2.5476218872000005E-9</v>
      </c>
      <c r="N37" s="397">
        <f t="shared" si="0"/>
        <v>3.9272063633293923</v>
      </c>
      <c r="O37" s="397">
        <f t="shared" si="1"/>
        <v>1.8266076108508799E-5</v>
      </c>
      <c r="P37" s="397">
        <f t="shared" si="2"/>
        <v>1.2481818674147684E-4</v>
      </c>
      <c r="Q37" s="397">
        <f>P37*Settings!$D$24+O37*Settings!$C$24+N37</f>
        <v>3.9617749123647452</v>
      </c>
    </row>
    <row r="38" spans="2:17" x14ac:dyDescent="0.25">
      <c r="B38" s="353" t="s">
        <v>341</v>
      </c>
      <c r="C38" s="644"/>
      <c r="D38" s="440"/>
      <c r="E38" s="440"/>
      <c r="F38" s="440"/>
      <c r="G38" s="440"/>
      <c r="H38" s="440"/>
      <c r="I38" s="407" t="s">
        <v>903</v>
      </c>
      <c r="J38" s="416">
        <v>49781</v>
      </c>
      <c r="K38" s="83">
        <f>VLOOKUP(I38,Settings!$C$69:$F$74,2,FALSE)</f>
        <v>8.0156883768000008E-5</v>
      </c>
      <c r="L38" s="83">
        <f>VLOOKUP(I38,Settings!$C$69:$F$74,3,FALSE)</f>
        <v>3.7282271519999998E-10</v>
      </c>
      <c r="M38" s="83">
        <f>VLOOKUP(I38,Settings!$C$69:$F$74,4,FALSE)</f>
        <v>2.5476218872000005E-9</v>
      </c>
      <c r="N38" s="397">
        <f t="shared" si="0"/>
        <v>3.9902898308548083</v>
      </c>
      <c r="O38" s="397">
        <f t="shared" si="1"/>
        <v>1.85594875853712E-5</v>
      </c>
      <c r="P38" s="397">
        <f t="shared" si="2"/>
        <v>1.2682316516670323E-4</v>
      </c>
      <c r="Q38" s="397">
        <f>P38*Settings!$D$24+O38*Settings!$C$24+N38</f>
        <v>4.0254136611101234</v>
      </c>
    </row>
    <row r="39" spans="2:17" x14ac:dyDescent="0.25">
      <c r="B39" s="353" t="s">
        <v>342</v>
      </c>
      <c r="C39" s="644"/>
      <c r="D39" s="440"/>
      <c r="E39" s="440"/>
      <c r="F39" s="440"/>
      <c r="G39" s="440"/>
      <c r="H39" s="440"/>
      <c r="I39" s="407" t="s">
        <v>903</v>
      </c>
      <c r="J39" s="416">
        <v>9722</v>
      </c>
      <c r="K39" s="83">
        <f>VLOOKUP(I39,Settings!$C$69:$F$74,2,FALSE)</f>
        <v>8.0156883768000008E-5</v>
      </c>
      <c r="L39" s="83">
        <f>VLOOKUP(I39,Settings!$C$69:$F$74,3,FALSE)</f>
        <v>3.7282271519999998E-10</v>
      </c>
      <c r="M39" s="83">
        <f>VLOOKUP(I39,Settings!$C$69:$F$74,4,FALSE)</f>
        <v>2.5476218872000005E-9</v>
      </c>
      <c r="N39" s="397">
        <f t="shared" si="0"/>
        <v>0.77928522399249611</v>
      </c>
      <c r="O39" s="397">
        <f t="shared" si="1"/>
        <v>3.6245824371744E-6</v>
      </c>
      <c r="P39" s="397">
        <f t="shared" si="2"/>
        <v>2.4767979987358405E-5</v>
      </c>
      <c r="Q39" s="397">
        <f>P39*Settings!$D$24+O39*Settings!$C$24+N39</f>
        <v>0.78614474625484865</v>
      </c>
    </row>
    <row r="40" spans="2:17" x14ac:dyDescent="0.25">
      <c r="B40" s="353" t="s">
        <v>343</v>
      </c>
      <c r="C40" s="644"/>
      <c r="D40" s="440"/>
      <c r="E40" s="440"/>
      <c r="F40" s="440"/>
      <c r="G40" s="440"/>
      <c r="H40" s="440"/>
      <c r="I40" s="407" t="s">
        <v>903</v>
      </c>
      <c r="J40" s="416">
        <v>82113</v>
      </c>
      <c r="K40" s="83">
        <f>VLOOKUP(I40,Settings!$C$69:$F$74,2,FALSE)</f>
        <v>8.0156883768000008E-5</v>
      </c>
      <c r="L40" s="83">
        <f>VLOOKUP(I40,Settings!$C$69:$F$74,3,FALSE)</f>
        <v>3.7282271519999998E-10</v>
      </c>
      <c r="M40" s="83">
        <f>VLOOKUP(I40,Settings!$C$69:$F$74,4,FALSE)</f>
        <v>2.5476218872000005E-9</v>
      </c>
      <c r="N40" s="397">
        <f t="shared" si="0"/>
        <v>6.5819221968417843</v>
      </c>
      <c r="O40" s="397">
        <f t="shared" si="1"/>
        <v>3.0613591613217596E-5</v>
      </c>
      <c r="P40" s="397">
        <f t="shared" si="2"/>
        <v>2.0919287602365365E-4</v>
      </c>
      <c r="Q40" s="397">
        <f>P40*Settings!$D$24+O40*Settings!$C$24+N40</f>
        <v>6.6398584189697987</v>
      </c>
    </row>
    <row r="41" spans="2:17" x14ac:dyDescent="0.25">
      <c r="B41" s="353" t="s">
        <v>510</v>
      </c>
      <c r="C41" s="644"/>
      <c r="D41" s="440"/>
      <c r="E41" s="440"/>
      <c r="F41" s="440"/>
      <c r="G41" s="440"/>
      <c r="H41" s="440"/>
      <c r="I41" s="407" t="s">
        <v>903</v>
      </c>
      <c r="J41" s="416">
        <v>696758</v>
      </c>
      <c r="K41" s="83">
        <f>VLOOKUP(I41,Settings!$C$69:$F$74,2,FALSE)</f>
        <v>8.0156883768000008E-5</v>
      </c>
      <c r="L41" s="83">
        <f>VLOOKUP(I41,Settings!$C$69:$F$74,3,FALSE)</f>
        <v>3.7282271519999998E-10</v>
      </c>
      <c r="M41" s="83">
        <f>VLOOKUP(I41,Settings!$C$69:$F$74,4,FALSE)</f>
        <v>2.5476218872000005E-9</v>
      </c>
      <c r="N41" s="397">
        <f t="shared" si="0"/>
        <v>55.849950020424153</v>
      </c>
      <c r="O41" s="397">
        <f t="shared" si="1"/>
        <v>2.5976720939732158E-4</v>
      </c>
      <c r="P41" s="397">
        <f t="shared" si="2"/>
        <v>1.775075930881698E-3</v>
      </c>
      <c r="Q41" s="397">
        <f>P41*Settings!$D$24+O41*Settings!$C$24+N41</f>
        <v>56.341559464208586</v>
      </c>
    </row>
    <row r="42" spans="2:17" x14ac:dyDescent="0.25">
      <c r="B42" s="353"/>
      <c r="C42" s="644"/>
      <c r="D42" s="440"/>
      <c r="E42" s="440"/>
      <c r="F42" s="440"/>
      <c r="G42" s="440"/>
      <c r="H42" s="440"/>
      <c r="I42" s="407"/>
      <c r="J42" s="416"/>
      <c r="K42" s="83" t="e">
        <f>VLOOKUP(I42,Settings!$C$69:$F$74,2,FALSE)</f>
        <v>#N/A</v>
      </c>
      <c r="L42" s="83" t="e">
        <f>VLOOKUP(I42,Settings!$C$69:$F$74,3,FALSE)</f>
        <v>#N/A</v>
      </c>
      <c r="M42" s="83" t="e">
        <f>VLOOKUP(I42,Settings!$C$69:$F$74,4,FALSE)</f>
        <v>#N/A</v>
      </c>
      <c r="N42" s="397" t="e">
        <f t="shared" si="0"/>
        <v>#N/A</v>
      </c>
      <c r="O42" s="397" t="e">
        <f t="shared" si="1"/>
        <v>#N/A</v>
      </c>
      <c r="P42" s="397" t="e">
        <f t="shared" si="2"/>
        <v>#N/A</v>
      </c>
      <c r="Q42" s="397" t="e">
        <f>P42*Settings!$D$24+O42*Settings!$C$24+N42</f>
        <v>#N/A</v>
      </c>
    </row>
    <row r="43" spans="2:17" x14ac:dyDescent="0.25">
      <c r="B43" s="353"/>
      <c r="C43" s="644"/>
      <c r="D43" s="440"/>
      <c r="E43" s="440"/>
      <c r="F43" s="440"/>
      <c r="G43" s="440"/>
      <c r="H43" s="440"/>
      <c r="I43" s="407"/>
      <c r="J43" s="416"/>
      <c r="K43" s="83" t="e">
        <f>VLOOKUP(I43,Settings!$C$69:$F$74,2,FALSE)</f>
        <v>#N/A</v>
      </c>
      <c r="L43" s="83" t="e">
        <f>VLOOKUP(I43,Settings!$C$69:$F$74,3,FALSE)</f>
        <v>#N/A</v>
      </c>
      <c r="M43" s="83" t="e">
        <f>VLOOKUP(I43,Settings!$C$69:$F$74,4,FALSE)</f>
        <v>#N/A</v>
      </c>
      <c r="N43" s="397" t="e">
        <f t="shared" si="0"/>
        <v>#N/A</v>
      </c>
      <c r="O43" s="397" t="e">
        <f t="shared" si="1"/>
        <v>#N/A</v>
      </c>
      <c r="P43" s="397" t="e">
        <f t="shared" si="2"/>
        <v>#N/A</v>
      </c>
      <c r="Q43" s="397" t="e">
        <f>P43*Settings!$D$24+O43*Settings!$C$24+N43</f>
        <v>#N/A</v>
      </c>
    </row>
    <row r="44" spans="2:17" x14ac:dyDescent="0.25">
      <c r="B44" s="353"/>
      <c r="C44" s="644"/>
      <c r="D44" s="440"/>
      <c r="E44" s="440"/>
      <c r="F44" s="440"/>
      <c r="G44" s="440"/>
      <c r="H44" s="440"/>
      <c r="I44" s="407"/>
      <c r="J44" s="416"/>
      <c r="K44" s="83" t="e">
        <f>VLOOKUP(I44,Settings!$C$69:$F$74,2,FALSE)</f>
        <v>#N/A</v>
      </c>
      <c r="L44" s="83" t="e">
        <f>VLOOKUP(I44,Settings!$C$69:$F$74,3,FALSE)</f>
        <v>#N/A</v>
      </c>
      <c r="M44" s="83" t="e">
        <f>VLOOKUP(I44,Settings!$C$69:$F$74,4,FALSE)</f>
        <v>#N/A</v>
      </c>
      <c r="N44" s="397" t="e">
        <f t="shared" si="0"/>
        <v>#N/A</v>
      </c>
      <c r="O44" s="397" t="e">
        <f t="shared" si="1"/>
        <v>#N/A</v>
      </c>
      <c r="P44" s="397" t="e">
        <f t="shared" si="2"/>
        <v>#N/A</v>
      </c>
      <c r="Q44" s="397" t="e">
        <f>P44*Settings!$D$24+O44*Settings!$C$24+N44</f>
        <v>#N/A</v>
      </c>
    </row>
    <row r="45" spans="2:17" x14ac:dyDescent="0.25">
      <c r="B45" s="353"/>
      <c r="C45" s="644"/>
      <c r="D45" s="440"/>
      <c r="E45" s="440"/>
      <c r="F45" s="440"/>
      <c r="G45" s="440"/>
      <c r="H45" s="440"/>
      <c r="I45" s="407"/>
      <c r="J45" s="416"/>
      <c r="K45" s="83" t="e">
        <f>VLOOKUP(I45,Settings!$C$69:$F$74,2,FALSE)</f>
        <v>#N/A</v>
      </c>
      <c r="L45" s="83" t="e">
        <f>VLOOKUP(I45,Settings!$C$69:$F$74,3,FALSE)</f>
        <v>#N/A</v>
      </c>
      <c r="M45" s="83" t="e">
        <f>VLOOKUP(I45,Settings!$C$69:$F$74,4,FALSE)</f>
        <v>#N/A</v>
      </c>
      <c r="N45" s="397" t="e">
        <f t="shared" si="0"/>
        <v>#N/A</v>
      </c>
      <c r="O45" s="397" t="e">
        <f t="shared" si="1"/>
        <v>#N/A</v>
      </c>
      <c r="P45" s="397" t="e">
        <f t="shared" si="2"/>
        <v>#N/A</v>
      </c>
      <c r="Q45" s="397" t="e">
        <f>P45*Settings!$D$24+O45*Settings!$C$24+N45</f>
        <v>#N/A</v>
      </c>
    </row>
    <row r="46" spans="2:17" x14ac:dyDescent="0.25">
      <c r="B46" s="353"/>
      <c r="C46" s="644"/>
      <c r="D46" s="440"/>
      <c r="E46" s="440"/>
      <c r="F46" s="440"/>
      <c r="G46" s="440"/>
      <c r="H46" s="440"/>
      <c r="I46" s="407"/>
      <c r="J46" s="416"/>
      <c r="K46" s="83" t="e">
        <f>VLOOKUP(I46,Settings!$C$69:$F$74,2,FALSE)</f>
        <v>#N/A</v>
      </c>
      <c r="L46" s="83" t="e">
        <f>VLOOKUP(I46,Settings!$C$69:$F$74,3,FALSE)</f>
        <v>#N/A</v>
      </c>
      <c r="M46" s="83" t="e">
        <f>VLOOKUP(I46,Settings!$C$69:$F$74,4,FALSE)</f>
        <v>#N/A</v>
      </c>
      <c r="N46" s="397" t="e">
        <f t="shared" si="0"/>
        <v>#N/A</v>
      </c>
      <c r="O46" s="397" t="e">
        <f t="shared" si="1"/>
        <v>#N/A</v>
      </c>
      <c r="P46" s="397" t="e">
        <f t="shared" si="2"/>
        <v>#N/A</v>
      </c>
      <c r="Q46" s="397" t="e">
        <f>P46*Settings!$D$24+O46*Settings!$C$24+N46</f>
        <v>#N/A</v>
      </c>
    </row>
    <row r="47" spans="2:17" x14ac:dyDescent="0.25">
      <c r="B47" s="353"/>
      <c r="C47" s="644"/>
      <c r="D47" s="440"/>
      <c r="E47" s="440"/>
      <c r="F47" s="440"/>
      <c r="G47" s="440"/>
      <c r="H47" s="440"/>
      <c r="I47" s="407"/>
      <c r="J47" s="416"/>
      <c r="K47" s="83" t="e">
        <f>VLOOKUP(I47,Settings!$C$69:$F$74,2,FALSE)</f>
        <v>#N/A</v>
      </c>
      <c r="L47" s="83" t="e">
        <f>VLOOKUP(I47,Settings!$C$69:$F$74,3,FALSE)</f>
        <v>#N/A</v>
      </c>
      <c r="M47" s="83" t="e">
        <f>VLOOKUP(I47,Settings!$C$69:$F$74,4,FALSE)</f>
        <v>#N/A</v>
      </c>
      <c r="N47" s="397" t="e">
        <f t="shared" si="0"/>
        <v>#N/A</v>
      </c>
      <c r="O47" s="397" t="e">
        <f t="shared" si="1"/>
        <v>#N/A</v>
      </c>
      <c r="P47" s="397" t="e">
        <f t="shared" si="2"/>
        <v>#N/A</v>
      </c>
      <c r="Q47" s="397" t="e">
        <f>P47*Settings!$D$24+O47*Settings!$C$24+N47</f>
        <v>#N/A</v>
      </c>
    </row>
    <row r="48" spans="2:17" x14ac:dyDescent="0.25">
      <c r="B48" s="353"/>
      <c r="C48" s="644"/>
      <c r="D48" s="440"/>
      <c r="E48" s="440"/>
      <c r="F48" s="440"/>
      <c r="G48" s="440"/>
      <c r="H48" s="440"/>
      <c r="I48" s="407"/>
      <c r="J48" s="416"/>
      <c r="K48" s="83" t="e">
        <f>VLOOKUP(I48,Settings!$C$69:$F$74,2,FALSE)</f>
        <v>#N/A</v>
      </c>
      <c r="L48" s="83" t="e">
        <f>VLOOKUP(I48,Settings!$C$69:$F$74,3,FALSE)</f>
        <v>#N/A</v>
      </c>
      <c r="M48" s="83" t="e">
        <f>VLOOKUP(I48,Settings!$C$69:$F$74,4,FALSE)</f>
        <v>#N/A</v>
      </c>
      <c r="N48" s="397" t="e">
        <f t="shared" si="0"/>
        <v>#N/A</v>
      </c>
      <c r="O48" s="397" t="e">
        <f t="shared" si="1"/>
        <v>#N/A</v>
      </c>
      <c r="P48" s="397" t="e">
        <f t="shared" si="2"/>
        <v>#N/A</v>
      </c>
      <c r="Q48" s="397" t="e">
        <f>P48*Settings!$D$24+O48*Settings!$C$24+N48</f>
        <v>#N/A</v>
      </c>
    </row>
    <row r="49" spans="2:17" x14ac:dyDescent="0.25">
      <c r="B49" s="353"/>
      <c r="C49" s="644"/>
      <c r="D49" s="440"/>
      <c r="E49" s="440"/>
      <c r="F49" s="440"/>
      <c r="G49" s="440"/>
      <c r="H49" s="440"/>
      <c r="I49" s="407"/>
      <c r="J49" s="416"/>
      <c r="K49" s="83" t="e">
        <f>VLOOKUP(I49,Settings!$C$69:$F$74,2,FALSE)</f>
        <v>#N/A</v>
      </c>
      <c r="L49" s="83" t="e">
        <f>VLOOKUP(I49,Settings!$C$69:$F$74,3,FALSE)</f>
        <v>#N/A</v>
      </c>
      <c r="M49" s="83" t="e">
        <f>VLOOKUP(I49,Settings!$C$69:$F$74,4,FALSE)</f>
        <v>#N/A</v>
      </c>
      <c r="N49" s="397" t="e">
        <f t="shared" si="0"/>
        <v>#N/A</v>
      </c>
      <c r="O49" s="397" t="e">
        <f t="shared" si="1"/>
        <v>#N/A</v>
      </c>
      <c r="P49" s="397" t="e">
        <f t="shared" si="2"/>
        <v>#N/A</v>
      </c>
      <c r="Q49" s="397" t="e">
        <f>P49*Settings!$D$24+O49*Settings!$C$24+N49</f>
        <v>#N/A</v>
      </c>
    </row>
    <row r="50" spans="2:17" x14ac:dyDescent="0.25">
      <c r="B50" s="353"/>
      <c r="C50" s="644"/>
      <c r="D50" s="440"/>
      <c r="E50" s="440"/>
      <c r="F50" s="440"/>
      <c r="G50" s="440"/>
      <c r="H50" s="440"/>
      <c r="I50" s="407"/>
      <c r="J50" s="416"/>
      <c r="K50" s="83" t="e">
        <f>VLOOKUP(I50,Settings!$C$69:$F$74,2,FALSE)</f>
        <v>#N/A</v>
      </c>
      <c r="L50" s="83" t="e">
        <f>VLOOKUP(I50,Settings!$C$69:$F$74,3,FALSE)</f>
        <v>#N/A</v>
      </c>
      <c r="M50" s="83" t="e">
        <f>VLOOKUP(I50,Settings!$C$69:$F$74,4,FALSE)</f>
        <v>#N/A</v>
      </c>
      <c r="N50" s="397" t="e">
        <f t="shared" si="0"/>
        <v>#N/A</v>
      </c>
      <c r="O50" s="397" t="e">
        <f t="shared" si="1"/>
        <v>#N/A</v>
      </c>
      <c r="P50" s="397" t="e">
        <f t="shared" si="2"/>
        <v>#N/A</v>
      </c>
      <c r="Q50" s="397" t="e">
        <f>P50*Settings!$D$24+O50*Settings!$C$24+N50</f>
        <v>#N/A</v>
      </c>
    </row>
    <row r="51" spans="2:17" x14ac:dyDescent="0.25">
      <c r="B51" s="353"/>
      <c r="C51" s="644"/>
      <c r="D51" s="440"/>
      <c r="E51" s="440"/>
      <c r="F51" s="440"/>
      <c r="G51" s="440"/>
      <c r="H51" s="440"/>
      <c r="I51" s="407"/>
      <c r="J51" s="416"/>
      <c r="K51" s="83" t="e">
        <f>VLOOKUP(I51,Settings!$C$69:$F$74,2,FALSE)</f>
        <v>#N/A</v>
      </c>
      <c r="L51" s="83" t="e">
        <f>VLOOKUP(I51,Settings!$C$69:$F$74,3,FALSE)</f>
        <v>#N/A</v>
      </c>
      <c r="M51" s="83" t="e">
        <f>VLOOKUP(I51,Settings!$C$69:$F$74,4,FALSE)</f>
        <v>#N/A</v>
      </c>
      <c r="N51" s="397" t="e">
        <f t="shared" si="0"/>
        <v>#N/A</v>
      </c>
      <c r="O51" s="397" t="e">
        <f t="shared" si="1"/>
        <v>#N/A</v>
      </c>
      <c r="P51" s="397" t="e">
        <f t="shared" si="2"/>
        <v>#N/A</v>
      </c>
      <c r="Q51" s="397" t="e">
        <f>P51*Settings!$D$24+O51*Settings!$C$24+N51</f>
        <v>#N/A</v>
      </c>
    </row>
    <row r="52" spans="2:17" x14ac:dyDescent="0.25">
      <c r="B52" s="353"/>
      <c r="C52" s="644"/>
      <c r="D52" s="440"/>
      <c r="E52" s="440"/>
      <c r="F52" s="440"/>
      <c r="G52" s="440"/>
      <c r="H52" s="440"/>
      <c r="I52" s="407"/>
      <c r="J52" s="416"/>
      <c r="K52" s="83" t="e">
        <f>VLOOKUP(I52,Settings!$C$69:$F$74,2,FALSE)</f>
        <v>#N/A</v>
      </c>
      <c r="L52" s="83" t="e">
        <f>VLOOKUP(I52,Settings!$C$69:$F$74,3,FALSE)</f>
        <v>#N/A</v>
      </c>
      <c r="M52" s="83" t="e">
        <f>VLOOKUP(I52,Settings!$C$69:$F$74,4,FALSE)</f>
        <v>#N/A</v>
      </c>
      <c r="N52" s="397" t="e">
        <f t="shared" si="0"/>
        <v>#N/A</v>
      </c>
      <c r="O52" s="397" t="e">
        <f t="shared" si="1"/>
        <v>#N/A</v>
      </c>
      <c r="P52" s="397" t="e">
        <f t="shared" si="2"/>
        <v>#N/A</v>
      </c>
      <c r="Q52" s="397" t="e">
        <f>P52*Settings!$D$24+O52*Settings!$C$24+N52</f>
        <v>#N/A</v>
      </c>
    </row>
    <row r="53" spans="2:17" x14ac:dyDescent="0.25">
      <c r="B53" s="353"/>
      <c r="C53" s="644"/>
      <c r="D53" s="440"/>
      <c r="E53" s="440"/>
      <c r="F53" s="440"/>
      <c r="G53" s="440"/>
      <c r="H53" s="440"/>
      <c r="I53" s="407"/>
      <c r="J53" s="416"/>
      <c r="K53" s="83" t="e">
        <f>VLOOKUP(I53,Settings!$C$69:$F$74,2,FALSE)</f>
        <v>#N/A</v>
      </c>
      <c r="L53" s="83" t="e">
        <f>VLOOKUP(I53,Settings!$C$69:$F$74,3,FALSE)</f>
        <v>#N/A</v>
      </c>
      <c r="M53" s="83" t="e">
        <f>VLOOKUP(I53,Settings!$C$69:$F$74,4,FALSE)</f>
        <v>#N/A</v>
      </c>
      <c r="N53" s="397" t="e">
        <f t="shared" si="0"/>
        <v>#N/A</v>
      </c>
      <c r="O53" s="397" t="e">
        <f t="shared" si="1"/>
        <v>#N/A</v>
      </c>
      <c r="P53" s="397" t="e">
        <f t="shared" si="2"/>
        <v>#N/A</v>
      </c>
      <c r="Q53" s="397" t="e">
        <f>P53*Settings!$D$24+O53*Settings!$C$24+N53</f>
        <v>#N/A</v>
      </c>
    </row>
    <row r="54" spans="2:17" x14ac:dyDescent="0.25">
      <c r="B54" s="353"/>
      <c r="C54" s="644"/>
      <c r="D54" s="440"/>
      <c r="E54" s="440"/>
      <c r="F54" s="440"/>
      <c r="G54" s="440"/>
      <c r="H54" s="440"/>
      <c r="I54" s="407"/>
      <c r="J54" s="416"/>
      <c r="K54" s="83" t="e">
        <f>VLOOKUP(I54,Settings!$C$69:$F$74,2,FALSE)</f>
        <v>#N/A</v>
      </c>
      <c r="L54" s="83" t="e">
        <f>VLOOKUP(I54,Settings!$C$69:$F$74,3,FALSE)</f>
        <v>#N/A</v>
      </c>
      <c r="M54" s="83" t="e">
        <f>VLOOKUP(I54,Settings!$C$69:$F$74,4,FALSE)</f>
        <v>#N/A</v>
      </c>
      <c r="N54" s="397" t="e">
        <f t="shared" si="0"/>
        <v>#N/A</v>
      </c>
      <c r="O54" s="397" t="e">
        <f t="shared" si="1"/>
        <v>#N/A</v>
      </c>
      <c r="P54" s="397" t="e">
        <f t="shared" si="2"/>
        <v>#N/A</v>
      </c>
      <c r="Q54" s="397" t="e">
        <f>P54*Settings!$D$24+O54*Settings!$C$24+N54</f>
        <v>#N/A</v>
      </c>
    </row>
    <row r="55" spans="2:17" x14ac:dyDescent="0.25">
      <c r="B55" s="353"/>
      <c r="C55" s="644"/>
      <c r="D55" s="440"/>
      <c r="E55" s="440"/>
      <c r="F55" s="440"/>
      <c r="G55" s="440"/>
      <c r="H55" s="440"/>
      <c r="I55" s="407"/>
      <c r="J55" s="416"/>
      <c r="K55" s="83" t="e">
        <f>VLOOKUP(I55,Settings!$C$69:$F$74,2,FALSE)</f>
        <v>#N/A</v>
      </c>
      <c r="L55" s="83" t="e">
        <f>VLOOKUP(I55,Settings!$C$69:$F$74,3,FALSE)</f>
        <v>#N/A</v>
      </c>
      <c r="M55" s="83" t="e">
        <f>VLOOKUP(I55,Settings!$C$69:$F$74,4,FALSE)</f>
        <v>#N/A</v>
      </c>
      <c r="N55" s="397" t="e">
        <f t="shared" si="0"/>
        <v>#N/A</v>
      </c>
      <c r="O55" s="397" t="e">
        <f t="shared" si="1"/>
        <v>#N/A</v>
      </c>
      <c r="P55" s="397" t="e">
        <f t="shared" si="2"/>
        <v>#N/A</v>
      </c>
      <c r="Q55" s="397" t="e">
        <f>P55*Settings!$D$24+O55*Settings!$C$24+N55</f>
        <v>#N/A</v>
      </c>
    </row>
    <row r="56" spans="2:17" x14ac:dyDescent="0.25">
      <c r="B56" s="353"/>
      <c r="C56" s="644"/>
      <c r="D56" s="440"/>
      <c r="E56" s="440"/>
      <c r="F56" s="440"/>
      <c r="G56" s="440"/>
      <c r="H56" s="440"/>
      <c r="I56" s="407"/>
      <c r="J56" s="416"/>
      <c r="K56" s="83" t="e">
        <f>VLOOKUP(I56,Settings!$C$69:$F$74,2,FALSE)</f>
        <v>#N/A</v>
      </c>
      <c r="L56" s="83" t="e">
        <f>VLOOKUP(I56,Settings!$C$69:$F$74,3,FALSE)</f>
        <v>#N/A</v>
      </c>
      <c r="M56" s="83" t="e">
        <f>VLOOKUP(I56,Settings!$C$69:$F$74,4,FALSE)</f>
        <v>#N/A</v>
      </c>
      <c r="N56" s="397" t="e">
        <f t="shared" si="0"/>
        <v>#N/A</v>
      </c>
      <c r="O56" s="397" t="e">
        <f t="shared" si="1"/>
        <v>#N/A</v>
      </c>
      <c r="P56" s="397" t="e">
        <f t="shared" si="2"/>
        <v>#N/A</v>
      </c>
      <c r="Q56" s="397" t="e">
        <f>P56*Settings!$D$24+O56*Settings!$C$24+N56</f>
        <v>#N/A</v>
      </c>
    </row>
    <row r="57" spans="2:17" x14ac:dyDescent="0.25">
      <c r="B57" s="353"/>
      <c r="C57" s="644"/>
      <c r="D57" s="440"/>
      <c r="E57" s="440"/>
      <c r="F57" s="440"/>
      <c r="G57" s="440"/>
      <c r="H57" s="440"/>
      <c r="I57" s="407"/>
      <c r="J57" s="416"/>
      <c r="K57" s="83" t="e">
        <f>VLOOKUP(I57,Settings!$C$69:$F$74,2,FALSE)</f>
        <v>#N/A</v>
      </c>
      <c r="L57" s="83" t="e">
        <f>VLOOKUP(I57,Settings!$C$69:$F$74,3,FALSE)</f>
        <v>#N/A</v>
      </c>
      <c r="M57" s="83" t="e">
        <f>VLOOKUP(I57,Settings!$C$69:$F$74,4,FALSE)</f>
        <v>#N/A</v>
      </c>
      <c r="N57" s="397" t="e">
        <f t="shared" si="0"/>
        <v>#N/A</v>
      </c>
      <c r="O57" s="397" t="e">
        <f t="shared" si="1"/>
        <v>#N/A</v>
      </c>
      <c r="P57" s="397" t="e">
        <f t="shared" si="2"/>
        <v>#N/A</v>
      </c>
      <c r="Q57" s="397" t="e">
        <f>P57*Settings!$D$24+O57*Settings!$C$24+N57</f>
        <v>#N/A</v>
      </c>
    </row>
    <row r="58" spans="2:17" x14ac:dyDescent="0.25">
      <c r="B58" s="353"/>
      <c r="C58" s="644"/>
      <c r="D58" s="440"/>
      <c r="E58" s="440"/>
      <c r="F58" s="440"/>
      <c r="G58" s="440"/>
      <c r="H58" s="440"/>
      <c r="I58" s="407"/>
      <c r="J58" s="416"/>
      <c r="K58" s="83" t="e">
        <f>VLOOKUP(I58,Settings!$C$69:$F$74,2,FALSE)</f>
        <v>#N/A</v>
      </c>
      <c r="L58" s="83" t="e">
        <f>VLOOKUP(I58,Settings!$C$69:$F$74,3,FALSE)</f>
        <v>#N/A</v>
      </c>
      <c r="M58" s="83" t="e">
        <f>VLOOKUP(I58,Settings!$C$69:$F$74,4,FALSE)</f>
        <v>#N/A</v>
      </c>
      <c r="N58" s="397" t="e">
        <f t="shared" si="0"/>
        <v>#N/A</v>
      </c>
      <c r="O58" s="397" t="e">
        <f t="shared" si="1"/>
        <v>#N/A</v>
      </c>
      <c r="P58" s="397" t="e">
        <f t="shared" si="2"/>
        <v>#N/A</v>
      </c>
      <c r="Q58" s="397" t="e">
        <f>P58*Settings!$D$24+O58*Settings!$C$24+N58</f>
        <v>#N/A</v>
      </c>
    </row>
    <row r="59" spans="2:17" x14ac:dyDescent="0.25">
      <c r="B59" s="353"/>
      <c r="C59" s="644"/>
      <c r="D59" s="440"/>
      <c r="E59" s="440"/>
      <c r="F59" s="440"/>
      <c r="G59" s="440"/>
      <c r="H59" s="440"/>
      <c r="I59" s="407"/>
      <c r="J59" s="416"/>
      <c r="K59" s="83" t="e">
        <f>VLOOKUP(I59,Settings!$C$69:$F$74,2,FALSE)</f>
        <v>#N/A</v>
      </c>
      <c r="L59" s="83" t="e">
        <f>VLOOKUP(I59,Settings!$C$69:$F$74,3,FALSE)</f>
        <v>#N/A</v>
      </c>
      <c r="M59" s="83" t="e">
        <f>VLOOKUP(I59,Settings!$C$69:$F$74,4,FALSE)</f>
        <v>#N/A</v>
      </c>
      <c r="N59" s="397" t="e">
        <f t="shared" si="0"/>
        <v>#N/A</v>
      </c>
      <c r="O59" s="397" t="e">
        <f t="shared" si="1"/>
        <v>#N/A</v>
      </c>
      <c r="P59" s="397" t="e">
        <f t="shared" si="2"/>
        <v>#N/A</v>
      </c>
      <c r="Q59" s="397" t="e">
        <f>P59*Settings!$D$24+O59*Settings!$C$24+N59</f>
        <v>#N/A</v>
      </c>
    </row>
    <row r="60" spans="2:17" x14ac:dyDescent="0.25">
      <c r="B60" s="353"/>
      <c r="C60" s="644"/>
      <c r="D60" s="440"/>
      <c r="E60" s="440"/>
      <c r="F60" s="440"/>
      <c r="G60" s="440"/>
      <c r="H60" s="440"/>
      <c r="I60" s="407"/>
      <c r="J60" s="416"/>
      <c r="K60" s="83" t="e">
        <f>VLOOKUP(I60,Settings!$C$69:$F$74,2,FALSE)</f>
        <v>#N/A</v>
      </c>
      <c r="L60" s="83" t="e">
        <f>VLOOKUP(I60,Settings!$C$69:$F$74,3,FALSE)</f>
        <v>#N/A</v>
      </c>
      <c r="M60" s="83" t="e">
        <f>VLOOKUP(I60,Settings!$C$69:$F$74,4,FALSE)</f>
        <v>#N/A</v>
      </c>
      <c r="N60" s="397" t="e">
        <f t="shared" si="0"/>
        <v>#N/A</v>
      </c>
      <c r="O60" s="397" t="e">
        <f t="shared" si="1"/>
        <v>#N/A</v>
      </c>
      <c r="P60" s="397" t="e">
        <f t="shared" si="2"/>
        <v>#N/A</v>
      </c>
      <c r="Q60" s="397" t="e">
        <f>P60*Settings!$D$24+O60*Settings!$C$24+N60</f>
        <v>#N/A</v>
      </c>
    </row>
    <row r="61" spans="2:17" x14ac:dyDescent="0.25">
      <c r="B61" s="353"/>
      <c r="C61" s="644"/>
      <c r="D61" s="440"/>
      <c r="E61" s="440"/>
      <c r="F61" s="440"/>
      <c r="G61" s="440"/>
      <c r="H61" s="440"/>
      <c r="I61" s="407"/>
      <c r="J61" s="416"/>
      <c r="K61" s="83" t="e">
        <f>VLOOKUP(I61,Settings!$C$69:$F$74,2,FALSE)</f>
        <v>#N/A</v>
      </c>
      <c r="L61" s="83" t="e">
        <f>VLOOKUP(I61,Settings!$C$69:$F$74,3,FALSE)</f>
        <v>#N/A</v>
      </c>
      <c r="M61" s="83" t="e">
        <f>VLOOKUP(I61,Settings!$C$69:$F$74,4,FALSE)</f>
        <v>#N/A</v>
      </c>
      <c r="N61" s="397" t="e">
        <f t="shared" si="0"/>
        <v>#N/A</v>
      </c>
      <c r="O61" s="397" t="e">
        <f t="shared" si="1"/>
        <v>#N/A</v>
      </c>
      <c r="P61" s="397" t="e">
        <f t="shared" si="2"/>
        <v>#N/A</v>
      </c>
      <c r="Q61" s="397" t="e">
        <f>P61*Settings!$D$24+O61*Settings!$C$24+N61</f>
        <v>#N/A</v>
      </c>
    </row>
    <row r="62" spans="2:17" x14ac:dyDescent="0.25">
      <c r="B62" s="353"/>
      <c r="C62" s="644"/>
      <c r="D62" s="440"/>
      <c r="E62" s="440"/>
      <c r="F62" s="440"/>
      <c r="G62" s="440"/>
      <c r="H62" s="440"/>
      <c r="I62" s="407"/>
      <c r="J62" s="416"/>
      <c r="K62" s="83" t="e">
        <f>VLOOKUP(I62,Settings!$C$69:$F$74,2,FALSE)</f>
        <v>#N/A</v>
      </c>
      <c r="L62" s="83" t="e">
        <f>VLOOKUP(I62,Settings!$C$69:$F$74,3,FALSE)</f>
        <v>#N/A</v>
      </c>
      <c r="M62" s="83" t="e">
        <f>VLOOKUP(I62,Settings!$C$69:$F$74,4,FALSE)</f>
        <v>#N/A</v>
      </c>
      <c r="N62" s="397" t="e">
        <f t="shared" si="0"/>
        <v>#N/A</v>
      </c>
      <c r="O62" s="397" t="e">
        <f t="shared" si="1"/>
        <v>#N/A</v>
      </c>
      <c r="P62" s="397" t="e">
        <f t="shared" si="2"/>
        <v>#N/A</v>
      </c>
      <c r="Q62" s="397" t="e">
        <f>P62*Settings!$D$24+O62*Settings!$C$24+N62</f>
        <v>#N/A</v>
      </c>
    </row>
    <row r="63" spans="2:17" ht="30" customHeight="1" x14ac:dyDescent="0.25">
      <c r="B63" s="643" t="s">
        <v>410</v>
      </c>
      <c r="C63" s="642"/>
      <c r="D63" s="591"/>
      <c r="E63" s="591"/>
      <c r="F63" s="591"/>
      <c r="G63" s="591"/>
      <c r="H63" s="592"/>
      <c r="I63" s="591"/>
      <c r="J63" s="355"/>
      <c r="K63" s="355"/>
      <c r="L63" s="355"/>
      <c r="M63" s="355"/>
      <c r="N63" s="135">
        <f t="shared" ref="N63:P63" si="3">_xlfn.AGGREGATE(9,6,N10:N62)</f>
        <v>704710.90875718149</v>
      </c>
      <c r="O63" s="135">
        <f t="shared" si="3"/>
        <v>4.0725192982337234E-4</v>
      </c>
      <c r="P63" s="135">
        <f t="shared" si="3"/>
        <v>2.8938437078841923E-3</v>
      </c>
      <c r="Q63" s="135">
        <f>_xlfn.AGGREGATE(9,6,Q10:Q62)</f>
        <v>704711.70977231557</v>
      </c>
    </row>
    <row r="66" spans="2:17" ht="16.2" customHeight="1" x14ac:dyDescent="0.25"/>
    <row r="67" spans="2:17" s="279" customFormat="1" ht="30" customHeight="1" x14ac:dyDescent="0.25">
      <c r="B67" s="370" t="s">
        <v>392</v>
      </c>
      <c r="C67" s="371"/>
      <c r="D67" s="371"/>
      <c r="E67" s="371"/>
      <c r="F67" s="371"/>
      <c r="G67" s="371"/>
      <c r="H67" s="371"/>
      <c r="I67" s="371"/>
      <c r="J67" s="371"/>
      <c r="K67" s="371"/>
      <c r="L67" s="371"/>
      <c r="M67" s="371"/>
      <c r="N67" s="371"/>
      <c r="O67" s="371"/>
      <c r="P67" s="371"/>
      <c r="Q67" s="372"/>
    </row>
    <row r="68" spans="2:17" ht="17.25" customHeight="1" x14ac:dyDescent="0.25">
      <c r="B68" s="1013" t="s">
        <v>335</v>
      </c>
      <c r="C68" s="1013" t="s">
        <v>1704</v>
      </c>
      <c r="D68" s="1014" t="s">
        <v>384</v>
      </c>
      <c r="E68" s="1014" t="s">
        <v>386</v>
      </c>
      <c r="F68" s="1014" t="s">
        <v>733</v>
      </c>
      <c r="G68" s="1014" t="s">
        <v>433</v>
      </c>
      <c r="H68" s="1014" t="s">
        <v>947</v>
      </c>
      <c r="I68" s="1014" t="s">
        <v>431</v>
      </c>
      <c r="J68" s="1014" t="s">
        <v>432</v>
      </c>
      <c r="K68" s="1005" t="s">
        <v>405</v>
      </c>
      <c r="L68" s="1031"/>
      <c r="M68" s="1006"/>
      <c r="N68" s="1005" t="s">
        <v>406</v>
      </c>
      <c r="O68" s="1031"/>
      <c r="P68" s="1031"/>
      <c r="Q68" s="1006"/>
    </row>
    <row r="69" spans="2:17" ht="17.25" customHeight="1" x14ac:dyDescent="0.25">
      <c r="B69" s="1013"/>
      <c r="C69" s="1013"/>
      <c r="D69" s="1008"/>
      <c r="E69" s="1008"/>
      <c r="F69" s="1008"/>
      <c r="G69" s="1008"/>
      <c r="H69" s="1008"/>
      <c r="I69" s="1008"/>
      <c r="J69" s="1016"/>
      <c r="K69" s="374" t="s">
        <v>937</v>
      </c>
      <c r="L69" s="374" t="s">
        <v>938</v>
      </c>
      <c r="M69" s="374" t="s">
        <v>939</v>
      </c>
      <c r="N69" s="419" t="s">
        <v>219</v>
      </c>
      <c r="O69" s="419" t="s">
        <v>220</v>
      </c>
      <c r="P69" s="419" t="s">
        <v>221</v>
      </c>
      <c r="Q69" s="355" t="s">
        <v>222</v>
      </c>
    </row>
    <row r="70" spans="2:17" x14ac:dyDescent="0.25">
      <c r="B70" s="431" t="s">
        <v>337</v>
      </c>
      <c r="C70" s="427" t="s">
        <v>1705</v>
      </c>
      <c r="D70" s="441" t="s">
        <v>1703</v>
      </c>
      <c r="E70" s="441" t="s">
        <v>727</v>
      </c>
      <c r="F70" s="91" t="str">
        <f>_xlfn.TEXTJOIN("-",,D70,E70)</f>
        <v>IFN-IST</v>
      </c>
      <c r="G70" s="441">
        <v>1</v>
      </c>
      <c r="H70" s="441">
        <v>2</v>
      </c>
      <c r="I70" s="91" t="str">
        <f>VLOOKUP(F70,Settings!$B$241:$E$280,3,FALSE)</f>
        <v>Air - Medium Haul</v>
      </c>
      <c r="J70" s="92">
        <f>VLOOKUP(F70,Settings!$B$241:$C$280,2,FALSE)</f>
        <v>2254</v>
      </c>
      <c r="K70" s="83">
        <f>VLOOKUP(I70,Settings!$C$69:$F$74,2,FALSE)</f>
        <v>8.0156883768000008E-5</v>
      </c>
      <c r="L70" s="83">
        <f>VLOOKUP(I70,Settings!$C$69:$F$74,3,FALSE)</f>
        <v>3.7282271519999998E-10</v>
      </c>
      <c r="M70" s="83">
        <f>VLOOKUP(I70,Settings!$C$69:$F$74,4,FALSE)</f>
        <v>2.5476218872000005E-9</v>
      </c>
      <c r="N70" s="321">
        <f>G70*H70*J70*K70</f>
        <v>0.36134723202614405</v>
      </c>
      <c r="O70" s="321">
        <f>G70*H70*J70*L70</f>
        <v>1.6806848001215998E-6</v>
      </c>
      <c r="P70" s="321">
        <f>G70*H70*J70*M70</f>
        <v>1.1484679467497602E-5</v>
      </c>
      <c r="Q70" s="321">
        <f>P70*Settings!$D$24+O70*Settings!$C$24+N70</f>
        <v>0.3645279280103742</v>
      </c>
    </row>
    <row r="71" spans="2:17" x14ac:dyDescent="0.25">
      <c r="B71" s="431" t="s">
        <v>338</v>
      </c>
      <c r="C71" s="427" t="s">
        <v>1706</v>
      </c>
      <c r="D71" s="441" t="s">
        <v>727</v>
      </c>
      <c r="E71" s="441" t="s">
        <v>747</v>
      </c>
      <c r="F71" s="91" t="str">
        <f t="shared" ref="F71:F134" si="4">_xlfn.TEXTJOIN("-",,D71,E71)</f>
        <v>IST-MXP</v>
      </c>
      <c r="G71" s="441">
        <v>5</v>
      </c>
      <c r="H71" s="441">
        <v>2</v>
      </c>
      <c r="I71" s="91" t="str">
        <f>VLOOKUP(F71,Settings!$B$241:$E$280,3,FALSE)</f>
        <v>Air - Medium Haul</v>
      </c>
      <c r="J71" s="92">
        <f>VLOOKUP(F71,Settings!$B$241:$C$280,2,FALSE)</f>
        <v>1686</v>
      </c>
      <c r="K71" s="83">
        <f>VLOOKUP(I71,Settings!$C$69:$F$74,2,FALSE)</f>
        <v>8.0156883768000008E-5</v>
      </c>
      <c r="L71" s="83">
        <f>VLOOKUP(I71,Settings!$C$69:$F$74,3,FALSE)</f>
        <v>3.7282271519999998E-10</v>
      </c>
      <c r="M71" s="83">
        <f>VLOOKUP(I71,Settings!$C$69:$F$74,4,FALSE)</f>
        <v>2.5476218872000005E-9</v>
      </c>
      <c r="N71" s="321">
        <f t="shared" ref="N71:N134" si="5">G71*H71*J71*K71</f>
        <v>1.3514450603284802</v>
      </c>
      <c r="O71" s="321">
        <f t="shared" ref="O71:O134" si="6">G71*H71*J71*L71</f>
        <v>6.2857909782719993E-6</v>
      </c>
      <c r="P71" s="321">
        <f t="shared" ref="P71:P134" si="7">G71*H71*J71*M71</f>
        <v>4.2952905018192012E-5</v>
      </c>
      <c r="Q71" s="321">
        <f>P71*Settings!$D$24+O71*Settings!$C$24+N71</f>
        <v>1.36334091975486</v>
      </c>
    </row>
    <row r="72" spans="2:17" x14ac:dyDescent="0.25">
      <c r="B72" s="431" t="s">
        <v>338</v>
      </c>
      <c r="C72" s="427" t="s">
        <v>1705</v>
      </c>
      <c r="D72" s="441" t="s">
        <v>1703</v>
      </c>
      <c r="E72" s="441" t="s">
        <v>727</v>
      </c>
      <c r="F72" s="91" t="str">
        <f t="shared" si="4"/>
        <v>IFN-IST</v>
      </c>
      <c r="G72" s="441">
        <v>6</v>
      </c>
      <c r="H72" s="441">
        <v>2</v>
      </c>
      <c r="I72" s="91" t="str">
        <f>VLOOKUP(F72,Settings!$B$241:$E$280,3,FALSE)</f>
        <v>Air - Medium Haul</v>
      </c>
      <c r="J72" s="92">
        <f>VLOOKUP(F72,Settings!$B$241:$C$280,2,FALSE)</f>
        <v>2254</v>
      </c>
      <c r="K72" s="83">
        <f>VLOOKUP(I72,Settings!$C$69:$F$74,2,FALSE)</f>
        <v>8.0156883768000008E-5</v>
      </c>
      <c r="L72" s="83">
        <f>VLOOKUP(I72,Settings!$C$69:$F$74,3,FALSE)</f>
        <v>3.7282271519999998E-10</v>
      </c>
      <c r="M72" s="83">
        <f>VLOOKUP(I72,Settings!$C$69:$F$74,4,FALSE)</f>
        <v>2.5476218872000005E-9</v>
      </c>
      <c r="N72" s="321">
        <f t="shared" si="5"/>
        <v>2.1680833921568641</v>
      </c>
      <c r="O72" s="321">
        <f t="shared" si="6"/>
        <v>1.0084108800729599E-5</v>
      </c>
      <c r="P72" s="321">
        <f t="shared" si="7"/>
        <v>6.8908076804985615E-5</v>
      </c>
      <c r="Q72" s="321">
        <f>P72*Settings!$D$24+O72*Settings!$C$24+N72</f>
        <v>2.1871675680622449</v>
      </c>
    </row>
    <row r="73" spans="2:17" x14ac:dyDescent="0.25">
      <c r="B73" s="431" t="s">
        <v>338</v>
      </c>
      <c r="C73" s="427" t="s">
        <v>1707</v>
      </c>
      <c r="D73" s="441" t="s">
        <v>1703</v>
      </c>
      <c r="E73" s="441" t="s">
        <v>728</v>
      </c>
      <c r="F73" s="91" t="str">
        <f t="shared" si="4"/>
        <v>IFN-DXB</v>
      </c>
      <c r="G73" s="441">
        <v>9</v>
      </c>
      <c r="H73" s="441">
        <v>2</v>
      </c>
      <c r="I73" s="91" t="str">
        <f>VLOOKUP(F73,Settings!$B$241:$E$280,3,FALSE)</f>
        <v>Air - Medium Haul</v>
      </c>
      <c r="J73" s="92">
        <f>VLOOKUP(F73,Settings!$B$241:$C$280,2,FALSE)</f>
        <v>898</v>
      </c>
      <c r="K73" s="83">
        <f>VLOOKUP(I73,Settings!$C$69:$F$74,2,FALSE)</f>
        <v>8.0156883768000008E-5</v>
      </c>
      <c r="L73" s="83">
        <f>VLOOKUP(I73,Settings!$C$69:$F$74,3,FALSE)</f>
        <v>3.7282271519999998E-10</v>
      </c>
      <c r="M73" s="83">
        <f>VLOOKUP(I73,Settings!$C$69:$F$74,4,FALSE)</f>
        <v>2.5476218872000005E-9</v>
      </c>
      <c r="N73" s="321">
        <f t="shared" si="5"/>
        <v>1.2956558692259521</v>
      </c>
      <c r="O73" s="321">
        <f t="shared" si="6"/>
        <v>6.0263063684928E-6</v>
      </c>
      <c r="P73" s="321">
        <f t="shared" si="7"/>
        <v>4.1179760184700812E-5</v>
      </c>
      <c r="Q73" s="321">
        <f>P73*Settings!$D$24+O73*Settings!$C$24+N73</f>
        <v>1.3070606540283247</v>
      </c>
    </row>
    <row r="74" spans="2:17" x14ac:dyDescent="0.25">
      <c r="B74" s="431" t="s">
        <v>338</v>
      </c>
      <c r="C74" s="427" t="s">
        <v>1708</v>
      </c>
      <c r="D74" s="441" t="s">
        <v>732</v>
      </c>
      <c r="E74" s="441" t="s">
        <v>727</v>
      </c>
      <c r="F74" s="91" t="str">
        <f t="shared" si="4"/>
        <v>IKA-IST</v>
      </c>
      <c r="G74" s="441">
        <v>1</v>
      </c>
      <c r="H74" s="441">
        <v>2</v>
      </c>
      <c r="I74" s="91" t="str">
        <f>VLOOKUP(F74,Settings!$B$241:$E$280,3,FALSE)</f>
        <v>Air - Medium Haul</v>
      </c>
      <c r="J74" s="92">
        <f>VLOOKUP(F74,Settings!$B$241:$C$280,2,FALSE)</f>
        <v>2056</v>
      </c>
      <c r="K74" s="83">
        <f>VLOOKUP(I74,Settings!$C$69:$F$74,2,FALSE)</f>
        <v>8.0156883768000008E-5</v>
      </c>
      <c r="L74" s="83">
        <f>VLOOKUP(I74,Settings!$C$69:$F$74,3,FALSE)</f>
        <v>3.7282271519999998E-10</v>
      </c>
      <c r="M74" s="83">
        <f>VLOOKUP(I74,Settings!$C$69:$F$74,4,FALSE)</f>
        <v>2.5476218872000005E-9</v>
      </c>
      <c r="N74" s="321">
        <f t="shared" si="5"/>
        <v>0.32960510605401605</v>
      </c>
      <c r="O74" s="321">
        <f t="shared" si="6"/>
        <v>1.5330470049023999E-6</v>
      </c>
      <c r="P74" s="321">
        <f t="shared" si="7"/>
        <v>1.0475821200166403E-5</v>
      </c>
      <c r="Q74" s="321">
        <f>P74*Settings!$D$24+O74*Settings!$C$24+N74</f>
        <v>0.33250639751079386</v>
      </c>
    </row>
    <row r="75" spans="2:17" x14ac:dyDescent="0.25">
      <c r="B75" s="431" t="s">
        <v>338</v>
      </c>
      <c r="C75" s="427" t="s">
        <v>1709</v>
      </c>
      <c r="D75" s="441" t="s">
        <v>732</v>
      </c>
      <c r="E75" s="441" t="s">
        <v>744</v>
      </c>
      <c r="F75" s="91" t="str">
        <f t="shared" si="4"/>
        <v>IKA-PEK</v>
      </c>
      <c r="G75" s="441">
        <v>4</v>
      </c>
      <c r="H75" s="441">
        <v>2</v>
      </c>
      <c r="I75" s="91" t="str">
        <f>VLOOKUP(F75,Settings!$B$241:$E$280,3,FALSE)</f>
        <v>Air - Long Haul</v>
      </c>
      <c r="J75" s="92">
        <f>VLOOKUP(F75,Settings!$B$241:$C$280,2,FALSE)</f>
        <v>5660</v>
      </c>
      <c r="K75" s="83">
        <f>VLOOKUP(I75,Settings!$C$69:$F$74,2,FALSE)</f>
        <v>1.0128350429600002E-4</v>
      </c>
      <c r="L75" s="83">
        <f>VLOOKUP(I75,Settings!$C$69:$F$74,3,FALSE)</f>
        <v>3.7282271519999998E-10</v>
      </c>
      <c r="M75" s="83">
        <f>VLOOKUP(I75,Settings!$C$69:$F$74,4,FALSE)</f>
        <v>3.2311301984000001E-9</v>
      </c>
      <c r="N75" s="321">
        <f t="shared" si="5"/>
        <v>4.586117074522881</v>
      </c>
      <c r="O75" s="321">
        <f t="shared" si="6"/>
        <v>1.6881412544255999E-5</v>
      </c>
      <c r="P75" s="321">
        <f t="shared" si="7"/>
        <v>1.46305575383552E-4</v>
      </c>
      <c r="Q75" s="321">
        <f>P75*Settings!$D$24+O75*Settings!$C$24+N75</f>
        <v>4.6265142947412858</v>
      </c>
    </row>
    <row r="76" spans="2:17" x14ac:dyDescent="0.25">
      <c r="B76" s="431" t="s">
        <v>338</v>
      </c>
      <c r="C76" s="427" t="s">
        <v>1710</v>
      </c>
      <c r="D76" s="441" t="s">
        <v>728</v>
      </c>
      <c r="E76" s="441" t="s">
        <v>754</v>
      </c>
      <c r="F76" s="91" t="str">
        <f t="shared" si="4"/>
        <v>DXB-BKK</v>
      </c>
      <c r="G76" s="441">
        <v>1</v>
      </c>
      <c r="H76" s="441">
        <v>2</v>
      </c>
      <c r="I76" s="91" t="str">
        <f>VLOOKUP(F76,Settings!$B$241:$E$280,3,FALSE)</f>
        <v>Air - Long Haul</v>
      </c>
      <c r="J76" s="92">
        <f>VLOOKUP(F76,Settings!$B$241:$C$280,2,FALSE)</f>
        <v>4909</v>
      </c>
      <c r="K76" s="83">
        <f>VLOOKUP(I76,Settings!$C$69:$F$74,2,FALSE)</f>
        <v>1.0128350429600002E-4</v>
      </c>
      <c r="L76" s="83">
        <f>VLOOKUP(I76,Settings!$C$69:$F$74,3,FALSE)</f>
        <v>3.7282271519999998E-10</v>
      </c>
      <c r="M76" s="83">
        <f>VLOOKUP(I76,Settings!$C$69:$F$74,4,FALSE)</f>
        <v>3.2311301984000001E-9</v>
      </c>
      <c r="N76" s="321">
        <f t="shared" si="5"/>
        <v>0.99440144517812823</v>
      </c>
      <c r="O76" s="321">
        <f t="shared" si="6"/>
        <v>3.6603734178335996E-6</v>
      </c>
      <c r="P76" s="321">
        <f t="shared" si="7"/>
        <v>3.1723236287891198E-5</v>
      </c>
      <c r="Q76" s="321">
        <f>P76*Settings!$D$24+O76*Settings!$C$24+N76</f>
        <v>1.003160718767004</v>
      </c>
    </row>
    <row r="77" spans="2:17" x14ac:dyDescent="0.25">
      <c r="B77" s="431" t="s">
        <v>338</v>
      </c>
      <c r="C77" s="427" t="s">
        <v>1711</v>
      </c>
      <c r="D77" s="441" t="s">
        <v>728</v>
      </c>
      <c r="E77" s="441" t="s">
        <v>1729</v>
      </c>
      <c r="F77" s="91" t="str">
        <f t="shared" si="4"/>
        <v>DXB-CGK</v>
      </c>
      <c r="G77" s="441">
        <v>1</v>
      </c>
      <c r="H77" s="441">
        <v>2</v>
      </c>
      <c r="I77" s="91" t="str">
        <f>VLOOKUP(F77,Settings!$B$241:$E$280,3,FALSE)</f>
        <v>Air - Long Haul</v>
      </c>
      <c r="J77" s="92">
        <f>VLOOKUP(F77,Settings!$B$241:$C$280,2,FALSE)</f>
        <v>6544</v>
      </c>
      <c r="K77" s="83">
        <f>VLOOKUP(I77,Settings!$C$69:$F$74,2,FALSE)</f>
        <v>1.0128350429600002E-4</v>
      </c>
      <c r="L77" s="83">
        <f>VLOOKUP(I77,Settings!$C$69:$F$74,3,FALSE)</f>
        <v>3.7282271519999998E-10</v>
      </c>
      <c r="M77" s="83">
        <f>VLOOKUP(I77,Settings!$C$69:$F$74,4,FALSE)</f>
        <v>3.2311301984000001E-9</v>
      </c>
      <c r="N77" s="321">
        <f t="shared" si="5"/>
        <v>1.3255985042260483</v>
      </c>
      <c r="O77" s="321">
        <f t="shared" si="6"/>
        <v>4.8795036965375994E-6</v>
      </c>
      <c r="P77" s="321">
        <f t="shared" si="7"/>
        <v>4.2289032036659202E-5</v>
      </c>
      <c r="Q77" s="321">
        <f>P77*Settings!$D$24+O77*Settings!$C$24+N77</f>
        <v>1.3372751565718628</v>
      </c>
    </row>
    <row r="78" spans="2:17" x14ac:dyDescent="0.25">
      <c r="B78" s="431" t="s">
        <v>338</v>
      </c>
      <c r="C78" s="427" t="s">
        <v>1712</v>
      </c>
      <c r="D78" s="441" t="s">
        <v>728</v>
      </c>
      <c r="E78" s="441" t="s">
        <v>731</v>
      </c>
      <c r="F78" s="91" t="str">
        <f t="shared" si="4"/>
        <v>DXB-DEL</v>
      </c>
      <c r="G78" s="441">
        <v>7</v>
      </c>
      <c r="H78" s="441">
        <v>2</v>
      </c>
      <c r="I78" s="91" t="str">
        <f>VLOOKUP(F78,Settings!$B$241:$E$280,3,FALSE)</f>
        <v>Air - Medium Haul</v>
      </c>
      <c r="J78" s="92">
        <f>VLOOKUP(F78,Settings!$B$241:$C$280,2,FALSE)</f>
        <v>2188</v>
      </c>
      <c r="K78" s="83">
        <f>VLOOKUP(I78,Settings!$C$69:$F$74,2,FALSE)</f>
        <v>8.0156883768000008E-5</v>
      </c>
      <c r="L78" s="83">
        <f>VLOOKUP(I78,Settings!$C$69:$F$74,3,FALSE)</f>
        <v>3.7282271519999998E-10</v>
      </c>
      <c r="M78" s="83">
        <f>VLOOKUP(I78,Settings!$C$69:$F$74,4,FALSE)</f>
        <v>2.5476218872000005E-9</v>
      </c>
      <c r="N78" s="321">
        <f t="shared" si="5"/>
        <v>2.4553656635813761</v>
      </c>
      <c r="O78" s="321">
        <f t="shared" si="6"/>
        <v>1.1420305412006399E-5</v>
      </c>
      <c r="P78" s="321">
        <f t="shared" si="7"/>
        <v>7.8038753648710415E-5</v>
      </c>
      <c r="Q78" s="321">
        <f>P78*Settings!$D$24+O78*Settings!$C$24+N78</f>
        <v>2.476978591573598</v>
      </c>
    </row>
    <row r="79" spans="2:17" x14ac:dyDescent="0.25">
      <c r="B79" s="431" t="s">
        <v>338</v>
      </c>
      <c r="C79" s="427" t="s">
        <v>1713</v>
      </c>
      <c r="D79" s="441" t="s">
        <v>1728</v>
      </c>
      <c r="E79" s="441" t="s">
        <v>745</v>
      </c>
      <c r="F79" s="91" t="str">
        <f t="shared" si="4"/>
        <v>MAD-FCO</v>
      </c>
      <c r="G79" s="441">
        <v>1</v>
      </c>
      <c r="H79" s="441">
        <v>2</v>
      </c>
      <c r="I79" s="91" t="str">
        <f>VLOOKUP(F79,Settings!$B$241:$E$280,3,FALSE)</f>
        <v>Air - Medium Haul</v>
      </c>
      <c r="J79" s="92">
        <f>VLOOKUP(F79,Settings!$B$241:$C$280,2,FALSE)</f>
        <v>1334</v>
      </c>
      <c r="K79" s="83">
        <f>VLOOKUP(I79,Settings!$C$69:$F$74,2,FALSE)</f>
        <v>8.0156883768000008E-5</v>
      </c>
      <c r="L79" s="83">
        <f>VLOOKUP(I79,Settings!$C$69:$F$74,3,FALSE)</f>
        <v>3.7282271519999998E-10</v>
      </c>
      <c r="M79" s="83">
        <f>VLOOKUP(I79,Settings!$C$69:$F$74,4,FALSE)</f>
        <v>2.5476218872000005E-9</v>
      </c>
      <c r="N79" s="321">
        <f t="shared" si="5"/>
        <v>0.21385856589302402</v>
      </c>
      <c r="O79" s="321">
        <f t="shared" si="6"/>
        <v>9.9469100415359985E-7</v>
      </c>
      <c r="P79" s="321">
        <f t="shared" si="7"/>
        <v>6.7970551950496013E-6</v>
      </c>
      <c r="Q79" s="321">
        <f>P79*Settings!$D$24+O79*Settings!$C$24+N79</f>
        <v>0.21574101861838471</v>
      </c>
    </row>
    <row r="80" spans="2:17" x14ac:dyDescent="0.25">
      <c r="B80" s="431" t="s">
        <v>338</v>
      </c>
      <c r="C80" s="427" t="s">
        <v>1714</v>
      </c>
      <c r="D80" s="441" t="s">
        <v>747</v>
      </c>
      <c r="E80" s="441" t="s">
        <v>749</v>
      </c>
      <c r="F80" s="91" t="str">
        <f t="shared" si="4"/>
        <v>MXP-DUS</v>
      </c>
      <c r="G80" s="441">
        <v>3</v>
      </c>
      <c r="H80" s="441">
        <v>2</v>
      </c>
      <c r="I80" s="91" t="str">
        <f>VLOOKUP(F80,Settings!$B$241:$E$280,3,FALSE)</f>
        <v>Air - Medium Haul</v>
      </c>
      <c r="J80" s="92">
        <f>VLOOKUP(F80,Settings!$B$241:$C$280,2,FALSE)</f>
        <v>645</v>
      </c>
      <c r="K80" s="83">
        <f>VLOOKUP(I80,Settings!$C$69:$F$74,2,FALSE)</f>
        <v>8.0156883768000008E-5</v>
      </c>
      <c r="L80" s="83">
        <f>VLOOKUP(I80,Settings!$C$69:$F$74,3,FALSE)</f>
        <v>3.7282271519999998E-10</v>
      </c>
      <c r="M80" s="83">
        <f>VLOOKUP(I80,Settings!$C$69:$F$74,4,FALSE)</f>
        <v>2.5476218872000005E-9</v>
      </c>
      <c r="N80" s="321">
        <f t="shared" si="5"/>
        <v>0.31020714018216006</v>
      </c>
      <c r="O80" s="321">
        <f t="shared" si="6"/>
        <v>1.442823907824E-6</v>
      </c>
      <c r="P80" s="321">
        <f t="shared" si="7"/>
        <v>9.8592967034640015E-6</v>
      </c>
      <c r="Q80" s="321">
        <f>P80*Settings!$D$24+O80*Settings!$C$24+N80</f>
        <v>0.31293768442771697</v>
      </c>
    </row>
    <row r="81" spans="2:17" x14ac:dyDescent="0.25">
      <c r="B81" s="431" t="s">
        <v>338</v>
      </c>
      <c r="C81" s="427" t="s">
        <v>1715</v>
      </c>
      <c r="D81" s="441" t="s">
        <v>747</v>
      </c>
      <c r="E81" s="441" t="s">
        <v>1728</v>
      </c>
      <c r="F81" s="91" t="str">
        <f t="shared" si="4"/>
        <v>MXP-MAD</v>
      </c>
      <c r="G81" s="441">
        <v>1</v>
      </c>
      <c r="H81" s="441">
        <v>2</v>
      </c>
      <c r="I81" s="91" t="str">
        <f>VLOOKUP(F81,Settings!$B$241:$E$280,3,FALSE)</f>
        <v>Air - Medium Haul</v>
      </c>
      <c r="J81" s="92">
        <f>VLOOKUP(F81,Settings!$B$241:$C$280,2,FALSE)</f>
        <v>1151</v>
      </c>
      <c r="K81" s="83">
        <f>VLOOKUP(I81,Settings!$C$69:$F$74,2,FALSE)</f>
        <v>8.0156883768000008E-5</v>
      </c>
      <c r="L81" s="83">
        <f>VLOOKUP(I81,Settings!$C$69:$F$74,3,FALSE)</f>
        <v>3.7282271519999998E-10</v>
      </c>
      <c r="M81" s="83">
        <f>VLOOKUP(I81,Settings!$C$69:$F$74,4,FALSE)</f>
        <v>2.5476218872000005E-9</v>
      </c>
      <c r="N81" s="321">
        <f t="shared" si="5"/>
        <v>0.18452114643393602</v>
      </c>
      <c r="O81" s="321">
        <f t="shared" si="6"/>
        <v>8.5823789039039993E-7</v>
      </c>
      <c r="P81" s="321">
        <f t="shared" si="7"/>
        <v>5.8646255843344012E-6</v>
      </c>
      <c r="Q81" s="321">
        <f>P81*Settings!$D$24+O81*Settings!$C$24+N81</f>
        <v>0.18614536164149986</v>
      </c>
    </row>
    <row r="82" spans="2:17" x14ac:dyDescent="0.25">
      <c r="B82" s="431" t="s">
        <v>339</v>
      </c>
      <c r="C82" s="427" t="s">
        <v>1706</v>
      </c>
      <c r="D82" s="441" t="s">
        <v>727</v>
      </c>
      <c r="E82" s="441" t="s">
        <v>747</v>
      </c>
      <c r="F82" s="91" t="str">
        <f t="shared" si="4"/>
        <v>IST-MXP</v>
      </c>
      <c r="G82" s="441">
        <v>1</v>
      </c>
      <c r="H82" s="441">
        <v>2</v>
      </c>
      <c r="I82" s="91" t="str">
        <f>VLOOKUP(F82,Settings!$B$241:$E$280,3,FALSE)</f>
        <v>Air - Medium Haul</v>
      </c>
      <c r="J82" s="92">
        <f>VLOOKUP(F82,Settings!$B$241:$C$280,2,FALSE)</f>
        <v>1686</v>
      </c>
      <c r="K82" s="83">
        <f>VLOOKUP(I82,Settings!$C$69:$F$74,2,FALSE)</f>
        <v>8.0156883768000008E-5</v>
      </c>
      <c r="L82" s="83">
        <f>VLOOKUP(I82,Settings!$C$69:$F$74,3,FALSE)</f>
        <v>3.7282271519999998E-10</v>
      </c>
      <c r="M82" s="83">
        <f>VLOOKUP(I82,Settings!$C$69:$F$74,4,FALSE)</f>
        <v>2.5476218872000005E-9</v>
      </c>
      <c r="N82" s="321">
        <f t="shared" si="5"/>
        <v>0.270289012065696</v>
      </c>
      <c r="O82" s="321">
        <f t="shared" si="6"/>
        <v>1.2571581956544E-6</v>
      </c>
      <c r="P82" s="321">
        <f t="shared" si="7"/>
        <v>8.5905810036384013E-6</v>
      </c>
      <c r="Q82" s="321">
        <f>P82*Settings!$D$24+O82*Settings!$C$24+N82</f>
        <v>0.27266818395097198</v>
      </c>
    </row>
    <row r="83" spans="2:17" x14ac:dyDescent="0.25">
      <c r="B83" s="431" t="s">
        <v>339</v>
      </c>
      <c r="C83" s="427" t="s">
        <v>1716</v>
      </c>
      <c r="D83" s="441" t="s">
        <v>727</v>
      </c>
      <c r="E83" s="441" t="s">
        <v>745</v>
      </c>
      <c r="F83" s="91" t="str">
        <f t="shared" si="4"/>
        <v>IST-FCO</v>
      </c>
      <c r="G83" s="441">
        <v>1</v>
      </c>
      <c r="H83" s="441">
        <v>2</v>
      </c>
      <c r="I83" s="91" t="str">
        <f>VLOOKUP(F83,Settings!$B$241:$E$280,3,FALSE)</f>
        <v>Air - Medium Haul</v>
      </c>
      <c r="J83" s="92">
        <f>VLOOKUP(F83,Settings!$B$241:$C$280,2,FALSE)</f>
        <v>1376</v>
      </c>
      <c r="K83" s="83">
        <f>VLOOKUP(I83,Settings!$C$69:$F$74,2,FALSE)</f>
        <v>8.0156883768000008E-5</v>
      </c>
      <c r="L83" s="83">
        <f>VLOOKUP(I83,Settings!$C$69:$F$74,3,FALSE)</f>
        <v>3.7282271519999998E-10</v>
      </c>
      <c r="M83" s="83">
        <f>VLOOKUP(I83,Settings!$C$69:$F$74,4,FALSE)</f>
        <v>2.5476218872000005E-9</v>
      </c>
      <c r="N83" s="321">
        <f t="shared" si="5"/>
        <v>0.22059174412953603</v>
      </c>
      <c r="O83" s="321">
        <f t="shared" si="6"/>
        <v>1.0260081122303999E-6</v>
      </c>
      <c r="P83" s="321">
        <f t="shared" si="7"/>
        <v>7.0110554335744011E-6</v>
      </c>
      <c r="Q83" s="321">
        <f>P83*Settings!$D$24+O83*Settings!$C$24+N83</f>
        <v>0.22253346448193206</v>
      </c>
    </row>
    <row r="84" spans="2:17" x14ac:dyDescent="0.25">
      <c r="B84" s="431" t="s">
        <v>339</v>
      </c>
      <c r="C84" s="427" t="s">
        <v>1705</v>
      </c>
      <c r="D84" s="441" t="s">
        <v>1703</v>
      </c>
      <c r="E84" s="441" t="s">
        <v>727</v>
      </c>
      <c r="F84" s="91" t="str">
        <f t="shared" si="4"/>
        <v>IFN-IST</v>
      </c>
      <c r="G84" s="441">
        <v>5</v>
      </c>
      <c r="H84" s="441">
        <v>2</v>
      </c>
      <c r="I84" s="91" t="str">
        <f>VLOOKUP(F84,Settings!$B$241:$E$280,3,FALSE)</f>
        <v>Air - Medium Haul</v>
      </c>
      <c r="J84" s="92">
        <f>VLOOKUP(F84,Settings!$B$241:$C$280,2,FALSE)</f>
        <v>2254</v>
      </c>
      <c r="K84" s="83">
        <f>VLOOKUP(I84,Settings!$C$69:$F$74,2,FALSE)</f>
        <v>8.0156883768000008E-5</v>
      </c>
      <c r="L84" s="83">
        <f>VLOOKUP(I84,Settings!$C$69:$F$74,3,FALSE)</f>
        <v>3.7282271519999998E-10</v>
      </c>
      <c r="M84" s="83">
        <f>VLOOKUP(I84,Settings!$C$69:$F$74,4,FALSE)</f>
        <v>2.5476218872000005E-9</v>
      </c>
      <c r="N84" s="321">
        <f t="shared" si="5"/>
        <v>1.8067361601307201</v>
      </c>
      <c r="O84" s="321">
        <f t="shared" si="6"/>
        <v>8.4034240006079991E-6</v>
      </c>
      <c r="P84" s="321">
        <f t="shared" si="7"/>
        <v>5.7423397337488014E-5</v>
      </c>
      <c r="Q84" s="321">
        <f>P84*Settings!$D$24+O84*Settings!$C$24+N84</f>
        <v>1.8226396400518707</v>
      </c>
    </row>
    <row r="85" spans="2:17" x14ac:dyDescent="0.25">
      <c r="B85" s="431" t="s">
        <v>339</v>
      </c>
      <c r="C85" s="427" t="s">
        <v>1707</v>
      </c>
      <c r="D85" s="441" t="s">
        <v>1703</v>
      </c>
      <c r="E85" s="441" t="s">
        <v>728</v>
      </c>
      <c r="F85" s="91" t="str">
        <f t="shared" si="4"/>
        <v>IFN-DXB</v>
      </c>
      <c r="G85" s="441">
        <v>1</v>
      </c>
      <c r="H85" s="441">
        <v>2</v>
      </c>
      <c r="I85" s="91" t="str">
        <f>VLOOKUP(F85,Settings!$B$241:$E$280,3,FALSE)</f>
        <v>Air - Medium Haul</v>
      </c>
      <c r="J85" s="92">
        <f>VLOOKUP(F85,Settings!$B$241:$C$280,2,FALSE)</f>
        <v>898</v>
      </c>
      <c r="K85" s="83">
        <f>VLOOKUP(I85,Settings!$C$69:$F$74,2,FALSE)</f>
        <v>8.0156883768000008E-5</v>
      </c>
      <c r="L85" s="83">
        <f>VLOOKUP(I85,Settings!$C$69:$F$74,3,FALSE)</f>
        <v>3.7282271519999998E-10</v>
      </c>
      <c r="M85" s="83">
        <f>VLOOKUP(I85,Settings!$C$69:$F$74,4,FALSE)</f>
        <v>2.5476218872000005E-9</v>
      </c>
      <c r="N85" s="321">
        <f t="shared" si="5"/>
        <v>0.14396176324732801</v>
      </c>
      <c r="O85" s="321">
        <f t="shared" si="6"/>
        <v>6.695895964992E-7</v>
      </c>
      <c r="P85" s="321">
        <f t="shared" si="7"/>
        <v>4.5755289094112008E-6</v>
      </c>
      <c r="Q85" s="321">
        <f>P85*Settings!$D$24+O85*Settings!$C$24+N85</f>
        <v>0.14522896155870274</v>
      </c>
    </row>
    <row r="86" spans="2:17" x14ac:dyDescent="0.25">
      <c r="B86" s="431" t="s">
        <v>339</v>
      </c>
      <c r="C86" s="427" t="s">
        <v>1708</v>
      </c>
      <c r="D86" s="441" t="s">
        <v>732</v>
      </c>
      <c r="E86" s="441" t="s">
        <v>727</v>
      </c>
      <c r="F86" s="91" t="str">
        <f t="shared" si="4"/>
        <v>IKA-IST</v>
      </c>
      <c r="G86" s="441">
        <v>2</v>
      </c>
      <c r="H86" s="441">
        <v>2</v>
      </c>
      <c r="I86" s="91" t="str">
        <f>VLOOKUP(F86,Settings!$B$241:$E$280,3,FALSE)</f>
        <v>Air - Medium Haul</v>
      </c>
      <c r="J86" s="92">
        <f>VLOOKUP(F86,Settings!$B$241:$C$280,2,FALSE)</f>
        <v>2056</v>
      </c>
      <c r="K86" s="83">
        <f>VLOOKUP(I86,Settings!$C$69:$F$74,2,FALSE)</f>
        <v>8.0156883768000008E-5</v>
      </c>
      <c r="L86" s="83">
        <f>VLOOKUP(I86,Settings!$C$69:$F$74,3,FALSE)</f>
        <v>3.7282271519999998E-10</v>
      </c>
      <c r="M86" s="83">
        <f>VLOOKUP(I86,Settings!$C$69:$F$74,4,FALSE)</f>
        <v>2.5476218872000005E-9</v>
      </c>
      <c r="N86" s="321">
        <f t="shared" si="5"/>
        <v>0.6592102121080321</v>
      </c>
      <c r="O86" s="321">
        <f t="shared" si="6"/>
        <v>3.0660940098047998E-6</v>
      </c>
      <c r="P86" s="321">
        <f t="shared" si="7"/>
        <v>2.0951642400332805E-5</v>
      </c>
      <c r="Q86" s="321">
        <f>P86*Settings!$D$24+O86*Settings!$C$24+N86</f>
        <v>0.66501279502158772</v>
      </c>
    </row>
    <row r="87" spans="2:17" x14ac:dyDescent="0.25">
      <c r="B87" s="431" t="s">
        <v>339</v>
      </c>
      <c r="C87" s="427" t="s">
        <v>1709</v>
      </c>
      <c r="D87" s="441" t="s">
        <v>732</v>
      </c>
      <c r="E87" s="441" t="s">
        <v>744</v>
      </c>
      <c r="F87" s="91" t="str">
        <f t="shared" si="4"/>
        <v>IKA-PEK</v>
      </c>
      <c r="G87" s="441">
        <v>15</v>
      </c>
      <c r="H87" s="441">
        <v>2</v>
      </c>
      <c r="I87" s="91" t="str">
        <f>VLOOKUP(F87,Settings!$B$241:$E$280,3,FALSE)</f>
        <v>Air - Long Haul</v>
      </c>
      <c r="J87" s="92">
        <f>VLOOKUP(F87,Settings!$B$241:$C$280,2,FALSE)</f>
        <v>5660</v>
      </c>
      <c r="K87" s="83">
        <f>VLOOKUP(I87,Settings!$C$69:$F$74,2,FALSE)</f>
        <v>1.0128350429600002E-4</v>
      </c>
      <c r="L87" s="83">
        <f>VLOOKUP(I87,Settings!$C$69:$F$74,3,FALSE)</f>
        <v>3.7282271519999998E-10</v>
      </c>
      <c r="M87" s="83">
        <f>VLOOKUP(I87,Settings!$C$69:$F$74,4,FALSE)</f>
        <v>3.2311301984000001E-9</v>
      </c>
      <c r="N87" s="321">
        <f t="shared" si="5"/>
        <v>17.197939029460802</v>
      </c>
      <c r="O87" s="321">
        <f t="shared" si="6"/>
        <v>6.3305297040959989E-5</v>
      </c>
      <c r="P87" s="321">
        <f t="shared" si="7"/>
        <v>5.4864590768832007E-4</v>
      </c>
      <c r="Q87" s="321">
        <f>P87*Settings!$D$24+O87*Settings!$C$24+N87</f>
        <v>17.349428605279819</v>
      </c>
    </row>
    <row r="88" spans="2:17" x14ac:dyDescent="0.25">
      <c r="B88" s="431" t="s">
        <v>339</v>
      </c>
      <c r="C88" s="427" t="s">
        <v>1710</v>
      </c>
      <c r="D88" s="441" t="s">
        <v>728</v>
      </c>
      <c r="E88" s="441" t="s">
        <v>754</v>
      </c>
      <c r="F88" s="91" t="str">
        <f t="shared" si="4"/>
        <v>DXB-BKK</v>
      </c>
      <c r="G88" s="441">
        <v>1</v>
      </c>
      <c r="H88" s="441">
        <v>2</v>
      </c>
      <c r="I88" s="91" t="str">
        <f>VLOOKUP(F88,Settings!$B$241:$E$280,3,FALSE)</f>
        <v>Air - Long Haul</v>
      </c>
      <c r="J88" s="92">
        <f>VLOOKUP(F88,Settings!$B$241:$C$280,2,FALSE)</f>
        <v>4909</v>
      </c>
      <c r="K88" s="83">
        <f>VLOOKUP(I88,Settings!$C$69:$F$74,2,FALSE)</f>
        <v>1.0128350429600002E-4</v>
      </c>
      <c r="L88" s="83">
        <f>VLOOKUP(I88,Settings!$C$69:$F$74,3,FALSE)</f>
        <v>3.7282271519999998E-10</v>
      </c>
      <c r="M88" s="83">
        <f>VLOOKUP(I88,Settings!$C$69:$F$74,4,FALSE)</f>
        <v>3.2311301984000001E-9</v>
      </c>
      <c r="N88" s="321">
        <f t="shared" si="5"/>
        <v>0.99440144517812823</v>
      </c>
      <c r="O88" s="321">
        <f t="shared" si="6"/>
        <v>3.6603734178335996E-6</v>
      </c>
      <c r="P88" s="321">
        <f t="shared" si="7"/>
        <v>3.1723236287891198E-5</v>
      </c>
      <c r="Q88" s="321">
        <f>P88*Settings!$D$24+O88*Settings!$C$24+N88</f>
        <v>1.003160718767004</v>
      </c>
    </row>
    <row r="89" spans="2:17" x14ac:dyDescent="0.25">
      <c r="B89" s="431" t="s">
        <v>339</v>
      </c>
      <c r="C89" s="427" t="s">
        <v>1717</v>
      </c>
      <c r="D89" s="441" t="s">
        <v>745</v>
      </c>
      <c r="E89" s="441" t="s">
        <v>753</v>
      </c>
      <c r="F89" s="91" t="str">
        <f t="shared" si="4"/>
        <v>FCO-VIE</v>
      </c>
      <c r="G89" s="441">
        <v>1</v>
      </c>
      <c r="H89" s="441">
        <v>2</v>
      </c>
      <c r="I89" s="91" t="str">
        <f>VLOOKUP(F89,Settings!$B$241:$E$280,3,FALSE)</f>
        <v>Air - Medium Haul</v>
      </c>
      <c r="J89" s="92">
        <f>VLOOKUP(F89,Settings!$B$241:$C$280,2,FALSE)</f>
        <v>779</v>
      </c>
      <c r="K89" s="83">
        <f>VLOOKUP(I89,Settings!$C$69:$F$74,2,FALSE)</f>
        <v>8.0156883768000008E-5</v>
      </c>
      <c r="L89" s="83">
        <f>VLOOKUP(I89,Settings!$C$69:$F$74,3,FALSE)</f>
        <v>3.7282271519999998E-10</v>
      </c>
      <c r="M89" s="83">
        <f>VLOOKUP(I89,Settings!$C$69:$F$74,4,FALSE)</f>
        <v>2.5476218872000005E-9</v>
      </c>
      <c r="N89" s="321">
        <f t="shared" si="5"/>
        <v>0.12488442491054401</v>
      </c>
      <c r="O89" s="321">
        <f t="shared" si="6"/>
        <v>5.8085779028159992E-7</v>
      </c>
      <c r="P89" s="321">
        <f t="shared" si="7"/>
        <v>3.9691949002576011E-6</v>
      </c>
      <c r="Q89" s="321">
        <f>P89*Settings!$D$24+O89*Settings!$C$24+N89</f>
        <v>0.12598369827865194</v>
      </c>
    </row>
    <row r="90" spans="2:17" x14ac:dyDescent="0.25">
      <c r="B90" s="431" t="s">
        <v>339</v>
      </c>
      <c r="C90" s="427" t="s">
        <v>1713</v>
      </c>
      <c r="D90" s="441" t="s">
        <v>1728</v>
      </c>
      <c r="E90" s="441" t="s">
        <v>1735</v>
      </c>
      <c r="F90" s="91" t="str">
        <f t="shared" si="4"/>
        <v>MAD-SVQ</v>
      </c>
      <c r="G90" s="441">
        <v>1</v>
      </c>
      <c r="H90" s="441">
        <v>2</v>
      </c>
      <c r="I90" s="91" t="str">
        <f>VLOOKUP(F90,Settings!$B$241:$E$280,3,FALSE)</f>
        <v>Air - Short Haul</v>
      </c>
      <c r="J90" s="92">
        <f>VLOOKUP(F90,Settings!$B$241:$C$280,2,FALSE)</f>
        <v>396</v>
      </c>
      <c r="K90" s="83">
        <f>VLOOKUP(I90,Settings!$C$69:$F$74,2,FALSE)</f>
        <v>1.2862383674400001E-4</v>
      </c>
      <c r="L90" s="83">
        <f>VLOOKUP(I90,Settings!$C$69:$F$74,3,FALSE)</f>
        <v>3.9767756287999997E-9</v>
      </c>
      <c r="M90" s="83">
        <f>VLOOKUP(I90,Settings!$C$69:$F$74,4,FALSE)</f>
        <v>4.1010498671999999E-9</v>
      </c>
      <c r="N90" s="321">
        <f t="shared" si="5"/>
        <v>0.10187007870124801</v>
      </c>
      <c r="O90" s="321">
        <f t="shared" si="6"/>
        <v>3.1496062980095999E-6</v>
      </c>
      <c r="P90" s="321">
        <f t="shared" si="7"/>
        <v>3.2480314948223997E-6</v>
      </c>
      <c r="Q90" s="321">
        <f>P90*Settings!$D$24+O90*Settings!$C$24+N90</f>
        <v>0.10284183066938078</v>
      </c>
    </row>
    <row r="91" spans="2:17" x14ac:dyDescent="0.25">
      <c r="B91" s="431" t="s">
        <v>339</v>
      </c>
      <c r="C91" s="427" t="s">
        <v>1718</v>
      </c>
      <c r="D91" s="441" t="s">
        <v>747</v>
      </c>
      <c r="E91" s="441" t="s">
        <v>1728</v>
      </c>
      <c r="F91" s="91" t="str">
        <f t="shared" si="4"/>
        <v>MXP-MAD</v>
      </c>
      <c r="G91" s="441">
        <v>1</v>
      </c>
      <c r="H91" s="441">
        <v>2</v>
      </c>
      <c r="I91" s="91" t="str">
        <f>VLOOKUP(F91,Settings!$B$241:$E$280,3,FALSE)</f>
        <v>Air - Medium Haul</v>
      </c>
      <c r="J91" s="92">
        <f>VLOOKUP(F91,Settings!$B$241:$C$280,2,FALSE)</f>
        <v>1151</v>
      </c>
      <c r="K91" s="83">
        <f>VLOOKUP(I91,Settings!$C$69:$F$74,2,FALSE)</f>
        <v>8.0156883768000008E-5</v>
      </c>
      <c r="L91" s="83">
        <f>VLOOKUP(I91,Settings!$C$69:$F$74,3,FALSE)</f>
        <v>3.7282271519999998E-10</v>
      </c>
      <c r="M91" s="83">
        <f>VLOOKUP(I91,Settings!$C$69:$F$74,4,FALSE)</f>
        <v>2.5476218872000005E-9</v>
      </c>
      <c r="N91" s="321">
        <f t="shared" si="5"/>
        <v>0.18452114643393602</v>
      </c>
      <c r="O91" s="321">
        <f t="shared" si="6"/>
        <v>8.5823789039039993E-7</v>
      </c>
      <c r="P91" s="321">
        <f t="shared" si="7"/>
        <v>5.8646255843344012E-6</v>
      </c>
      <c r="Q91" s="321">
        <f>P91*Settings!$D$24+O91*Settings!$C$24+N91</f>
        <v>0.18614536164149986</v>
      </c>
    </row>
    <row r="92" spans="2:17" x14ac:dyDescent="0.25">
      <c r="B92" s="431" t="s">
        <v>340</v>
      </c>
      <c r="C92" s="427" t="s">
        <v>1705</v>
      </c>
      <c r="D92" s="441" t="s">
        <v>1703</v>
      </c>
      <c r="E92" s="441" t="s">
        <v>727</v>
      </c>
      <c r="F92" s="91" t="str">
        <f t="shared" si="4"/>
        <v>IFN-IST</v>
      </c>
      <c r="G92" s="441">
        <v>7</v>
      </c>
      <c r="H92" s="441">
        <v>2</v>
      </c>
      <c r="I92" s="91" t="str">
        <f>VLOOKUP(F92,Settings!$B$241:$E$280,3,FALSE)</f>
        <v>Air - Medium Haul</v>
      </c>
      <c r="J92" s="92">
        <f>VLOOKUP(F92,Settings!$B$241:$C$280,2,FALSE)</f>
        <v>2254</v>
      </c>
      <c r="K92" s="83">
        <f>VLOOKUP(I92,Settings!$C$69:$F$74,2,FALSE)</f>
        <v>8.0156883768000008E-5</v>
      </c>
      <c r="L92" s="83">
        <f>VLOOKUP(I92,Settings!$C$69:$F$74,3,FALSE)</f>
        <v>3.7282271519999998E-10</v>
      </c>
      <c r="M92" s="83">
        <f>VLOOKUP(I92,Settings!$C$69:$F$74,4,FALSE)</f>
        <v>2.5476218872000005E-9</v>
      </c>
      <c r="N92" s="321">
        <f t="shared" si="5"/>
        <v>2.5294306241830085</v>
      </c>
      <c r="O92" s="321">
        <f t="shared" si="6"/>
        <v>1.1764793600851199E-5</v>
      </c>
      <c r="P92" s="321">
        <f t="shared" si="7"/>
        <v>8.0392756272483222E-5</v>
      </c>
      <c r="Q92" s="321">
        <f>P92*Settings!$D$24+O92*Settings!$C$24+N92</f>
        <v>2.5516954960726195</v>
      </c>
    </row>
    <row r="93" spans="2:17" x14ac:dyDescent="0.25">
      <c r="B93" s="431" t="s">
        <v>340</v>
      </c>
      <c r="C93" s="427" t="s">
        <v>1707</v>
      </c>
      <c r="D93" s="441" t="s">
        <v>1703</v>
      </c>
      <c r="E93" s="441" t="s">
        <v>728</v>
      </c>
      <c r="F93" s="91" t="str">
        <f t="shared" si="4"/>
        <v>IFN-DXB</v>
      </c>
      <c r="G93" s="441">
        <v>1</v>
      </c>
      <c r="H93" s="441">
        <v>2</v>
      </c>
      <c r="I93" s="91" t="str">
        <f>VLOOKUP(F93,Settings!$B$241:$E$280,3,FALSE)</f>
        <v>Air - Medium Haul</v>
      </c>
      <c r="J93" s="92">
        <f>VLOOKUP(F93,Settings!$B$241:$C$280,2,FALSE)</f>
        <v>898</v>
      </c>
      <c r="K93" s="83">
        <f>VLOOKUP(I93,Settings!$C$69:$F$74,2,FALSE)</f>
        <v>8.0156883768000008E-5</v>
      </c>
      <c r="L93" s="83">
        <f>VLOOKUP(I93,Settings!$C$69:$F$74,3,FALSE)</f>
        <v>3.7282271519999998E-10</v>
      </c>
      <c r="M93" s="83">
        <f>VLOOKUP(I93,Settings!$C$69:$F$74,4,FALSE)</f>
        <v>2.5476218872000005E-9</v>
      </c>
      <c r="N93" s="321">
        <f t="shared" si="5"/>
        <v>0.14396176324732801</v>
      </c>
      <c r="O93" s="321">
        <f t="shared" si="6"/>
        <v>6.695895964992E-7</v>
      </c>
      <c r="P93" s="321">
        <f t="shared" si="7"/>
        <v>4.5755289094112008E-6</v>
      </c>
      <c r="Q93" s="321">
        <f>P93*Settings!$D$24+O93*Settings!$C$24+N93</f>
        <v>0.14522896155870274</v>
      </c>
    </row>
    <row r="94" spans="2:17" x14ac:dyDescent="0.25">
      <c r="B94" s="431" t="s">
        <v>340</v>
      </c>
      <c r="C94" s="427" t="s">
        <v>1708</v>
      </c>
      <c r="D94" s="441" t="s">
        <v>732</v>
      </c>
      <c r="E94" s="441" t="s">
        <v>727</v>
      </c>
      <c r="F94" s="91" t="str">
        <f t="shared" si="4"/>
        <v>IKA-IST</v>
      </c>
      <c r="G94" s="441">
        <v>4</v>
      </c>
      <c r="H94" s="441">
        <v>2</v>
      </c>
      <c r="I94" s="91" t="str">
        <f>VLOOKUP(F94,Settings!$B$241:$E$280,3,FALSE)</f>
        <v>Air - Medium Haul</v>
      </c>
      <c r="J94" s="92">
        <f>VLOOKUP(F94,Settings!$B$241:$C$280,2,FALSE)</f>
        <v>2056</v>
      </c>
      <c r="K94" s="83">
        <f>VLOOKUP(I94,Settings!$C$69:$F$74,2,FALSE)</f>
        <v>8.0156883768000008E-5</v>
      </c>
      <c r="L94" s="83">
        <f>VLOOKUP(I94,Settings!$C$69:$F$74,3,FALSE)</f>
        <v>3.7282271519999998E-10</v>
      </c>
      <c r="M94" s="83">
        <f>VLOOKUP(I94,Settings!$C$69:$F$74,4,FALSE)</f>
        <v>2.5476218872000005E-9</v>
      </c>
      <c r="N94" s="321">
        <f t="shared" si="5"/>
        <v>1.3184204242160642</v>
      </c>
      <c r="O94" s="321">
        <f t="shared" si="6"/>
        <v>6.1321880196095996E-6</v>
      </c>
      <c r="P94" s="321">
        <f t="shared" si="7"/>
        <v>4.190328480066561E-5</v>
      </c>
      <c r="Q94" s="321">
        <f>P94*Settings!$D$24+O94*Settings!$C$24+N94</f>
        <v>1.3300255900431754</v>
      </c>
    </row>
    <row r="95" spans="2:17" x14ac:dyDescent="0.25">
      <c r="B95" s="431" t="s">
        <v>340</v>
      </c>
      <c r="C95" s="427" t="s">
        <v>1709</v>
      </c>
      <c r="D95" s="441" t="s">
        <v>732</v>
      </c>
      <c r="E95" s="441" t="s">
        <v>744</v>
      </c>
      <c r="F95" s="91" t="str">
        <f t="shared" si="4"/>
        <v>IKA-PEK</v>
      </c>
      <c r="G95" s="441">
        <v>1</v>
      </c>
      <c r="H95" s="441">
        <v>2</v>
      </c>
      <c r="I95" s="91" t="str">
        <f>VLOOKUP(F95,Settings!$B$241:$E$280,3,FALSE)</f>
        <v>Air - Long Haul</v>
      </c>
      <c r="J95" s="92">
        <f>VLOOKUP(F95,Settings!$B$241:$C$280,2,FALSE)</f>
        <v>5660</v>
      </c>
      <c r="K95" s="83">
        <f>VLOOKUP(I95,Settings!$C$69:$F$74,2,FALSE)</f>
        <v>1.0128350429600002E-4</v>
      </c>
      <c r="L95" s="83">
        <f>VLOOKUP(I95,Settings!$C$69:$F$74,3,FALSE)</f>
        <v>3.7282271519999998E-10</v>
      </c>
      <c r="M95" s="83">
        <f>VLOOKUP(I95,Settings!$C$69:$F$74,4,FALSE)</f>
        <v>3.2311301984000001E-9</v>
      </c>
      <c r="N95" s="321">
        <f t="shared" si="5"/>
        <v>1.1465292686307202</v>
      </c>
      <c r="O95" s="321">
        <f t="shared" si="6"/>
        <v>4.2203531360639998E-6</v>
      </c>
      <c r="P95" s="321">
        <f t="shared" si="7"/>
        <v>3.6576393845888001E-5</v>
      </c>
      <c r="Q95" s="321">
        <f>P95*Settings!$D$24+O95*Settings!$C$24+N95</f>
        <v>1.1566285736853215</v>
      </c>
    </row>
    <row r="96" spans="2:17" x14ac:dyDescent="0.25">
      <c r="B96" s="431" t="s">
        <v>340</v>
      </c>
      <c r="C96" s="427" t="s">
        <v>1719</v>
      </c>
      <c r="D96" s="441" t="s">
        <v>732</v>
      </c>
      <c r="E96" s="441" t="s">
        <v>728</v>
      </c>
      <c r="F96" s="91" t="str">
        <f t="shared" si="4"/>
        <v>IKA-DXB</v>
      </c>
      <c r="G96" s="441">
        <v>1</v>
      </c>
      <c r="H96" s="441">
        <v>2</v>
      </c>
      <c r="I96" s="91" t="str">
        <f>VLOOKUP(F96,Settings!$B$241:$E$280,3,FALSE)</f>
        <v>Air - Medium Haul</v>
      </c>
      <c r="J96" s="92">
        <f>VLOOKUP(F96,Settings!$B$241:$C$280,2,FALSE)</f>
        <v>1197</v>
      </c>
      <c r="K96" s="83">
        <f>VLOOKUP(I96,Settings!$C$69:$F$74,2,FALSE)</f>
        <v>8.0156883768000008E-5</v>
      </c>
      <c r="L96" s="83">
        <f>VLOOKUP(I96,Settings!$C$69:$F$74,3,FALSE)</f>
        <v>3.7282271519999998E-10</v>
      </c>
      <c r="M96" s="83">
        <f>VLOOKUP(I96,Settings!$C$69:$F$74,4,FALSE)</f>
        <v>2.5476218872000005E-9</v>
      </c>
      <c r="N96" s="321">
        <f t="shared" si="5"/>
        <v>0.19189557974059201</v>
      </c>
      <c r="O96" s="321">
        <f t="shared" si="6"/>
        <v>8.9253758018879992E-7</v>
      </c>
      <c r="P96" s="321">
        <f t="shared" si="7"/>
        <v>6.0990067979568012E-6</v>
      </c>
      <c r="Q96" s="321">
        <f>P96*Settings!$D$24+O96*Settings!$C$24+N96</f>
        <v>0.19358470711109932</v>
      </c>
    </row>
    <row r="97" spans="2:17" x14ac:dyDescent="0.25">
      <c r="B97" s="431" t="s">
        <v>341</v>
      </c>
      <c r="C97" s="427" t="s">
        <v>1706</v>
      </c>
      <c r="D97" s="441" t="s">
        <v>727</v>
      </c>
      <c r="E97" s="441" t="s">
        <v>747</v>
      </c>
      <c r="F97" s="91" t="str">
        <f t="shared" si="4"/>
        <v>IST-MXP</v>
      </c>
      <c r="G97" s="441">
        <v>1</v>
      </c>
      <c r="H97" s="441">
        <v>2</v>
      </c>
      <c r="I97" s="91" t="str">
        <f>VLOOKUP(F97,Settings!$B$241:$E$280,3,FALSE)</f>
        <v>Air - Medium Haul</v>
      </c>
      <c r="J97" s="92">
        <f>VLOOKUP(F97,Settings!$B$241:$C$280,2,FALSE)</f>
        <v>1686</v>
      </c>
      <c r="K97" s="83">
        <f>VLOOKUP(I97,Settings!$C$69:$F$74,2,FALSE)</f>
        <v>8.0156883768000008E-5</v>
      </c>
      <c r="L97" s="83">
        <f>VLOOKUP(I97,Settings!$C$69:$F$74,3,FALSE)</f>
        <v>3.7282271519999998E-10</v>
      </c>
      <c r="M97" s="83">
        <f>VLOOKUP(I97,Settings!$C$69:$F$74,4,FALSE)</f>
        <v>2.5476218872000005E-9</v>
      </c>
      <c r="N97" s="321">
        <f t="shared" si="5"/>
        <v>0.270289012065696</v>
      </c>
      <c r="O97" s="321">
        <f t="shared" si="6"/>
        <v>1.2571581956544E-6</v>
      </c>
      <c r="P97" s="321">
        <f t="shared" si="7"/>
        <v>8.5905810036384013E-6</v>
      </c>
      <c r="Q97" s="321">
        <f>P97*Settings!$D$24+O97*Settings!$C$24+N97</f>
        <v>0.27266818395097198</v>
      </c>
    </row>
    <row r="98" spans="2:17" x14ac:dyDescent="0.25">
      <c r="B98" s="431" t="s">
        <v>341</v>
      </c>
      <c r="C98" s="427" t="s">
        <v>1705</v>
      </c>
      <c r="D98" s="441" t="s">
        <v>1703</v>
      </c>
      <c r="E98" s="441" t="s">
        <v>727</v>
      </c>
      <c r="F98" s="91" t="str">
        <f t="shared" si="4"/>
        <v>IFN-IST</v>
      </c>
      <c r="G98" s="441">
        <v>1</v>
      </c>
      <c r="H98" s="441">
        <v>2</v>
      </c>
      <c r="I98" s="91" t="str">
        <f>VLOOKUP(F98,Settings!$B$241:$E$280,3,FALSE)</f>
        <v>Air - Medium Haul</v>
      </c>
      <c r="J98" s="92">
        <f>VLOOKUP(F98,Settings!$B$241:$C$280,2,FALSE)</f>
        <v>2254</v>
      </c>
      <c r="K98" s="83">
        <f>VLOOKUP(I98,Settings!$C$69:$F$74,2,FALSE)</f>
        <v>8.0156883768000008E-5</v>
      </c>
      <c r="L98" s="83">
        <f>VLOOKUP(I98,Settings!$C$69:$F$74,3,FALSE)</f>
        <v>3.7282271519999998E-10</v>
      </c>
      <c r="M98" s="83">
        <f>VLOOKUP(I98,Settings!$C$69:$F$74,4,FALSE)</f>
        <v>2.5476218872000005E-9</v>
      </c>
      <c r="N98" s="321">
        <f t="shared" si="5"/>
        <v>0.36134723202614405</v>
      </c>
      <c r="O98" s="321">
        <f t="shared" si="6"/>
        <v>1.6806848001215998E-6</v>
      </c>
      <c r="P98" s="321">
        <f t="shared" si="7"/>
        <v>1.1484679467497602E-5</v>
      </c>
      <c r="Q98" s="321">
        <f>P98*Settings!$D$24+O98*Settings!$C$24+N98</f>
        <v>0.3645279280103742</v>
      </c>
    </row>
    <row r="99" spans="2:17" x14ac:dyDescent="0.25">
      <c r="B99" s="431" t="s">
        <v>341</v>
      </c>
      <c r="C99" s="427" t="s">
        <v>1719</v>
      </c>
      <c r="D99" s="441" t="s">
        <v>732</v>
      </c>
      <c r="E99" s="441" t="s">
        <v>728</v>
      </c>
      <c r="F99" s="91" t="str">
        <f t="shared" si="4"/>
        <v>IKA-DXB</v>
      </c>
      <c r="G99" s="441">
        <v>1</v>
      </c>
      <c r="H99" s="441">
        <v>2</v>
      </c>
      <c r="I99" s="91" t="str">
        <f>VLOOKUP(F99,Settings!$B$241:$E$280,3,FALSE)</f>
        <v>Air - Medium Haul</v>
      </c>
      <c r="J99" s="92">
        <f>VLOOKUP(F99,Settings!$B$241:$C$280,2,FALSE)</f>
        <v>1197</v>
      </c>
      <c r="K99" s="83">
        <f>VLOOKUP(I99,Settings!$C$69:$F$74,2,FALSE)</f>
        <v>8.0156883768000008E-5</v>
      </c>
      <c r="L99" s="83">
        <f>VLOOKUP(I99,Settings!$C$69:$F$74,3,FALSE)</f>
        <v>3.7282271519999998E-10</v>
      </c>
      <c r="M99" s="83">
        <f>VLOOKUP(I99,Settings!$C$69:$F$74,4,FALSE)</f>
        <v>2.5476218872000005E-9</v>
      </c>
      <c r="N99" s="321">
        <f t="shared" si="5"/>
        <v>0.19189557974059201</v>
      </c>
      <c r="O99" s="321">
        <f t="shared" si="6"/>
        <v>8.9253758018879992E-7</v>
      </c>
      <c r="P99" s="321">
        <f t="shared" si="7"/>
        <v>6.0990067979568012E-6</v>
      </c>
      <c r="Q99" s="321">
        <f>P99*Settings!$D$24+O99*Settings!$C$24+N99</f>
        <v>0.19358470711109932</v>
      </c>
    </row>
    <row r="100" spans="2:17" x14ac:dyDescent="0.25">
      <c r="B100" s="431" t="s">
        <v>341</v>
      </c>
      <c r="C100" s="427" t="s">
        <v>1720</v>
      </c>
      <c r="D100" s="441" t="s">
        <v>728</v>
      </c>
      <c r="E100" s="441" t="s">
        <v>1730</v>
      </c>
      <c r="F100" s="91" t="str">
        <f t="shared" si="4"/>
        <v>DXB-ICN</v>
      </c>
      <c r="G100" s="441">
        <v>1</v>
      </c>
      <c r="H100" s="441">
        <v>2</v>
      </c>
      <c r="I100" s="91" t="str">
        <f>VLOOKUP(F100,Settings!$B$241:$E$280,3,FALSE)</f>
        <v>Air - Long Haul</v>
      </c>
      <c r="J100" s="92">
        <f>VLOOKUP(F100,Settings!$B$241:$C$280,2,FALSE)</f>
        <v>6741</v>
      </c>
      <c r="K100" s="83">
        <f>VLOOKUP(I100,Settings!$C$69:$F$74,2,FALSE)</f>
        <v>1.0128350429600002E-4</v>
      </c>
      <c r="L100" s="83">
        <f>VLOOKUP(I100,Settings!$C$69:$F$74,3,FALSE)</f>
        <v>3.7282271519999998E-10</v>
      </c>
      <c r="M100" s="83">
        <f>VLOOKUP(I100,Settings!$C$69:$F$74,4,FALSE)</f>
        <v>3.2311301984000001E-9</v>
      </c>
      <c r="N100" s="321">
        <f t="shared" si="5"/>
        <v>1.3655042049186723</v>
      </c>
      <c r="O100" s="321">
        <f t="shared" si="6"/>
        <v>5.0263958463263993E-6</v>
      </c>
      <c r="P100" s="321">
        <f t="shared" si="7"/>
        <v>4.3562097334828803E-5</v>
      </c>
      <c r="Q100" s="321">
        <f>P100*Settings!$D$24+O100*Settings!$C$24+N100</f>
        <v>1.3775323701789315</v>
      </c>
    </row>
    <row r="101" spans="2:17" x14ac:dyDescent="0.25">
      <c r="B101" s="431" t="s">
        <v>343</v>
      </c>
      <c r="C101" s="427" t="s">
        <v>1706</v>
      </c>
      <c r="D101" s="441" t="s">
        <v>727</v>
      </c>
      <c r="E101" s="441" t="s">
        <v>747</v>
      </c>
      <c r="F101" s="91" t="str">
        <f t="shared" si="4"/>
        <v>IST-MXP</v>
      </c>
      <c r="G101" s="441">
        <v>11</v>
      </c>
      <c r="H101" s="441">
        <v>2</v>
      </c>
      <c r="I101" s="91" t="str">
        <f>VLOOKUP(F101,Settings!$B$241:$E$280,3,FALSE)</f>
        <v>Air - Medium Haul</v>
      </c>
      <c r="J101" s="92">
        <f>VLOOKUP(F101,Settings!$B$241:$C$280,2,FALSE)</f>
        <v>1686</v>
      </c>
      <c r="K101" s="83">
        <f>VLOOKUP(I101,Settings!$C$69:$F$74,2,FALSE)</f>
        <v>8.0156883768000008E-5</v>
      </c>
      <c r="L101" s="83">
        <f>VLOOKUP(I101,Settings!$C$69:$F$74,3,FALSE)</f>
        <v>3.7282271519999998E-10</v>
      </c>
      <c r="M101" s="83">
        <f>VLOOKUP(I101,Settings!$C$69:$F$74,4,FALSE)</f>
        <v>2.5476218872000005E-9</v>
      </c>
      <c r="N101" s="321">
        <f t="shared" si="5"/>
        <v>2.9731791327226564</v>
      </c>
      <c r="O101" s="321">
        <f t="shared" si="6"/>
        <v>1.38287401521984E-5</v>
      </c>
      <c r="P101" s="321">
        <f t="shared" si="7"/>
        <v>9.4496391040022423E-5</v>
      </c>
      <c r="Q101" s="321">
        <f>P101*Settings!$D$24+O101*Settings!$C$24+N101</f>
        <v>2.9993500234606918</v>
      </c>
    </row>
    <row r="102" spans="2:17" x14ac:dyDescent="0.25">
      <c r="B102" s="431" t="s">
        <v>343</v>
      </c>
      <c r="C102" s="427" t="s">
        <v>1705</v>
      </c>
      <c r="D102" s="441" t="s">
        <v>1703</v>
      </c>
      <c r="E102" s="441" t="s">
        <v>727</v>
      </c>
      <c r="F102" s="91" t="str">
        <f t="shared" si="4"/>
        <v>IFN-IST</v>
      </c>
      <c r="G102" s="441">
        <v>9</v>
      </c>
      <c r="H102" s="441">
        <v>2</v>
      </c>
      <c r="I102" s="91" t="str">
        <f>VLOOKUP(F102,Settings!$B$241:$E$280,3,FALSE)</f>
        <v>Air - Medium Haul</v>
      </c>
      <c r="J102" s="92">
        <f>VLOOKUP(F102,Settings!$B$241:$C$280,2,FALSE)</f>
        <v>2254</v>
      </c>
      <c r="K102" s="83">
        <f>VLOOKUP(I102,Settings!$C$69:$F$74,2,FALSE)</f>
        <v>8.0156883768000008E-5</v>
      </c>
      <c r="L102" s="83">
        <f>VLOOKUP(I102,Settings!$C$69:$F$74,3,FALSE)</f>
        <v>3.7282271519999998E-10</v>
      </c>
      <c r="M102" s="83">
        <f>VLOOKUP(I102,Settings!$C$69:$F$74,4,FALSE)</f>
        <v>2.5476218872000005E-9</v>
      </c>
      <c r="N102" s="321">
        <f t="shared" si="5"/>
        <v>3.2521250882352963</v>
      </c>
      <c r="O102" s="321">
        <f t="shared" si="6"/>
        <v>1.5126163201094398E-5</v>
      </c>
      <c r="P102" s="321">
        <f t="shared" si="7"/>
        <v>1.0336211520747842E-4</v>
      </c>
      <c r="Q102" s="321">
        <f>P102*Settings!$D$24+O102*Settings!$C$24+N102</f>
        <v>3.2807513520933673</v>
      </c>
    </row>
    <row r="103" spans="2:17" x14ac:dyDescent="0.25">
      <c r="B103" s="431" t="s">
        <v>343</v>
      </c>
      <c r="C103" s="427" t="s">
        <v>1707</v>
      </c>
      <c r="D103" s="441" t="s">
        <v>1703</v>
      </c>
      <c r="E103" s="441" t="s">
        <v>728</v>
      </c>
      <c r="F103" s="91" t="str">
        <f t="shared" si="4"/>
        <v>IFN-DXB</v>
      </c>
      <c r="G103" s="441">
        <v>2</v>
      </c>
      <c r="H103" s="441">
        <v>2</v>
      </c>
      <c r="I103" s="91" t="str">
        <f>VLOOKUP(F103,Settings!$B$241:$E$280,3,FALSE)</f>
        <v>Air - Medium Haul</v>
      </c>
      <c r="J103" s="92">
        <f>VLOOKUP(F103,Settings!$B$241:$C$280,2,FALSE)</f>
        <v>898</v>
      </c>
      <c r="K103" s="83">
        <f>VLOOKUP(I103,Settings!$C$69:$F$74,2,FALSE)</f>
        <v>8.0156883768000008E-5</v>
      </c>
      <c r="L103" s="83">
        <f>VLOOKUP(I103,Settings!$C$69:$F$74,3,FALSE)</f>
        <v>3.7282271519999998E-10</v>
      </c>
      <c r="M103" s="83">
        <f>VLOOKUP(I103,Settings!$C$69:$F$74,4,FALSE)</f>
        <v>2.5476218872000005E-9</v>
      </c>
      <c r="N103" s="321">
        <f t="shared" si="5"/>
        <v>0.28792352649465602</v>
      </c>
      <c r="O103" s="321">
        <f t="shared" si="6"/>
        <v>1.3391791929984E-6</v>
      </c>
      <c r="P103" s="321">
        <f t="shared" si="7"/>
        <v>9.1510578188224017E-6</v>
      </c>
      <c r="Q103" s="321">
        <f>P103*Settings!$D$24+O103*Settings!$C$24+N103</f>
        <v>0.29045792311740548</v>
      </c>
    </row>
    <row r="104" spans="2:17" x14ac:dyDescent="0.25">
      <c r="B104" s="431" t="s">
        <v>343</v>
      </c>
      <c r="C104" s="427" t="s">
        <v>1708</v>
      </c>
      <c r="D104" s="441" t="s">
        <v>732</v>
      </c>
      <c r="E104" s="441" t="s">
        <v>727</v>
      </c>
      <c r="F104" s="91" t="str">
        <f t="shared" si="4"/>
        <v>IKA-IST</v>
      </c>
      <c r="G104" s="441">
        <v>9</v>
      </c>
      <c r="H104" s="441">
        <v>2</v>
      </c>
      <c r="I104" s="91" t="str">
        <f>VLOOKUP(F104,Settings!$B$241:$E$280,3,FALSE)</f>
        <v>Air - Medium Haul</v>
      </c>
      <c r="J104" s="92">
        <f>VLOOKUP(F104,Settings!$B$241:$C$280,2,FALSE)</f>
        <v>2056</v>
      </c>
      <c r="K104" s="83">
        <f>VLOOKUP(I104,Settings!$C$69:$F$74,2,FALSE)</f>
        <v>8.0156883768000008E-5</v>
      </c>
      <c r="L104" s="83">
        <f>VLOOKUP(I104,Settings!$C$69:$F$74,3,FALSE)</f>
        <v>3.7282271519999998E-10</v>
      </c>
      <c r="M104" s="83">
        <f>VLOOKUP(I104,Settings!$C$69:$F$74,4,FALSE)</f>
        <v>2.5476218872000005E-9</v>
      </c>
      <c r="N104" s="321">
        <f t="shared" si="5"/>
        <v>2.9664459544861441</v>
      </c>
      <c r="O104" s="321">
        <f t="shared" si="6"/>
        <v>1.37974230441216E-5</v>
      </c>
      <c r="P104" s="321">
        <f t="shared" si="7"/>
        <v>9.4282390801497625E-5</v>
      </c>
      <c r="Q104" s="321">
        <f>P104*Settings!$D$24+O104*Settings!$C$24+N104</f>
        <v>2.9925575775971445</v>
      </c>
    </row>
    <row r="105" spans="2:17" x14ac:dyDescent="0.25">
      <c r="B105" s="431" t="s">
        <v>343</v>
      </c>
      <c r="C105" s="427" t="s">
        <v>1709</v>
      </c>
      <c r="D105" s="441" t="s">
        <v>732</v>
      </c>
      <c r="E105" s="441" t="s">
        <v>744</v>
      </c>
      <c r="F105" s="91" t="str">
        <f t="shared" si="4"/>
        <v>IKA-PEK</v>
      </c>
      <c r="G105" s="441">
        <v>37</v>
      </c>
      <c r="H105" s="441">
        <v>2</v>
      </c>
      <c r="I105" s="91" t="str">
        <f>VLOOKUP(F105,Settings!$B$241:$E$280,3,FALSE)</f>
        <v>Air - Long Haul</v>
      </c>
      <c r="J105" s="92">
        <f>VLOOKUP(F105,Settings!$B$241:$C$280,2,FALSE)</f>
        <v>5660</v>
      </c>
      <c r="K105" s="83">
        <f>VLOOKUP(I105,Settings!$C$69:$F$74,2,FALSE)</f>
        <v>1.0128350429600002E-4</v>
      </c>
      <c r="L105" s="83">
        <f>VLOOKUP(I105,Settings!$C$69:$F$74,3,FALSE)</f>
        <v>3.7282271519999998E-10</v>
      </c>
      <c r="M105" s="83">
        <f>VLOOKUP(I105,Settings!$C$69:$F$74,4,FALSE)</f>
        <v>3.2311301984000001E-9</v>
      </c>
      <c r="N105" s="321">
        <f t="shared" si="5"/>
        <v>42.421582939336645</v>
      </c>
      <c r="O105" s="321">
        <f t="shared" si="6"/>
        <v>1.5615306603436799E-4</v>
      </c>
      <c r="P105" s="321">
        <f t="shared" si="7"/>
        <v>1.353326572297856E-3</v>
      </c>
      <c r="Q105" s="321">
        <f>P105*Settings!$D$24+O105*Settings!$C$24+N105</f>
        <v>42.795257226356888</v>
      </c>
    </row>
    <row r="106" spans="2:17" x14ac:dyDescent="0.25">
      <c r="B106" s="431" t="s">
        <v>343</v>
      </c>
      <c r="C106" s="427" t="s">
        <v>1719</v>
      </c>
      <c r="D106" s="441" t="s">
        <v>732</v>
      </c>
      <c r="E106" s="441" t="s">
        <v>728</v>
      </c>
      <c r="F106" s="91" t="str">
        <f t="shared" si="4"/>
        <v>IKA-DXB</v>
      </c>
      <c r="G106" s="441">
        <v>2</v>
      </c>
      <c r="H106" s="441">
        <v>2</v>
      </c>
      <c r="I106" s="91" t="str">
        <f>VLOOKUP(F106,Settings!$B$241:$E$280,3,FALSE)</f>
        <v>Air - Medium Haul</v>
      </c>
      <c r="J106" s="92">
        <f>VLOOKUP(F106,Settings!$B$241:$C$280,2,FALSE)</f>
        <v>1197</v>
      </c>
      <c r="K106" s="83">
        <f>VLOOKUP(I106,Settings!$C$69:$F$74,2,FALSE)</f>
        <v>8.0156883768000008E-5</v>
      </c>
      <c r="L106" s="83">
        <f>VLOOKUP(I106,Settings!$C$69:$F$74,3,FALSE)</f>
        <v>3.7282271519999998E-10</v>
      </c>
      <c r="M106" s="83">
        <f>VLOOKUP(I106,Settings!$C$69:$F$74,4,FALSE)</f>
        <v>2.5476218872000005E-9</v>
      </c>
      <c r="N106" s="321">
        <f t="shared" si="5"/>
        <v>0.38379115948118403</v>
      </c>
      <c r="O106" s="321">
        <f t="shared" si="6"/>
        <v>1.7850751603775998E-6</v>
      </c>
      <c r="P106" s="321">
        <f t="shared" si="7"/>
        <v>1.2198013595913602E-5</v>
      </c>
      <c r="Q106" s="321">
        <f>P106*Settings!$D$24+O106*Settings!$C$24+N106</f>
        <v>0.38716941422219864</v>
      </c>
    </row>
    <row r="107" spans="2:17" x14ac:dyDescent="0.25">
      <c r="B107" s="431" t="s">
        <v>343</v>
      </c>
      <c r="C107" s="427" t="s">
        <v>1712</v>
      </c>
      <c r="D107" s="441" t="s">
        <v>728</v>
      </c>
      <c r="E107" s="441" t="s">
        <v>731</v>
      </c>
      <c r="F107" s="91" t="str">
        <f t="shared" si="4"/>
        <v>DXB-DEL</v>
      </c>
      <c r="G107" s="441">
        <v>1</v>
      </c>
      <c r="H107" s="441">
        <v>2</v>
      </c>
      <c r="I107" s="91" t="str">
        <f>VLOOKUP(F107,Settings!$B$241:$E$280,3,FALSE)</f>
        <v>Air - Medium Haul</v>
      </c>
      <c r="J107" s="92">
        <f>VLOOKUP(F107,Settings!$B$241:$C$280,2,FALSE)</f>
        <v>2188</v>
      </c>
      <c r="K107" s="83">
        <f>VLOOKUP(I107,Settings!$C$69:$F$74,2,FALSE)</f>
        <v>8.0156883768000008E-5</v>
      </c>
      <c r="L107" s="83">
        <f>VLOOKUP(I107,Settings!$C$69:$F$74,3,FALSE)</f>
        <v>3.7282271519999998E-10</v>
      </c>
      <c r="M107" s="83">
        <f>VLOOKUP(I107,Settings!$C$69:$F$74,4,FALSE)</f>
        <v>2.5476218872000005E-9</v>
      </c>
      <c r="N107" s="321">
        <f t="shared" si="5"/>
        <v>0.35076652336876801</v>
      </c>
      <c r="O107" s="321">
        <f t="shared" si="6"/>
        <v>1.6314722017151999E-6</v>
      </c>
      <c r="P107" s="321">
        <f t="shared" si="7"/>
        <v>1.1148393378387203E-5</v>
      </c>
      <c r="Q107" s="321">
        <f>P107*Settings!$D$24+O107*Settings!$C$24+N107</f>
        <v>0.35385408451051403</v>
      </c>
    </row>
    <row r="108" spans="2:17" x14ac:dyDescent="0.25">
      <c r="B108" s="431" t="s">
        <v>343</v>
      </c>
      <c r="C108" s="427" t="s">
        <v>1720</v>
      </c>
      <c r="D108" s="441" t="s">
        <v>728</v>
      </c>
      <c r="E108" s="441" t="s">
        <v>1730</v>
      </c>
      <c r="F108" s="91" t="str">
        <f t="shared" si="4"/>
        <v>DXB-ICN</v>
      </c>
      <c r="G108" s="441">
        <v>1</v>
      </c>
      <c r="H108" s="441">
        <v>2</v>
      </c>
      <c r="I108" s="91" t="str">
        <f>VLOOKUP(F108,Settings!$B$241:$E$280,3,FALSE)</f>
        <v>Air - Long Haul</v>
      </c>
      <c r="J108" s="92">
        <f>VLOOKUP(F108,Settings!$B$241:$C$280,2,FALSE)</f>
        <v>6741</v>
      </c>
      <c r="K108" s="83">
        <f>VLOOKUP(I108,Settings!$C$69:$F$74,2,FALSE)</f>
        <v>1.0128350429600002E-4</v>
      </c>
      <c r="L108" s="83">
        <f>VLOOKUP(I108,Settings!$C$69:$F$74,3,FALSE)</f>
        <v>3.7282271519999998E-10</v>
      </c>
      <c r="M108" s="83">
        <f>VLOOKUP(I108,Settings!$C$69:$F$74,4,FALSE)</f>
        <v>3.2311301984000001E-9</v>
      </c>
      <c r="N108" s="321">
        <f t="shared" si="5"/>
        <v>1.3655042049186723</v>
      </c>
      <c r="O108" s="321">
        <f t="shared" si="6"/>
        <v>5.0263958463263993E-6</v>
      </c>
      <c r="P108" s="321">
        <f t="shared" si="7"/>
        <v>4.3562097334828803E-5</v>
      </c>
      <c r="Q108" s="321">
        <f>P108*Settings!$D$24+O108*Settings!$C$24+N108</f>
        <v>1.3775323701789315</v>
      </c>
    </row>
    <row r="109" spans="2:17" x14ac:dyDescent="0.25">
      <c r="B109" s="431" t="s">
        <v>343</v>
      </c>
      <c r="C109" s="427" t="s">
        <v>1713</v>
      </c>
      <c r="D109" s="441" t="s">
        <v>1728</v>
      </c>
      <c r="E109" s="441" t="s">
        <v>1735</v>
      </c>
      <c r="F109" s="91" t="str">
        <f t="shared" si="4"/>
        <v>MAD-SVQ</v>
      </c>
      <c r="G109" s="441">
        <v>5</v>
      </c>
      <c r="H109" s="441">
        <v>2</v>
      </c>
      <c r="I109" s="91" t="str">
        <f>VLOOKUP(F109,Settings!$B$241:$E$280,3,FALSE)</f>
        <v>Air - Short Haul</v>
      </c>
      <c r="J109" s="92">
        <f>VLOOKUP(F109,Settings!$B$241:$C$280,2,FALSE)</f>
        <v>396</v>
      </c>
      <c r="K109" s="83">
        <f>VLOOKUP(I109,Settings!$C$69:$F$74,2,FALSE)</f>
        <v>1.2862383674400001E-4</v>
      </c>
      <c r="L109" s="83">
        <f>VLOOKUP(I109,Settings!$C$69:$F$74,3,FALSE)</f>
        <v>3.9767756287999997E-9</v>
      </c>
      <c r="M109" s="83">
        <f>VLOOKUP(I109,Settings!$C$69:$F$74,4,FALSE)</f>
        <v>4.1010498671999999E-9</v>
      </c>
      <c r="N109" s="321">
        <f t="shared" si="5"/>
        <v>0.50935039350624001</v>
      </c>
      <c r="O109" s="321">
        <f t="shared" si="6"/>
        <v>1.5748031490047998E-5</v>
      </c>
      <c r="P109" s="321">
        <f t="shared" si="7"/>
        <v>1.6240157474112001E-5</v>
      </c>
      <c r="Q109" s="321">
        <f>P109*Settings!$D$24+O109*Settings!$C$24+N109</f>
        <v>0.51420915334690387</v>
      </c>
    </row>
    <row r="110" spans="2:17" x14ac:dyDescent="0.25">
      <c r="B110" s="431" t="s">
        <v>343</v>
      </c>
      <c r="C110" s="427" t="s">
        <v>1718</v>
      </c>
      <c r="D110" s="441" t="s">
        <v>747</v>
      </c>
      <c r="E110" s="441" t="s">
        <v>1728</v>
      </c>
      <c r="F110" s="91" t="str">
        <f t="shared" si="4"/>
        <v>MXP-MAD</v>
      </c>
      <c r="G110" s="441">
        <v>5</v>
      </c>
      <c r="H110" s="441">
        <v>2</v>
      </c>
      <c r="I110" s="91" t="str">
        <f>VLOOKUP(F110,Settings!$B$241:$E$280,3,FALSE)</f>
        <v>Air - Medium Haul</v>
      </c>
      <c r="J110" s="92">
        <f>VLOOKUP(F110,Settings!$B$241:$C$280,2,FALSE)</f>
        <v>1151</v>
      </c>
      <c r="K110" s="83">
        <f>VLOOKUP(I110,Settings!$C$69:$F$74,2,FALSE)</f>
        <v>8.0156883768000008E-5</v>
      </c>
      <c r="L110" s="83">
        <f>VLOOKUP(I110,Settings!$C$69:$F$74,3,FALSE)</f>
        <v>3.7282271519999998E-10</v>
      </c>
      <c r="M110" s="83">
        <f>VLOOKUP(I110,Settings!$C$69:$F$74,4,FALSE)</f>
        <v>2.5476218872000005E-9</v>
      </c>
      <c r="N110" s="321">
        <f t="shared" si="5"/>
        <v>0.92260573216968012</v>
      </c>
      <c r="O110" s="321">
        <f t="shared" si="6"/>
        <v>4.2911894519519994E-6</v>
      </c>
      <c r="P110" s="321">
        <f t="shared" si="7"/>
        <v>2.9323127921672008E-5</v>
      </c>
      <c r="Q110" s="321">
        <f>P110*Settings!$D$24+O110*Settings!$C$24+N110</f>
        <v>0.93072680820749931</v>
      </c>
    </row>
    <row r="111" spans="2:17" x14ac:dyDescent="0.25">
      <c r="B111" s="431" t="s">
        <v>343</v>
      </c>
      <c r="C111" s="427" t="s">
        <v>1714</v>
      </c>
      <c r="D111" s="441" t="s">
        <v>747</v>
      </c>
      <c r="E111" s="441" t="s">
        <v>749</v>
      </c>
      <c r="F111" s="91" t="str">
        <f t="shared" si="4"/>
        <v>MXP-DUS</v>
      </c>
      <c r="G111" s="441">
        <v>2</v>
      </c>
      <c r="H111" s="441">
        <v>2</v>
      </c>
      <c r="I111" s="91" t="str">
        <f>VLOOKUP(F111,Settings!$B$241:$E$280,3,FALSE)</f>
        <v>Air - Medium Haul</v>
      </c>
      <c r="J111" s="92">
        <f>VLOOKUP(F111,Settings!$B$241:$C$280,2,FALSE)</f>
        <v>645</v>
      </c>
      <c r="K111" s="83">
        <f>VLOOKUP(I111,Settings!$C$69:$F$74,2,FALSE)</f>
        <v>8.0156883768000008E-5</v>
      </c>
      <c r="L111" s="83">
        <f>VLOOKUP(I111,Settings!$C$69:$F$74,3,FALSE)</f>
        <v>3.7282271519999998E-10</v>
      </c>
      <c r="M111" s="83">
        <f>VLOOKUP(I111,Settings!$C$69:$F$74,4,FALSE)</f>
        <v>2.5476218872000005E-9</v>
      </c>
      <c r="N111" s="321">
        <f t="shared" si="5"/>
        <v>0.20680476012144003</v>
      </c>
      <c r="O111" s="321">
        <f t="shared" si="6"/>
        <v>9.6188260521599992E-7</v>
      </c>
      <c r="P111" s="321">
        <f t="shared" si="7"/>
        <v>6.572864468976001E-6</v>
      </c>
      <c r="Q111" s="321">
        <f>P111*Settings!$D$24+O111*Settings!$C$24+N111</f>
        <v>0.20862512295181132</v>
      </c>
    </row>
    <row r="112" spans="2:17" x14ac:dyDescent="0.25">
      <c r="B112" s="431" t="s">
        <v>343</v>
      </c>
      <c r="C112" s="427" t="s">
        <v>1706</v>
      </c>
      <c r="D112" s="441" t="s">
        <v>727</v>
      </c>
      <c r="E112" s="441" t="s">
        <v>747</v>
      </c>
      <c r="F112" s="91" t="str">
        <f t="shared" si="4"/>
        <v>IST-MXP</v>
      </c>
      <c r="G112" s="441">
        <v>32</v>
      </c>
      <c r="H112" s="441">
        <v>2</v>
      </c>
      <c r="I112" s="91" t="str">
        <f>VLOOKUP(F112,Settings!$B$241:$E$280,3,FALSE)</f>
        <v>Air - Medium Haul</v>
      </c>
      <c r="J112" s="92">
        <f>VLOOKUP(F112,Settings!$B$241:$C$280,2,FALSE)</f>
        <v>1686</v>
      </c>
      <c r="K112" s="83">
        <f>VLOOKUP(I112,Settings!$C$69:$F$74,2,FALSE)</f>
        <v>8.0156883768000008E-5</v>
      </c>
      <c r="L112" s="83">
        <f>VLOOKUP(I112,Settings!$C$69:$F$74,3,FALSE)</f>
        <v>3.7282271519999998E-10</v>
      </c>
      <c r="M112" s="83">
        <f>VLOOKUP(I112,Settings!$C$69:$F$74,4,FALSE)</f>
        <v>2.5476218872000005E-9</v>
      </c>
      <c r="N112" s="321">
        <f t="shared" si="5"/>
        <v>8.649248386102272</v>
      </c>
      <c r="O112" s="321">
        <f t="shared" si="6"/>
        <v>4.0229062260940798E-5</v>
      </c>
      <c r="P112" s="321">
        <f t="shared" si="7"/>
        <v>2.7489859211642884E-4</v>
      </c>
      <c r="Q112" s="321">
        <f>P112*Settings!$D$24+O112*Settings!$C$24+N112</f>
        <v>8.7253818864311032</v>
      </c>
    </row>
    <row r="113" spans="2:17" x14ac:dyDescent="0.25">
      <c r="B113" s="431" t="s">
        <v>343</v>
      </c>
      <c r="C113" s="427" t="s">
        <v>1721</v>
      </c>
      <c r="D113" s="441" t="s">
        <v>727</v>
      </c>
      <c r="E113" s="441" t="s">
        <v>1734</v>
      </c>
      <c r="F113" s="91" t="str">
        <f t="shared" si="4"/>
        <v>IST-AMS</v>
      </c>
      <c r="G113" s="441">
        <v>3</v>
      </c>
      <c r="H113" s="441">
        <v>2</v>
      </c>
      <c r="I113" s="91" t="str">
        <f>VLOOKUP(F113,Settings!$B$241:$E$280,3,FALSE)</f>
        <v>Air - Medium Haul</v>
      </c>
      <c r="J113" s="92">
        <f>VLOOKUP(F113,Settings!$B$241:$C$280,2,FALSE)</f>
        <v>2188</v>
      </c>
      <c r="K113" s="83">
        <f>VLOOKUP(I113,Settings!$C$69:$F$74,2,FALSE)</f>
        <v>8.0156883768000008E-5</v>
      </c>
      <c r="L113" s="83">
        <f>VLOOKUP(I113,Settings!$C$69:$F$74,3,FALSE)</f>
        <v>3.7282271519999998E-10</v>
      </c>
      <c r="M113" s="83">
        <f>VLOOKUP(I113,Settings!$C$69:$F$74,4,FALSE)</f>
        <v>2.5476218872000005E-9</v>
      </c>
      <c r="N113" s="321">
        <f t="shared" si="5"/>
        <v>1.052299570106304</v>
      </c>
      <c r="O113" s="321">
        <f t="shared" si="6"/>
        <v>4.8944166051456E-6</v>
      </c>
      <c r="P113" s="321">
        <f t="shared" si="7"/>
        <v>3.3445180135161605E-5</v>
      </c>
      <c r="Q113" s="321">
        <f>P113*Settings!$D$24+O113*Settings!$C$24+N113</f>
        <v>1.0615622535315421</v>
      </c>
    </row>
    <row r="114" spans="2:17" x14ac:dyDescent="0.25">
      <c r="B114" s="431" t="s">
        <v>343</v>
      </c>
      <c r="C114" s="427" t="s">
        <v>1705</v>
      </c>
      <c r="D114" s="441" t="s">
        <v>1703</v>
      </c>
      <c r="E114" s="441" t="s">
        <v>727</v>
      </c>
      <c r="F114" s="91" t="str">
        <f t="shared" si="4"/>
        <v>IFN-IST</v>
      </c>
      <c r="G114" s="441">
        <v>76</v>
      </c>
      <c r="H114" s="441">
        <v>2</v>
      </c>
      <c r="I114" s="91" t="str">
        <f>VLOOKUP(F114,Settings!$B$241:$E$280,3,FALSE)</f>
        <v>Air - Medium Haul</v>
      </c>
      <c r="J114" s="92">
        <f>VLOOKUP(F114,Settings!$B$241:$C$280,2,FALSE)</f>
        <v>2254</v>
      </c>
      <c r="K114" s="83">
        <f>VLOOKUP(I114,Settings!$C$69:$F$74,2,FALSE)</f>
        <v>8.0156883768000008E-5</v>
      </c>
      <c r="L114" s="83">
        <f>VLOOKUP(I114,Settings!$C$69:$F$74,3,FALSE)</f>
        <v>3.7282271519999998E-10</v>
      </c>
      <c r="M114" s="83">
        <f>VLOOKUP(I114,Settings!$C$69:$F$74,4,FALSE)</f>
        <v>2.5476218872000005E-9</v>
      </c>
      <c r="N114" s="321">
        <f t="shared" si="5"/>
        <v>27.462389633986948</v>
      </c>
      <c r="O114" s="321">
        <f t="shared" si="6"/>
        <v>1.2773204480924158E-4</v>
      </c>
      <c r="P114" s="321">
        <f t="shared" si="7"/>
        <v>8.7283563952981775E-4</v>
      </c>
      <c r="Q114" s="321">
        <f>P114*Settings!$D$24+O114*Settings!$C$24+N114</f>
        <v>27.704122528788439</v>
      </c>
    </row>
    <row r="115" spans="2:17" x14ac:dyDescent="0.25">
      <c r="B115" s="431" t="s">
        <v>343</v>
      </c>
      <c r="C115" s="427" t="s">
        <v>1707</v>
      </c>
      <c r="D115" s="441" t="s">
        <v>1703</v>
      </c>
      <c r="E115" s="441" t="s">
        <v>728</v>
      </c>
      <c r="F115" s="91" t="str">
        <f t="shared" si="4"/>
        <v>IFN-DXB</v>
      </c>
      <c r="G115" s="441">
        <v>18</v>
      </c>
      <c r="H115" s="441">
        <v>2</v>
      </c>
      <c r="I115" s="91" t="str">
        <f>VLOOKUP(F115,Settings!$B$241:$E$280,3,FALSE)</f>
        <v>Air - Medium Haul</v>
      </c>
      <c r="J115" s="92">
        <f>VLOOKUP(F115,Settings!$B$241:$C$280,2,FALSE)</f>
        <v>898</v>
      </c>
      <c r="K115" s="83">
        <f>VLOOKUP(I115,Settings!$C$69:$F$74,2,FALSE)</f>
        <v>8.0156883768000008E-5</v>
      </c>
      <c r="L115" s="83">
        <f>VLOOKUP(I115,Settings!$C$69:$F$74,3,FALSE)</f>
        <v>3.7282271519999998E-10</v>
      </c>
      <c r="M115" s="83">
        <f>VLOOKUP(I115,Settings!$C$69:$F$74,4,FALSE)</f>
        <v>2.5476218872000005E-9</v>
      </c>
      <c r="N115" s="321">
        <f t="shared" si="5"/>
        <v>2.5913117384519042</v>
      </c>
      <c r="O115" s="321">
        <f t="shared" si="6"/>
        <v>1.20526127369856E-5</v>
      </c>
      <c r="P115" s="321">
        <f t="shared" si="7"/>
        <v>8.2359520369401624E-5</v>
      </c>
      <c r="Q115" s="321">
        <f>P115*Settings!$D$24+O115*Settings!$C$24+N115</f>
        <v>2.6141213080566494</v>
      </c>
    </row>
    <row r="116" spans="2:17" x14ac:dyDescent="0.25">
      <c r="B116" s="431" t="s">
        <v>343</v>
      </c>
      <c r="C116" s="427" t="s">
        <v>1708</v>
      </c>
      <c r="D116" s="441" t="s">
        <v>732</v>
      </c>
      <c r="E116" s="441" t="s">
        <v>727</v>
      </c>
      <c r="F116" s="91" t="str">
        <f t="shared" si="4"/>
        <v>IKA-IST</v>
      </c>
      <c r="G116" s="441">
        <v>14</v>
      </c>
      <c r="H116" s="441">
        <v>2</v>
      </c>
      <c r="I116" s="91" t="str">
        <f>VLOOKUP(F116,Settings!$B$241:$E$280,3,FALSE)</f>
        <v>Air - Medium Haul</v>
      </c>
      <c r="J116" s="92">
        <f>VLOOKUP(F116,Settings!$B$241:$C$280,2,FALSE)</f>
        <v>2056</v>
      </c>
      <c r="K116" s="83">
        <f>VLOOKUP(I116,Settings!$C$69:$F$74,2,FALSE)</f>
        <v>8.0156883768000008E-5</v>
      </c>
      <c r="L116" s="83">
        <f>VLOOKUP(I116,Settings!$C$69:$F$74,3,FALSE)</f>
        <v>3.7282271519999998E-10</v>
      </c>
      <c r="M116" s="83">
        <f>VLOOKUP(I116,Settings!$C$69:$F$74,4,FALSE)</f>
        <v>2.5476218872000005E-9</v>
      </c>
      <c r="N116" s="321">
        <f t="shared" si="5"/>
        <v>4.6144714847562245</v>
      </c>
      <c r="O116" s="321">
        <f t="shared" si="6"/>
        <v>2.1462658068633598E-5</v>
      </c>
      <c r="P116" s="321">
        <f t="shared" si="7"/>
        <v>1.4666149680232963E-4</v>
      </c>
      <c r="Q116" s="321">
        <f>P116*Settings!$D$24+O116*Settings!$C$24+N116</f>
        <v>4.6550895651511137</v>
      </c>
    </row>
    <row r="117" spans="2:17" x14ac:dyDescent="0.25">
      <c r="B117" s="431" t="s">
        <v>343</v>
      </c>
      <c r="C117" s="427" t="s">
        <v>1722</v>
      </c>
      <c r="D117" s="441" t="s">
        <v>732</v>
      </c>
      <c r="E117" s="441" t="s">
        <v>1733</v>
      </c>
      <c r="F117" s="91" t="str">
        <f t="shared" si="4"/>
        <v>IKA-ISB</v>
      </c>
      <c r="G117" s="441">
        <v>3</v>
      </c>
      <c r="H117" s="441">
        <v>2</v>
      </c>
      <c r="I117" s="91" t="str">
        <f>VLOOKUP(F117,Settings!$B$241:$E$280,3,FALSE)</f>
        <v>Air - Medium Haul</v>
      </c>
      <c r="J117" s="92">
        <f>VLOOKUP(F117,Settings!$B$241:$C$280,2,FALSE)</f>
        <v>1998</v>
      </c>
      <c r="K117" s="83">
        <f>VLOOKUP(I117,Settings!$C$69:$F$74,2,FALSE)</f>
        <v>8.0156883768000008E-5</v>
      </c>
      <c r="L117" s="83">
        <f>VLOOKUP(I117,Settings!$C$69:$F$74,3,FALSE)</f>
        <v>3.7282271519999998E-10</v>
      </c>
      <c r="M117" s="83">
        <f>VLOOKUP(I117,Settings!$C$69:$F$74,4,FALSE)</f>
        <v>2.5476218872000005E-9</v>
      </c>
      <c r="N117" s="321">
        <f t="shared" si="5"/>
        <v>0.96092072261078409</v>
      </c>
      <c r="O117" s="321">
        <f t="shared" si="6"/>
        <v>4.4693987098175996E-6</v>
      </c>
      <c r="P117" s="321">
        <f t="shared" si="7"/>
        <v>3.0540891183753606E-5</v>
      </c>
      <c r="Q117" s="321">
        <f>P117*Settings!$D$24+O117*Settings!$C$24+N117</f>
        <v>0.96937905966911386</v>
      </c>
    </row>
    <row r="118" spans="2:17" x14ac:dyDescent="0.25">
      <c r="B118" s="431" t="s">
        <v>343</v>
      </c>
      <c r="C118" s="427" t="s">
        <v>1723</v>
      </c>
      <c r="D118" s="441" t="s">
        <v>732</v>
      </c>
      <c r="E118" s="441" t="s">
        <v>730</v>
      </c>
      <c r="F118" s="91" t="str">
        <f t="shared" si="4"/>
        <v>IKA-BGW</v>
      </c>
      <c r="G118" s="441">
        <v>4</v>
      </c>
      <c r="H118" s="441">
        <v>2</v>
      </c>
      <c r="I118" s="91" t="str">
        <f>VLOOKUP(F118,Settings!$B$241:$E$280,3,FALSE)</f>
        <v>Air - Medium Haul</v>
      </c>
      <c r="J118" s="92">
        <f>VLOOKUP(F118,Settings!$B$241:$C$280,2,FALSE)</f>
        <v>680</v>
      </c>
      <c r="K118" s="83">
        <f>VLOOKUP(I118,Settings!$C$69:$F$74,2,FALSE)</f>
        <v>8.0156883768000008E-5</v>
      </c>
      <c r="L118" s="83">
        <f>VLOOKUP(I118,Settings!$C$69:$F$74,3,FALSE)</f>
        <v>3.7282271519999998E-10</v>
      </c>
      <c r="M118" s="83">
        <f>VLOOKUP(I118,Settings!$C$69:$F$74,4,FALSE)</f>
        <v>2.5476218872000005E-9</v>
      </c>
      <c r="N118" s="321">
        <f t="shared" si="5"/>
        <v>0.43605344769792004</v>
      </c>
      <c r="O118" s="321">
        <f t="shared" si="6"/>
        <v>2.0281555706879999E-6</v>
      </c>
      <c r="P118" s="321">
        <f t="shared" si="7"/>
        <v>1.3859063066368002E-5</v>
      </c>
      <c r="Q118" s="321">
        <f>P118*Settings!$D$24+O118*Settings!$C$24+N118</f>
        <v>0.43989173211544708</v>
      </c>
    </row>
    <row r="119" spans="2:17" x14ac:dyDescent="0.25">
      <c r="B119" s="431" t="s">
        <v>343</v>
      </c>
      <c r="C119" s="427" t="s">
        <v>1709</v>
      </c>
      <c r="D119" s="441" t="s">
        <v>732</v>
      </c>
      <c r="E119" s="441" t="s">
        <v>744</v>
      </c>
      <c r="F119" s="91" t="str">
        <f t="shared" si="4"/>
        <v>IKA-PEK</v>
      </c>
      <c r="G119" s="441">
        <v>41</v>
      </c>
      <c r="H119" s="441">
        <v>2</v>
      </c>
      <c r="I119" s="91" t="str">
        <f>VLOOKUP(F119,Settings!$B$241:$E$280,3,FALSE)</f>
        <v>Air - Long Haul</v>
      </c>
      <c r="J119" s="92">
        <f>VLOOKUP(F119,Settings!$B$241:$C$280,2,FALSE)</f>
        <v>5660</v>
      </c>
      <c r="K119" s="83">
        <f>VLOOKUP(I119,Settings!$C$69:$F$74,2,FALSE)</f>
        <v>1.0128350429600002E-4</v>
      </c>
      <c r="L119" s="83">
        <f>VLOOKUP(I119,Settings!$C$69:$F$74,3,FALSE)</f>
        <v>3.7282271519999998E-10</v>
      </c>
      <c r="M119" s="83">
        <f>VLOOKUP(I119,Settings!$C$69:$F$74,4,FALSE)</f>
        <v>3.2311301984000001E-9</v>
      </c>
      <c r="N119" s="321">
        <f t="shared" si="5"/>
        <v>47.007700013859527</v>
      </c>
      <c r="O119" s="321">
        <f t="shared" si="6"/>
        <v>1.7303447857862399E-4</v>
      </c>
      <c r="P119" s="321">
        <f t="shared" si="7"/>
        <v>1.499632147681408E-3</v>
      </c>
      <c r="Q119" s="321">
        <f>P119*Settings!$D$24+O119*Settings!$C$24+N119</f>
        <v>47.421771521098172</v>
      </c>
    </row>
    <row r="120" spans="2:17" x14ac:dyDescent="0.25">
      <c r="B120" s="431" t="s">
        <v>343</v>
      </c>
      <c r="C120" s="427" t="s">
        <v>1719</v>
      </c>
      <c r="D120" s="441" t="s">
        <v>732</v>
      </c>
      <c r="E120" s="441" t="s">
        <v>728</v>
      </c>
      <c r="F120" s="91" t="str">
        <f t="shared" si="4"/>
        <v>IKA-DXB</v>
      </c>
      <c r="G120" s="441">
        <v>69</v>
      </c>
      <c r="H120" s="441">
        <v>2</v>
      </c>
      <c r="I120" s="91" t="str">
        <f>VLOOKUP(F120,Settings!$B$241:$E$280,3,FALSE)</f>
        <v>Air - Medium Haul</v>
      </c>
      <c r="J120" s="92">
        <f>VLOOKUP(F120,Settings!$B$241:$C$280,2,FALSE)</f>
        <v>1197</v>
      </c>
      <c r="K120" s="83">
        <f>VLOOKUP(I120,Settings!$C$69:$F$74,2,FALSE)</f>
        <v>8.0156883768000008E-5</v>
      </c>
      <c r="L120" s="83">
        <f>VLOOKUP(I120,Settings!$C$69:$F$74,3,FALSE)</f>
        <v>3.7282271519999998E-10</v>
      </c>
      <c r="M120" s="83">
        <f>VLOOKUP(I120,Settings!$C$69:$F$74,4,FALSE)</f>
        <v>2.5476218872000005E-9</v>
      </c>
      <c r="N120" s="321">
        <f t="shared" si="5"/>
        <v>13.24079500210085</v>
      </c>
      <c r="O120" s="321">
        <f t="shared" si="6"/>
        <v>6.1585093033027192E-5</v>
      </c>
      <c r="P120" s="321">
        <f t="shared" si="7"/>
        <v>4.2083146905901931E-4</v>
      </c>
      <c r="Q120" s="321">
        <f>P120*Settings!$D$24+O120*Settings!$C$24+N120</f>
        <v>13.357344790665854</v>
      </c>
    </row>
    <row r="121" spans="2:17" x14ac:dyDescent="0.25">
      <c r="B121" s="431" t="s">
        <v>343</v>
      </c>
      <c r="C121" s="427" t="s">
        <v>1724</v>
      </c>
      <c r="D121" s="441" t="s">
        <v>732</v>
      </c>
      <c r="E121" s="441" t="s">
        <v>1732</v>
      </c>
      <c r="F121" s="91" t="str">
        <f t="shared" si="4"/>
        <v>IKA-KBL</v>
      </c>
      <c r="G121" s="441">
        <v>9</v>
      </c>
      <c r="H121" s="441">
        <v>2</v>
      </c>
      <c r="I121" s="91" t="str">
        <f>VLOOKUP(F121,Settings!$B$241:$E$280,3,FALSE)</f>
        <v>Air - Medium Haul</v>
      </c>
      <c r="J121" s="92">
        <f>VLOOKUP(F121,Settings!$B$241:$C$280,2,FALSE)</f>
        <v>1649</v>
      </c>
      <c r="K121" s="83">
        <f>VLOOKUP(I121,Settings!$C$69:$F$74,2,FALSE)</f>
        <v>8.0156883768000008E-5</v>
      </c>
      <c r="L121" s="83">
        <f>VLOOKUP(I121,Settings!$C$69:$F$74,3,FALSE)</f>
        <v>3.7282271519999998E-10</v>
      </c>
      <c r="M121" s="83">
        <f>VLOOKUP(I121,Settings!$C$69:$F$74,4,FALSE)</f>
        <v>2.5476218872000005E-9</v>
      </c>
      <c r="N121" s="321">
        <f t="shared" si="5"/>
        <v>2.379216624001776</v>
      </c>
      <c r="O121" s="321">
        <f t="shared" si="6"/>
        <v>1.1066123832566399E-5</v>
      </c>
      <c r="P121" s="321">
        <f t="shared" si="7"/>
        <v>7.5618512855870422E-5</v>
      </c>
      <c r="Q121" s="321">
        <f>P121*Settings!$D$24+O121*Settings!$C$24+N121</f>
        <v>2.400159263354908</v>
      </c>
    </row>
    <row r="122" spans="2:17" x14ac:dyDescent="0.25">
      <c r="B122" s="431" t="s">
        <v>343</v>
      </c>
      <c r="C122" s="427" t="s">
        <v>1725</v>
      </c>
      <c r="D122" s="441" t="s">
        <v>732</v>
      </c>
      <c r="E122" s="441" t="s">
        <v>1731</v>
      </c>
      <c r="F122" s="91" t="str">
        <f t="shared" si="4"/>
        <v>IKA-MCT</v>
      </c>
      <c r="G122" s="441">
        <v>9</v>
      </c>
      <c r="H122" s="441">
        <v>2</v>
      </c>
      <c r="I122" s="91" t="str">
        <f>VLOOKUP(F122,Settings!$B$241:$E$280,3,FALSE)</f>
        <v>Air - Medium Haul</v>
      </c>
      <c r="J122" s="92">
        <f>VLOOKUP(F122,Settings!$B$241:$C$280,2,FALSE)</f>
        <v>1481</v>
      </c>
      <c r="K122" s="83">
        <f>VLOOKUP(I122,Settings!$C$69:$F$74,2,FALSE)</f>
        <v>8.0156883768000008E-5</v>
      </c>
      <c r="L122" s="83">
        <f>VLOOKUP(I122,Settings!$C$69:$F$74,3,FALSE)</f>
        <v>3.7282271519999998E-10</v>
      </c>
      <c r="M122" s="83">
        <f>VLOOKUP(I122,Settings!$C$69:$F$74,4,FALSE)</f>
        <v>2.5476218872000005E-9</v>
      </c>
      <c r="N122" s="321">
        <f t="shared" si="5"/>
        <v>2.1368222074873442</v>
      </c>
      <c r="O122" s="321">
        <f t="shared" si="6"/>
        <v>9.9387079418015999E-6</v>
      </c>
      <c r="P122" s="321">
        <f t="shared" si="7"/>
        <v>6.7914504268977609E-5</v>
      </c>
      <c r="Q122" s="321">
        <f>P122*Settings!$D$24+O122*Settings!$C$24+N122</f>
        <v>2.1556312122672039</v>
      </c>
    </row>
    <row r="123" spans="2:17" x14ac:dyDescent="0.25">
      <c r="B123" s="431" t="s">
        <v>343</v>
      </c>
      <c r="C123" s="427" t="s">
        <v>1726</v>
      </c>
      <c r="D123" s="441" t="s">
        <v>732</v>
      </c>
      <c r="E123" s="441" t="s">
        <v>729</v>
      </c>
      <c r="F123" s="91" t="str">
        <f t="shared" si="4"/>
        <v>IKA-SVO</v>
      </c>
      <c r="G123" s="441">
        <v>7</v>
      </c>
      <c r="H123" s="441">
        <v>2</v>
      </c>
      <c r="I123" s="91" t="str">
        <f>VLOOKUP(F123,Settings!$B$241:$E$280,3,FALSE)</f>
        <v>Air - Medium Haul</v>
      </c>
      <c r="J123" s="92">
        <f>VLOOKUP(F123,Settings!$B$241:$C$280,2,FALSE)</f>
        <v>2512</v>
      </c>
      <c r="K123" s="83">
        <f>VLOOKUP(I123,Settings!$C$69:$F$74,2,FALSE)</f>
        <v>8.0156883768000008E-5</v>
      </c>
      <c r="L123" s="83">
        <f>VLOOKUP(I123,Settings!$C$69:$F$74,3,FALSE)</f>
        <v>3.7282271519999998E-10</v>
      </c>
      <c r="M123" s="83">
        <f>VLOOKUP(I123,Settings!$C$69:$F$74,4,FALSE)</f>
        <v>2.5476218872000005E-9</v>
      </c>
      <c r="N123" s="321">
        <f t="shared" si="5"/>
        <v>2.8189572883530243</v>
      </c>
      <c r="O123" s="321">
        <f t="shared" si="6"/>
        <v>1.31114292481536E-5</v>
      </c>
      <c r="P123" s="321">
        <f t="shared" si="7"/>
        <v>8.9594766529049622E-5</v>
      </c>
      <c r="Q123" s="321">
        <f>P123*Settings!$D$24+O123*Settings!$C$24+N123</f>
        <v>2.8437706682051549</v>
      </c>
    </row>
    <row r="124" spans="2:17" x14ac:dyDescent="0.25">
      <c r="B124" s="431" t="s">
        <v>343</v>
      </c>
      <c r="C124" s="427" t="s">
        <v>1710</v>
      </c>
      <c r="D124" s="441" t="s">
        <v>728</v>
      </c>
      <c r="E124" s="441" t="s">
        <v>754</v>
      </c>
      <c r="F124" s="91" t="str">
        <f t="shared" si="4"/>
        <v>DXB-BKK</v>
      </c>
      <c r="G124" s="441">
        <v>6</v>
      </c>
      <c r="H124" s="441">
        <v>2</v>
      </c>
      <c r="I124" s="91" t="str">
        <f>VLOOKUP(F124,Settings!$B$241:$E$280,3,FALSE)</f>
        <v>Air - Long Haul</v>
      </c>
      <c r="J124" s="92">
        <f>VLOOKUP(F124,Settings!$B$241:$C$280,2,FALSE)</f>
        <v>4909</v>
      </c>
      <c r="K124" s="83">
        <f>VLOOKUP(I124,Settings!$C$69:$F$74,2,FALSE)</f>
        <v>1.0128350429600002E-4</v>
      </c>
      <c r="L124" s="83">
        <f>VLOOKUP(I124,Settings!$C$69:$F$74,3,FALSE)</f>
        <v>3.7282271519999998E-10</v>
      </c>
      <c r="M124" s="83">
        <f>VLOOKUP(I124,Settings!$C$69:$F$74,4,FALSE)</f>
        <v>3.2311301984000001E-9</v>
      </c>
      <c r="N124" s="321">
        <f t="shared" si="5"/>
        <v>5.9664086710687689</v>
      </c>
      <c r="O124" s="321">
        <f t="shared" si="6"/>
        <v>2.19622405070016E-5</v>
      </c>
      <c r="P124" s="321">
        <f t="shared" si="7"/>
        <v>1.9033941772734721E-4</v>
      </c>
      <c r="Q124" s="321">
        <f>P124*Settings!$D$24+O124*Settings!$C$24+N124</f>
        <v>6.0189643126020238</v>
      </c>
    </row>
    <row r="125" spans="2:17" x14ac:dyDescent="0.25">
      <c r="B125" s="431" t="s">
        <v>343</v>
      </c>
      <c r="C125" s="427" t="s">
        <v>1711</v>
      </c>
      <c r="D125" s="441" t="s">
        <v>728</v>
      </c>
      <c r="E125" s="441" t="s">
        <v>1729</v>
      </c>
      <c r="F125" s="91" t="str">
        <f t="shared" si="4"/>
        <v>DXB-CGK</v>
      </c>
      <c r="G125" s="441">
        <v>4</v>
      </c>
      <c r="H125" s="441">
        <v>2</v>
      </c>
      <c r="I125" s="91" t="str">
        <f>VLOOKUP(F125,Settings!$B$241:$E$280,3,FALSE)</f>
        <v>Air - Long Haul</v>
      </c>
      <c r="J125" s="92">
        <f>VLOOKUP(F125,Settings!$B$241:$C$280,2,FALSE)</f>
        <v>6544</v>
      </c>
      <c r="K125" s="83">
        <f>VLOOKUP(I125,Settings!$C$69:$F$74,2,FALSE)</f>
        <v>1.0128350429600002E-4</v>
      </c>
      <c r="L125" s="83">
        <f>VLOOKUP(I125,Settings!$C$69:$F$74,3,FALSE)</f>
        <v>3.7282271519999998E-10</v>
      </c>
      <c r="M125" s="83">
        <f>VLOOKUP(I125,Settings!$C$69:$F$74,4,FALSE)</f>
        <v>3.2311301984000001E-9</v>
      </c>
      <c r="N125" s="321">
        <f t="shared" si="5"/>
        <v>5.3023940169041932</v>
      </c>
      <c r="O125" s="321">
        <f t="shared" si="6"/>
        <v>1.9518014786150398E-5</v>
      </c>
      <c r="P125" s="321">
        <f t="shared" si="7"/>
        <v>1.6915612814663681E-4</v>
      </c>
      <c r="Q125" s="321">
        <f>P125*Settings!$D$24+O125*Settings!$C$24+N125</f>
        <v>5.3491006262874512</v>
      </c>
    </row>
    <row r="126" spans="2:17" x14ac:dyDescent="0.25">
      <c r="B126" s="431" t="s">
        <v>343</v>
      </c>
      <c r="C126" s="427" t="s">
        <v>1712</v>
      </c>
      <c r="D126" s="441" t="s">
        <v>728</v>
      </c>
      <c r="E126" s="441" t="s">
        <v>731</v>
      </c>
      <c r="F126" s="91" t="str">
        <f t="shared" si="4"/>
        <v>DXB-DEL</v>
      </c>
      <c r="G126" s="441">
        <v>3</v>
      </c>
      <c r="H126" s="441">
        <v>2</v>
      </c>
      <c r="I126" s="91" t="str">
        <f>VLOOKUP(F126,Settings!$B$241:$E$280,3,FALSE)</f>
        <v>Air - Medium Haul</v>
      </c>
      <c r="J126" s="92">
        <f>VLOOKUP(F126,Settings!$B$241:$C$280,2,FALSE)</f>
        <v>2188</v>
      </c>
      <c r="K126" s="83">
        <f>VLOOKUP(I126,Settings!$C$69:$F$74,2,FALSE)</f>
        <v>8.0156883768000008E-5</v>
      </c>
      <c r="L126" s="83">
        <f>VLOOKUP(I126,Settings!$C$69:$F$74,3,FALSE)</f>
        <v>3.7282271519999998E-10</v>
      </c>
      <c r="M126" s="83">
        <f>VLOOKUP(I126,Settings!$C$69:$F$74,4,FALSE)</f>
        <v>2.5476218872000005E-9</v>
      </c>
      <c r="N126" s="321">
        <f t="shared" si="5"/>
        <v>1.052299570106304</v>
      </c>
      <c r="O126" s="321">
        <f t="shared" si="6"/>
        <v>4.8944166051456E-6</v>
      </c>
      <c r="P126" s="321">
        <f t="shared" si="7"/>
        <v>3.3445180135161605E-5</v>
      </c>
      <c r="Q126" s="321">
        <f>P126*Settings!$D$24+O126*Settings!$C$24+N126</f>
        <v>1.0615622535315421</v>
      </c>
    </row>
    <row r="127" spans="2:17" x14ac:dyDescent="0.25">
      <c r="B127" s="431" t="s">
        <v>343</v>
      </c>
      <c r="C127" s="427" t="s">
        <v>1720</v>
      </c>
      <c r="D127" s="441" t="s">
        <v>728</v>
      </c>
      <c r="E127" s="441" t="s">
        <v>1730</v>
      </c>
      <c r="F127" s="91" t="str">
        <f t="shared" si="4"/>
        <v>DXB-ICN</v>
      </c>
      <c r="G127" s="441">
        <v>5</v>
      </c>
      <c r="H127" s="441">
        <v>2</v>
      </c>
      <c r="I127" s="91" t="str">
        <f>VLOOKUP(F127,Settings!$B$241:$E$280,3,FALSE)</f>
        <v>Air - Long Haul</v>
      </c>
      <c r="J127" s="92">
        <f>VLOOKUP(F127,Settings!$B$241:$C$280,2,FALSE)</f>
        <v>6741</v>
      </c>
      <c r="K127" s="83">
        <f>VLOOKUP(I127,Settings!$C$69:$F$74,2,FALSE)</f>
        <v>1.0128350429600002E-4</v>
      </c>
      <c r="L127" s="83">
        <f>VLOOKUP(I127,Settings!$C$69:$F$74,3,FALSE)</f>
        <v>3.7282271519999998E-10</v>
      </c>
      <c r="M127" s="83">
        <f>VLOOKUP(I127,Settings!$C$69:$F$74,4,FALSE)</f>
        <v>3.2311301984000001E-9</v>
      </c>
      <c r="N127" s="321">
        <f t="shared" si="5"/>
        <v>6.8275210245933611</v>
      </c>
      <c r="O127" s="321">
        <f t="shared" si="6"/>
        <v>2.5131979231632E-5</v>
      </c>
      <c r="P127" s="321">
        <f t="shared" si="7"/>
        <v>2.1781048667414399E-4</v>
      </c>
      <c r="Q127" s="321">
        <f>P127*Settings!$D$24+O127*Settings!$C$24+N127</f>
        <v>6.8876618508946565</v>
      </c>
    </row>
    <row r="128" spans="2:17" x14ac:dyDescent="0.25">
      <c r="B128" s="431" t="s">
        <v>343</v>
      </c>
      <c r="C128" s="427" t="s">
        <v>1713</v>
      </c>
      <c r="D128" s="441" t="s">
        <v>1728</v>
      </c>
      <c r="E128" s="441" t="s">
        <v>1735</v>
      </c>
      <c r="F128" s="91" t="str">
        <f t="shared" si="4"/>
        <v>MAD-SVQ</v>
      </c>
      <c r="G128" s="441">
        <v>1</v>
      </c>
      <c r="H128" s="441">
        <v>2</v>
      </c>
      <c r="I128" s="91" t="str">
        <f>VLOOKUP(F128,Settings!$B$241:$E$280,3,FALSE)</f>
        <v>Air - Short Haul</v>
      </c>
      <c r="J128" s="92">
        <f>VLOOKUP(F128,Settings!$B$241:$C$280,2,FALSE)</f>
        <v>396</v>
      </c>
      <c r="K128" s="83">
        <f>VLOOKUP(I128,Settings!$C$69:$F$74,2,FALSE)</f>
        <v>1.2862383674400001E-4</v>
      </c>
      <c r="L128" s="83">
        <f>VLOOKUP(I128,Settings!$C$69:$F$74,3,FALSE)</f>
        <v>3.9767756287999997E-9</v>
      </c>
      <c r="M128" s="83">
        <f>VLOOKUP(I128,Settings!$C$69:$F$74,4,FALSE)</f>
        <v>4.1010498671999999E-9</v>
      </c>
      <c r="N128" s="321">
        <f t="shared" si="5"/>
        <v>0.10187007870124801</v>
      </c>
      <c r="O128" s="321">
        <f t="shared" si="6"/>
        <v>3.1496062980095999E-6</v>
      </c>
      <c r="P128" s="321">
        <f t="shared" si="7"/>
        <v>3.2480314948223997E-6</v>
      </c>
      <c r="Q128" s="321">
        <f>P128*Settings!$D$24+O128*Settings!$C$24+N128</f>
        <v>0.10284183066938078</v>
      </c>
    </row>
    <row r="129" spans="2:17" x14ac:dyDescent="0.25">
      <c r="B129" s="431" t="s">
        <v>343</v>
      </c>
      <c r="C129" s="427" t="s">
        <v>1714</v>
      </c>
      <c r="D129" s="441" t="s">
        <v>747</v>
      </c>
      <c r="E129" s="441" t="s">
        <v>749</v>
      </c>
      <c r="F129" s="91" t="str">
        <f t="shared" si="4"/>
        <v>MXP-DUS</v>
      </c>
      <c r="G129" s="441">
        <v>22</v>
      </c>
      <c r="H129" s="441">
        <v>2</v>
      </c>
      <c r="I129" s="91" t="str">
        <f>VLOOKUP(F129,Settings!$B$241:$E$280,3,FALSE)</f>
        <v>Air - Medium Haul</v>
      </c>
      <c r="J129" s="92">
        <f>VLOOKUP(F129,Settings!$B$241:$C$280,2,FALSE)</f>
        <v>645</v>
      </c>
      <c r="K129" s="83">
        <f>VLOOKUP(I129,Settings!$C$69:$F$74,2,FALSE)</f>
        <v>8.0156883768000008E-5</v>
      </c>
      <c r="L129" s="83">
        <f>VLOOKUP(I129,Settings!$C$69:$F$74,3,FALSE)</f>
        <v>3.7282271519999998E-10</v>
      </c>
      <c r="M129" s="83">
        <f>VLOOKUP(I129,Settings!$C$69:$F$74,4,FALSE)</f>
        <v>2.5476218872000005E-9</v>
      </c>
      <c r="N129" s="321">
        <f t="shared" si="5"/>
        <v>2.27485236133584</v>
      </c>
      <c r="O129" s="321">
        <f t="shared" si="6"/>
        <v>1.0580708657375999E-5</v>
      </c>
      <c r="P129" s="321">
        <f t="shared" si="7"/>
        <v>7.2301509158736018E-5</v>
      </c>
      <c r="Q129" s="321">
        <f>P129*Settings!$D$24+O129*Settings!$C$24+N129</f>
        <v>2.2948763524699243</v>
      </c>
    </row>
    <row r="130" spans="2:17" ht="16.2" customHeight="1" x14ac:dyDescent="0.25">
      <c r="B130" s="431" t="s">
        <v>343</v>
      </c>
      <c r="C130" s="427" t="s">
        <v>1715</v>
      </c>
      <c r="D130" s="441" t="s">
        <v>747</v>
      </c>
      <c r="E130" s="441" t="s">
        <v>1728</v>
      </c>
      <c r="F130" s="91" t="str">
        <f t="shared" si="4"/>
        <v>MXP-MAD</v>
      </c>
      <c r="G130" s="441">
        <v>1</v>
      </c>
      <c r="H130" s="441">
        <v>2</v>
      </c>
      <c r="I130" s="91" t="str">
        <f>VLOOKUP(F130,Settings!$B$241:$E$280,3,FALSE)</f>
        <v>Air - Medium Haul</v>
      </c>
      <c r="J130" s="92">
        <f>VLOOKUP(F130,Settings!$B$241:$C$280,2,FALSE)</f>
        <v>1151</v>
      </c>
      <c r="K130" s="83">
        <f>VLOOKUP(I130,Settings!$C$69:$F$74,2,FALSE)</f>
        <v>8.0156883768000008E-5</v>
      </c>
      <c r="L130" s="83">
        <f>VLOOKUP(I130,Settings!$C$69:$F$74,3,FALSE)</f>
        <v>3.7282271519999998E-10</v>
      </c>
      <c r="M130" s="83">
        <f>VLOOKUP(I130,Settings!$C$69:$F$74,4,FALSE)</f>
        <v>2.5476218872000005E-9</v>
      </c>
      <c r="N130" s="321">
        <f t="shared" si="5"/>
        <v>0.18452114643393602</v>
      </c>
      <c r="O130" s="321">
        <f t="shared" si="6"/>
        <v>8.5823789039039993E-7</v>
      </c>
      <c r="P130" s="321">
        <f t="shared" si="7"/>
        <v>5.8646255843344012E-6</v>
      </c>
      <c r="Q130" s="321">
        <f>P130*Settings!$D$24+O130*Settings!$C$24+N130</f>
        <v>0.18614536164149986</v>
      </c>
    </row>
    <row r="131" spans="2:17" ht="16.2" customHeight="1" x14ac:dyDescent="0.25">
      <c r="B131" s="431" t="s">
        <v>343</v>
      </c>
      <c r="C131" s="427" t="s">
        <v>1727</v>
      </c>
      <c r="D131" s="441" t="s">
        <v>747</v>
      </c>
      <c r="E131" s="441" t="s">
        <v>753</v>
      </c>
      <c r="F131" s="91" t="str">
        <f t="shared" si="4"/>
        <v>MXP-VIE</v>
      </c>
      <c r="G131" s="441">
        <v>2</v>
      </c>
      <c r="H131" s="441">
        <v>2</v>
      </c>
      <c r="I131" s="91" t="str">
        <f>VLOOKUP(F131,Settings!$B$241:$E$280,3,FALSE)</f>
        <v>Air - Medium Haul</v>
      </c>
      <c r="J131" s="92">
        <f>VLOOKUP(F131,Settings!$B$241:$C$280,2,FALSE)</f>
        <v>658</v>
      </c>
      <c r="K131" s="83">
        <f>VLOOKUP(I131,Settings!$C$69:$F$74,2,FALSE)</f>
        <v>8.0156883768000008E-5</v>
      </c>
      <c r="L131" s="83">
        <f>VLOOKUP(I131,Settings!$C$69:$F$74,3,FALSE)</f>
        <v>3.7282271519999998E-10</v>
      </c>
      <c r="M131" s="83">
        <f>VLOOKUP(I131,Settings!$C$69:$F$74,4,FALSE)</f>
        <v>2.5476218872000005E-9</v>
      </c>
      <c r="N131" s="321">
        <f t="shared" si="5"/>
        <v>0.21097291807737603</v>
      </c>
      <c r="O131" s="321">
        <f t="shared" si="6"/>
        <v>9.812693864064E-7</v>
      </c>
      <c r="P131" s="321">
        <f t="shared" si="7"/>
        <v>6.7053408071104017E-6</v>
      </c>
      <c r="Q131" s="321">
        <f>P131*Settings!$D$24+O131*Settings!$C$24+N131</f>
        <v>0.21282997039115015</v>
      </c>
    </row>
    <row r="132" spans="2:17" ht="16.2" customHeight="1" x14ac:dyDescent="0.25">
      <c r="B132" s="431"/>
      <c r="C132" s="427"/>
      <c r="D132" s="441"/>
      <c r="E132" s="441"/>
      <c r="F132" s="91" t="str">
        <f t="shared" si="4"/>
        <v/>
      </c>
      <c r="G132" s="441"/>
      <c r="H132" s="441"/>
      <c r="I132" s="91" t="e">
        <f>VLOOKUP(F132,Settings!$B$241:$E$280,3,FALSE)</f>
        <v>#N/A</v>
      </c>
      <c r="J132" s="92" t="e">
        <f>VLOOKUP(F132,Settings!$B$241:$C$280,2,FALSE)</f>
        <v>#N/A</v>
      </c>
      <c r="K132" s="83" t="e">
        <f>VLOOKUP(I132,Settings!$C$69:$F$74,2,FALSE)</f>
        <v>#N/A</v>
      </c>
      <c r="L132" s="83" t="e">
        <f>VLOOKUP(I132,Settings!$C$69:$F$74,3,FALSE)</f>
        <v>#N/A</v>
      </c>
      <c r="M132" s="83" t="e">
        <f>VLOOKUP(I132,Settings!$C$69:$F$74,4,FALSE)</f>
        <v>#N/A</v>
      </c>
      <c r="N132" s="321" t="e">
        <f t="shared" si="5"/>
        <v>#N/A</v>
      </c>
      <c r="O132" s="321" t="e">
        <f t="shared" si="6"/>
        <v>#N/A</v>
      </c>
      <c r="P132" s="321" t="e">
        <f t="shared" si="7"/>
        <v>#N/A</v>
      </c>
      <c r="Q132" s="321" t="e">
        <f>P132*Settings!$D$24+O132*Settings!$C$24+N132</f>
        <v>#N/A</v>
      </c>
    </row>
    <row r="133" spans="2:17" x14ac:dyDescent="0.25">
      <c r="B133" s="431"/>
      <c r="C133" s="427"/>
      <c r="D133" s="441"/>
      <c r="E133" s="441"/>
      <c r="F133" s="91" t="str">
        <f t="shared" si="4"/>
        <v/>
      </c>
      <c r="G133" s="441"/>
      <c r="H133" s="441"/>
      <c r="I133" s="91" t="e">
        <f>VLOOKUP(F133,Settings!$B$241:$E$280,3,FALSE)</f>
        <v>#N/A</v>
      </c>
      <c r="J133" s="92" t="e">
        <f>VLOOKUP(F133,Settings!$B$241:$C$280,2,FALSE)</f>
        <v>#N/A</v>
      </c>
      <c r="K133" s="83" t="e">
        <f>VLOOKUP(I133,Settings!$C$69:$F$74,2,FALSE)</f>
        <v>#N/A</v>
      </c>
      <c r="L133" s="83" t="e">
        <f>VLOOKUP(I133,Settings!$C$69:$F$74,3,FALSE)</f>
        <v>#N/A</v>
      </c>
      <c r="M133" s="83" t="e">
        <f>VLOOKUP(I133,Settings!$C$69:$F$74,4,FALSE)</f>
        <v>#N/A</v>
      </c>
      <c r="N133" s="321" t="e">
        <f t="shared" si="5"/>
        <v>#N/A</v>
      </c>
      <c r="O133" s="321" t="e">
        <f t="shared" si="6"/>
        <v>#N/A</v>
      </c>
      <c r="P133" s="321" t="e">
        <f t="shared" si="7"/>
        <v>#N/A</v>
      </c>
      <c r="Q133" s="321" t="e">
        <f>P133*Settings!$D$24+O133*Settings!$C$24+N133</f>
        <v>#N/A</v>
      </c>
    </row>
    <row r="134" spans="2:17" x14ac:dyDescent="0.25">
      <c r="B134" s="431"/>
      <c r="C134" s="427"/>
      <c r="D134" s="441"/>
      <c r="E134" s="441"/>
      <c r="F134" s="91" t="str">
        <f t="shared" si="4"/>
        <v/>
      </c>
      <c r="G134" s="441"/>
      <c r="H134" s="441"/>
      <c r="I134" s="91" t="e">
        <f>VLOOKUP(F134,Settings!$B$241:$E$280,3,FALSE)</f>
        <v>#N/A</v>
      </c>
      <c r="J134" s="92" t="e">
        <f>VLOOKUP(F134,Settings!$B$241:$C$280,2,FALSE)</f>
        <v>#N/A</v>
      </c>
      <c r="K134" s="83" t="e">
        <f>VLOOKUP(I134,Settings!$C$69:$F$74,2,FALSE)</f>
        <v>#N/A</v>
      </c>
      <c r="L134" s="83" t="e">
        <f>VLOOKUP(I134,Settings!$C$69:$F$74,3,FALSE)</f>
        <v>#N/A</v>
      </c>
      <c r="M134" s="83" t="e">
        <f>VLOOKUP(I134,Settings!$C$69:$F$74,4,FALSE)</f>
        <v>#N/A</v>
      </c>
      <c r="N134" s="321" t="e">
        <f t="shared" si="5"/>
        <v>#N/A</v>
      </c>
      <c r="O134" s="321" t="e">
        <f t="shared" si="6"/>
        <v>#N/A</v>
      </c>
      <c r="P134" s="321" t="e">
        <f t="shared" si="7"/>
        <v>#N/A</v>
      </c>
      <c r="Q134" s="321" t="e">
        <f>P134*Settings!$D$24+O134*Settings!$C$24+N134</f>
        <v>#N/A</v>
      </c>
    </row>
    <row r="135" spans="2:17" x14ac:dyDescent="0.25">
      <c r="B135" s="431"/>
      <c r="C135" s="427"/>
      <c r="D135" s="441"/>
      <c r="E135" s="441"/>
      <c r="F135" s="91" t="str">
        <f t="shared" ref="F135:F161" si="8">_xlfn.TEXTJOIN("-",,D135,E135)</f>
        <v/>
      </c>
      <c r="G135" s="441"/>
      <c r="H135" s="441"/>
      <c r="I135" s="91" t="e">
        <f>VLOOKUP(F135,Settings!$B$241:$E$280,3,FALSE)</f>
        <v>#N/A</v>
      </c>
      <c r="J135" s="92" t="e">
        <f>VLOOKUP(F135,Settings!$B$241:$C$280,2,FALSE)</f>
        <v>#N/A</v>
      </c>
      <c r="K135" s="83" t="e">
        <f>VLOOKUP(I135,Settings!$C$69:$F$74,2,FALSE)</f>
        <v>#N/A</v>
      </c>
      <c r="L135" s="83" t="e">
        <f>VLOOKUP(I135,Settings!$C$69:$F$74,3,FALSE)</f>
        <v>#N/A</v>
      </c>
      <c r="M135" s="83" t="e">
        <f>VLOOKUP(I135,Settings!$C$69:$F$74,4,FALSE)</f>
        <v>#N/A</v>
      </c>
      <c r="N135" s="321" t="e">
        <f t="shared" ref="N135:N161" si="9">G135*H135*J135*K135</f>
        <v>#N/A</v>
      </c>
      <c r="O135" s="321" t="e">
        <f t="shared" ref="O135:O161" si="10">G135*H135*J135*L135</f>
        <v>#N/A</v>
      </c>
      <c r="P135" s="321" t="e">
        <f t="shared" ref="P135:P161" si="11">G135*H135*J135*M135</f>
        <v>#N/A</v>
      </c>
      <c r="Q135" s="321" t="e">
        <f>P135*Settings!$D$24+O135*Settings!$C$24+N135</f>
        <v>#N/A</v>
      </c>
    </row>
    <row r="136" spans="2:17" x14ac:dyDescent="0.25">
      <c r="B136" s="431"/>
      <c r="C136" s="427"/>
      <c r="D136" s="441"/>
      <c r="E136" s="441"/>
      <c r="F136" s="91" t="str">
        <f t="shared" si="8"/>
        <v/>
      </c>
      <c r="G136" s="441"/>
      <c r="H136" s="441"/>
      <c r="I136" s="91" t="e">
        <f>VLOOKUP(F136,Settings!$B$241:$E$280,3,FALSE)</f>
        <v>#N/A</v>
      </c>
      <c r="J136" s="92" t="e">
        <f>VLOOKUP(F136,Settings!$B$241:$C$280,2,FALSE)</f>
        <v>#N/A</v>
      </c>
      <c r="K136" s="83" t="e">
        <f>VLOOKUP(I136,Settings!$C$69:$F$74,2,FALSE)</f>
        <v>#N/A</v>
      </c>
      <c r="L136" s="83" t="e">
        <f>VLOOKUP(I136,Settings!$C$69:$F$74,3,FALSE)</f>
        <v>#N/A</v>
      </c>
      <c r="M136" s="83" t="e">
        <f>VLOOKUP(I136,Settings!$C$69:$F$74,4,FALSE)</f>
        <v>#N/A</v>
      </c>
      <c r="N136" s="321" t="e">
        <f t="shared" si="9"/>
        <v>#N/A</v>
      </c>
      <c r="O136" s="321" t="e">
        <f t="shared" si="10"/>
        <v>#N/A</v>
      </c>
      <c r="P136" s="321" t="e">
        <f t="shared" si="11"/>
        <v>#N/A</v>
      </c>
      <c r="Q136" s="321" t="e">
        <f>P136*Settings!$D$24+O136*Settings!$C$24+N136</f>
        <v>#N/A</v>
      </c>
    </row>
    <row r="137" spans="2:17" x14ac:dyDescent="0.25">
      <c r="B137" s="431"/>
      <c r="C137" s="427"/>
      <c r="D137" s="441"/>
      <c r="E137" s="441"/>
      <c r="F137" s="91" t="str">
        <f t="shared" si="8"/>
        <v/>
      </c>
      <c r="G137" s="441"/>
      <c r="H137" s="441"/>
      <c r="I137" s="91" t="e">
        <f>VLOOKUP(F137,Settings!$B$241:$E$280,3,FALSE)</f>
        <v>#N/A</v>
      </c>
      <c r="J137" s="92" t="e">
        <f>VLOOKUP(F137,Settings!$B$241:$C$280,2,FALSE)</f>
        <v>#N/A</v>
      </c>
      <c r="K137" s="83" t="e">
        <f>VLOOKUP(I137,Settings!$C$69:$F$74,2,FALSE)</f>
        <v>#N/A</v>
      </c>
      <c r="L137" s="83" t="e">
        <f>VLOOKUP(I137,Settings!$C$69:$F$74,3,FALSE)</f>
        <v>#N/A</v>
      </c>
      <c r="M137" s="83" t="e">
        <f>VLOOKUP(I137,Settings!$C$69:$F$74,4,FALSE)</f>
        <v>#N/A</v>
      </c>
      <c r="N137" s="321" t="e">
        <f t="shared" si="9"/>
        <v>#N/A</v>
      </c>
      <c r="O137" s="321" t="e">
        <f t="shared" si="10"/>
        <v>#N/A</v>
      </c>
      <c r="P137" s="321" t="e">
        <f t="shared" si="11"/>
        <v>#N/A</v>
      </c>
      <c r="Q137" s="321" t="e">
        <f>P137*Settings!$D$24+O137*Settings!$C$24+N137</f>
        <v>#N/A</v>
      </c>
    </row>
    <row r="138" spans="2:17" x14ac:dyDescent="0.25">
      <c r="B138" s="431"/>
      <c r="C138" s="427"/>
      <c r="D138" s="441"/>
      <c r="E138" s="441"/>
      <c r="F138" s="91" t="str">
        <f t="shared" si="8"/>
        <v/>
      </c>
      <c r="G138" s="441"/>
      <c r="H138" s="441"/>
      <c r="I138" s="91" t="e">
        <f>VLOOKUP(F138,Settings!$B$241:$E$280,3,FALSE)</f>
        <v>#N/A</v>
      </c>
      <c r="J138" s="92" t="e">
        <f>VLOOKUP(F138,Settings!$B$241:$C$280,2,FALSE)</f>
        <v>#N/A</v>
      </c>
      <c r="K138" s="83" t="e">
        <f>VLOOKUP(I138,Settings!$C$69:$F$74,2,FALSE)</f>
        <v>#N/A</v>
      </c>
      <c r="L138" s="83" t="e">
        <f>VLOOKUP(I138,Settings!$C$69:$F$74,3,FALSE)</f>
        <v>#N/A</v>
      </c>
      <c r="M138" s="83" t="e">
        <f>VLOOKUP(I138,Settings!$C$69:$F$74,4,FALSE)</f>
        <v>#N/A</v>
      </c>
      <c r="N138" s="321" t="e">
        <f t="shared" si="9"/>
        <v>#N/A</v>
      </c>
      <c r="O138" s="321" t="e">
        <f t="shared" si="10"/>
        <v>#N/A</v>
      </c>
      <c r="P138" s="321" t="e">
        <f t="shared" si="11"/>
        <v>#N/A</v>
      </c>
      <c r="Q138" s="321" t="e">
        <f>P138*Settings!$D$24+O138*Settings!$C$24+N138</f>
        <v>#N/A</v>
      </c>
    </row>
    <row r="139" spans="2:17" x14ac:dyDescent="0.25">
      <c r="B139" s="431"/>
      <c r="C139" s="427"/>
      <c r="D139" s="441"/>
      <c r="E139" s="441"/>
      <c r="F139" s="91" t="str">
        <f t="shared" si="8"/>
        <v/>
      </c>
      <c r="G139" s="441"/>
      <c r="H139" s="441"/>
      <c r="I139" s="91" t="e">
        <f>VLOOKUP(F139,Settings!$B$241:$E$280,3,FALSE)</f>
        <v>#N/A</v>
      </c>
      <c r="J139" s="92" t="e">
        <f>VLOOKUP(F139,Settings!$B$241:$C$280,2,FALSE)</f>
        <v>#N/A</v>
      </c>
      <c r="K139" s="83" t="e">
        <f>VLOOKUP(I139,Settings!$C$69:$F$74,2,FALSE)</f>
        <v>#N/A</v>
      </c>
      <c r="L139" s="83" t="e">
        <f>VLOOKUP(I139,Settings!$C$69:$F$74,3,FALSE)</f>
        <v>#N/A</v>
      </c>
      <c r="M139" s="83" t="e">
        <f>VLOOKUP(I139,Settings!$C$69:$F$74,4,FALSE)</f>
        <v>#N/A</v>
      </c>
      <c r="N139" s="321" t="e">
        <f t="shared" si="9"/>
        <v>#N/A</v>
      </c>
      <c r="O139" s="321" t="e">
        <f t="shared" si="10"/>
        <v>#N/A</v>
      </c>
      <c r="P139" s="321" t="e">
        <f t="shared" si="11"/>
        <v>#N/A</v>
      </c>
      <c r="Q139" s="321" t="e">
        <f>P139*Settings!$D$24+O139*Settings!$C$24+N139</f>
        <v>#N/A</v>
      </c>
    </row>
    <row r="140" spans="2:17" x14ac:dyDescent="0.25">
      <c r="B140" s="431"/>
      <c r="C140" s="427"/>
      <c r="D140" s="441"/>
      <c r="E140" s="441"/>
      <c r="F140" s="91" t="str">
        <f t="shared" si="8"/>
        <v/>
      </c>
      <c r="G140" s="441"/>
      <c r="H140" s="441"/>
      <c r="I140" s="91" t="e">
        <f>VLOOKUP(F140,Settings!$B$241:$E$280,3,FALSE)</f>
        <v>#N/A</v>
      </c>
      <c r="J140" s="92" t="e">
        <f>VLOOKUP(F140,Settings!$B$241:$C$280,2,FALSE)</f>
        <v>#N/A</v>
      </c>
      <c r="K140" s="83" t="e">
        <f>VLOOKUP(I140,Settings!$C$69:$F$74,2,FALSE)</f>
        <v>#N/A</v>
      </c>
      <c r="L140" s="83" t="e">
        <f>VLOOKUP(I140,Settings!$C$69:$F$74,3,FALSE)</f>
        <v>#N/A</v>
      </c>
      <c r="M140" s="83" t="e">
        <f>VLOOKUP(I140,Settings!$C$69:$F$74,4,FALSE)</f>
        <v>#N/A</v>
      </c>
      <c r="N140" s="321" t="e">
        <f t="shared" si="9"/>
        <v>#N/A</v>
      </c>
      <c r="O140" s="321" t="e">
        <f t="shared" si="10"/>
        <v>#N/A</v>
      </c>
      <c r="P140" s="321" t="e">
        <f t="shared" si="11"/>
        <v>#N/A</v>
      </c>
      <c r="Q140" s="321" t="e">
        <f>P140*Settings!$D$24+O140*Settings!$C$24+N140</f>
        <v>#N/A</v>
      </c>
    </row>
    <row r="141" spans="2:17" x14ac:dyDescent="0.25">
      <c r="B141" s="431"/>
      <c r="C141" s="427"/>
      <c r="D141" s="441"/>
      <c r="E141" s="441"/>
      <c r="F141" s="91" t="str">
        <f t="shared" si="8"/>
        <v/>
      </c>
      <c r="G141" s="441"/>
      <c r="H141" s="441"/>
      <c r="I141" s="91" t="e">
        <f>VLOOKUP(F141,Settings!$B$241:$E$280,3,FALSE)</f>
        <v>#N/A</v>
      </c>
      <c r="J141" s="92" t="e">
        <f>VLOOKUP(F141,Settings!$B$241:$C$280,2,FALSE)</f>
        <v>#N/A</v>
      </c>
      <c r="K141" s="83" t="e">
        <f>VLOOKUP(I141,Settings!$C$69:$F$74,2,FALSE)</f>
        <v>#N/A</v>
      </c>
      <c r="L141" s="83" t="e">
        <f>VLOOKUP(I141,Settings!$C$69:$F$74,3,FALSE)</f>
        <v>#N/A</v>
      </c>
      <c r="M141" s="83" t="e">
        <f>VLOOKUP(I141,Settings!$C$69:$F$74,4,FALSE)</f>
        <v>#N/A</v>
      </c>
      <c r="N141" s="321" t="e">
        <f t="shared" si="9"/>
        <v>#N/A</v>
      </c>
      <c r="O141" s="321" t="e">
        <f t="shared" si="10"/>
        <v>#N/A</v>
      </c>
      <c r="P141" s="321" t="e">
        <f t="shared" si="11"/>
        <v>#N/A</v>
      </c>
      <c r="Q141" s="321" t="e">
        <f>P141*Settings!$D$24+O141*Settings!$C$24+N141</f>
        <v>#N/A</v>
      </c>
    </row>
    <row r="142" spans="2:17" ht="17.399999999999999" customHeight="1" x14ac:dyDescent="0.25">
      <c r="B142" s="431"/>
      <c r="C142" s="427"/>
      <c r="D142" s="441"/>
      <c r="E142" s="441"/>
      <c r="F142" s="91" t="str">
        <f t="shared" si="8"/>
        <v/>
      </c>
      <c r="G142" s="441"/>
      <c r="H142" s="441"/>
      <c r="I142" s="91" t="e">
        <f>VLOOKUP(F142,Settings!$B$241:$E$280,3,FALSE)</f>
        <v>#N/A</v>
      </c>
      <c r="J142" s="92" t="e">
        <f>VLOOKUP(F142,Settings!$B$241:$C$280,2,FALSE)</f>
        <v>#N/A</v>
      </c>
      <c r="K142" s="83" t="e">
        <f>VLOOKUP(I142,Settings!$C$69:$F$74,2,FALSE)</f>
        <v>#N/A</v>
      </c>
      <c r="L142" s="83" t="e">
        <f>VLOOKUP(I142,Settings!$C$69:$F$74,3,FALSE)</f>
        <v>#N/A</v>
      </c>
      <c r="M142" s="83" t="e">
        <f>VLOOKUP(I142,Settings!$C$69:$F$74,4,FALSE)</f>
        <v>#N/A</v>
      </c>
      <c r="N142" s="321" t="e">
        <f t="shared" si="9"/>
        <v>#N/A</v>
      </c>
      <c r="O142" s="321" t="e">
        <f t="shared" si="10"/>
        <v>#N/A</v>
      </c>
      <c r="P142" s="321" t="e">
        <f t="shared" si="11"/>
        <v>#N/A</v>
      </c>
      <c r="Q142" s="321" t="e">
        <f>P142*Settings!$D$24+O142*Settings!$C$24+N142</f>
        <v>#N/A</v>
      </c>
    </row>
    <row r="143" spans="2:17" x14ac:dyDescent="0.25">
      <c r="B143" s="431"/>
      <c r="C143" s="427"/>
      <c r="D143" s="441"/>
      <c r="E143" s="441"/>
      <c r="F143" s="91" t="str">
        <f t="shared" si="8"/>
        <v/>
      </c>
      <c r="G143" s="441"/>
      <c r="H143" s="441"/>
      <c r="I143" s="91" t="e">
        <f>VLOOKUP(F143,Settings!$B$241:$E$280,3,FALSE)</f>
        <v>#N/A</v>
      </c>
      <c r="J143" s="92" t="e">
        <f>VLOOKUP(F143,Settings!$B$241:$C$280,2,FALSE)</f>
        <v>#N/A</v>
      </c>
      <c r="K143" s="83" t="e">
        <f>VLOOKUP(I143,Settings!$C$69:$F$74,2,FALSE)</f>
        <v>#N/A</v>
      </c>
      <c r="L143" s="83" t="e">
        <f>VLOOKUP(I143,Settings!$C$69:$F$74,3,FALSE)</f>
        <v>#N/A</v>
      </c>
      <c r="M143" s="83" t="e">
        <f>VLOOKUP(I143,Settings!$C$69:$F$74,4,FALSE)</f>
        <v>#N/A</v>
      </c>
      <c r="N143" s="321" t="e">
        <f t="shared" si="9"/>
        <v>#N/A</v>
      </c>
      <c r="O143" s="321" t="e">
        <f t="shared" si="10"/>
        <v>#N/A</v>
      </c>
      <c r="P143" s="321" t="e">
        <f t="shared" si="11"/>
        <v>#N/A</v>
      </c>
      <c r="Q143" s="321" t="e">
        <f>P143*Settings!$D$24+O143*Settings!$C$24+N143</f>
        <v>#N/A</v>
      </c>
    </row>
    <row r="144" spans="2:17" x14ac:dyDescent="0.25">
      <c r="B144" s="431"/>
      <c r="C144" s="427"/>
      <c r="D144" s="441"/>
      <c r="E144" s="441"/>
      <c r="F144" s="91" t="str">
        <f t="shared" si="8"/>
        <v/>
      </c>
      <c r="G144" s="441"/>
      <c r="H144" s="441"/>
      <c r="I144" s="91" t="e">
        <f>VLOOKUP(F144,Settings!$B$241:$E$280,3,FALSE)</f>
        <v>#N/A</v>
      </c>
      <c r="J144" s="92" t="e">
        <f>VLOOKUP(F144,Settings!$B$241:$C$280,2,FALSE)</f>
        <v>#N/A</v>
      </c>
      <c r="K144" s="83" t="e">
        <f>VLOOKUP(I144,Settings!$C$69:$F$74,2,FALSE)</f>
        <v>#N/A</v>
      </c>
      <c r="L144" s="83" t="e">
        <f>VLOOKUP(I144,Settings!$C$69:$F$74,3,FALSE)</f>
        <v>#N/A</v>
      </c>
      <c r="M144" s="83" t="e">
        <f>VLOOKUP(I144,Settings!$C$69:$F$74,4,FALSE)</f>
        <v>#N/A</v>
      </c>
      <c r="N144" s="321" t="e">
        <f t="shared" si="9"/>
        <v>#N/A</v>
      </c>
      <c r="O144" s="321" t="e">
        <f t="shared" si="10"/>
        <v>#N/A</v>
      </c>
      <c r="P144" s="321" t="e">
        <f t="shared" si="11"/>
        <v>#N/A</v>
      </c>
      <c r="Q144" s="321" t="e">
        <f>P144*Settings!$D$24+O144*Settings!$C$24+N144</f>
        <v>#N/A</v>
      </c>
    </row>
    <row r="145" spans="2:17" x14ac:dyDescent="0.25">
      <c r="B145" s="431"/>
      <c r="C145" s="427"/>
      <c r="D145" s="441"/>
      <c r="E145" s="441"/>
      <c r="F145" s="91" t="str">
        <f t="shared" si="8"/>
        <v/>
      </c>
      <c r="G145" s="441"/>
      <c r="H145" s="441"/>
      <c r="I145" s="91" t="e">
        <f>VLOOKUP(F145,Settings!$B$241:$E$280,3,FALSE)</f>
        <v>#N/A</v>
      </c>
      <c r="J145" s="92" t="e">
        <f>VLOOKUP(F145,Settings!$B$241:$C$280,2,FALSE)</f>
        <v>#N/A</v>
      </c>
      <c r="K145" s="83" t="e">
        <f>VLOOKUP(I145,Settings!$C$69:$F$74,2,FALSE)</f>
        <v>#N/A</v>
      </c>
      <c r="L145" s="83" t="e">
        <f>VLOOKUP(I145,Settings!$C$69:$F$74,3,FALSE)</f>
        <v>#N/A</v>
      </c>
      <c r="M145" s="83" t="e">
        <f>VLOOKUP(I145,Settings!$C$69:$F$74,4,FALSE)</f>
        <v>#N/A</v>
      </c>
      <c r="N145" s="321" t="e">
        <f t="shared" si="9"/>
        <v>#N/A</v>
      </c>
      <c r="O145" s="321" t="e">
        <f t="shared" si="10"/>
        <v>#N/A</v>
      </c>
      <c r="P145" s="321" t="e">
        <f t="shared" si="11"/>
        <v>#N/A</v>
      </c>
      <c r="Q145" s="321" t="e">
        <f>P145*Settings!$D$24+O145*Settings!$C$24+N145</f>
        <v>#N/A</v>
      </c>
    </row>
    <row r="146" spans="2:17" x14ac:dyDescent="0.25">
      <c r="B146" s="431"/>
      <c r="C146" s="427"/>
      <c r="D146" s="441"/>
      <c r="E146" s="441"/>
      <c r="F146" s="91" t="str">
        <f t="shared" si="8"/>
        <v/>
      </c>
      <c r="G146" s="441"/>
      <c r="H146" s="441"/>
      <c r="I146" s="91" t="e">
        <f>VLOOKUP(F146,Settings!$B$241:$E$280,3,FALSE)</f>
        <v>#N/A</v>
      </c>
      <c r="J146" s="92" t="e">
        <f>VLOOKUP(F146,Settings!$B$241:$C$280,2,FALSE)</f>
        <v>#N/A</v>
      </c>
      <c r="K146" s="83" t="e">
        <f>VLOOKUP(I146,Settings!$C$69:$F$74,2,FALSE)</f>
        <v>#N/A</v>
      </c>
      <c r="L146" s="83" t="e">
        <f>VLOOKUP(I146,Settings!$C$69:$F$74,3,FALSE)</f>
        <v>#N/A</v>
      </c>
      <c r="M146" s="83" t="e">
        <f>VLOOKUP(I146,Settings!$C$69:$F$74,4,FALSE)</f>
        <v>#N/A</v>
      </c>
      <c r="N146" s="321" t="e">
        <f t="shared" si="9"/>
        <v>#N/A</v>
      </c>
      <c r="O146" s="321" t="e">
        <f t="shared" si="10"/>
        <v>#N/A</v>
      </c>
      <c r="P146" s="321" t="e">
        <f t="shared" si="11"/>
        <v>#N/A</v>
      </c>
      <c r="Q146" s="321" t="e">
        <f>P146*Settings!$D$24+O146*Settings!$C$24+N146</f>
        <v>#N/A</v>
      </c>
    </row>
    <row r="147" spans="2:17" x14ac:dyDescent="0.25">
      <c r="B147" s="431"/>
      <c r="C147" s="427"/>
      <c r="D147" s="441"/>
      <c r="E147" s="441"/>
      <c r="F147" s="91" t="str">
        <f t="shared" si="8"/>
        <v/>
      </c>
      <c r="G147" s="441"/>
      <c r="H147" s="441"/>
      <c r="I147" s="91" t="e">
        <f>VLOOKUP(F147,Settings!$B$241:$E$280,3,FALSE)</f>
        <v>#N/A</v>
      </c>
      <c r="J147" s="92" t="e">
        <f>VLOOKUP(F147,Settings!$B$241:$C$280,2,FALSE)</f>
        <v>#N/A</v>
      </c>
      <c r="K147" s="83" t="e">
        <f>VLOOKUP(I147,Settings!$C$69:$F$74,2,FALSE)</f>
        <v>#N/A</v>
      </c>
      <c r="L147" s="83" t="e">
        <f>VLOOKUP(I147,Settings!$C$69:$F$74,3,FALSE)</f>
        <v>#N/A</v>
      </c>
      <c r="M147" s="83" t="e">
        <f>VLOOKUP(I147,Settings!$C$69:$F$74,4,FALSE)</f>
        <v>#N/A</v>
      </c>
      <c r="N147" s="321" t="e">
        <f t="shared" si="9"/>
        <v>#N/A</v>
      </c>
      <c r="O147" s="321" t="e">
        <f t="shared" si="10"/>
        <v>#N/A</v>
      </c>
      <c r="P147" s="321" t="e">
        <f t="shared" si="11"/>
        <v>#N/A</v>
      </c>
      <c r="Q147" s="321" t="e">
        <f>P147*Settings!$D$24+O147*Settings!$C$24+N147</f>
        <v>#N/A</v>
      </c>
    </row>
    <row r="148" spans="2:17" x14ac:dyDescent="0.25">
      <c r="B148" s="431"/>
      <c r="C148" s="427"/>
      <c r="D148" s="441"/>
      <c r="E148" s="441"/>
      <c r="F148" s="91" t="str">
        <f t="shared" si="8"/>
        <v/>
      </c>
      <c r="G148" s="441"/>
      <c r="H148" s="441"/>
      <c r="I148" s="91" t="e">
        <f>VLOOKUP(F148,Settings!$B$241:$E$280,3,FALSE)</f>
        <v>#N/A</v>
      </c>
      <c r="J148" s="92" t="e">
        <f>VLOOKUP(F148,Settings!$B$241:$C$280,2,FALSE)</f>
        <v>#N/A</v>
      </c>
      <c r="K148" s="83" t="e">
        <f>VLOOKUP(I148,Settings!$C$69:$F$74,2,FALSE)</f>
        <v>#N/A</v>
      </c>
      <c r="L148" s="83" t="e">
        <f>VLOOKUP(I148,Settings!$C$69:$F$74,3,FALSE)</f>
        <v>#N/A</v>
      </c>
      <c r="M148" s="83" t="e">
        <f>VLOOKUP(I148,Settings!$C$69:$F$74,4,FALSE)</f>
        <v>#N/A</v>
      </c>
      <c r="N148" s="321" t="e">
        <f t="shared" si="9"/>
        <v>#N/A</v>
      </c>
      <c r="O148" s="321" t="e">
        <f t="shared" si="10"/>
        <v>#N/A</v>
      </c>
      <c r="P148" s="321" t="e">
        <f t="shared" si="11"/>
        <v>#N/A</v>
      </c>
      <c r="Q148" s="321" t="e">
        <f>P148*Settings!$D$24+O148*Settings!$C$24+N148</f>
        <v>#N/A</v>
      </c>
    </row>
    <row r="149" spans="2:17" x14ac:dyDescent="0.25">
      <c r="B149" s="431"/>
      <c r="C149" s="427"/>
      <c r="D149" s="441"/>
      <c r="E149" s="441"/>
      <c r="F149" s="91" t="str">
        <f t="shared" si="8"/>
        <v/>
      </c>
      <c r="G149" s="441"/>
      <c r="H149" s="441"/>
      <c r="I149" s="91" t="e">
        <f>VLOOKUP(F149,Settings!$B$241:$E$280,3,FALSE)</f>
        <v>#N/A</v>
      </c>
      <c r="J149" s="92" t="e">
        <f>VLOOKUP(F149,Settings!$B$241:$C$280,2,FALSE)</f>
        <v>#N/A</v>
      </c>
      <c r="K149" s="83" t="e">
        <f>VLOOKUP(I149,Settings!$C$69:$F$74,2,FALSE)</f>
        <v>#N/A</v>
      </c>
      <c r="L149" s="83" t="e">
        <f>VLOOKUP(I149,Settings!$C$69:$F$74,3,FALSE)</f>
        <v>#N/A</v>
      </c>
      <c r="M149" s="83" t="e">
        <f>VLOOKUP(I149,Settings!$C$69:$F$74,4,FALSE)</f>
        <v>#N/A</v>
      </c>
      <c r="N149" s="321" t="e">
        <f t="shared" si="9"/>
        <v>#N/A</v>
      </c>
      <c r="O149" s="321" t="e">
        <f t="shared" si="10"/>
        <v>#N/A</v>
      </c>
      <c r="P149" s="321" t="e">
        <f t="shared" si="11"/>
        <v>#N/A</v>
      </c>
      <c r="Q149" s="321" t="e">
        <f>P149*Settings!$D$24+O149*Settings!$C$24+N149</f>
        <v>#N/A</v>
      </c>
    </row>
    <row r="150" spans="2:17" x14ac:dyDescent="0.25">
      <c r="B150" s="431"/>
      <c r="C150" s="427"/>
      <c r="D150" s="441"/>
      <c r="E150" s="441"/>
      <c r="F150" s="91" t="str">
        <f t="shared" si="8"/>
        <v/>
      </c>
      <c r="G150" s="441"/>
      <c r="H150" s="441"/>
      <c r="I150" s="91" t="e">
        <f>VLOOKUP(F150,Settings!$B$241:$E$280,3,FALSE)</f>
        <v>#N/A</v>
      </c>
      <c r="J150" s="92" t="e">
        <f>VLOOKUP(F150,Settings!$B$241:$C$280,2,FALSE)</f>
        <v>#N/A</v>
      </c>
      <c r="K150" s="83" t="e">
        <f>VLOOKUP(I150,Settings!$C$69:$F$74,2,FALSE)</f>
        <v>#N/A</v>
      </c>
      <c r="L150" s="83" t="e">
        <f>VLOOKUP(I150,Settings!$C$69:$F$74,3,FALSE)</f>
        <v>#N/A</v>
      </c>
      <c r="M150" s="83" t="e">
        <f>VLOOKUP(I150,Settings!$C$69:$F$74,4,FALSE)</f>
        <v>#N/A</v>
      </c>
      <c r="N150" s="321" t="e">
        <f t="shared" si="9"/>
        <v>#N/A</v>
      </c>
      <c r="O150" s="321" t="e">
        <f t="shared" si="10"/>
        <v>#N/A</v>
      </c>
      <c r="P150" s="321" t="e">
        <f t="shared" si="11"/>
        <v>#N/A</v>
      </c>
      <c r="Q150" s="321" t="e">
        <f>P150*Settings!$D$24+O150*Settings!$C$24+N150</f>
        <v>#N/A</v>
      </c>
    </row>
    <row r="151" spans="2:17" x14ac:dyDescent="0.25">
      <c r="B151" s="431"/>
      <c r="C151" s="427"/>
      <c r="D151" s="441"/>
      <c r="E151" s="441"/>
      <c r="F151" s="91" t="str">
        <f t="shared" si="8"/>
        <v/>
      </c>
      <c r="G151" s="441"/>
      <c r="H151" s="441"/>
      <c r="I151" s="91" t="e">
        <f>VLOOKUP(F151,Settings!$B$241:$E$280,3,FALSE)</f>
        <v>#N/A</v>
      </c>
      <c r="J151" s="92" t="e">
        <f>VLOOKUP(F151,Settings!$B$241:$C$280,2,FALSE)</f>
        <v>#N/A</v>
      </c>
      <c r="K151" s="83" t="e">
        <f>VLOOKUP(I151,Settings!$C$69:$F$74,2,FALSE)</f>
        <v>#N/A</v>
      </c>
      <c r="L151" s="83" t="e">
        <f>VLOOKUP(I151,Settings!$C$69:$F$74,3,FALSE)</f>
        <v>#N/A</v>
      </c>
      <c r="M151" s="83" t="e">
        <f>VLOOKUP(I151,Settings!$C$69:$F$74,4,FALSE)</f>
        <v>#N/A</v>
      </c>
      <c r="N151" s="321" t="e">
        <f t="shared" si="9"/>
        <v>#N/A</v>
      </c>
      <c r="O151" s="321" t="e">
        <f t="shared" si="10"/>
        <v>#N/A</v>
      </c>
      <c r="P151" s="321" t="e">
        <f t="shared" si="11"/>
        <v>#N/A</v>
      </c>
      <c r="Q151" s="321" t="e">
        <f>P151*Settings!$D$24+O151*Settings!$C$24+N151</f>
        <v>#N/A</v>
      </c>
    </row>
    <row r="152" spans="2:17" x14ac:dyDescent="0.25">
      <c r="B152" s="431"/>
      <c r="C152" s="427"/>
      <c r="D152" s="441"/>
      <c r="E152" s="441"/>
      <c r="F152" s="91" t="str">
        <f t="shared" si="8"/>
        <v/>
      </c>
      <c r="G152" s="441"/>
      <c r="H152" s="441"/>
      <c r="I152" s="91" t="e">
        <f>VLOOKUP(F152,Settings!$B$241:$E$280,3,FALSE)</f>
        <v>#N/A</v>
      </c>
      <c r="J152" s="92" t="e">
        <f>VLOOKUP(F152,Settings!$B$241:$C$280,2,FALSE)</f>
        <v>#N/A</v>
      </c>
      <c r="K152" s="83" t="e">
        <f>VLOOKUP(I152,Settings!$C$69:$F$74,2,FALSE)</f>
        <v>#N/A</v>
      </c>
      <c r="L152" s="83" t="e">
        <f>VLOOKUP(I152,Settings!$C$69:$F$74,3,FALSE)</f>
        <v>#N/A</v>
      </c>
      <c r="M152" s="83" t="e">
        <f>VLOOKUP(I152,Settings!$C$69:$F$74,4,FALSE)</f>
        <v>#N/A</v>
      </c>
      <c r="N152" s="321" t="e">
        <f t="shared" si="9"/>
        <v>#N/A</v>
      </c>
      <c r="O152" s="321" t="e">
        <f t="shared" si="10"/>
        <v>#N/A</v>
      </c>
      <c r="P152" s="321" t="e">
        <f t="shared" si="11"/>
        <v>#N/A</v>
      </c>
      <c r="Q152" s="321" t="e">
        <f>P152*Settings!$D$24+O152*Settings!$C$24+N152</f>
        <v>#N/A</v>
      </c>
    </row>
    <row r="153" spans="2:17" x14ac:dyDescent="0.25">
      <c r="B153" s="431"/>
      <c r="C153" s="427"/>
      <c r="D153" s="441"/>
      <c r="E153" s="441"/>
      <c r="F153" s="91" t="str">
        <f t="shared" si="8"/>
        <v/>
      </c>
      <c r="G153" s="441"/>
      <c r="H153" s="441"/>
      <c r="I153" s="91" t="e">
        <f>VLOOKUP(F153,Settings!$B$241:$E$280,3,FALSE)</f>
        <v>#N/A</v>
      </c>
      <c r="J153" s="92" t="e">
        <f>VLOOKUP(F153,Settings!$B$241:$C$280,2,FALSE)</f>
        <v>#N/A</v>
      </c>
      <c r="K153" s="83" t="e">
        <f>VLOOKUP(I153,Settings!$C$69:$F$74,2,FALSE)</f>
        <v>#N/A</v>
      </c>
      <c r="L153" s="83" t="e">
        <f>VLOOKUP(I153,Settings!$C$69:$F$74,3,FALSE)</f>
        <v>#N/A</v>
      </c>
      <c r="M153" s="83" t="e">
        <f>VLOOKUP(I153,Settings!$C$69:$F$74,4,FALSE)</f>
        <v>#N/A</v>
      </c>
      <c r="N153" s="321" t="e">
        <f t="shared" si="9"/>
        <v>#N/A</v>
      </c>
      <c r="O153" s="321" t="e">
        <f t="shared" si="10"/>
        <v>#N/A</v>
      </c>
      <c r="P153" s="321" t="e">
        <f t="shared" si="11"/>
        <v>#N/A</v>
      </c>
      <c r="Q153" s="321" t="e">
        <f>P153*Settings!$D$24+O153*Settings!$C$24+N153</f>
        <v>#N/A</v>
      </c>
    </row>
    <row r="154" spans="2:17" x14ac:dyDescent="0.25">
      <c r="B154" s="431"/>
      <c r="C154" s="427"/>
      <c r="D154" s="441"/>
      <c r="E154" s="441"/>
      <c r="F154" s="91" t="str">
        <f t="shared" si="8"/>
        <v/>
      </c>
      <c r="G154" s="441"/>
      <c r="H154" s="441"/>
      <c r="I154" s="91" t="e">
        <f>VLOOKUP(F154,Settings!$B$241:$E$280,3,FALSE)</f>
        <v>#N/A</v>
      </c>
      <c r="J154" s="92" t="e">
        <f>VLOOKUP(F154,Settings!$B$241:$C$280,2,FALSE)</f>
        <v>#N/A</v>
      </c>
      <c r="K154" s="83" t="e">
        <f>VLOOKUP(I154,Settings!$C$69:$F$74,2,FALSE)</f>
        <v>#N/A</v>
      </c>
      <c r="L154" s="83" t="e">
        <f>VLOOKUP(I154,Settings!$C$69:$F$74,3,FALSE)</f>
        <v>#N/A</v>
      </c>
      <c r="M154" s="83" t="e">
        <f>VLOOKUP(I154,Settings!$C$69:$F$74,4,FALSE)</f>
        <v>#N/A</v>
      </c>
      <c r="N154" s="321" t="e">
        <f t="shared" si="9"/>
        <v>#N/A</v>
      </c>
      <c r="O154" s="321" t="e">
        <f t="shared" si="10"/>
        <v>#N/A</v>
      </c>
      <c r="P154" s="321" t="e">
        <f t="shared" si="11"/>
        <v>#N/A</v>
      </c>
      <c r="Q154" s="321" t="e">
        <f>P154*Settings!$D$24+O154*Settings!$C$24+N154</f>
        <v>#N/A</v>
      </c>
    </row>
    <row r="155" spans="2:17" x14ac:dyDescent="0.25">
      <c r="B155" s="431"/>
      <c r="C155" s="427"/>
      <c r="D155" s="441"/>
      <c r="E155" s="441"/>
      <c r="F155" s="91" t="str">
        <f t="shared" si="8"/>
        <v/>
      </c>
      <c r="G155" s="441"/>
      <c r="H155" s="441"/>
      <c r="I155" s="91" t="e">
        <f>VLOOKUP(F155,Settings!$B$241:$E$280,3,FALSE)</f>
        <v>#N/A</v>
      </c>
      <c r="J155" s="92" t="e">
        <f>VLOOKUP(F155,Settings!$B$241:$C$280,2,FALSE)</f>
        <v>#N/A</v>
      </c>
      <c r="K155" s="83" t="e">
        <f>VLOOKUP(I155,Settings!$C$69:$F$74,2,FALSE)</f>
        <v>#N/A</v>
      </c>
      <c r="L155" s="83" t="e">
        <f>VLOOKUP(I155,Settings!$C$69:$F$74,3,FALSE)</f>
        <v>#N/A</v>
      </c>
      <c r="M155" s="83" t="e">
        <f>VLOOKUP(I155,Settings!$C$69:$F$74,4,FALSE)</f>
        <v>#N/A</v>
      </c>
      <c r="N155" s="321" t="e">
        <f t="shared" si="9"/>
        <v>#N/A</v>
      </c>
      <c r="O155" s="321" t="e">
        <f t="shared" si="10"/>
        <v>#N/A</v>
      </c>
      <c r="P155" s="321" t="e">
        <f t="shared" si="11"/>
        <v>#N/A</v>
      </c>
      <c r="Q155" s="321" t="e">
        <f>P155*Settings!$D$24+O155*Settings!$C$24+N155</f>
        <v>#N/A</v>
      </c>
    </row>
    <row r="156" spans="2:17" x14ac:dyDescent="0.25">
      <c r="B156" s="431"/>
      <c r="C156" s="427"/>
      <c r="D156" s="441"/>
      <c r="E156" s="441"/>
      <c r="F156" s="91" t="str">
        <f t="shared" si="8"/>
        <v/>
      </c>
      <c r="G156" s="441"/>
      <c r="H156" s="441"/>
      <c r="I156" s="91" t="e">
        <f>VLOOKUP(F156,Settings!$B$241:$E$280,3,FALSE)</f>
        <v>#N/A</v>
      </c>
      <c r="J156" s="92" t="e">
        <f>VLOOKUP(F156,Settings!$B$241:$C$280,2,FALSE)</f>
        <v>#N/A</v>
      </c>
      <c r="K156" s="83" t="e">
        <f>VLOOKUP(I156,Settings!$C$69:$F$74,2,FALSE)</f>
        <v>#N/A</v>
      </c>
      <c r="L156" s="83" t="e">
        <f>VLOOKUP(I156,Settings!$C$69:$F$74,3,FALSE)</f>
        <v>#N/A</v>
      </c>
      <c r="M156" s="83" t="e">
        <f>VLOOKUP(I156,Settings!$C$69:$F$74,4,FALSE)</f>
        <v>#N/A</v>
      </c>
      <c r="N156" s="321" t="e">
        <f t="shared" si="9"/>
        <v>#N/A</v>
      </c>
      <c r="O156" s="321" t="e">
        <f t="shared" si="10"/>
        <v>#N/A</v>
      </c>
      <c r="P156" s="321" t="e">
        <f t="shared" si="11"/>
        <v>#N/A</v>
      </c>
      <c r="Q156" s="321" t="e">
        <f>P156*Settings!$D$24+O156*Settings!$C$24+N156</f>
        <v>#N/A</v>
      </c>
    </row>
    <row r="157" spans="2:17" x14ac:dyDescent="0.25">
      <c r="B157" s="431"/>
      <c r="C157" s="427"/>
      <c r="D157" s="441"/>
      <c r="E157" s="441"/>
      <c r="F157" s="91" t="str">
        <f t="shared" si="8"/>
        <v/>
      </c>
      <c r="G157" s="441"/>
      <c r="H157" s="441"/>
      <c r="I157" s="91" t="e">
        <f>VLOOKUP(F157,Settings!$B$241:$E$280,3,FALSE)</f>
        <v>#N/A</v>
      </c>
      <c r="J157" s="92" t="e">
        <f>VLOOKUP(F157,Settings!$B$241:$C$280,2,FALSE)</f>
        <v>#N/A</v>
      </c>
      <c r="K157" s="83" t="e">
        <f>VLOOKUP(I157,Settings!$C$69:$F$74,2,FALSE)</f>
        <v>#N/A</v>
      </c>
      <c r="L157" s="83" t="e">
        <f>VLOOKUP(I157,Settings!$C$69:$F$74,3,FALSE)</f>
        <v>#N/A</v>
      </c>
      <c r="M157" s="83" t="e">
        <f>VLOOKUP(I157,Settings!$C$69:$F$74,4,FALSE)</f>
        <v>#N/A</v>
      </c>
      <c r="N157" s="321" t="e">
        <f t="shared" si="9"/>
        <v>#N/A</v>
      </c>
      <c r="O157" s="321" t="e">
        <f t="shared" si="10"/>
        <v>#N/A</v>
      </c>
      <c r="P157" s="321" t="e">
        <f t="shared" si="11"/>
        <v>#N/A</v>
      </c>
      <c r="Q157" s="321" t="e">
        <f>P157*Settings!$D$24+O157*Settings!$C$24+N157</f>
        <v>#N/A</v>
      </c>
    </row>
    <row r="158" spans="2:17" x14ac:dyDescent="0.25">
      <c r="B158" s="431"/>
      <c r="C158" s="427"/>
      <c r="D158" s="441"/>
      <c r="E158" s="441"/>
      <c r="F158" s="91" t="str">
        <f t="shared" si="8"/>
        <v/>
      </c>
      <c r="G158" s="441"/>
      <c r="H158" s="441"/>
      <c r="I158" s="91" t="e">
        <f>VLOOKUP(F158,Settings!$B$241:$E$280,3,FALSE)</f>
        <v>#N/A</v>
      </c>
      <c r="J158" s="92" t="e">
        <f>VLOOKUP(F158,Settings!$B$241:$C$280,2,FALSE)</f>
        <v>#N/A</v>
      </c>
      <c r="K158" s="83" t="e">
        <f>VLOOKUP(I158,Settings!$C$69:$F$74,2,FALSE)</f>
        <v>#N/A</v>
      </c>
      <c r="L158" s="83" t="e">
        <f>VLOOKUP(I158,Settings!$C$69:$F$74,3,FALSE)</f>
        <v>#N/A</v>
      </c>
      <c r="M158" s="83" t="e">
        <f>VLOOKUP(I158,Settings!$C$69:$F$74,4,FALSE)</f>
        <v>#N/A</v>
      </c>
      <c r="N158" s="321" t="e">
        <f t="shared" si="9"/>
        <v>#N/A</v>
      </c>
      <c r="O158" s="321" t="e">
        <f t="shared" si="10"/>
        <v>#N/A</v>
      </c>
      <c r="P158" s="321" t="e">
        <f t="shared" si="11"/>
        <v>#N/A</v>
      </c>
      <c r="Q158" s="321" t="e">
        <f>P158*Settings!$D$24+O158*Settings!$C$24+N158</f>
        <v>#N/A</v>
      </c>
    </row>
    <row r="159" spans="2:17" x14ac:dyDescent="0.25">
      <c r="B159" s="431"/>
      <c r="C159" s="427"/>
      <c r="D159" s="441"/>
      <c r="E159" s="441"/>
      <c r="F159" s="91" t="str">
        <f t="shared" si="8"/>
        <v/>
      </c>
      <c r="G159" s="441"/>
      <c r="H159" s="441"/>
      <c r="I159" s="91" t="e">
        <f>VLOOKUP(F159,Settings!$B$241:$E$280,3,FALSE)</f>
        <v>#N/A</v>
      </c>
      <c r="J159" s="92" t="e">
        <f>VLOOKUP(F159,Settings!$B$241:$C$280,2,FALSE)</f>
        <v>#N/A</v>
      </c>
      <c r="K159" s="83" t="e">
        <f>VLOOKUP(I159,Settings!$C$69:$F$74,2,FALSE)</f>
        <v>#N/A</v>
      </c>
      <c r="L159" s="83" t="e">
        <f>VLOOKUP(I159,Settings!$C$69:$F$74,3,FALSE)</f>
        <v>#N/A</v>
      </c>
      <c r="M159" s="83" t="e">
        <f>VLOOKUP(I159,Settings!$C$69:$F$74,4,FALSE)</f>
        <v>#N/A</v>
      </c>
      <c r="N159" s="321" t="e">
        <f t="shared" si="9"/>
        <v>#N/A</v>
      </c>
      <c r="O159" s="321" t="e">
        <f t="shared" si="10"/>
        <v>#N/A</v>
      </c>
      <c r="P159" s="321" t="e">
        <f t="shared" si="11"/>
        <v>#N/A</v>
      </c>
      <c r="Q159" s="321" t="e">
        <f>P159*Settings!$D$24+O159*Settings!$C$24+N159</f>
        <v>#N/A</v>
      </c>
    </row>
    <row r="160" spans="2:17" x14ac:dyDescent="0.25">
      <c r="B160" s="431"/>
      <c r="C160" s="427"/>
      <c r="D160" s="441"/>
      <c r="E160" s="441"/>
      <c r="F160" s="91" t="str">
        <f t="shared" si="8"/>
        <v/>
      </c>
      <c r="G160" s="441"/>
      <c r="H160" s="441"/>
      <c r="I160" s="91" t="e">
        <f>VLOOKUP(F160,Settings!$B$241:$E$280,3,FALSE)</f>
        <v>#N/A</v>
      </c>
      <c r="J160" s="92" t="e">
        <f>VLOOKUP(F160,Settings!$B$241:$C$280,2,FALSE)</f>
        <v>#N/A</v>
      </c>
      <c r="K160" s="83" t="e">
        <f>VLOOKUP(I160,Settings!$C$69:$F$74,2,FALSE)</f>
        <v>#N/A</v>
      </c>
      <c r="L160" s="83" t="e">
        <f>VLOOKUP(I160,Settings!$C$69:$F$74,3,FALSE)</f>
        <v>#N/A</v>
      </c>
      <c r="M160" s="83" t="e">
        <f>VLOOKUP(I160,Settings!$C$69:$F$74,4,FALSE)</f>
        <v>#N/A</v>
      </c>
      <c r="N160" s="321" t="e">
        <f t="shared" si="9"/>
        <v>#N/A</v>
      </c>
      <c r="O160" s="321" t="e">
        <f t="shared" si="10"/>
        <v>#N/A</v>
      </c>
      <c r="P160" s="321" t="e">
        <f t="shared" si="11"/>
        <v>#N/A</v>
      </c>
      <c r="Q160" s="321" t="e">
        <f>P160*Settings!$D$24+O160*Settings!$C$24+N160</f>
        <v>#N/A</v>
      </c>
    </row>
    <row r="161" spans="2:17" x14ac:dyDescent="0.25">
      <c r="B161" s="431"/>
      <c r="C161" s="427"/>
      <c r="D161" s="441"/>
      <c r="E161" s="441"/>
      <c r="F161" s="91" t="str">
        <f t="shared" si="8"/>
        <v/>
      </c>
      <c r="G161" s="441"/>
      <c r="H161" s="441"/>
      <c r="I161" s="91" t="e">
        <f>VLOOKUP(F161,Settings!$B$241:$E$280,3,FALSE)</f>
        <v>#N/A</v>
      </c>
      <c r="J161" s="92" t="e">
        <f>VLOOKUP(F161,Settings!$B$241:$C$280,2,FALSE)</f>
        <v>#N/A</v>
      </c>
      <c r="K161" s="83" t="e">
        <f>VLOOKUP(I161,Settings!$C$69:$F$74,2,FALSE)</f>
        <v>#N/A</v>
      </c>
      <c r="L161" s="83" t="e">
        <f>VLOOKUP(I161,Settings!$C$69:$F$74,3,FALSE)</f>
        <v>#N/A</v>
      </c>
      <c r="M161" s="83" t="e">
        <f>VLOOKUP(I161,Settings!$C$69:$F$74,4,FALSE)</f>
        <v>#N/A</v>
      </c>
      <c r="N161" s="321" t="e">
        <f t="shared" si="9"/>
        <v>#N/A</v>
      </c>
      <c r="O161" s="321" t="e">
        <f t="shared" si="10"/>
        <v>#N/A</v>
      </c>
      <c r="P161" s="321" t="e">
        <f t="shared" si="11"/>
        <v>#N/A</v>
      </c>
      <c r="Q161" s="321" t="e">
        <f>P161*Settings!$D$24+O161*Settings!$C$24+N161</f>
        <v>#N/A</v>
      </c>
    </row>
    <row r="162" spans="2:17" x14ac:dyDescent="0.25">
      <c r="B162" s="431"/>
      <c r="C162" s="427"/>
      <c r="D162" s="441"/>
      <c r="E162" s="441"/>
      <c r="F162" s="91" t="str">
        <f t="shared" ref="F162:F167" si="12">_xlfn.TEXTJOIN("-",,D162,E162)</f>
        <v/>
      </c>
      <c r="G162" s="441"/>
      <c r="H162" s="441"/>
      <c r="I162" s="91" t="e">
        <f>VLOOKUP(F162,Settings!$B$241:$E$280,3,FALSE)</f>
        <v>#N/A</v>
      </c>
      <c r="J162" s="92" t="e">
        <f>VLOOKUP(F162,Settings!$B$241:$C$280,2,FALSE)</f>
        <v>#N/A</v>
      </c>
      <c r="K162" s="83" t="e">
        <f>VLOOKUP(I162,Settings!$C$69:$F$74,2,FALSE)</f>
        <v>#N/A</v>
      </c>
      <c r="L162" s="83" t="e">
        <f>VLOOKUP(I162,Settings!$C$69:$F$74,3,FALSE)</f>
        <v>#N/A</v>
      </c>
      <c r="M162" s="83" t="e">
        <f>VLOOKUP(I162,Settings!$C$69:$F$74,4,FALSE)</f>
        <v>#N/A</v>
      </c>
      <c r="N162" s="321" t="e">
        <f t="shared" ref="N162:N167" si="13">G162*H162*J162*K162</f>
        <v>#N/A</v>
      </c>
      <c r="O162" s="321" t="e">
        <f t="shared" ref="O162:O167" si="14">G162*H162*J162*L162</f>
        <v>#N/A</v>
      </c>
      <c r="P162" s="321" t="e">
        <f t="shared" ref="P162:P167" si="15">G162*H162*J162*M162</f>
        <v>#N/A</v>
      </c>
      <c r="Q162" s="321" t="e">
        <f>P162*Settings!$D$24+O162*Settings!$C$24+N162</f>
        <v>#N/A</v>
      </c>
    </row>
    <row r="163" spans="2:17" x14ac:dyDescent="0.25">
      <c r="B163" s="431"/>
      <c r="C163" s="427"/>
      <c r="D163" s="441"/>
      <c r="E163" s="441"/>
      <c r="F163" s="91" t="str">
        <f t="shared" si="12"/>
        <v/>
      </c>
      <c r="G163" s="441"/>
      <c r="H163" s="441"/>
      <c r="I163" s="91" t="e">
        <f>VLOOKUP(F163,Settings!$B$241:$E$280,3,FALSE)</f>
        <v>#N/A</v>
      </c>
      <c r="J163" s="92" t="e">
        <f>VLOOKUP(F163,Settings!$B$241:$C$280,2,FALSE)</f>
        <v>#N/A</v>
      </c>
      <c r="K163" s="83" t="e">
        <f>VLOOKUP(I163,Settings!$C$69:$F$74,2,FALSE)</f>
        <v>#N/A</v>
      </c>
      <c r="L163" s="83" t="e">
        <f>VLOOKUP(I163,Settings!$C$69:$F$74,3,FALSE)</f>
        <v>#N/A</v>
      </c>
      <c r="M163" s="83" t="e">
        <f>VLOOKUP(I163,Settings!$C$69:$F$74,4,FALSE)</f>
        <v>#N/A</v>
      </c>
      <c r="N163" s="321" t="e">
        <f t="shared" si="13"/>
        <v>#N/A</v>
      </c>
      <c r="O163" s="321" t="e">
        <f t="shared" si="14"/>
        <v>#N/A</v>
      </c>
      <c r="P163" s="321" t="e">
        <f t="shared" si="15"/>
        <v>#N/A</v>
      </c>
      <c r="Q163" s="321" t="e">
        <f>P163*Settings!$D$24+O163*Settings!$C$24+N163</f>
        <v>#N/A</v>
      </c>
    </row>
    <row r="164" spans="2:17" x14ac:dyDescent="0.25">
      <c r="B164" s="414"/>
      <c r="C164" s="425"/>
      <c r="D164" s="441"/>
      <c r="E164" s="441"/>
      <c r="F164" s="91" t="str">
        <f t="shared" si="12"/>
        <v/>
      </c>
      <c r="G164" s="441"/>
      <c r="H164" s="441"/>
      <c r="I164" s="91" t="e">
        <f>VLOOKUP(F164,Settings!$B$241:$E$280,3,FALSE)</f>
        <v>#N/A</v>
      </c>
      <c r="J164" s="92" t="e">
        <f>VLOOKUP(F164,Settings!$B$241:$C$280,2,FALSE)</f>
        <v>#N/A</v>
      </c>
      <c r="K164" s="83" t="e">
        <f>VLOOKUP(I164,Settings!$C$69:$F$74,2,FALSE)</f>
        <v>#N/A</v>
      </c>
      <c r="L164" s="83" t="e">
        <f>VLOOKUP(I164,Settings!$C$69:$F$74,3,FALSE)</f>
        <v>#N/A</v>
      </c>
      <c r="M164" s="83" t="e">
        <f>VLOOKUP(I164,Settings!$C$69:$F$74,4,FALSE)</f>
        <v>#N/A</v>
      </c>
      <c r="N164" s="321" t="e">
        <f t="shared" si="13"/>
        <v>#N/A</v>
      </c>
      <c r="O164" s="321" t="e">
        <f t="shared" si="14"/>
        <v>#N/A</v>
      </c>
      <c r="P164" s="321" t="e">
        <f t="shared" si="15"/>
        <v>#N/A</v>
      </c>
      <c r="Q164" s="321" t="e">
        <f>P164*Settings!$D$24+O164*Settings!$C$24+N164</f>
        <v>#N/A</v>
      </c>
    </row>
    <row r="165" spans="2:17" x14ac:dyDescent="0.25">
      <c r="B165" s="431"/>
      <c r="C165" s="427"/>
      <c r="D165" s="441"/>
      <c r="E165" s="441"/>
      <c r="F165" s="91" t="str">
        <f t="shared" si="12"/>
        <v/>
      </c>
      <c r="G165" s="441"/>
      <c r="H165" s="441"/>
      <c r="I165" s="91" t="e">
        <f>VLOOKUP(F165,Settings!$B$241:$E$280,3,FALSE)</f>
        <v>#N/A</v>
      </c>
      <c r="J165" s="92" t="e">
        <f>VLOOKUP(F165,Settings!$B$241:$C$280,2,FALSE)</f>
        <v>#N/A</v>
      </c>
      <c r="K165" s="83" t="e">
        <f>VLOOKUP(I165,Settings!$C$69:$F$74,2,FALSE)</f>
        <v>#N/A</v>
      </c>
      <c r="L165" s="83" t="e">
        <f>VLOOKUP(I165,Settings!$C$69:$F$74,3,FALSE)</f>
        <v>#N/A</v>
      </c>
      <c r="M165" s="83" t="e">
        <f>VLOOKUP(I165,Settings!$C$69:$F$74,4,FALSE)</f>
        <v>#N/A</v>
      </c>
      <c r="N165" s="321" t="e">
        <f t="shared" si="13"/>
        <v>#N/A</v>
      </c>
      <c r="O165" s="321" t="e">
        <f t="shared" si="14"/>
        <v>#N/A</v>
      </c>
      <c r="P165" s="321" t="e">
        <f t="shared" si="15"/>
        <v>#N/A</v>
      </c>
      <c r="Q165" s="321" t="e">
        <f>P165*Settings!$D$24+O165*Settings!$C$24+N165</f>
        <v>#N/A</v>
      </c>
    </row>
    <row r="166" spans="2:17" x14ac:dyDescent="0.25">
      <c r="B166" s="431"/>
      <c r="C166" s="427"/>
      <c r="D166" s="441"/>
      <c r="E166" s="441"/>
      <c r="F166" s="91" t="str">
        <f t="shared" si="12"/>
        <v/>
      </c>
      <c r="G166" s="441"/>
      <c r="H166" s="441"/>
      <c r="I166" s="91" t="e">
        <f>VLOOKUP(F166,Settings!$B$241:$E$280,3,FALSE)</f>
        <v>#N/A</v>
      </c>
      <c r="J166" s="92" t="e">
        <f>VLOOKUP(F166,Settings!$B$241:$C$280,2,FALSE)</f>
        <v>#N/A</v>
      </c>
      <c r="K166" s="83" t="e">
        <f>VLOOKUP(I166,Settings!$C$69:$F$74,2,FALSE)</f>
        <v>#N/A</v>
      </c>
      <c r="L166" s="83" t="e">
        <f>VLOOKUP(I166,Settings!$C$69:$F$74,3,FALSE)</f>
        <v>#N/A</v>
      </c>
      <c r="M166" s="83" t="e">
        <f>VLOOKUP(I166,Settings!$C$69:$F$74,4,FALSE)</f>
        <v>#N/A</v>
      </c>
      <c r="N166" s="321" t="e">
        <f t="shared" si="13"/>
        <v>#N/A</v>
      </c>
      <c r="O166" s="321" t="e">
        <f t="shared" si="14"/>
        <v>#N/A</v>
      </c>
      <c r="P166" s="321" t="e">
        <f t="shared" si="15"/>
        <v>#N/A</v>
      </c>
      <c r="Q166" s="321" t="e">
        <f>P166*Settings!$D$24+O166*Settings!$C$24+N166</f>
        <v>#N/A</v>
      </c>
    </row>
    <row r="167" spans="2:17" x14ac:dyDescent="0.25">
      <c r="B167" s="414"/>
      <c r="C167" s="425"/>
      <c r="D167" s="441"/>
      <c r="E167" s="441"/>
      <c r="F167" s="91" t="str">
        <f t="shared" si="12"/>
        <v/>
      </c>
      <c r="G167" s="441"/>
      <c r="H167" s="441"/>
      <c r="I167" s="91" t="e">
        <f>VLOOKUP(F167,Settings!$B$241:$E$280,3,FALSE)</f>
        <v>#N/A</v>
      </c>
      <c r="J167" s="92" t="e">
        <f>VLOOKUP(F167,Settings!$B$241:$C$280,2,FALSE)</f>
        <v>#N/A</v>
      </c>
      <c r="K167" s="83" t="e">
        <f>VLOOKUP(I167,Settings!$C$69:$F$74,2,FALSE)</f>
        <v>#N/A</v>
      </c>
      <c r="L167" s="83" t="e">
        <f>VLOOKUP(I167,Settings!$C$69:$F$74,3,FALSE)</f>
        <v>#N/A</v>
      </c>
      <c r="M167" s="83" t="e">
        <f>VLOOKUP(I167,Settings!$C$69:$F$74,4,FALSE)</f>
        <v>#N/A</v>
      </c>
      <c r="N167" s="321" t="e">
        <f t="shared" si="13"/>
        <v>#N/A</v>
      </c>
      <c r="O167" s="321" t="e">
        <f t="shared" si="14"/>
        <v>#N/A</v>
      </c>
      <c r="P167" s="321" t="e">
        <f t="shared" si="15"/>
        <v>#N/A</v>
      </c>
      <c r="Q167" s="321" t="e">
        <f>P167*Settings!$D$24+O167*Settings!$C$24+N167</f>
        <v>#N/A</v>
      </c>
    </row>
    <row r="168" spans="2:17" ht="30" customHeight="1" x14ac:dyDescent="0.25">
      <c r="B168" s="391"/>
      <c r="C168" s="391"/>
      <c r="D168" s="391"/>
      <c r="E168" s="391"/>
      <c r="F168" s="391"/>
      <c r="G168" s="391"/>
      <c r="H168" s="391"/>
      <c r="I168" s="391"/>
      <c r="J168" s="378"/>
      <c r="K168" s="418"/>
      <c r="L168" s="418"/>
      <c r="M168" s="418"/>
      <c r="N168" s="394">
        <f>_xlfn.AGGREGATE(9,6,N70:N167)</f>
        <v>235.71099022652103</v>
      </c>
      <c r="O168" s="394">
        <f>_xlfn.AGGREGATE(9,6,O70:O167)</f>
        <v>9.8262944367144968E-4</v>
      </c>
      <c r="P168" s="394">
        <f>_xlfn.AGGREGATE(9,6,P70:P167)</f>
        <v>7.5078910384510445E-3</v>
      </c>
      <c r="Q168" s="394">
        <f>_xlfn.AGGREGATE(9,6,Q70:Q167)</f>
        <v>237.78717547499738</v>
      </c>
    </row>
    <row r="172" spans="2:17" ht="30" customHeight="1" x14ac:dyDescent="0.25">
      <c r="L172" s="381" t="s">
        <v>1170</v>
      </c>
      <c r="M172" s="381"/>
      <c r="N172" s="381"/>
      <c r="O172" s="381"/>
      <c r="P172" s="381"/>
      <c r="Q172" s="381"/>
    </row>
    <row r="173" spans="2:17" x14ac:dyDescent="0.25">
      <c r="L173" s="1014" t="s">
        <v>329</v>
      </c>
      <c r="M173" s="1015" t="s">
        <v>335</v>
      </c>
      <c r="N173" s="1013" t="s">
        <v>406</v>
      </c>
      <c r="O173" s="1013"/>
      <c r="P173" s="1013"/>
      <c r="Q173" s="1013"/>
    </row>
    <row r="174" spans="2:17" x14ac:dyDescent="0.25">
      <c r="L174" s="1008"/>
      <c r="M174" s="1016"/>
      <c r="N174" s="419" t="s">
        <v>219</v>
      </c>
      <c r="O174" s="419" t="s">
        <v>220</v>
      </c>
      <c r="P174" s="419" t="s">
        <v>221</v>
      </c>
      <c r="Q174" s="355" t="s">
        <v>222</v>
      </c>
    </row>
    <row r="175" spans="2:17" x14ac:dyDescent="0.25">
      <c r="L175" s="353" t="s">
        <v>1844</v>
      </c>
      <c r="M175" s="91" t="s">
        <v>337</v>
      </c>
      <c r="N175" s="21">
        <f t="shared" ref="N175:N182" si="16">SUMIF($B$10:$B$62,M175,$N$10:$N$62)+SUMIF($B$70:$B$167,M175,$N$70:$N$167)</f>
        <v>22680.525447011176</v>
      </c>
      <c r="O175" s="21">
        <f t="shared" ref="O175:O182" si="17">SUMIF($B$10:$B$62,M175,$O$10:$O$62)+SUMIF($B$70:$B$167,M175,$O$70:$O$167)</f>
        <v>3.03263783139954E-5</v>
      </c>
      <c r="P175" s="21">
        <f t="shared" ref="P175:P182" si="18">SUMIF($B$10:$B$62,M175,$P$10:$P$62)+SUMIF($B$70:$B$167,M175,$P$70:$P$167)</f>
        <v>2.1426697142953391E-4</v>
      </c>
      <c r="Q175" s="21">
        <f t="shared" ref="Q175:Q182" si="19">SUMIF($B$10:$B$62,M175,$Q$10:$Q$62)+SUMIF($B$70:$B$167,M175,$Q$70:$Q$167)</f>
        <v>22680.584760706595</v>
      </c>
    </row>
    <row r="176" spans="2:17" x14ac:dyDescent="0.25">
      <c r="L176" s="353" t="s">
        <v>1845</v>
      </c>
      <c r="M176" s="91" t="s">
        <v>338</v>
      </c>
      <c r="N176" s="21">
        <f t="shared" si="16"/>
        <v>10484.414626697246</v>
      </c>
      <c r="O176" s="21">
        <f t="shared" si="17"/>
        <v>8.3217926030013805E-5</v>
      </c>
      <c r="P176" s="21">
        <f t="shared" si="18"/>
        <v>6.1848115854647894E-4</v>
      </c>
      <c r="Q176" s="21">
        <f t="shared" si="19"/>
        <v>10484.585718937531</v>
      </c>
    </row>
    <row r="177" spans="12:17" x14ac:dyDescent="0.25">
      <c r="L177" s="353" t="s">
        <v>1846</v>
      </c>
      <c r="M177" s="91" t="s">
        <v>339</v>
      </c>
      <c r="N177" s="21">
        <f t="shared" si="16"/>
        <v>3511.9684958500275</v>
      </c>
      <c r="O177" s="21">
        <f t="shared" si="17"/>
        <v>9.6469601863057792E-5</v>
      </c>
      <c r="P177" s="21">
        <f t="shared" si="18"/>
        <v>7.6484146616873593E-4</v>
      </c>
      <c r="Q177" s="21">
        <f t="shared" si="19"/>
        <v>3512.179902249542</v>
      </c>
    </row>
    <row r="178" spans="12:17" x14ac:dyDescent="0.25">
      <c r="L178" s="353" t="s">
        <v>1847</v>
      </c>
      <c r="M178" s="91" t="s">
        <v>340</v>
      </c>
      <c r="N178" s="21">
        <f t="shared" si="16"/>
        <v>38379.846792850207</v>
      </c>
      <c r="O178" s="21">
        <f t="shared" si="17"/>
        <v>4.7482685473592198E-5</v>
      </c>
      <c r="P178" s="21">
        <f t="shared" si="18"/>
        <v>3.0846927991180664E-4</v>
      </c>
      <c r="Q178" s="21">
        <f t="shared" si="19"/>
        <v>38379.932286996125</v>
      </c>
    </row>
    <row r="179" spans="12:17" x14ac:dyDescent="0.25">
      <c r="L179" s="353" t="s">
        <v>1848</v>
      </c>
      <c r="M179" s="91" t="s">
        <v>341</v>
      </c>
      <c r="N179" s="21">
        <f t="shared" si="16"/>
        <v>10470.710085597533</v>
      </c>
      <c r="O179" s="21">
        <f t="shared" si="17"/>
        <v>2.7431428571603162E-5</v>
      </c>
      <c r="P179" s="21">
        <f t="shared" si="18"/>
        <v>1.9998219328936051E-4</v>
      </c>
      <c r="Q179" s="21">
        <f t="shared" si="19"/>
        <v>10470.765421384871</v>
      </c>
    </row>
    <row r="180" spans="12:17" x14ac:dyDescent="0.25">
      <c r="L180" s="353" t="s">
        <v>1849</v>
      </c>
      <c r="M180" s="91" t="s">
        <v>342</v>
      </c>
      <c r="N180" s="21">
        <f t="shared" si="16"/>
        <v>17441.821472599317</v>
      </c>
      <c r="O180" s="21">
        <f t="shared" si="17"/>
        <v>7.2317043438535991E-6</v>
      </c>
      <c r="P180" s="21">
        <f t="shared" si="18"/>
        <v>3.1485710936037282E-5</v>
      </c>
      <c r="Q180" s="21">
        <f t="shared" si="19"/>
        <v>17441.830263454423</v>
      </c>
    </row>
    <row r="181" spans="12:17" x14ac:dyDescent="0.25">
      <c r="L181" s="353" t="s">
        <v>1850</v>
      </c>
      <c r="M181" s="91" t="s">
        <v>343</v>
      </c>
      <c r="N181" s="21">
        <f t="shared" si="16"/>
        <v>49033.680929543974</v>
      </c>
      <c r="O181" s="21">
        <f t="shared" si="17"/>
        <v>8.291025190949586E-4</v>
      </c>
      <c r="P181" s="21">
        <f t="shared" si="18"/>
        <v>6.3059203222703168E-3</v>
      </c>
      <c r="Q181" s="21">
        <f t="shared" si="19"/>
        <v>49035.424831559969</v>
      </c>
    </row>
    <row r="182" spans="12:17" x14ac:dyDescent="0.25">
      <c r="L182" s="353" t="s">
        <v>1851</v>
      </c>
      <c r="M182" s="91" t="s">
        <v>510</v>
      </c>
      <c r="N182" s="21">
        <f t="shared" si="16"/>
        <v>552943.65189725824</v>
      </c>
      <c r="O182" s="21">
        <f t="shared" si="17"/>
        <v>2.6861912980374728E-4</v>
      </c>
      <c r="P182" s="21">
        <f t="shared" si="18"/>
        <v>1.9582876437829679E-3</v>
      </c>
      <c r="Q182" s="21">
        <f t="shared" si="19"/>
        <v>552944.19376250159</v>
      </c>
    </row>
    <row r="183" spans="12:17" ht="30" customHeight="1" x14ac:dyDescent="0.25">
      <c r="L183" s="355" t="s">
        <v>410</v>
      </c>
      <c r="M183" s="378"/>
      <c r="N183" s="135">
        <f t="shared" ref="N183:P183" si="20">_xlfn.AGGREGATE(9,6,N175:N182)</f>
        <v>704946.61974740773</v>
      </c>
      <c r="O183" s="135">
        <f t="shared" si="20"/>
        <v>1.3898813734948218E-3</v>
      </c>
      <c r="P183" s="135">
        <f t="shared" si="20"/>
        <v>1.0401734746335238E-2</v>
      </c>
      <c r="Q183" s="135">
        <f>_xlfn.AGGREGATE(9,6,Q175:Q182)</f>
        <v>704949.49694779061</v>
      </c>
    </row>
  </sheetData>
  <protectedRanges>
    <protectedRange sqref="G70:H167" name="Range3"/>
    <protectedRange sqref="B70:E167" name="Range2"/>
    <protectedRange sqref="J10:J62" name="Range1"/>
  </protectedRanges>
  <mergeCells count="20">
    <mergeCell ref="B8:B9"/>
    <mergeCell ref="J8:J9"/>
    <mergeCell ref="B68:B69"/>
    <mergeCell ref="E68:E69"/>
    <mergeCell ref="G68:G69"/>
    <mergeCell ref="J68:J69"/>
    <mergeCell ref="D68:D69"/>
    <mergeCell ref="F68:F69"/>
    <mergeCell ref="H68:H69"/>
    <mergeCell ref="I8:I9"/>
    <mergeCell ref="I68:I69"/>
    <mergeCell ref="C68:C69"/>
    <mergeCell ref="C8:H9"/>
    <mergeCell ref="N173:Q173"/>
    <mergeCell ref="L173:L174"/>
    <mergeCell ref="M173:M174"/>
    <mergeCell ref="K8:M8"/>
    <mergeCell ref="K68:M68"/>
    <mergeCell ref="N8:Q8"/>
    <mergeCell ref="N68:Q68"/>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B3460004-300D-4059-8D48-20B5D8D2B202}">
          <x14:formula1>
            <xm:f>Settings!$B$341:$B$348</xm:f>
          </x14:formula1>
          <xm:sqref>L175:M182 B70:B167 B10:B62</xm:sqref>
        </x14:dataValidation>
        <x14:dataValidation type="list" allowBlank="1" showInputMessage="1" showErrorMessage="1" xr:uid="{E922557A-AFAE-4F52-A698-58A207094F83}">
          <x14:formula1>
            <xm:f>Settings!$C$69:$C$74</xm:f>
          </x14:formula1>
          <xm:sqref>I10:I62</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A46B0-FE25-4443-B91B-A0CD30F09BB6}">
  <dimension ref="B4:M200"/>
  <sheetViews>
    <sheetView rightToLeft="1" zoomScale="85" zoomScaleNormal="85" workbookViewId="0">
      <selection activeCell="E163" sqref="E163"/>
    </sheetView>
  </sheetViews>
  <sheetFormatPr defaultColWidth="9.09765625" defaultRowHeight="16.2" x14ac:dyDescent="0.25"/>
  <cols>
    <col min="1" max="1" width="12.09765625" style="3" customWidth="1"/>
    <col min="2" max="2" width="18.296875" style="24" customWidth="1"/>
    <col min="3" max="3" width="29.19921875" style="3" customWidth="1"/>
    <col min="4" max="4" width="13.19921875" style="3" customWidth="1"/>
    <col min="5" max="5" width="34" style="3" bestFit="1" customWidth="1"/>
    <col min="6" max="6" width="12.3984375" style="3" customWidth="1"/>
    <col min="7" max="7" width="17.3984375" style="3" customWidth="1"/>
    <col min="8" max="8" width="8.296875" style="3" customWidth="1"/>
    <col min="9" max="9" width="23" style="3" customWidth="1"/>
    <col min="10" max="10" width="14.09765625" style="24" customWidth="1"/>
    <col min="11" max="11" width="16.8984375" style="3" customWidth="1"/>
    <col min="12" max="12" width="24.19921875" style="3" customWidth="1"/>
    <col min="13" max="13" width="26.8984375" style="24" customWidth="1"/>
    <col min="14" max="16384" width="9.09765625" style="3"/>
  </cols>
  <sheetData>
    <row r="4" spans="2:13" ht="16.2" customHeight="1" x14ac:dyDescent="0.25"/>
    <row r="5" spans="2:13" ht="16.2" customHeight="1" x14ac:dyDescent="0.25"/>
    <row r="6" spans="2:13" ht="16.2" customHeight="1" x14ac:dyDescent="0.25"/>
    <row r="7" spans="2:13" s="279" customFormat="1" ht="30" customHeight="1" x14ac:dyDescent="0.25">
      <c r="B7" s="370" t="s">
        <v>619</v>
      </c>
      <c r="C7" s="371"/>
      <c r="D7" s="371"/>
      <c r="E7" s="371"/>
      <c r="F7" s="371"/>
      <c r="G7" s="371"/>
      <c r="H7" s="371"/>
      <c r="I7" s="371"/>
      <c r="J7" s="371"/>
      <c r="K7" s="371"/>
      <c r="L7" s="372"/>
    </row>
    <row r="8" spans="2:13" s="80" customFormat="1" ht="30" customHeight="1" x14ac:dyDescent="0.25">
      <c r="B8" s="374" t="s">
        <v>335</v>
      </c>
      <c r="C8" s="374" t="s">
        <v>411</v>
      </c>
      <c r="D8" s="374" t="s">
        <v>398</v>
      </c>
      <c r="E8" s="374" t="s">
        <v>399</v>
      </c>
      <c r="F8" s="374" t="s">
        <v>400</v>
      </c>
      <c r="G8" s="374" t="s">
        <v>401</v>
      </c>
      <c r="H8" s="374" t="s">
        <v>402</v>
      </c>
      <c r="I8" s="374" t="s">
        <v>1172</v>
      </c>
      <c r="J8" s="374" t="s">
        <v>1168</v>
      </c>
      <c r="K8" s="374" t="s">
        <v>1169</v>
      </c>
      <c r="L8" s="374" t="s">
        <v>716</v>
      </c>
    </row>
    <row r="9" spans="2:13" ht="17.25" customHeight="1" x14ac:dyDescent="0.25">
      <c r="B9" s="442" t="str">
        <f>VLOOKUP(D9,'Unit List'!$B$9:$E$241,4,0)</f>
        <v>Iron Making</v>
      </c>
      <c r="C9" s="442" t="str">
        <f>VLOOKUP(D9,'Unit List'!$B$9:$D$241,3,0)</f>
        <v>Direct Reduction</v>
      </c>
      <c r="D9" s="736">
        <v>1310</v>
      </c>
      <c r="E9" s="737" t="s">
        <v>319</v>
      </c>
      <c r="F9" s="738" t="s">
        <v>318</v>
      </c>
      <c r="G9" s="386">
        <v>1203870.004</v>
      </c>
      <c r="H9" s="443" t="s">
        <v>490</v>
      </c>
      <c r="I9" s="444" t="s">
        <v>465</v>
      </c>
      <c r="J9" s="702">
        <f>VLOOKUP(I9,Settings!$B$287:$D$329,3,FALSE)</f>
        <v>0.33660000000000001</v>
      </c>
      <c r="K9" s="283">
        <f t="shared" ref="K9:K40" si="0">G9*J9</f>
        <v>405222.6433464</v>
      </c>
      <c r="L9" s="445" t="s">
        <v>782</v>
      </c>
      <c r="M9" s="3"/>
    </row>
    <row r="10" spans="2:13" ht="17.25" customHeight="1" x14ac:dyDescent="0.25">
      <c r="B10" s="442" t="str">
        <f>VLOOKUP(D10,'Unit List'!$B$9:$E$241,4,0)</f>
        <v>Iron Making</v>
      </c>
      <c r="C10" s="442" t="str">
        <f>VLOOKUP(D10,'Unit List'!$B$9:$D$241,3,0)</f>
        <v>Direct Reduction</v>
      </c>
      <c r="D10" s="736">
        <v>1315</v>
      </c>
      <c r="E10" s="737" t="s">
        <v>319</v>
      </c>
      <c r="F10" s="739" t="s">
        <v>318</v>
      </c>
      <c r="G10" s="386">
        <v>565966.17200000002</v>
      </c>
      <c r="H10" s="443" t="s">
        <v>490</v>
      </c>
      <c r="I10" s="444" t="s">
        <v>465</v>
      </c>
      <c r="J10" s="702">
        <f>VLOOKUP(I10,Settings!$B$287:$D$329,3,FALSE)</f>
        <v>0.33660000000000001</v>
      </c>
      <c r="K10" s="41">
        <f t="shared" si="0"/>
        <v>190504.21349520001</v>
      </c>
      <c r="L10" s="385" t="s">
        <v>783</v>
      </c>
      <c r="M10" s="3"/>
    </row>
    <row r="11" spans="2:13" ht="17.25" customHeight="1" x14ac:dyDescent="0.25">
      <c r="B11" s="442" t="str">
        <f>VLOOKUP(D11,'Unit List'!$B$9:$E$241,4,0)</f>
        <v>Iron Making</v>
      </c>
      <c r="C11" s="442" t="str">
        <f>VLOOKUP(D11,'Unit List'!$B$9:$D$241,3,0)</f>
        <v>Lime Making</v>
      </c>
      <c r="D11" s="414">
        <v>1120</v>
      </c>
      <c r="E11" s="733" t="s">
        <v>1949</v>
      </c>
      <c r="F11" s="376" t="s">
        <v>61</v>
      </c>
      <c r="G11" s="386">
        <v>386525</v>
      </c>
      <c r="H11" s="354" t="s">
        <v>299</v>
      </c>
      <c r="I11" s="376" t="s">
        <v>470</v>
      </c>
      <c r="J11" s="702">
        <f>VLOOKUP(I11,Settings!$B$287:$D$329,3,FALSE)</f>
        <v>3.1732790000000002E-3</v>
      </c>
      <c r="K11" s="41">
        <f t="shared" si="0"/>
        <v>1226.5516654750002</v>
      </c>
      <c r="L11" s="174" t="s">
        <v>721</v>
      </c>
      <c r="M11" s="3"/>
    </row>
    <row r="12" spans="2:13" ht="17.25" customHeight="1" x14ac:dyDescent="0.25">
      <c r="B12" s="442" t="str">
        <f>VLOOKUP(D12,'Unit List'!$B$9:$E$241,4,0)</f>
        <v>Iron Making</v>
      </c>
      <c r="C12" s="442" t="str">
        <f>VLOOKUP(D12,'Unit List'!$B$9:$D$241,3,0)</f>
        <v>Lime Making</v>
      </c>
      <c r="D12" s="414">
        <v>1120</v>
      </c>
      <c r="E12" s="733" t="s">
        <v>62</v>
      </c>
      <c r="F12" s="376" t="s">
        <v>63</v>
      </c>
      <c r="G12" s="386">
        <v>202690</v>
      </c>
      <c r="H12" s="354" t="s">
        <v>299</v>
      </c>
      <c r="I12" s="376" t="s">
        <v>473</v>
      </c>
      <c r="J12" s="702">
        <f>VLOOKUP(I12,Settings!$B$287:$D$329,3,FALSE)</f>
        <v>1.0460670000000001</v>
      </c>
      <c r="K12" s="41">
        <f t="shared" si="0"/>
        <v>212027.32023000001</v>
      </c>
      <c r="L12" s="174" t="s">
        <v>721</v>
      </c>
      <c r="M12" s="3"/>
    </row>
    <row r="13" spans="2:13" ht="17.25" customHeight="1" x14ac:dyDescent="0.25">
      <c r="B13" s="442" t="str">
        <f>VLOOKUP(D13,'Unit List'!$B$9:$E$241,4,0)</f>
        <v>Iron Making</v>
      </c>
      <c r="C13" s="442" t="str">
        <f>VLOOKUP(D13,'Unit List'!$B$9:$D$241,3,0)</f>
        <v>Lime Making</v>
      </c>
      <c r="D13" s="414">
        <v>1120</v>
      </c>
      <c r="E13" s="733" t="s">
        <v>64</v>
      </c>
      <c r="F13" s="376" t="s">
        <v>65</v>
      </c>
      <c r="G13" s="386">
        <v>65532</v>
      </c>
      <c r="H13" s="354" t="s">
        <v>299</v>
      </c>
      <c r="I13" s="376" t="s">
        <v>473</v>
      </c>
      <c r="J13" s="702">
        <f>VLOOKUP(I13,Settings!$B$287:$D$329,3,FALSE)</f>
        <v>1.0460670000000001</v>
      </c>
      <c r="K13" s="41">
        <f t="shared" si="0"/>
        <v>68550.862644000008</v>
      </c>
      <c r="L13" s="174" t="s">
        <v>721</v>
      </c>
      <c r="M13" s="3"/>
    </row>
    <row r="14" spans="2:13" x14ac:dyDescent="0.25">
      <c r="B14" s="442" t="str">
        <f>VLOOKUP(D14,'Unit List'!$B$9:$E$241,4,0)</f>
        <v>Iron Making</v>
      </c>
      <c r="C14" s="442" t="str">
        <f>VLOOKUP(D14,'Unit List'!$B$9:$D$241,3,0)</f>
        <v>Dolomite Making</v>
      </c>
      <c r="D14" s="414">
        <v>1140</v>
      </c>
      <c r="E14" s="733" t="s">
        <v>66</v>
      </c>
      <c r="F14" s="376" t="s">
        <v>67</v>
      </c>
      <c r="G14" s="386">
        <v>229203.74000000002</v>
      </c>
      <c r="H14" s="354" t="s">
        <v>299</v>
      </c>
      <c r="I14" s="376" t="s">
        <v>1174</v>
      </c>
      <c r="J14" s="702">
        <f>VLOOKUP(I14,Settings!$B$287:$D$329,3,FALSE)</f>
        <v>0</v>
      </c>
      <c r="K14" s="41">
        <f t="shared" si="0"/>
        <v>0</v>
      </c>
      <c r="L14" s="174" t="s">
        <v>722</v>
      </c>
      <c r="M14" s="3"/>
    </row>
    <row r="15" spans="2:13" x14ac:dyDescent="0.25">
      <c r="B15" s="442" t="str">
        <f>VLOOKUP(D15,'Unit List'!$B$9:$E$241,4,0)</f>
        <v>Iron Making</v>
      </c>
      <c r="C15" s="442" t="str">
        <f>VLOOKUP(D15,'Unit List'!$B$9:$D$241,3,0)</f>
        <v>Dolomite Making</v>
      </c>
      <c r="D15" s="414">
        <v>1140</v>
      </c>
      <c r="E15" s="733" t="s">
        <v>105</v>
      </c>
      <c r="F15" s="376" t="s">
        <v>68</v>
      </c>
      <c r="G15" s="386">
        <v>63986.259999999987</v>
      </c>
      <c r="H15" s="354" t="s">
        <v>299</v>
      </c>
      <c r="I15" s="376" t="s">
        <v>471</v>
      </c>
      <c r="J15" s="702">
        <f>VLOOKUP(I15,Settings!$B$287:$D$329,3,FALSE)</f>
        <v>0.12350643</v>
      </c>
      <c r="K15" s="41">
        <f t="shared" si="0"/>
        <v>7902.7145416517988</v>
      </c>
      <c r="L15" s="174" t="s">
        <v>721</v>
      </c>
      <c r="M15" s="3"/>
    </row>
    <row r="16" spans="2:13" x14ac:dyDescent="0.25">
      <c r="B16" s="442" t="str">
        <f>VLOOKUP(D16,'Unit List'!$B$9:$E$241,4,0)</f>
        <v>Iron Making</v>
      </c>
      <c r="C16" s="442" t="str">
        <f>VLOOKUP(D16,'Unit List'!$B$9:$D$241,3,0)</f>
        <v>Pelletizing</v>
      </c>
      <c r="D16" s="414">
        <v>1210</v>
      </c>
      <c r="E16" s="733" t="s">
        <v>1950</v>
      </c>
      <c r="F16" s="376" t="s">
        <v>69</v>
      </c>
      <c r="G16" s="386">
        <v>3975299</v>
      </c>
      <c r="H16" s="354" t="s">
        <v>299</v>
      </c>
      <c r="I16" s="376" t="s">
        <v>468</v>
      </c>
      <c r="J16" s="702">
        <f>VLOOKUP(I16,Settings!$B$287:$D$329,3,FALSE)</f>
        <v>4.5920768000000001E-2</v>
      </c>
      <c r="K16" s="41">
        <f t="shared" si="0"/>
        <v>182548.783109632</v>
      </c>
      <c r="L16" s="174" t="s">
        <v>722</v>
      </c>
      <c r="M16" s="3"/>
    </row>
    <row r="17" spans="2:13" x14ac:dyDescent="0.25">
      <c r="B17" s="442" t="str">
        <f>VLOOKUP(D17,'Unit List'!$B$9:$E$241,4,0)</f>
        <v>Iron Making</v>
      </c>
      <c r="C17" s="442" t="str">
        <f>VLOOKUP(D17,'Unit List'!$B$9:$D$241,3,0)</f>
        <v>Pelletizing</v>
      </c>
      <c r="D17" s="414">
        <v>1210</v>
      </c>
      <c r="E17" s="733" t="s">
        <v>1951</v>
      </c>
      <c r="F17" s="376" t="s">
        <v>70</v>
      </c>
      <c r="G17" s="386">
        <v>2648076.202</v>
      </c>
      <c r="H17" s="354" t="s">
        <v>299</v>
      </c>
      <c r="I17" s="376" t="s">
        <v>468</v>
      </c>
      <c r="J17" s="702">
        <f>VLOOKUP(I17,Settings!$B$287:$D$329,3,FALSE)</f>
        <v>4.5920768000000001E-2</v>
      </c>
      <c r="K17" s="41">
        <f t="shared" si="0"/>
        <v>121601.69291836314</v>
      </c>
      <c r="L17" s="174" t="s">
        <v>722</v>
      </c>
      <c r="M17" s="3"/>
    </row>
    <row r="18" spans="2:13" x14ac:dyDescent="0.25">
      <c r="B18" s="442" t="str">
        <f>VLOOKUP(D18,'Unit List'!$B$9:$E$241,4,0)</f>
        <v>Iron Making</v>
      </c>
      <c r="C18" s="442" t="str">
        <f>VLOOKUP(D18,'Unit List'!$B$9:$D$241,3,0)</f>
        <v>Pelletizing</v>
      </c>
      <c r="D18" s="414">
        <v>1210</v>
      </c>
      <c r="E18" s="733" t="s">
        <v>1952</v>
      </c>
      <c r="F18" s="376" t="s">
        <v>71</v>
      </c>
      <c r="G18" s="386">
        <v>79279</v>
      </c>
      <c r="H18" s="354" t="s">
        <v>299</v>
      </c>
      <c r="I18" s="376" t="s">
        <v>468</v>
      </c>
      <c r="J18" s="702">
        <f>VLOOKUP(I18,Settings!$B$287:$D$329,3,FALSE)</f>
        <v>4.5920768000000001E-2</v>
      </c>
      <c r="K18" s="41">
        <f t="shared" si="0"/>
        <v>3640.5525662720001</v>
      </c>
      <c r="L18" s="174" t="s">
        <v>722</v>
      </c>
      <c r="M18" s="3"/>
    </row>
    <row r="19" spans="2:13" x14ac:dyDescent="0.25">
      <c r="B19" s="442" t="str">
        <f>VLOOKUP(D19,'Unit List'!$B$9:$E$241,4,0)</f>
        <v>Iron Making</v>
      </c>
      <c r="C19" s="442" t="str">
        <f>VLOOKUP(D19,'Unit List'!$B$9:$D$241,3,0)</f>
        <v>Pelletizing</v>
      </c>
      <c r="D19" s="414">
        <v>1210</v>
      </c>
      <c r="E19" s="733" t="s">
        <v>1953</v>
      </c>
      <c r="F19" s="376" t="s">
        <v>72</v>
      </c>
      <c r="G19" s="386">
        <v>646220</v>
      </c>
      <c r="H19" s="354" t="s">
        <v>299</v>
      </c>
      <c r="I19" s="376" t="s">
        <v>468</v>
      </c>
      <c r="J19" s="702">
        <f>VLOOKUP(I19,Settings!$B$287:$D$329,3,FALSE)</f>
        <v>4.5920768000000001E-2</v>
      </c>
      <c r="K19" s="41">
        <f t="shared" si="0"/>
        <v>29674.918696960001</v>
      </c>
      <c r="L19" s="174" t="s">
        <v>722</v>
      </c>
      <c r="M19" s="3"/>
    </row>
    <row r="20" spans="2:13" x14ac:dyDescent="0.25">
      <c r="B20" s="442" t="str">
        <f>VLOOKUP(D20,'Unit List'!$B$9:$E$241,4,0)</f>
        <v>Iron Making</v>
      </c>
      <c r="C20" s="442" t="str">
        <f>VLOOKUP(D20,'Unit List'!$B$9:$D$241,3,0)</f>
        <v>Pelletizing</v>
      </c>
      <c r="D20" s="414">
        <v>1210</v>
      </c>
      <c r="E20" s="733" t="s">
        <v>1954</v>
      </c>
      <c r="F20" s="376" t="s">
        <v>73</v>
      </c>
      <c r="G20" s="386">
        <v>0</v>
      </c>
      <c r="H20" s="354" t="s">
        <v>299</v>
      </c>
      <c r="I20" s="376" t="s">
        <v>468</v>
      </c>
      <c r="J20" s="702">
        <f>VLOOKUP(I20,Settings!$B$287:$D$329,3,FALSE)</f>
        <v>4.5920768000000001E-2</v>
      </c>
      <c r="K20" s="41">
        <f t="shared" si="0"/>
        <v>0</v>
      </c>
      <c r="L20" s="174" t="s">
        <v>722</v>
      </c>
      <c r="M20" s="3"/>
    </row>
    <row r="21" spans="2:13" x14ac:dyDescent="0.25">
      <c r="B21" s="442" t="str">
        <f>VLOOKUP(D21,'Unit List'!$B$9:$E$241,4,0)</f>
        <v>Iron Making</v>
      </c>
      <c r="C21" s="442" t="str">
        <f>VLOOKUP(D21,'Unit List'!$B$9:$D$241,3,0)</f>
        <v>Pelletizing</v>
      </c>
      <c r="D21" s="414">
        <v>1210</v>
      </c>
      <c r="E21" s="733" t="s">
        <v>74</v>
      </c>
      <c r="F21" s="376" t="s">
        <v>75</v>
      </c>
      <c r="G21" s="386">
        <v>52103</v>
      </c>
      <c r="H21" s="354" t="s">
        <v>299</v>
      </c>
      <c r="I21" s="376" t="s">
        <v>472</v>
      </c>
      <c r="J21" s="702">
        <f>VLOOKUP(I21,Settings!$B$287:$D$329,3,FALSE)</f>
        <v>0.53435931000000003</v>
      </c>
      <c r="K21" s="41">
        <f t="shared" si="0"/>
        <v>27841.723128930003</v>
      </c>
      <c r="L21" s="174" t="s">
        <v>721</v>
      </c>
      <c r="M21" s="3"/>
    </row>
    <row r="22" spans="2:13" x14ac:dyDescent="0.25">
      <c r="B22" s="442" t="str">
        <f>VLOOKUP(D22,'Unit List'!$B$9:$E$241,4,0)</f>
        <v>Iron Making</v>
      </c>
      <c r="C22" s="442" t="str">
        <f>VLOOKUP(D22,'Unit List'!$B$9:$D$241,3,0)</f>
        <v>Pelletizing</v>
      </c>
      <c r="D22" s="414">
        <v>1210</v>
      </c>
      <c r="E22" s="733" t="s">
        <v>1955</v>
      </c>
      <c r="F22" s="376" t="s">
        <v>76</v>
      </c>
      <c r="G22" s="386">
        <v>5800</v>
      </c>
      <c r="H22" s="354" t="s">
        <v>299</v>
      </c>
      <c r="I22" s="376" t="s">
        <v>1174</v>
      </c>
      <c r="J22" s="702">
        <f>VLOOKUP(I22,Settings!$B$287:$D$329,3,FALSE)</f>
        <v>0</v>
      </c>
      <c r="K22" s="41">
        <f t="shared" si="0"/>
        <v>0</v>
      </c>
      <c r="L22" s="174" t="s">
        <v>722</v>
      </c>
      <c r="M22" s="3"/>
    </row>
    <row r="23" spans="2:13" x14ac:dyDescent="0.25">
      <c r="B23" s="442" t="str">
        <f>VLOOKUP(D23,'Unit List'!$B$9:$E$241,4,0)</f>
        <v>Iron Making</v>
      </c>
      <c r="C23" s="442" t="str">
        <f>VLOOKUP(D23,'Unit List'!$B$9:$D$241,3,0)</f>
        <v>Pelletizing</v>
      </c>
      <c r="D23" s="414">
        <v>1210</v>
      </c>
      <c r="E23" s="733" t="s">
        <v>1956</v>
      </c>
      <c r="F23" s="376" t="s">
        <v>77</v>
      </c>
      <c r="G23" s="386">
        <v>436511.07799999998</v>
      </c>
      <c r="H23" s="354" t="s">
        <v>299</v>
      </c>
      <c r="I23" s="376" t="s">
        <v>1174</v>
      </c>
      <c r="J23" s="702">
        <f>VLOOKUP(I23,Settings!$B$287:$D$329,3,FALSE)</f>
        <v>0</v>
      </c>
      <c r="K23" s="41">
        <f t="shared" si="0"/>
        <v>0</v>
      </c>
      <c r="L23" s="174" t="s">
        <v>722</v>
      </c>
      <c r="M23" s="3"/>
    </row>
    <row r="24" spans="2:13" x14ac:dyDescent="0.25">
      <c r="B24" s="442" t="str">
        <f>VLOOKUP(D24,'Unit List'!$B$9:$E$241,4,0)</f>
        <v>Iron Making</v>
      </c>
      <c r="C24" s="442" t="str">
        <f>VLOOKUP(D24,'Unit List'!$B$9:$D$241,3,0)</f>
        <v>Direct Reduction</v>
      </c>
      <c r="D24" s="414">
        <v>1310</v>
      </c>
      <c r="E24" s="733" t="s">
        <v>79</v>
      </c>
      <c r="F24" s="376" t="s">
        <v>83</v>
      </c>
      <c r="G24" s="386">
        <v>5115962.7460000003</v>
      </c>
      <c r="H24" s="354" t="s">
        <v>299</v>
      </c>
      <c r="I24" s="376" t="s">
        <v>1174</v>
      </c>
      <c r="J24" s="702">
        <f>VLOOKUP(I24,Settings!$B$287:$D$329,3,FALSE)</f>
        <v>0</v>
      </c>
      <c r="K24" s="41">
        <f t="shared" si="0"/>
        <v>0</v>
      </c>
      <c r="L24" s="174" t="s">
        <v>722</v>
      </c>
      <c r="M24" s="3"/>
    </row>
    <row r="25" spans="2:13" x14ac:dyDescent="0.25">
      <c r="B25" s="442" t="str">
        <f>VLOOKUP(D25,'Unit List'!$B$9:$E$241,4,0)</f>
        <v>Iron Making</v>
      </c>
      <c r="C25" s="442" t="str">
        <f>VLOOKUP(D25,'Unit List'!$B$9:$D$241,3,0)</f>
        <v>Direct Reduction</v>
      </c>
      <c r="D25" s="414">
        <v>1310</v>
      </c>
      <c r="E25" s="733" t="s">
        <v>81</v>
      </c>
      <c r="F25" s="376" t="s">
        <v>85</v>
      </c>
      <c r="G25" s="386">
        <v>19000</v>
      </c>
      <c r="H25" s="354" t="s">
        <v>299</v>
      </c>
      <c r="I25" s="376" t="s">
        <v>469</v>
      </c>
      <c r="J25" s="702">
        <f>VLOOKUP(I25,Settings!$B$287:$D$329,3,FALSE)</f>
        <v>9.6629015999999998E-2</v>
      </c>
      <c r="K25" s="41">
        <f t="shared" si="0"/>
        <v>1835.9513039999999</v>
      </c>
      <c r="L25" s="174" t="s">
        <v>721</v>
      </c>
      <c r="M25" s="3"/>
    </row>
    <row r="26" spans="2:13" x14ac:dyDescent="0.25">
      <c r="B26" s="442" t="str">
        <f>VLOOKUP(D26,'Unit List'!$B$9:$E$241,4,0)</f>
        <v>Iron Making</v>
      </c>
      <c r="C26" s="442" t="str">
        <f>VLOOKUP(D26,'Unit List'!$B$9:$D$241,3,0)</f>
        <v>Direct Reduction</v>
      </c>
      <c r="D26" s="414">
        <v>1310</v>
      </c>
      <c r="E26" s="733" t="s">
        <v>1957</v>
      </c>
      <c r="F26" s="376" t="s">
        <v>1936</v>
      </c>
      <c r="G26" s="386">
        <v>4174.9939999999997</v>
      </c>
      <c r="H26" s="354" t="s">
        <v>299</v>
      </c>
      <c r="I26" s="376" t="s">
        <v>469</v>
      </c>
      <c r="J26" s="702">
        <f>VLOOKUP(I26,Settings!$B$287:$D$329,3,FALSE)</f>
        <v>9.6629015999999998E-2</v>
      </c>
      <c r="K26" s="41">
        <f t="shared" si="0"/>
        <v>403.42556202590396</v>
      </c>
      <c r="L26" s="174" t="s">
        <v>721</v>
      </c>
      <c r="M26" s="3"/>
    </row>
    <row r="27" spans="2:13" x14ac:dyDescent="0.25">
      <c r="B27" s="442" t="str">
        <f>VLOOKUP(D27,'Unit List'!$B$9:$E$241,4,0)</f>
        <v>Iron Making</v>
      </c>
      <c r="C27" s="442" t="str">
        <f>VLOOKUP(D27,'Unit List'!$B$9:$D$241,3,0)</f>
        <v>Direct Reduction</v>
      </c>
      <c r="D27" s="414">
        <v>1310</v>
      </c>
      <c r="E27" s="733" t="s">
        <v>1958</v>
      </c>
      <c r="F27" s="376" t="s">
        <v>1937</v>
      </c>
      <c r="G27" s="386">
        <v>80000</v>
      </c>
      <c r="H27" s="354" t="s">
        <v>299</v>
      </c>
      <c r="I27" s="376" t="s">
        <v>469</v>
      </c>
      <c r="J27" s="702">
        <f>VLOOKUP(I27,Settings!$B$287:$D$329,3,FALSE)</f>
        <v>9.6629015999999998E-2</v>
      </c>
      <c r="K27" s="41">
        <f t="shared" si="0"/>
        <v>7730.3212800000001</v>
      </c>
      <c r="L27" s="174" t="s">
        <v>721</v>
      </c>
      <c r="M27" s="3"/>
    </row>
    <row r="28" spans="2:13" x14ac:dyDescent="0.25">
      <c r="B28" s="442" t="str">
        <f>VLOOKUP(D28,'Unit List'!$B$9:$E$241,4,0)</f>
        <v>Iron Making</v>
      </c>
      <c r="C28" s="442" t="str">
        <f>VLOOKUP(D28,'Unit List'!$B$9:$D$241,3,0)</f>
        <v>Direct Reduction</v>
      </c>
      <c r="D28" s="414">
        <v>1310</v>
      </c>
      <c r="E28" s="733" t="s">
        <v>82</v>
      </c>
      <c r="F28" s="376" t="s">
        <v>86</v>
      </c>
      <c r="G28" s="386">
        <v>459325.35600000003</v>
      </c>
      <c r="H28" s="354" t="s">
        <v>299</v>
      </c>
      <c r="I28" s="376" t="s">
        <v>469</v>
      </c>
      <c r="J28" s="702">
        <f>VLOOKUP(I28,Settings!$B$287:$D$329,3,FALSE)</f>
        <v>9.6629015999999998E-2</v>
      </c>
      <c r="K28" s="41">
        <f t="shared" si="0"/>
        <v>44384.157174129701</v>
      </c>
      <c r="L28" s="174" t="s">
        <v>721</v>
      </c>
      <c r="M28" s="3"/>
    </row>
    <row r="29" spans="2:13" x14ac:dyDescent="0.25">
      <c r="B29" s="442" t="str">
        <f>VLOOKUP(D29,'Unit List'!$B$9:$E$241,4,0)</f>
        <v>Iron Making</v>
      </c>
      <c r="C29" s="442" t="str">
        <f>VLOOKUP(D29,'Unit List'!$B$9:$D$241,3,0)</f>
        <v>Direct Reduction</v>
      </c>
      <c r="D29" s="414">
        <v>1315</v>
      </c>
      <c r="E29" s="733" t="s">
        <v>79</v>
      </c>
      <c r="F29" s="376" t="s">
        <v>83</v>
      </c>
      <c r="G29" s="386">
        <v>1303146</v>
      </c>
      <c r="H29" s="354" t="s">
        <v>299</v>
      </c>
      <c r="I29" s="376" t="s">
        <v>1174</v>
      </c>
      <c r="J29" s="702">
        <f>VLOOKUP(I29,Settings!$B$287:$D$329,3,FALSE)</f>
        <v>0</v>
      </c>
      <c r="K29" s="41">
        <f t="shared" si="0"/>
        <v>0</v>
      </c>
      <c r="L29" s="174" t="s">
        <v>722</v>
      </c>
      <c r="M29" s="3"/>
    </row>
    <row r="30" spans="2:13" x14ac:dyDescent="0.25">
      <c r="B30" s="442" t="str">
        <f>VLOOKUP(D30,'Unit List'!$B$9:$E$241,4,0)</f>
        <v>Iron Making</v>
      </c>
      <c r="C30" s="442" t="str">
        <f>VLOOKUP(D30,'Unit List'!$B$9:$D$241,3,0)</f>
        <v>Direct Reduction</v>
      </c>
      <c r="D30" s="414">
        <v>1315</v>
      </c>
      <c r="E30" s="733" t="s">
        <v>80</v>
      </c>
      <c r="F30" s="376" t="s">
        <v>84</v>
      </c>
      <c r="G30" s="386">
        <v>81700</v>
      </c>
      <c r="H30" s="354" t="s">
        <v>299</v>
      </c>
      <c r="I30" s="376" t="s">
        <v>469</v>
      </c>
      <c r="J30" s="702">
        <f>VLOOKUP(I30,Settings!$B$287:$D$329,3,FALSE)</f>
        <v>9.6629015999999998E-2</v>
      </c>
      <c r="K30" s="41">
        <f t="shared" si="0"/>
        <v>7894.5906071999998</v>
      </c>
      <c r="L30" s="174" t="s">
        <v>721</v>
      </c>
      <c r="M30" s="3"/>
    </row>
    <row r="31" spans="2:13" x14ac:dyDescent="0.25">
      <c r="B31" s="442" t="str">
        <f>VLOOKUP(D31,'Unit List'!$B$9:$E$241,4,0)</f>
        <v>Iron Making</v>
      </c>
      <c r="C31" s="442" t="str">
        <f>VLOOKUP(D31,'Unit List'!$B$9:$D$241,3,0)</f>
        <v>Direct Reduction</v>
      </c>
      <c r="D31" s="414">
        <v>1315</v>
      </c>
      <c r="E31" s="733" t="s">
        <v>81</v>
      </c>
      <c r="F31" s="376" t="s">
        <v>85</v>
      </c>
      <c r="G31" s="386">
        <v>33751.57</v>
      </c>
      <c r="H31" s="354" t="s">
        <v>299</v>
      </c>
      <c r="I31" s="376" t="s">
        <v>469</v>
      </c>
      <c r="J31" s="702">
        <f>VLOOKUP(I31,Settings!$B$287:$D$329,3,FALSE)</f>
        <v>9.6629015999999998E-2</v>
      </c>
      <c r="K31" s="41">
        <f t="shared" si="0"/>
        <v>3261.3809975551198</v>
      </c>
      <c r="L31" s="174" t="s">
        <v>721</v>
      </c>
      <c r="M31" s="3"/>
    </row>
    <row r="32" spans="2:13" x14ac:dyDescent="0.25">
      <c r="B32" s="442" t="str">
        <f>VLOOKUP(D32,'Unit List'!$B$9:$E$241,4,0)</f>
        <v>Iron Making</v>
      </c>
      <c r="C32" s="442" t="str">
        <f>VLOOKUP(D32,'Unit List'!$B$9:$D$241,3,0)</f>
        <v>Direct Reduction</v>
      </c>
      <c r="D32" s="414">
        <v>1315</v>
      </c>
      <c r="E32" s="733" t="s">
        <v>1957</v>
      </c>
      <c r="F32" s="376" t="s">
        <v>1936</v>
      </c>
      <c r="G32" s="386">
        <v>10000</v>
      </c>
      <c r="H32" s="354" t="s">
        <v>299</v>
      </c>
      <c r="I32" s="376" t="s">
        <v>469</v>
      </c>
      <c r="J32" s="702">
        <f>VLOOKUP(I32,Settings!$B$287:$D$329,3,FALSE)</f>
        <v>9.6629015999999998E-2</v>
      </c>
      <c r="K32" s="41">
        <f t="shared" si="0"/>
        <v>966.29016000000001</v>
      </c>
      <c r="L32" s="174" t="s">
        <v>721</v>
      </c>
      <c r="M32" s="3"/>
    </row>
    <row r="33" spans="2:13" x14ac:dyDescent="0.25">
      <c r="B33" s="442" t="str">
        <f>VLOOKUP(D33,'Unit List'!$B$9:$E$241,4,0)</f>
        <v>Iron Making</v>
      </c>
      <c r="C33" s="442" t="str">
        <f>VLOOKUP(D33,'Unit List'!$B$9:$D$241,3,0)</f>
        <v>Direct Reduction</v>
      </c>
      <c r="D33" s="414">
        <v>1315</v>
      </c>
      <c r="E33" s="733" t="s">
        <v>1958</v>
      </c>
      <c r="F33" s="376" t="s">
        <v>1937</v>
      </c>
      <c r="G33" s="386">
        <v>226155</v>
      </c>
      <c r="H33" s="354" t="s">
        <v>299</v>
      </c>
      <c r="I33" s="376" t="s">
        <v>469</v>
      </c>
      <c r="J33" s="702">
        <f>VLOOKUP(I33,Settings!$B$287:$D$329,3,FALSE)</f>
        <v>9.6629015999999998E-2</v>
      </c>
      <c r="K33" s="41">
        <f t="shared" si="0"/>
        <v>21853.135113479999</v>
      </c>
      <c r="L33" s="174" t="s">
        <v>721</v>
      </c>
      <c r="M33" s="3"/>
    </row>
    <row r="34" spans="2:13" x14ac:dyDescent="0.25">
      <c r="B34" s="442" t="str">
        <f>VLOOKUP(D34,'Unit List'!$B$9:$E$241,4,0)</f>
        <v>Iron Making</v>
      </c>
      <c r="C34" s="442" t="str">
        <f>VLOOKUP(D34,'Unit List'!$B$9:$D$241,3,0)</f>
        <v>Direct Reduction</v>
      </c>
      <c r="D34" s="414">
        <v>1315</v>
      </c>
      <c r="E34" s="733" t="s">
        <v>82</v>
      </c>
      <c r="F34" s="376" t="s">
        <v>86</v>
      </c>
      <c r="G34" s="386">
        <v>1193490.4010000001</v>
      </c>
      <c r="H34" s="354" t="s">
        <v>299</v>
      </c>
      <c r="I34" s="376" t="s">
        <v>469</v>
      </c>
      <c r="J34" s="702">
        <f>VLOOKUP(I34,Settings!$B$287:$D$329,3,FALSE)</f>
        <v>9.6629015999999998E-2</v>
      </c>
      <c r="K34" s="41">
        <f t="shared" si="0"/>
        <v>115325.80305407543</v>
      </c>
      <c r="L34" s="174" t="s">
        <v>721</v>
      </c>
      <c r="M34" s="3"/>
    </row>
    <row r="35" spans="2:13" x14ac:dyDescent="0.25">
      <c r="B35" s="442" t="str">
        <f>VLOOKUP(D35,'Unit List'!$B$9:$E$241,4,0)</f>
        <v>Iron Making</v>
      </c>
      <c r="C35" s="442" t="str">
        <f>VLOOKUP(D35,'Unit List'!$B$9:$D$241,3,0)</f>
        <v>Direct Reduction</v>
      </c>
      <c r="D35" s="414">
        <v>1315</v>
      </c>
      <c r="E35" s="733" t="s">
        <v>1959</v>
      </c>
      <c r="F35" s="376" t="s">
        <v>1938</v>
      </c>
      <c r="G35" s="386">
        <v>0</v>
      </c>
      <c r="H35" s="354" t="s">
        <v>299</v>
      </c>
      <c r="I35" s="376" t="s">
        <v>467</v>
      </c>
      <c r="J35" s="702">
        <f>VLOOKUP(I35,Settings!$B$287:$D$329,3,FALSE)</f>
        <v>2.0206583</v>
      </c>
      <c r="K35" s="41">
        <f t="shared" si="0"/>
        <v>0</v>
      </c>
      <c r="L35" s="174" t="s">
        <v>721</v>
      </c>
      <c r="M35" s="3"/>
    </row>
    <row r="36" spans="2:13" x14ac:dyDescent="0.25">
      <c r="B36" s="442" t="str">
        <f>VLOOKUP(D36,'Unit List'!$B$9:$E$241,4,0)</f>
        <v>Iron Making</v>
      </c>
      <c r="C36" s="442" t="str">
        <f>VLOOKUP(D36,'Unit List'!$B$9:$D$241,3,0)</f>
        <v>Direct Reduction</v>
      </c>
      <c r="D36" s="414">
        <v>1315</v>
      </c>
      <c r="E36" s="733" t="s">
        <v>1960</v>
      </c>
      <c r="F36" s="376" t="s">
        <v>1939</v>
      </c>
      <c r="G36" s="386">
        <v>8552.48</v>
      </c>
      <c r="H36" s="354" t="s">
        <v>299</v>
      </c>
      <c r="I36" s="376" t="s">
        <v>469</v>
      </c>
      <c r="J36" s="702">
        <f>VLOOKUP(I36,Settings!$B$287:$D$329,3,FALSE)</f>
        <v>9.6629015999999998E-2</v>
      </c>
      <c r="K36" s="41">
        <f t="shared" si="0"/>
        <v>826.41772675967991</v>
      </c>
      <c r="L36" s="174" t="s">
        <v>721</v>
      </c>
      <c r="M36" s="3"/>
    </row>
    <row r="37" spans="2:13" x14ac:dyDescent="0.25">
      <c r="B37" s="442" t="str">
        <f>VLOOKUP(D37,'Unit List'!$B$9:$E$241,4,0)</f>
        <v>Iron Making</v>
      </c>
      <c r="C37" s="442" t="str">
        <f>VLOOKUP(D37,'Unit List'!$B$9:$D$241,3,0)</f>
        <v>Direct Reduction</v>
      </c>
      <c r="D37" s="414">
        <v>1315</v>
      </c>
      <c r="E37" s="733" t="s">
        <v>1961</v>
      </c>
      <c r="F37" s="376" t="s">
        <v>1940</v>
      </c>
      <c r="G37" s="386">
        <v>6649.549</v>
      </c>
      <c r="H37" s="354" t="s">
        <v>299</v>
      </c>
      <c r="I37" s="376" t="s">
        <v>469</v>
      </c>
      <c r="J37" s="702">
        <f>VLOOKUP(I37,Settings!$B$287:$D$329,3,FALSE)</f>
        <v>9.6629015999999998E-2</v>
      </c>
      <c r="K37" s="41">
        <f t="shared" si="0"/>
        <v>642.53937671378401</v>
      </c>
      <c r="L37" s="174" t="s">
        <v>721</v>
      </c>
      <c r="M37" s="3"/>
    </row>
    <row r="38" spans="2:13" x14ac:dyDescent="0.25">
      <c r="B38" s="442" t="str">
        <f>VLOOKUP(D38,'Unit List'!$B$9:$E$241,4,0)</f>
        <v>Iron Making</v>
      </c>
      <c r="C38" s="442" t="str">
        <f>VLOOKUP(D38,'Unit List'!$B$9:$D$241,3,0)</f>
        <v>Direct Reduction</v>
      </c>
      <c r="D38" s="414">
        <v>1315</v>
      </c>
      <c r="E38" s="733" t="s">
        <v>1962</v>
      </c>
      <c r="F38" s="739" t="s">
        <v>1941</v>
      </c>
      <c r="G38" s="386">
        <v>8000</v>
      </c>
      <c r="H38" s="354" t="s">
        <v>299</v>
      </c>
      <c r="I38" s="376" t="s">
        <v>1981</v>
      </c>
      <c r="J38" s="702">
        <f>VLOOKUP(I38,Settings!$B$287:$D$329,3,FALSE)</f>
        <v>8.9580000000000007E-3</v>
      </c>
      <c r="K38" s="41">
        <f t="shared" si="0"/>
        <v>71.664000000000001</v>
      </c>
      <c r="L38" s="174" t="s">
        <v>721</v>
      </c>
      <c r="M38" s="3"/>
    </row>
    <row r="39" spans="2:13" x14ac:dyDescent="0.25">
      <c r="B39" s="442" t="str">
        <f>VLOOKUP(D39,'Unit List'!$B$9:$E$241,4,0)</f>
        <v>Iron Making</v>
      </c>
      <c r="C39" s="442" t="str">
        <f>VLOOKUP(D39,'Unit List'!$B$9:$D$241,3,0)</f>
        <v>Briquetting</v>
      </c>
      <c r="D39" s="414">
        <v>1330</v>
      </c>
      <c r="E39" s="733" t="s">
        <v>1955</v>
      </c>
      <c r="F39" s="739" t="s">
        <v>76</v>
      </c>
      <c r="G39" s="386">
        <v>4545</v>
      </c>
      <c r="H39" s="354" t="s">
        <v>299</v>
      </c>
      <c r="I39" s="376" t="s">
        <v>1174</v>
      </c>
      <c r="J39" s="702">
        <f>VLOOKUP(I39,Settings!$B$287:$D$329,3,FALSE)</f>
        <v>0</v>
      </c>
      <c r="K39" s="41">
        <f t="shared" si="0"/>
        <v>0</v>
      </c>
      <c r="L39" s="174" t="s">
        <v>722</v>
      </c>
      <c r="M39" s="3"/>
    </row>
    <row r="40" spans="2:13" x14ac:dyDescent="0.25">
      <c r="B40" s="442" t="str">
        <f>VLOOKUP(D40,'Unit List'!$B$9:$E$241,4,0)</f>
        <v>Iron Making</v>
      </c>
      <c r="C40" s="442" t="str">
        <f>VLOOKUP(D40,'Unit List'!$B$9:$D$241,3,0)</f>
        <v>Briquetting</v>
      </c>
      <c r="D40" s="414">
        <v>1330</v>
      </c>
      <c r="E40" s="733" t="s">
        <v>87</v>
      </c>
      <c r="F40" s="376" t="s">
        <v>88</v>
      </c>
      <c r="G40" s="386">
        <v>307629</v>
      </c>
      <c r="H40" s="354" t="s">
        <v>299</v>
      </c>
      <c r="I40" s="376" t="s">
        <v>467</v>
      </c>
      <c r="J40" s="702">
        <f>VLOOKUP(I40,Settings!$B$287:$D$329,3,FALSE)</f>
        <v>2.0206583</v>
      </c>
      <c r="K40" s="41">
        <f t="shared" si="0"/>
        <v>621613.09217069997</v>
      </c>
      <c r="L40" s="174" t="s">
        <v>721</v>
      </c>
      <c r="M40" s="3"/>
    </row>
    <row r="41" spans="2:13" x14ac:dyDescent="0.25">
      <c r="B41" s="442" t="str">
        <f>VLOOKUP(D41,'Unit List'!$B$9:$E$241,4,0)</f>
        <v>Iron Making</v>
      </c>
      <c r="C41" s="442" t="str">
        <f>VLOOKUP(D41,'Unit List'!$B$9:$D$241,3,0)</f>
        <v>Briquetting</v>
      </c>
      <c r="D41" s="414">
        <v>1330</v>
      </c>
      <c r="E41" s="733" t="s">
        <v>1963</v>
      </c>
      <c r="F41" s="376" t="s">
        <v>89</v>
      </c>
      <c r="G41" s="386">
        <v>17642.192000000003</v>
      </c>
      <c r="H41" s="354" t="s">
        <v>299</v>
      </c>
      <c r="I41" s="376" t="s">
        <v>1173</v>
      </c>
      <c r="J41" s="702">
        <f>VLOOKUP(I41,Settings!$B$287:$D$329,3,FALSE)</f>
        <v>1.0939892</v>
      </c>
      <c r="K41" s="41">
        <f t="shared" ref="K41:K72" si="1">G41*J41</f>
        <v>19300.367512326404</v>
      </c>
      <c r="L41" s="174" t="s">
        <v>721</v>
      </c>
      <c r="M41" s="3"/>
    </row>
    <row r="42" spans="2:13" x14ac:dyDescent="0.25">
      <c r="B42" s="442" t="str">
        <f>VLOOKUP(D42,'Unit List'!$B$9:$E$241,4,0)</f>
        <v>Iron Making</v>
      </c>
      <c r="C42" s="442" t="str">
        <f>VLOOKUP(D42,'Unit List'!$B$9:$D$241,3,0)</f>
        <v>Briquetting</v>
      </c>
      <c r="D42" s="414">
        <v>1335</v>
      </c>
      <c r="E42" s="733" t="s">
        <v>1955</v>
      </c>
      <c r="F42" s="376" t="s">
        <v>76</v>
      </c>
      <c r="G42" s="386">
        <v>4005</v>
      </c>
      <c r="H42" s="354" t="s">
        <v>299</v>
      </c>
      <c r="I42" s="376" t="s">
        <v>1174</v>
      </c>
      <c r="J42" s="702">
        <f>VLOOKUP(I42,Settings!$B$287:$D$329,3,FALSE)</f>
        <v>0</v>
      </c>
      <c r="K42" s="41">
        <f t="shared" si="1"/>
        <v>0</v>
      </c>
      <c r="L42" s="174" t="s">
        <v>722</v>
      </c>
      <c r="M42" s="3"/>
    </row>
    <row r="43" spans="2:13" x14ac:dyDescent="0.25">
      <c r="B43" s="442" t="str">
        <f>VLOOKUP(D43,'Unit List'!$B$9:$E$241,4,0)</f>
        <v>Iron Making</v>
      </c>
      <c r="C43" s="442" t="str">
        <f>VLOOKUP(D43,'Unit List'!$B$9:$D$241,3,0)</f>
        <v>Briquetting</v>
      </c>
      <c r="D43" s="414">
        <v>1335</v>
      </c>
      <c r="E43" s="733" t="s">
        <v>90</v>
      </c>
      <c r="F43" s="376" t="s">
        <v>91</v>
      </c>
      <c r="G43" s="386">
        <v>266277</v>
      </c>
      <c r="H43" s="354" t="s">
        <v>299</v>
      </c>
      <c r="I43" s="376" t="s">
        <v>1174</v>
      </c>
      <c r="J43" s="702">
        <f>VLOOKUP(I43,Settings!$B$287:$D$329,3,FALSE)</f>
        <v>0</v>
      </c>
      <c r="K43" s="41">
        <f t="shared" si="1"/>
        <v>0</v>
      </c>
      <c r="L43" s="174" t="s">
        <v>722</v>
      </c>
      <c r="M43" s="3"/>
    </row>
    <row r="44" spans="2:13" x14ac:dyDescent="0.25">
      <c r="B44" s="442" t="str">
        <f>VLOOKUP(D44,'Unit List'!$B$9:$E$241,4,0)</f>
        <v>Iron Making</v>
      </c>
      <c r="C44" s="442" t="str">
        <f>VLOOKUP(D44,'Unit List'!$B$9:$D$241,3,0)</f>
        <v>Briquetting</v>
      </c>
      <c r="D44" s="414">
        <v>1335</v>
      </c>
      <c r="E44" s="733" t="s">
        <v>1963</v>
      </c>
      <c r="F44" s="376" t="s">
        <v>89</v>
      </c>
      <c r="G44" s="386">
        <v>15134</v>
      </c>
      <c r="H44" s="354" t="s">
        <v>299</v>
      </c>
      <c r="I44" s="376" t="s">
        <v>1173</v>
      </c>
      <c r="J44" s="702">
        <f>VLOOKUP(I44,Settings!$B$287:$D$329,3,FALSE)</f>
        <v>1.0939892</v>
      </c>
      <c r="K44" s="41">
        <f t="shared" si="1"/>
        <v>16556.432552800001</v>
      </c>
      <c r="L44" s="174" t="s">
        <v>721</v>
      </c>
      <c r="M44" s="3"/>
    </row>
    <row r="45" spans="2:13" x14ac:dyDescent="0.25">
      <c r="B45" s="442" t="str">
        <f>VLOOKUP(D45,'Unit List'!$B$9:$E$241,4,0)</f>
        <v>Steel Making</v>
      </c>
      <c r="C45" s="442" t="str">
        <f>VLOOKUP(D45,'Unit List'!$B$9:$D$241,3,0)</f>
        <v>EAFs</v>
      </c>
      <c r="D45" s="414">
        <v>2210</v>
      </c>
      <c r="E45" s="733" t="s">
        <v>93</v>
      </c>
      <c r="F45" s="376" t="s">
        <v>112</v>
      </c>
      <c r="G45" s="375">
        <v>4668.4520000000002</v>
      </c>
      <c r="H45" s="354" t="s">
        <v>299</v>
      </c>
      <c r="I45" s="376" t="s">
        <v>1188</v>
      </c>
      <c r="J45" s="702">
        <f>VLOOKUP(I45,Settings!$B$287:$D$329,3,FALSE)</f>
        <v>7.9518281999999996</v>
      </c>
      <c r="K45" s="41">
        <f t="shared" si="1"/>
        <v>37122.728263946403</v>
      </c>
      <c r="L45" s="174" t="s">
        <v>721</v>
      </c>
      <c r="M45" s="3"/>
    </row>
    <row r="46" spans="2:13" x14ac:dyDescent="0.25">
      <c r="B46" s="442" t="str">
        <f>VLOOKUP(D46,'Unit List'!$B$9:$E$241,4,0)</f>
        <v>Steel Making</v>
      </c>
      <c r="C46" s="442" t="str">
        <f>VLOOKUP(D46,'Unit List'!$B$9:$D$241,3,0)</f>
        <v>EAFs</v>
      </c>
      <c r="D46" s="414">
        <v>2210</v>
      </c>
      <c r="E46" s="733" t="s">
        <v>94</v>
      </c>
      <c r="F46" s="376" t="s">
        <v>113</v>
      </c>
      <c r="G46" s="375">
        <v>4119.1959999999999</v>
      </c>
      <c r="H46" s="354" t="s">
        <v>299</v>
      </c>
      <c r="I46" s="376" t="s">
        <v>1185</v>
      </c>
      <c r="J46" s="702">
        <f>VLOOKUP(I46,Settings!$B$287:$D$329,3,FALSE)</f>
        <v>2.8822192000000002</v>
      </c>
      <c r="K46" s="41">
        <f t="shared" si="1"/>
        <v>11872.425799763201</v>
      </c>
      <c r="L46" s="174" t="s">
        <v>721</v>
      </c>
      <c r="M46" s="3"/>
    </row>
    <row r="47" spans="2:13" x14ac:dyDescent="0.25">
      <c r="B47" s="442" t="str">
        <f>VLOOKUP(D47,'Unit List'!$B$9:$E$241,4,0)</f>
        <v>Steel Making</v>
      </c>
      <c r="C47" s="442" t="str">
        <f>VLOOKUP(D47,'Unit List'!$B$9:$D$241,3,0)</f>
        <v>EAFs</v>
      </c>
      <c r="D47" s="414">
        <v>2210</v>
      </c>
      <c r="E47" s="733" t="s">
        <v>95</v>
      </c>
      <c r="F47" s="376" t="s">
        <v>114</v>
      </c>
      <c r="G47" s="375">
        <v>18963.951000000001</v>
      </c>
      <c r="H47" s="354" t="s">
        <v>299</v>
      </c>
      <c r="I47" s="376" t="s">
        <v>1185</v>
      </c>
      <c r="J47" s="702">
        <f>VLOOKUP(I47,Settings!$B$287:$D$329,3,FALSE)</f>
        <v>2.8822192000000002</v>
      </c>
      <c r="K47" s="41">
        <f t="shared" si="1"/>
        <v>54658.263680059208</v>
      </c>
      <c r="L47" s="174" t="s">
        <v>721</v>
      </c>
      <c r="M47" s="3"/>
    </row>
    <row r="48" spans="2:13" x14ac:dyDescent="0.25">
      <c r="B48" s="442" t="str">
        <f>VLOOKUP(D48,'Unit List'!$B$9:$E$241,4,0)</f>
        <v>Steel Making</v>
      </c>
      <c r="C48" s="442" t="str">
        <f>VLOOKUP(D48,'Unit List'!$B$9:$D$241,3,0)</f>
        <v>EAFs</v>
      </c>
      <c r="D48" s="414">
        <v>2210</v>
      </c>
      <c r="E48" s="733" t="s">
        <v>96</v>
      </c>
      <c r="F48" s="376" t="s">
        <v>115</v>
      </c>
      <c r="G48" s="375">
        <v>12880.65</v>
      </c>
      <c r="H48" s="354" t="s">
        <v>299</v>
      </c>
      <c r="I48" s="376" t="s">
        <v>1185</v>
      </c>
      <c r="J48" s="702">
        <f>VLOOKUP(I48,Settings!$B$287:$D$329,3,FALSE)</f>
        <v>2.8822192000000002</v>
      </c>
      <c r="K48" s="41">
        <f t="shared" si="1"/>
        <v>37124.856738480004</v>
      </c>
      <c r="L48" s="174" t="s">
        <v>721</v>
      </c>
      <c r="M48" s="3"/>
    </row>
    <row r="49" spans="2:13" x14ac:dyDescent="0.25">
      <c r="B49" s="442" t="str">
        <f>VLOOKUP(D49,'Unit List'!$B$9:$E$241,4,0)</f>
        <v>Steel Making</v>
      </c>
      <c r="C49" s="442" t="str">
        <f>VLOOKUP(D49,'Unit List'!$B$9:$D$241,3,0)</f>
        <v>EAFs</v>
      </c>
      <c r="D49" s="414">
        <v>2210</v>
      </c>
      <c r="E49" s="733" t="s">
        <v>135</v>
      </c>
      <c r="F49" s="376" t="s">
        <v>143</v>
      </c>
      <c r="G49" s="375">
        <v>0</v>
      </c>
      <c r="H49" s="354" t="s">
        <v>299</v>
      </c>
      <c r="I49" s="376" t="s">
        <v>1196</v>
      </c>
      <c r="J49" s="702">
        <f>VLOOKUP(I49,Settings!$B$287:$D$329,3,FALSE)</f>
        <v>2.8822192000000002</v>
      </c>
      <c r="K49" s="41">
        <f t="shared" si="1"/>
        <v>0</v>
      </c>
      <c r="L49" s="174" t="s">
        <v>721</v>
      </c>
      <c r="M49" s="3"/>
    </row>
    <row r="50" spans="2:13" x14ac:dyDescent="0.25">
      <c r="B50" s="442" t="str">
        <f>VLOOKUP(D50,'Unit List'!$B$9:$E$241,4,0)</f>
        <v>Steel Making</v>
      </c>
      <c r="C50" s="442" t="str">
        <f>VLOOKUP(D50,'Unit List'!$B$9:$D$241,3,0)</f>
        <v>EAFs</v>
      </c>
      <c r="D50" s="414">
        <v>2210</v>
      </c>
      <c r="E50" s="733" t="s">
        <v>97</v>
      </c>
      <c r="F50" s="376" t="s">
        <v>116</v>
      </c>
      <c r="G50" s="375">
        <v>37.548999999999999</v>
      </c>
      <c r="H50" s="354" t="s">
        <v>299</v>
      </c>
      <c r="I50" s="376" t="s">
        <v>1195</v>
      </c>
      <c r="J50" s="702">
        <f>VLOOKUP(I50,Settings!$B$287:$D$329,3,FALSE)</f>
        <v>2.8822192000000002</v>
      </c>
      <c r="K50" s="41">
        <f t="shared" si="1"/>
        <v>108.2244487408</v>
      </c>
      <c r="L50" s="174" t="s">
        <v>721</v>
      </c>
      <c r="M50" s="3"/>
    </row>
    <row r="51" spans="2:13" x14ac:dyDescent="0.25">
      <c r="B51" s="442" t="str">
        <f>VLOOKUP(D51,'Unit List'!$B$9:$E$241,4,0)</f>
        <v>Steel Making</v>
      </c>
      <c r="C51" s="442" t="str">
        <f>VLOOKUP(D51,'Unit List'!$B$9:$D$241,3,0)</f>
        <v>EAFs</v>
      </c>
      <c r="D51" s="414">
        <v>2210</v>
      </c>
      <c r="E51" s="733" t="s">
        <v>1964</v>
      </c>
      <c r="F51" s="376" t="s">
        <v>117</v>
      </c>
      <c r="G51" s="375">
        <v>10384.165000000003</v>
      </c>
      <c r="H51" s="354" t="s">
        <v>299</v>
      </c>
      <c r="I51" s="376" t="s">
        <v>1179</v>
      </c>
      <c r="J51" s="702">
        <f>VLOOKUP(I51,Settings!$B$287:$D$329,3,FALSE)</f>
        <v>17.443232999999999</v>
      </c>
      <c r="K51" s="41">
        <f t="shared" si="1"/>
        <v>181133.40960544505</v>
      </c>
      <c r="L51" s="174" t="s">
        <v>721</v>
      </c>
      <c r="M51" s="3"/>
    </row>
    <row r="52" spans="2:13" x14ac:dyDescent="0.25">
      <c r="B52" s="442" t="str">
        <f>VLOOKUP(D52,'Unit List'!$B$9:$E$241,4,0)</f>
        <v>Steel Making</v>
      </c>
      <c r="C52" s="442" t="str">
        <f>VLOOKUP(D52,'Unit List'!$B$9:$D$241,3,0)</f>
        <v>EAFs</v>
      </c>
      <c r="D52" s="414">
        <v>2210</v>
      </c>
      <c r="E52" s="733" t="s">
        <v>99</v>
      </c>
      <c r="F52" s="376" t="s">
        <v>119</v>
      </c>
      <c r="G52" s="375">
        <v>271.66999999999996</v>
      </c>
      <c r="H52" s="354" t="s">
        <v>299</v>
      </c>
      <c r="I52" s="376" t="s">
        <v>1189</v>
      </c>
      <c r="J52" s="702">
        <f>VLOOKUP(I52,Settings!$B$287:$D$329,3,FALSE)</f>
        <v>16.349319999999999</v>
      </c>
      <c r="K52" s="41">
        <f t="shared" si="1"/>
        <v>4441.6197643999994</v>
      </c>
      <c r="L52" s="174" t="s">
        <v>721</v>
      </c>
      <c r="M52" s="3"/>
    </row>
    <row r="53" spans="2:13" x14ac:dyDescent="0.25">
      <c r="B53" s="442" t="str">
        <f>VLOOKUP(D53,'Unit List'!$B$9:$E$241,4,0)</f>
        <v>Steel Making</v>
      </c>
      <c r="C53" s="442" t="str">
        <f>VLOOKUP(D53,'Unit List'!$B$9:$D$241,3,0)</f>
        <v>EAFs</v>
      </c>
      <c r="D53" s="414">
        <v>2210</v>
      </c>
      <c r="E53" s="733" t="s">
        <v>100</v>
      </c>
      <c r="F53" s="376" t="s">
        <v>120</v>
      </c>
      <c r="G53" s="375">
        <v>163.69</v>
      </c>
      <c r="H53" s="354" t="s">
        <v>299</v>
      </c>
      <c r="I53" s="376" t="s">
        <v>1184</v>
      </c>
      <c r="J53" s="702">
        <f>VLOOKUP(I53,Settings!$B$287:$D$329,3,FALSE)</f>
        <v>5.0669465999999996</v>
      </c>
      <c r="K53" s="41">
        <f t="shared" si="1"/>
        <v>829.40848895399995</v>
      </c>
      <c r="L53" s="174" t="s">
        <v>721</v>
      </c>
      <c r="M53" s="3"/>
    </row>
    <row r="54" spans="2:13" x14ac:dyDescent="0.25">
      <c r="B54" s="442" t="str">
        <f>VLOOKUP(D54,'Unit List'!$B$9:$E$241,4,0)</f>
        <v>Steel Making</v>
      </c>
      <c r="C54" s="442" t="str">
        <f>VLOOKUP(D54,'Unit List'!$B$9:$D$241,3,0)</f>
        <v>EAFs</v>
      </c>
      <c r="D54" s="414">
        <v>2210</v>
      </c>
      <c r="E54" s="733" t="s">
        <v>101</v>
      </c>
      <c r="F54" s="376" t="s">
        <v>121</v>
      </c>
      <c r="G54" s="375">
        <v>212.27</v>
      </c>
      <c r="H54" s="354" t="s">
        <v>299</v>
      </c>
      <c r="I54" s="376" t="s">
        <v>1186</v>
      </c>
      <c r="J54" s="702">
        <f>VLOOKUP(I54,Settings!$B$287:$D$329,3,FALSE)</f>
        <v>7.8191103000000002</v>
      </c>
      <c r="K54" s="41">
        <f t="shared" si="1"/>
        <v>1659.7625433810001</v>
      </c>
      <c r="L54" s="174" t="s">
        <v>721</v>
      </c>
      <c r="M54" s="3"/>
    </row>
    <row r="55" spans="2:13" x14ac:dyDescent="0.25">
      <c r="B55" s="442" t="str">
        <f>VLOOKUP(D55,'Unit List'!$B$9:$E$241,4,0)</f>
        <v>Steel Making</v>
      </c>
      <c r="C55" s="442" t="str">
        <f>VLOOKUP(D55,'Unit List'!$B$9:$D$241,3,0)</f>
        <v>EAFs</v>
      </c>
      <c r="D55" s="414">
        <v>2210</v>
      </c>
      <c r="E55" s="733" t="s">
        <v>102</v>
      </c>
      <c r="F55" s="376" t="s">
        <v>122</v>
      </c>
      <c r="G55" s="375">
        <v>2.2040000000000002</v>
      </c>
      <c r="H55" s="354" t="s">
        <v>299</v>
      </c>
      <c r="I55" s="376" t="s">
        <v>1181</v>
      </c>
      <c r="J55" s="702">
        <f>VLOOKUP(I55,Settings!$B$287:$D$329,3,FALSE)</f>
        <v>4.1287542999999998</v>
      </c>
      <c r="K55" s="41">
        <f t="shared" si="1"/>
        <v>9.0997744772000004</v>
      </c>
      <c r="L55" s="174" t="s">
        <v>721</v>
      </c>
      <c r="M55" s="3"/>
    </row>
    <row r="56" spans="2:13" x14ac:dyDescent="0.25">
      <c r="B56" s="442" t="str">
        <f>VLOOKUP(D56,'Unit List'!$B$9:$E$241,4,0)</f>
        <v>Steel Making</v>
      </c>
      <c r="C56" s="442" t="str">
        <f>VLOOKUP(D56,'Unit List'!$B$9:$D$241,3,0)</f>
        <v>EAFs</v>
      </c>
      <c r="D56" s="414">
        <v>2210</v>
      </c>
      <c r="E56" s="733" t="s">
        <v>103</v>
      </c>
      <c r="F56" s="376" t="s">
        <v>123</v>
      </c>
      <c r="G56" s="375">
        <v>102.47999999999999</v>
      </c>
      <c r="H56" s="354" t="s">
        <v>299</v>
      </c>
      <c r="I56" s="376" t="s">
        <v>1180</v>
      </c>
      <c r="J56" s="702">
        <f>VLOOKUP(I56,Settings!$B$287:$D$329,3,FALSE)</f>
        <v>3.2347212000000001</v>
      </c>
      <c r="K56" s="41">
        <f t="shared" si="1"/>
        <v>331.49422857599995</v>
      </c>
      <c r="L56" s="174" t="s">
        <v>721</v>
      </c>
      <c r="M56" s="3"/>
    </row>
    <row r="57" spans="2:13" x14ac:dyDescent="0.25">
      <c r="B57" s="442" t="str">
        <f>VLOOKUP(D57,'Unit List'!$B$9:$E$241,4,0)</f>
        <v>Steel Making</v>
      </c>
      <c r="C57" s="442" t="str">
        <f>VLOOKUP(D57,'Unit List'!$B$9:$D$241,3,0)</f>
        <v>EAFs</v>
      </c>
      <c r="D57" s="414">
        <v>2210</v>
      </c>
      <c r="E57" s="733" t="s">
        <v>1965</v>
      </c>
      <c r="F57" s="376" t="s">
        <v>124</v>
      </c>
      <c r="G57" s="375">
        <v>69.837999999999994</v>
      </c>
      <c r="H57" s="354" t="s">
        <v>299</v>
      </c>
      <c r="I57" s="376" t="s">
        <v>473</v>
      </c>
      <c r="J57" s="702">
        <f>VLOOKUP(I57,Settings!$B$287:$D$329,3,FALSE)</f>
        <v>1.0460670000000001</v>
      </c>
      <c r="K57" s="41">
        <f t="shared" si="1"/>
        <v>73.055227145999993</v>
      </c>
      <c r="L57" s="174" t="s">
        <v>721</v>
      </c>
      <c r="M57" s="3"/>
    </row>
    <row r="58" spans="2:13" x14ac:dyDescent="0.25">
      <c r="B58" s="442" t="str">
        <f>VLOOKUP(D58,'Unit List'!$B$9:$E$241,4,0)</f>
        <v>Steel Making</v>
      </c>
      <c r="C58" s="442" t="str">
        <f>VLOOKUP(D58,'Unit List'!$B$9:$D$241,3,0)</f>
        <v>EAFs</v>
      </c>
      <c r="D58" s="414">
        <v>2210</v>
      </c>
      <c r="E58" s="733" t="s">
        <v>104</v>
      </c>
      <c r="F58" s="376" t="s">
        <v>125</v>
      </c>
      <c r="G58" s="375">
        <v>11481.83</v>
      </c>
      <c r="H58" s="354" t="s">
        <v>299</v>
      </c>
      <c r="I58" s="376" t="s">
        <v>471</v>
      </c>
      <c r="J58" s="702">
        <f>VLOOKUP(I58,Settings!$B$287:$D$329,3,FALSE)</f>
        <v>0.12350643</v>
      </c>
      <c r="K58" s="41">
        <f t="shared" si="1"/>
        <v>1418.0798331669</v>
      </c>
      <c r="L58" s="174" t="s">
        <v>721</v>
      </c>
      <c r="M58" s="3"/>
    </row>
    <row r="59" spans="2:13" x14ac:dyDescent="0.25">
      <c r="B59" s="442" t="str">
        <f>VLOOKUP(D59,'Unit List'!$B$9:$E$241,4,0)</f>
        <v>Steel Making</v>
      </c>
      <c r="C59" s="442" t="str">
        <f>VLOOKUP(D59,'Unit List'!$B$9:$D$241,3,0)</f>
        <v>EAFs</v>
      </c>
      <c r="D59" s="414">
        <v>2210</v>
      </c>
      <c r="E59" s="733" t="s">
        <v>1976</v>
      </c>
      <c r="F59" s="376" t="s">
        <v>126</v>
      </c>
      <c r="G59" s="375">
        <v>41924.567999999999</v>
      </c>
      <c r="H59" s="354" t="s">
        <v>299</v>
      </c>
      <c r="I59" s="376" t="s">
        <v>474</v>
      </c>
      <c r="J59" s="702">
        <f>VLOOKUP(I59,Settings!$B$287:$D$329,3,FALSE)</f>
        <v>3.6394853999999997E-2</v>
      </c>
      <c r="K59" s="41">
        <f t="shared" si="1"/>
        <v>1525.8385313730719</v>
      </c>
      <c r="L59" s="174" t="s">
        <v>721</v>
      </c>
      <c r="M59" s="3"/>
    </row>
    <row r="60" spans="2:13" x14ac:dyDescent="0.25">
      <c r="B60" s="442" t="str">
        <f>VLOOKUP(D60,'Unit List'!$B$9:$E$241,4,0)</f>
        <v>Steel Making</v>
      </c>
      <c r="C60" s="442" t="str">
        <f>VLOOKUP(D60,'Unit List'!$B$9:$D$241,3,0)</f>
        <v>EAFs</v>
      </c>
      <c r="D60" s="414">
        <v>2210</v>
      </c>
      <c r="E60" s="733" t="s">
        <v>106</v>
      </c>
      <c r="F60" s="376" t="s">
        <v>127</v>
      </c>
      <c r="G60" s="375">
        <v>18952.739000000001</v>
      </c>
      <c r="H60" s="354" t="s">
        <v>299</v>
      </c>
      <c r="I60" s="376" t="s">
        <v>475</v>
      </c>
      <c r="J60" s="702">
        <f>VLOOKUP(I60,Settings!$B$287:$D$329,3,FALSE)</f>
        <v>0.224</v>
      </c>
      <c r="K60" s="41">
        <f t="shared" si="1"/>
        <v>4245.413536</v>
      </c>
      <c r="L60" s="174" t="s">
        <v>721</v>
      </c>
      <c r="M60" s="3"/>
    </row>
    <row r="61" spans="2:13" x14ac:dyDescent="0.25">
      <c r="B61" s="442" t="str">
        <f>VLOOKUP(D61,'Unit List'!$B$9:$E$241,4,0)</f>
        <v>Steel Making</v>
      </c>
      <c r="C61" s="442" t="str">
        <f>VLOOKUP(D61,'Unit List'!$B$9:$D$241,3,0)</f>
        <v>EAFs</v>
      </c>
      <c r="D61" s="414">
        <v>2210</v>
      </c>
      <c r="E61" s="733" t="s">
        <v>107</v>
      </c>
      <c r="F61" s="376" t="s">
        <v>128</v>
      </c>
      <c r="G61" s="375">
        <v>184058.46999999997</v>
      </c>
      <c r="H61" s="354" t="s">
        <v>299</v>
      </c>
      <c r="I61" s="376" t="s">
        <v>680</v>
      </c>
      <c r="J61" s="702">
        <f>VLOOKUP(I61,Settings!$B$287:$D$329,3,FALSE)</f>
        <v>2.9320000000000003E-4</v>
      </c>
      <c r="K61" s="41">
        <f t="shared" si="1"/>
        <v>53.965943403999994</v>
      </c>
      <c r="L61" s="174" t="s">
        <v>721</v>
      </c>
      <c r="M61" s="3"/>
    </row>
    <row r="62" spans="2:13" x14ac:dyDescent="0.25">
      <c r="B62" s="442" t="str">
        <f>VLOOKUP(D62,'Unit List'!$B$9:$E$241,4,0)</f>
        <v>Steel Making</v>
      </c>
      <c r="C62" s="442" t="str">
        <f>VLOOKUP(D62,'Unit List'!$B$9:$D$241,3,0)</f>
        <v>EAFs</v>
      </c>
      <c r="D62" s="414">
        <v>2210</v>
      </c>
      <c r="E62" s="733" t="s">
        <v>108</v>
      </c>
      <c r="F62" s="376" t="s">
        <v>129</v>
      </c>
      <c r="G62" s="375">
        <v>2438057.7000000002</v>
      </c>
      <c r="H62" s="354" t="s">
        <v>299</v>
      </c>
      <c r="I62" s="376" t="s">
        <v>467</v>
      </c>
      <c r="J62" s="702">
        <f>VLOOKUP(I62,Settings!$B$287:$D$329,3,FALSE)</f>
        <v>2.0206583</v>
      </c>
      <c r="K62" s="41">
        <f t="shared" si="1"/>
        <v>4926481.5273839105</v>
      </c>
      <c r="L62" s="174" t="s">
        <v>721</v>
      </c>
      <c r="M62" s="3"/>
    </row>
    <row r="63" spans="2:13" x14ac:dyDescent="0.25">
      <c r="B63" s="442" t="str">
        <f>VLOOKUP(D63,'Unit List'!$B$9:$E$241,4,0)</f>
        <v>Steel Making</v>
      </c>
      <c r="C63" s="442" t="str">
        <f>VLOOKUP(D63,'Unit List'!$B$9:$D$241,3,0)</f>
        <v>EAFs</v>
      </c>
      <c r="D63" s="414">
        <v>2210</v>
      </c>
      <c r="E63" s="733" t="s">
        <v>109</v>
      </c>
      <c r="F63" s="376" t="s">
        <v>130</v>
      </c>
      <c r="G63" s="375">
        <v>408622.58100000001</v>
      </c>
      <c r="H63" s="354" t="s">
        <v>299</v>
      </c>
      <c r="I63" s="376" t="s">
        <v>1088</v>
      </c>
      <c r="J63" s="702">
        <f>VLOOKUP(I63,Settings!$B$287:$D$329,3,FALSE)</f>
        <v>3.5756632999999999E-3</v>
      </c>
      <c r="K63" s="41">
        <f t="shared" si="1"/>
        <v>1461.0967664329773</v>
      </c>
      <c r="L63" s="174" t="s">
        <v>721</v>
      </c>
      <c r="M63" s="3"/>
    </row>
    <row r="64" spans="2:13" x14ac:dyDescent="0.25">
      <c r="B64" s="442" t="str">
        <f>VLOOKUP(D64,'Unit List'!$B$9:$E$241,4,0)</f>
        <v>Steel Making</v>
      </c>
      <c r="C64" s="442" t="str">
        <f>VLOOKUP(D64,'Unit List'!$B$9:$D$241,3,0)</f>
        <v>EAFs</v>
      </c>
      <c r="D64" s="414">
        <v>2210</v>
      </c>
      <c r="E64" s="733" t="s">
        <v>111</v>
      </c>
      <c r="F64" s="376" t="s">
        <v>132</v>
      </c>
      <c r="G64" s="375">
        <v>40063</v>
      </c>
      <c r="H64" s="354" t="s">
        <v>299</v>
      </c>
      <c r="I64" s="376" t="s">
        <v>1088</v>
      </c>
      <c r="J64" s="702">
        <f>VLOOKUP(I64,Settings!$B$287:$D$329,3,FALSE)</f>
        <v>3.5756632999999999E-3</v>
      </c>
      <c r="K64" s="41">
        <f t="shared" si="1"/>
        <v>143.25179878789999</v>
      </c>
      <c r="L64" s="174" t="s">
        <v>721</v>
      </c>
      <c r="M64" s="3"/>
    </row>
    <row r="65" spans="2:13" x14ac:dyDescent="0.25">
      <c r="B65" s="442" t="str">
        <f>VLOOKUP(D65,'Unit List'!$B$9:$E$241,4,0)</f>
        <v>Steel Making</v>
      </c>
      <c r="C65" s="442" t="str">
        <f>VLOOKUP(D65,'Unit List'!$B$9:$D$241,3,0)</f>
        <v>EAFs</v>
      </c>
      <c r="D65" s="414">
        <v>2210</v>
      </c>
      <c r="E65" s="733" t="s">
        <v>1966</v>
      </c>
      <c r="F65" s="376" t="s">
        <v>1942</v>
      </c>
      <c r="G65" s="375">
        <v>1</v>
      </c>
      <c r="H65" s="354" t="s">
        <v>299</v>
      </c>
      <c r="I65" s="376" t="s">
        <v>1088</v>
      </c>
      <c r="J65" s="702">
        <f>VLOOKUP(I65,Settings!$B$287:$D$329,3,FALSE)</f>
        <v>3.5756632999999999E-3</v>
      </c>
      <c r="K65" s="41">
        <f t="shared" si="1"/>
        <v>3.5756632999999999E-3</v>
      </c>
      <c r="L65" s="174" t="s">
        <v>721</v>
      </c>
      <c r="M65" s="3"/>
    </row>
    <row r="66" spans="2:13" x14ac:dyDescent="0.25">
      <c r="B66" s="442" t="str">
        <f>VLOOKUP(D66,'Unit List'!$B$9:$E$241,4,0)</f>
        <v>Steel Making</v>
      </c>
      <c r="C66" s="442" t="str">
        <f>VLOOKUP(D66,'Unit List'!$B$9:$D$241,3,0)</f>
        <v>EAFs</v>
      </c>
      <c r="D66" s="414">
        <v>2210</v>
      </c>
      <c r="E66" s="733" t="s">
        <v>98</v>
      </c>
      <c r="F66" s="376" t="s">
        <v>118</v>
      </c>
      <c r="G66" s="375">
        <v>18.39</v>
      </c>
      <c r="H66" s="354" t="s">
        <v>299</v>
      </c>
      <c r="I66" s="376" t="s">
        <v>1183</v>
      </c>
      <c r="J66" s="702">
        <f>VLOOKUP(I66,Settings!$B$287:$D$329,3,FALSE)</f>
        <v>5.4339325000000001</v>
      </c>
      <c r="K66" s="41">
        <f t="shared" si="1"/>
        <v>99.930018674999999</v>
      </c>
      <c r="L66" s="174" t="s">
        <v>721</v>
      </c>
      <c r="M66" s="3"/>
    </row>
    <row r="67" spans="2:13" x14ac:dyDescent="0.25">
      <c r="B67" s="442" t="str">
        <f>VLOOKUP(D67,'Unit List'!$B$9:$E$241,4,0)</f>
        <v>Steel Making</v>
      </c>
      <c r="C67" s="442" t="str">
        <f>VLOOKUP(D67,'Unit List'!$B$9:$D$241,3,0)</f>
        <v>EAFs</v>
      </c>
      <c r="D67" s="414">
        <v>2210</v>
      </c>
      <c r="E67" s="733" t="s">
        <v>110</v>
      </c>
      <c r="F67" s="376" t="s">
        <v>131</v>
      </c>
      <c r="G67" s="375">
        <v>40</v>
      </c>
      <c r="H67" s="354" t="s">
        <v>299</v>
      </c>
      <c r="I67" s="376" t="s">
        <v>1088</v>
      </c>
      <c r="J67" s="702">
        <f>VLOOKUP(I67,Settings!$B$287:$D$329,3,FALSE)</f>
        <v>3.5756632999999999E-3</v>
      </c>
      <c r="K67" s="41">
        <f t="shared" si="1"/>
        <v>0.14302653199999998</v>
      </c>
      <c r="L67" s="174" t="s">
        <v>721</v>
      </c>
      <c r="M67" s="3"/>
    </row>
    <row r="68" spans="2:13" x14ac:dyDescent="0.25">
      <c r="B68" s="442" t="str">
        <f>VLOOKUP(D68,'Unit List'!$B$9:$E$241,4,0)</f>
        <v>Steel Making</v>
      </c>
      <c r="C68" s="442" t="str">
        <f>VLOOKUP(D68,'Unit List'!$B$9:$D$241,3,0)</f>
        <v>EAFs</v>
      </c>
      <c r="D68" s="414">
        <v>2210</v>
      </c>
      <c r="E68" s="733" t="s">
        <v>1967</v>
      </c>
      <c r="F68" s="376" t="s">
        <v>1943</v>
      </c>
      <c r="G68" s="375">
        <v>0.70000000000000007</v>
      </c>
      <c r="H68" s="354" t="s">
        <v>299</v>
      </c>
      <c r="I68" s="376" t="s">
        <v>1185</v>
      </c>
      <c r="J68" s="702">
        <f>VLOOKUP(I68,Settings!$B$287:$D$329,3,FALSE)</f>
        <v>2.8822192000000002</v>
      </c>
      <c r="K68" s="41">
        <f t="shared" si="1"/>
        <v>2.0175534400000004</v>
      </c>
      <c r="L68" s="174" t="s">
        <v>721</v>
      </c>
      <c r="M68" s="3"/>
    </row>
    <row r="69" spans="2:13" x14ac:dyDescent="0.25">
      <c r="B69" s="442" t="str">
        <f>VLOOKUP(D69,'Unit List'!$B$9:$E$241,4,0)</f>
        <v>Steel Making</v>
      </c>
      <c r="C69" s="442" t="str">
        <f>VLOOKUP(D69,'Unit List'!$B$9:$D$241,3,0)</f>
        <v>De-gassing</v>
      </c>
      <c r="D69" s="414">
        <v>2220</v>
      </c>
      <c r="E69" s="733" t="s">
        <v>93</v>
      </c>
      <c r="F69" s="376" t="s">
        <v>112</v>
      </c>
      <c r="G69" s="375">
        <v>20.574000000000002</v>
      </c>
      <c r="H69" s="354" t="s">
        <v>299</v>
      </c>
      <c r="I69" s="376" t="s">
        <v>1188</v>
      </c>
      <c r="J69" s="702">
        <f>VLOOKUP(I69,Settings!$B$287:$D$329,3,FALSE)</f>
        <v>7.9518281999999996</v>
      </c>
      <c r="K69" s="41">
        <f t="shared" si="1"/>
        <v>163.60091338680002</v>
      </c>
      <c r="L69" s="174" t="s">
        <v>721</v>
      </c>
      <c r="M69" s="3"/>
    </row>
    <row r="70" spans="2:13" x14ac:dyDescent="0.25">
      <c r="B70" s="442" t="str">
        <f>VLOOKUP(D70,'Unit List'!$B$9:$E$241,4,0)</f>
        <v>Steel Making</v>
      </c>
      <c r="C70" s="442" t="str">
        <f>VLOOKUP(D70,'Unit List'!$B$9:$D$241,3,0)</f>
        <v>De-gassing</v>
      </c>
      <c r="D70" s="414">
        <v>2220</v>
      </c>
      <c r="E70" s="733" t="s">
        <v>94</v>
      </c>
      <c r="F70" s="376" t="s">
        <v>113</v>
      </c>
      <c r="G70" s="375">
        <v>193.26900000000001</v>
      </c>
      <c r="H70" s="354" t="s">
        <v>299</v>
      </c>
      <c r="I70" s="376" t="s">
        <v>1185</v>
      </c>
      <c r="J70" s="702">
        <f>VLOOKUP(I70,Settings!$B$287:$D$329,3,FALSE)</f>
        <v>2.8822192000000002</v>
      </c>
      <c r="K70" s="41">
        <f t="shared" si="1"/>
        <v>557.0436225648001</v>
      </c>
      <c r="L70" s="174" t="s">
        <v>721</v>
      </c>
      <c r="M70" s="3"/>
    </row>
    <row r="71" spans="2:13" x14ac:dyDescent="0.25">
      <c r="B71" s="442" t="str">
        <f>VLOOKUP(D71,'Unit List'!$B$9:$E$241,4,0)</f>
        <v>Steel Making</v>
      </c>
      <c r="C71" s="442" t="str">
        <f>VLOOKUP(D71,'Unit List'!$B$9:$D$241,3,0)</f>
        <v>De-gassing</v>
      </c>
      <c r="D71" s="414">
        <v>2220</v>
      </c>
      <c r="E71" s="733" t="s">
        <v>95</v>
      </c>
      <c r="F71" s="376" t="s">
        <v>114</v>
      </c>
      <c r="G71" s="375">
        <v>159.53200000000001</v>
      </c>
      <c r="H71" s="354" t="s">
        <v>299</v>
      </c>
      <c r="I71" s="376" t="s">
        <v>1185</v>
      </c>
      <c r="J71" s="702">
        <f>VLOOKUP(I71,Settings!$B$287:$D$329,3,FALSE)</f>
        <v>2.8822192000000002</v>
      </c>
      <c r="K71" s="41">
        <f t="shared" si="1"/>
        <v>459.80619341440007</v>
      </c>
      <c r="L71" s="174" t="s">
        <v>721</v>
      </c>
      <c r="M71" s="3"/>
    </row>
    <row r="72" spans="2:13" x14ac:dyDescent="0.25">
      <c r="B72" s="442" t="str">
        <f>VLOOKUP(D72,'Unit List'!$B$9:$E$241,4,0)</f>
        <v>Steel Making</v>
      </c>
      <c r="C72" s="442" t="str">
        <f>VLOOKUP(D72,'Unit List'!$B$9:$D$241,3,0)</f>
        <v>De-gassing</v>
      </c>
      <c r="D72" s="414">
        <v>2220</v>
      </c>
      <c r="E72" s="671" t="s">
        <v>96</v>
      </c>
      <c r="F72" s="376" t="s">
        <v>115</v>
      </c>
      <c r="G72" s="375">
        <v>57.951999999999998</v>
      </c>
      <c r="H72" s="354" t="s">
        <v>299</v>
      </c>
      <c r="I72" s="376" t="s">
        <v>1185</v>
      </c>
      <c r="J72" s="702">
        <f>VLOOKUP(I72,Settings!$B$287:$D$329,3,FALSE)</f>
        <v>2.8822192000000002</v>
      </c>
      <c r="K72" s="41">
        <f t="shared" si="1"/>
        <v>167.03036707840002</v>
      </c>
      <c r="L72" s="174" t="s">
        <v>721</v>
      </c>
      <c r="M72" s="3"/>
    </row>
    <row r="73" spans="2:13" x14ac:dyDescent="0.25">
      <c r="B73" s="442" t="str">
        <f>VLOOKUP(D73,'Unit List'!$B$9:$E$241,4,0)</f>
        <v>Steel Making</v>
      </c>
      <c r="C73" s="442" t="str">
        <f>VLOOKUP(D73,'Unit List'!$B$9:$D$241,3,0)</f>
        <v>De-gassing</v>
      </c>
      <c r="D73" s="414">
        <v>2220</v>
      </c>
      <c r="E73" s="733" t="s">
        <v>134</v>
      </c>
      <c r="F73" s="376" t="s">
        <v>142</v>
      </c>
      <c r="G73" s="375">
        <v>62.903000000000006</v>
      </c>
      <c r="H73" s="354" t="s">
        <v>299</v>
      </c>
      <c r="I73" s="376" t="s">
        <v>1187</v>
      </c>
      <c r="J73" s="702">
        <f>VLOOKUP(I73,Settings!$B$287:$D$329,3,FALSE)</f>
        <v>10.612954999999999</v>
      </c>
      <c r="K73" s="41">
        <f t="shared" ref="K73:K104" si="2">G73*J73</f>
        <v>667.58670836500005</v>
      </c>
      <c r="L73" s="174" t="s">
        <v>721</v>
      </c>
      <c r="M73" s="3"/>
    </row>
    <row r="74" spans="2:13" x14ac:dyDescent="0.25">
      <c r="B74" s="442" t="str">
        <f>VLOOKUP(D74,'Unit List'!$B$9:$E$241,4,0)</f>
        <v>Steel Making</v>
      </c>
      <c r="C74" s="442" t="str">
        <f>VLOOKUP(D74,'Unit List'!$B$9:$D$241,3,0)</f>
        <v>De-gassing</v>
      </c>
      <c r="D74" s="414">
        <v>2220</v>
      </c>
      <c r="E74" s="733" t="s">
        <v>97</v>
      </c>
      <c r="F74" s="376" t="s">
        <v>116</v>
      </c>
      <c r="G74" s="375">
        <v>6.0739999999999998</v>
      </c>
      <c r="H74" s="354" t="s">
        <v>299</v>
      </c>
      <c r="I74" s="376" t="s">
        <v>1195</v>
      </c>
      <c r="J74" s="702">
        <f>VLOOKUP(I74,Settings!$B$287:$D$329,3,FALSE)</f>
        <v>2.8822192000000002</v>
      </c>
      <c r="K74" s="41">
        <f t="shared" si="2"/>
        <v>17.506599420800001</v>
      </c>
      <c r="L74" s="174" t="s">
        <v>721</v>
      </c>
      <c r="M74" s="3"/>
    </row>
    <row r="75" spans="2:13" x14ac:dyDescent="0.25">
      <c r="B75" s="442" t="str">
        <f>VLOOKUP(D75,'Unit List'!$B$9:$E$241,4,0)</f>
        <v>Steel Making</v>
      </c>
      <c r="C75" s="442" t="str">
        <f>VLOOKUP(D75,'Unit List'!$B$9:$D$241,3,0)</f>
        <v>De-gassing</v>
      </c>
      <c r="D75" s="414">
        <v>2220</v>
      </c>
      <c r="E75" s="733" t="s">
        <v>136</v>
      </c>
      <c r="F75" s="376" t="s">
        <v>145</v>
      </c>
      <c r="G75" s="375">
        <v>204.00500000000002</v>
      </c>
      <c r="H75" s="354" t="s">
        <v>299</v>
      </c>
      <c r="I75" s="376" t="s">
        <v>1194</v>
      </c>
      <c r="J75" s="702">
        <f>VLOOKUP(I75,Settings!$B$287:$D$329,3,FALSE)</f>
        <v>2.8822192000000002</v>
      </c>
      <c r="K75" s="41">
        <f t="shared" si="2"/>
        <v>587.98712789600006</v>
      </c>
      <c r="L75" s="174" t="s">
        <v>721</v>
      </c>
      <c r="M75" s="3"/>
    </row>
    <row r="76" spans="2:13" x14ac:dyDescent="0.25">
      <c r="B76" s="442" t="str">
        <f>VLOOKUP(D76,'Unit List'!$B$9:$E$241,4,0)</f>
        <v>Steel Making</v>
      </c>
      <c r="C76" s="442" t="str">
        <f>VLOOKUP(D76,'Unit List'!$B$9:$D$241,3,0)</f>
        <v>De-gassing</v>
      </c>
      <c r="D76" s="414">
        <v>2220</v>
      </c>
      <c r="E76" s="733" t="s">
        <v>137</v>
      </c>
      <c r="F76" s="376" t="s">
        <v>146</v>
      </c>
      <c r="G76" s="375">
        <v>0</v>
      </c>
      <c r="H76" s="354" t="s">
        <v>299</v>
      </c>
      <c r="I76" s="376" t="s">
        <v>1193</v>
      </c>
      <c r="J76" s="702">
        <f>VLOOKUP(I76,Settings!$B$287:$D$329,3,FALSE)</f>
        <v>2.8822192000000002</v>
      </c>
      <c r="K76" s="41">
        <f t="shared" si="2"/>
        <v>0</v>
      </c>
      <c r="L76" s="174" t="s">
        <v>721</v>
      </c>
      <c r="M76" s="3"/>
    </row>
    <row r="77" spans="2:13" x14ac:dyDescent="0.25">
      <c r="B77" s="442" t="str">
        <f>VLOOKUP(D77,'Unit List'!$B$9:$E$241,4,0)</f>
        <v>Steel Making</v>
      </c>
      <c r="C77" s="442" t="str">
        <f>VLOOKUP(D77,'Unit List'!$B$9:$D$241,3,0)</f>
        <v>De-gassing</v>
      </c>
      <c r="D77" s="414">
        <v>2220</v>
      </c>
      <c r="E77" s="733" t="s">
        <v>138</v>
      </c>
      <c r="F77" s="376" t="s">
        <v>147</v>
      </c>
      <c r="G77" s="375">
        <v>383.87</v>
      </c>
      <c r="H77" s="354" t="s">
        <v>299</v>
      </c>
      <c r="I77" s="376" t="s">
        <v>1179</v>
      </c>
      <c r="J77" s="702">
        <f>VLOOKUP(I77,Settings!$B$287:$D$329,3,FALSE)</f>
        <v>17.443232999999999</v>
      </c>
      <c r="K77" s="41">
        <f t="shared" si="2"/>
        <v>6695.9338517099995</v>
      </c>
      <c r="L77" s="174" t="s">
        <v>721</v>
      </c>
      <c r="M77" s="3"/>
    </row>
    <row r="78" spans="2:13" x14ac:dyDescent="0.25">
      <c r="B78" s="442" t="str">
        <f>VLOOKUP(D78,'Unit List'!$B$9:$E$241,4,0)</f>
        <v>Steel Making</v>
      </c>
      <c r="C78" s="442" t="str">
        <f>VLOOKUP(D78,'Unit List'!$B$9:$D$241,3,0)</f>
        <v>De-gassing</v>
      </c>
      <c r="D78" s="414">
        <v>2220</v>
      </c>
      <c r="E78" s="733" t="s">
        <v>140</v>
      </c>
      <c r="F78" s="376" t="s">
        <v>149</v>
      </c>
      <c r="G78" s="375">
        <v>111.89599999999999</v>
      </c>
      <c r="H78" s="354" t="s">
        <v>299</v>
      </c>
      <c r="I78" s="376" t="s">
        <v>1182</v>
      </c>
      <c r="J78" s="702">
        <f>VLOOKUP(I78,Settings!$B$287:$D$329,3,FALSE)</f>
        <v>10.659981999999999</v>
      </c>
      <c r="K78" s="41">
        <f t="shared" si="2"/>
        <v>1192.8093458719998</v>
      </c>
      <c r="L78" s="174" t="s">
        <v>721</v>
      </c>
      <c r="M78" s="3"/>
    </row>
    <row r="79" spans="2:13" x14ac:dyDescent="0.25">
      <c r="B79" s="442" t="str">
        <f>VLOOKUP(D79,'Unit List'!$B$9:$E$241,4,0)</f>
        <v>Steel Making</v>
      </c>
      <c r="C79" s="442" t="str">
        <f>VLOOKUP(D79,'Unit List'!$B$9:$D$241,3,0)</f>
        <v>De-gassing</v>
      </c>
      <c r="D79" s="414">
        <v>2220</v>
      </c>
      <c r="E79" s="733" t="s">
        <v>141</v>
      </c>
      <c r="F79" s="376" t="s">
        <v>150</v>
      </c>
      <c r="G79" s="375">
        <v>5.2030000000000003</v>
      </c>
      <c r="H79" s="354" t="s">
        <v>299</v>
      </c>
      <c r="I79" s="376" t="s">
        <v>474</v>
      </c>
      <c r="J79" s="702">
        <f>VLOOKUP(I79,Settings!$B$287:$D$329,3,FALSE)</f>
        <v>3.6394853999999997E-2</v>
      </c>
      <c r="K79" s="41">
        <f t="shared" si="2"/>
        <v>0.18936242536199999</v>
      </c>
      <c r="L79" s="174" t="s">
        <v>721</v>
      </c>
      <c r="M79" s="3"/>
    </row>
    <row r="80" spans="2:13" x14ac:dyDescent="0.25">
      <c r="B80" s="442" t="str">
        <f>VLOOKUP(D80,'Unit List'!$B$9:$E$241,4,0)</f>
        <v>Steel Making</v>
      </c>
      <c r="C80" s="442" t="str">
        <f>VLOOKUP(D80,'Unit List'!$B$9:$D$241,3,0)</f>
        <v>De-gassing</v>
      </c>
      <c r="D80" s="414">
        <v>2220</v>
      </c>
      <c r="E80" s="733" t="s">
        <v>109</v>
      </c>
      <c r="F80" s="376" t="s">
        <v>130</v>
      </c>
      <c r="G80" s="375">
        <v>176.857</v>
      </c>
      <c r="H80" s="354" t="s">
        <v>299</v>
      </c>
      <c r="I80" s="376" t="s">
        <v>1174</v>
      </c>
      <c r="J80" s="702">
        <f>VLOOKUP(I80,Settings!$B$287:$D$329,3,FALSE)</f>
        <v>0</v>
      </c>
      <c r="K80" s="41">
        <f t="shared" si="2"/>
        <v>0</v>
      </c>
      <c r="L80" s="174" t="s">
        <v>722</v>
      </c>
      <c r="M80" s="3"/>
    </row>
    <row r="81" spans="2:13" x14ac:dyDescent="0.25">
      <c r="B81" s="442" t="str">
        <f>VLOOKUP(D81,'Unit List'!$B$9:$E$241,4,0)</f>
        <v>Steel Making</v>
      </c>
      <c r="C81" s="442" t="str">
        <f>VLOOKUP(D81,'Unit List'!$B$9:$D$241,3,0)</f>
        <v>De-gassing</v>
      </c>
      <c r="D81" s="414">
        <v>2220</v>
      </c>
      <c r="E81" s="733" t="s">
        <v>135</v>
      </c>
      <c r="F81" s="376" t="s">
        <v>143</v>
      </c>
      <c r="G81" s="375">
        <v>32.239000000000004</v>
      </c>
      <c r="H81" s="354" t="s">
        <v>299</v>
      </c>
      <c r="I81" s="376" t="s">
        <v>1196</v>
      </c>
      <c r="J81" s="702">
        <f>VLOOKUP(I81,Settings!$B$287:$D$329,3,FALSE)</f>
        <v>2.8822192000000002</v>
      </c>
      <c r="K81" s="41">
        <f t="shared" si="2"/>
        <v>92.919864788800012</v>
      </c>
      <c r="L81" s="174" t="s">
        <v>721</v>
      </c>
      <c r="M81" s="3"/>
    </row>
    <row r="82" spans="2:13" x14ac:dyDescent="0.25">
      <c r="B82" s="442" t="str">
        <f>VLOOKUP(D82,'Unit List'!$B$9:$E$241,4,0)</f>
        <v>Steel Making</v>
      </c>
      <c r="C82" s="442" t="str">
        <f>VLOOKUP(D82,'Unit List'!$B$9:$D$241,3,0)</f>
        <v>De-gassing</v>
      </c>
      <c r="D82" s="414">
        <v>2220</v>
      </c>
      <c r="E82" s="733" t="s">
        <v>1968</v>
      </c>
      <c r="F82" s="376" t="s">
        <v>144</v>
      </c>
      <c r="G82" s="375">
        <v>0.49299999999999999</v>
      </c>
      <c r="H82" s="354" t="s">
        <v>299</v>
      </c>
      <c r="I82" s="376" t="s">
        <v>1179</v>
      </c>
      <c r="J82" s="702">
        <f>VLOOKUP(I82,Settings!$B$287:$D$329,3,FALSE)</f>
        <v>17.443232999999999</v>
      </c>
      <c r="K82" s="41">
        <f t="shared" si="2"/>
        <v>8.599513868999999</v>
      </c>
      <c r="L82" s="174" t="s">
        <v>721</v>
      </c>
      <c r="M82" s="3"/>
    </row>
    <row r="83" spans="2:13" x14ac:dyDescent="0.25">
      <c r="B83" s="442" t="str">
        <f>VLOOKUP(D83,'Unit List'!$B$9:$E$241,4,0)</f>
        <v>Steel Making</v>
      </c>
      <c r="C83" s="442" t="str">
        <f>VLOOKUP(D83,'Unit List'!$B$9:$D$241,3,0)</f>
        <v>De-gassing</v>
      </c>
      <c r="D83" s="414">
        <v>2220</v>
      </c>
      <c r="E83" s="733" t="s">
        <v>101</v>
      </c>
      <c r="F83" s="376" t="s">
        <v>121</v>
      </c>
      <c r="G83" s="375">
        <v>10.323</v>
      </c>
      <c r="H83" s="354" t="s">
        <v>299</v>
      </c>
      <c r="I83" s="376" t="s">
        <v>1186</v>
      </c>
      <c r="J83" s="702">
        <f>VLOOKUP(I83,Settings!$B$287:$D$329,3,FALSE)</f>
        <v>7.8191103000000002</v>
      </c>
      <c r="K83" s="41">
        <f t="shared" si="2"/>
        <v>80.716675626899999</v>
      </c>
      <c r="L83" s="174" t="s">
        <v>721</v>
      </c>
      <c r="M83" s="3"/>
    </row>
    <row r="84" spans="2:13" x14ac:dyDescent="0.25">
      <c r="B84" s="442" t="str">
        <f>VLOOKUP(D84,'Unit List'!$B$9:$E$241,4,0)</f>
        <v>Steel Making</v>
      </c>
      <c r="C84" s="442" t="str">
        <f>VLOOKUP(D84,'Unit List'!$B$9:$D$241,3,0)</f>
        <v>De-gassing</v>
      </c>
      <c r="D84" s="414">
        <v>2220</v>
      </c>
      <c r="E84" s="733" t="s">
        <v>139</v>
      </c>
      <c r="F84" s="376" t="s">
        <v>148</v>
      </c>
      <c r="G84" s="375">
        <v>4.2729999999999997</v>
      </c>
      <c r="H84" s="354" t="s">
        <v>299</v>
      </c>
      <c r="I84" s="376" t="s">
        <v>1209</v>
      </c>
      <c r="J84" s="702">
        <f>VLOOKUP(I84,Settings!$B$287:$D$329,3,FALSE)</f>
        <v>2.8822192000000002</v>
      </c>
      <c r="K84" s="41">
        <f t="shared" si="2"/>
        <v>12.315722641600001</v>
      </c>
      <c r="L84" s="174" t="s">
        <v>721</v>
      </c>
      <c r="M84" s="3"/>
    </row>
    <row r="85" spans="2:13" x14ac:dyDescent="0.25">
      <c r="B85" s="442" t="str">
        <f>VLOOKUP(D85,'Unit List'!$B$9:$E$241,4,0)</f>
        <v>Steel Making</v>
      </c>
      <c r="C85" s="442" t="str">
        <f>VLOOKUP(D85,'Unit List'!$B$9:$D$241,3,0)</f>
        <v>De-gassing</v>
      </c>
      <c r="D85" s="414">
        <v>2220</v>
      </c>
      <c r="E85" s="733" t="s">
        <v>100</v>
      </c>
      <c r="F85" s="376" t="s">
        <v>120</v>
      </c>
      <c r="G85" s="375">
        <v>3.24</v>
      </c>
      <c r="H85" s="354" t="s">
        <v>299</v>
      </c>
      <c r="I85" s="376" t="s">
        <v>1184</v>
      </c>
      <c r="J85" s="702">
        <f>VLOOKUP(I85,Settings!$B$287:$D$329,3,FALSE)</f>
        <v>5.0669465999999996</v>
      </c>
      <c r="K85" s="41">
        <f t="shared" si="2"/>
        <v>16.416906984000001</v>
      </c>
      <c r="L85" s="174" t="s">
        <v>721</v>
      </c>
      <c r="M85" s="3"/>
    </row>
    <row r="86" spans="2:13" x14ac:dyDescent="0.25">
      <c r="B86" s="442" t="str">
        <f>VLOOKUP(D86,'Unit List'!$B$9:$E$241,4,0)</f>
        <v>Steel Making</v>
      </c>
      <c r="C86" s="442" t="str">
        <f>VLOOKUP(D86,'Unit List'!$B$9:$D$241,3,0)</f>
        <v>De-gassing</v>
      </c>
      <c r="D86" s="414">
        <v>2220</v>
      </c>
      <c r="E86" s="733" t="s">
        <v>1964</v>
      </c>
      <c r="F86" s="376" t="s">
        <v>117</v>
      </c>
      <c r="G86" s="585">
        <v>1.194</v>
      </c>
      <c r="H86" s="354" t="s">
        <v>299</v>
      </c>
      <c r="I86" s="376" t="s">
        <v>1179</v>
      </c>
      <c r="J86" s="702">
        <f>VLOOKUP(I86,Settings!$B$287:$D$329,3,FALSE)</f>
        <v>17.443232999999999</v>
      </c>
      <c r="K86" s="41">
        <f t="shared" si="2"/>
        <v>20.827220201999999</v>
      </c>
      <c r="L86" s="174" t="s">
        <v>721</v>
      </c>
      <c r="M86" s="3"/>
    </row>
    <row r="87" spans="2:13" x14ac:dyDescent="0.25">
      <c r="B87" s="442" t="str">
        <f>VLOOKUP(D87,'Unit List'!$B$9:$E$241,4,0)</f>
        <v>Steel Making</v>
      </c>
      <c r="C87" s="442" t="str">
        <f>VLOOKUP(D87,'Unit List'!$B$9:$D$241,3,0)</f>
        <v>De-gassing</v>
      </c>
      <c r="D87" s="414">
        <v>2220</v>
      </c>
      <c r="E87" s="733" t="s">
        <v>103</v>
      </c>
      <c r="F87" s="376" t="s">
        <v>123</v>
      </c>
      <c r="G87" s="585">
        <v>57.478000000000002</v>
      </c>
      <c r="H87" s="354" t="s">
        <v>299</v>
      </c>
      <c r="I87" s="376" t="s">
        <v>1180</v>
      </c>
      <c r="J87" s="702">
        <f>VLOOKUP(I87,Settings!$B$287:$D$329,3,FALSE)</f>
        <v>3.2347212000000001</v>
      </c>
      <c r="K87" s="41">
        <f t="shared" si="2"/>
        <v>185.92530513360001</v>
      </c>
      <c r="L87" s="174" t="s">
        <v>721</v>
      </c>
      <c r="M87" s="3"/>
    </row>
    <row r="88" spans="2:13" x14ac:dyDescent="0.25">
      <c r="B88" s="442" t="str">
        <f>VLOOKUP(D88,'Unit List'!$B$9:$E$241,4,0)</f>
        <v>Steel Making</v>
      </c>
      <c r="C88" s="442" t="str">
        <f>VLOOKUP(D88,'Unit List'!$B$9:$D$241,3,0)</f>
        <v>Laddle Furnaces</v>
      </c>
      <c r="D88" s="414">
        <v>2240</v>
      </c>
      <c r="E88" s="733" t="s">
        <v>93</v>
      </c>
      <c r="F88" s="376" t="s">
        <v>112</v>
      </c>
      <c r="G88" s="585">
        <v>2887.8559999999998</v>
      </c>
      <c r="H88" s="354" t="s">
        <v>299</v>
      </c>
      <c r="I88" s="376" t="s">
        <v>1188</v>
      </c>
      <c r="J88" s="702">
        <f>VLOOKUP(I88,Settings!$B$287:$D$329,3,FALSE)</f>
        <v>7.9518281999999996</v>
      </c>
      <c r="K88" s="41">
        <f t="shared" si="2"/>
        <v>22963.734778339196</v>
      </c>
      <c r="L88" s="174" t="s">
        <v>721</v>
      </c>
      <c r="M88" s="3"/>
    </row>
    <row r="89" spans="2:13" x14ac:dyDescent="0.25">
      <c r="B89" s="442" t="str">
        <f>VLOOKUP(D89,'Unit List'!$B$9:$E$241,4,0)</f>
        <v>Steel Making</v>
      </c>
      <c r="C89" s="442" t="str">
        <f>VLOOKUP(D89,'Unit List'!$B$9:$D$241,3,0)</f>
        <v>Laddle Furnaces</v>
      </c>
      <c r="D89" s="414">
        <v>2240</v>
      </c>
      <c r="E89" s="733" t="s">
        <v>95</v>
      </c>
      <c r="F89" s="376" t="s">
        <v>114</v>
      </c>
      <c r="G89" s="585">
        <v>4041.8</v>
      </c>
      <c r="H89" s="354" t="s">
        <v>299</v>
      </c>
      <c r="I89" s="376" t="s">
        <v>1185</v>
      </c>
      <c r="J89" s="702">
        <f>VLOOKUP(I89,Settings!$B$287:$D$329,3,FALSE)</f>
        <v>2.8822192000000002</v>
      </c>
      <c r="K89" s="41">
        <f t="shared" si="2"/>
        <v>11649.353562560002</v>
      </c>
      <c r="L89" s="174" t="s">
        <v>721</v>
      </c>
      <c r="M89" s="3"/>
    </row>
    <row r="90" spans="2:13" x14ac:dyDescent="0.25">
      <c r="B90" s="442" t="str">
        <f>VLOOKUP(D90,'Unit List'!$B$9:$E$241,4,0)</f>
        <v>Steel Making</v>
      </c>
      <c r="C90" s="442" t="str">
        <f>VLOOKUP(D90,'Unit List'!$B$9:$D$241,3,0)</f>
        <v>Laddle Furnaces</v>
      </c>
      <c r="D90" s="414">
        <v>2240</v>
      </c>
      <c r="E90" s="733" t="s">
        <v>96</v>
      </c>
      <c r="F90" s="376" t="s">
        <v>115</v>
      </c>
      <c r="G90" s="585">
        <v>7587.3680000000013</v>
      </c>
      <c r="H90" s="354" t="s">
        <v>299</v>
      </c>
      <c r="I90" s="376" t="s">
        <v>1185</v>
      </c>
      <c r="J90" s="702">
        <f>VLOOKUP(I90,Settings!$B$287:$D$329,3,FALSE)</f>
        <v>2.8822192000000002</v>
      </c>
      <c r="K90" s="41">
        <f t="shared" si="2"/>
        <v>21868.457727065605</v>
      </c>
      <c r="L90" s="174" t="s">
        <v>721</v>
      </c>
      <c r="M90" s="3"/>
    </row>
    <row r="91" spans="2:13" x14ac:dyDescent="0.25">
      <c r="B91" s="442" t="str">
        <f>VLOOKUP(D91,'Unit List'!$B$9:$E$241,4,0)</f>
        <v>Steel Making</v>
      </c>
      <c r="C91" s="442" t="str">
        <f>VLOOKUP(D91,'Unit List'!$B$9:$D$241,3,0)</f>
        <v>Laddle Furnaces</v>
      </c>
      <c r="D91" s="414">
        <v>2240</v>
      </c>
      <c r="E91" s="733" t="s">
        <v>134</v>
      </c>
      <c r="F91" s="376" t="s">
        <v>142</v>
      </c>
      <c r="G91" s="585">
        <v>502.04799999999994</v>
      </c>
      <c r="H91" s="354" t="s">
        <v>299</v>
      </c>
      <c r="I91" s="376" t="s">
        <v>1187</v>
      </c>
      <c r="J91" s="702">
        <f>VLOOKUP(I91,Settings!$B$287:$D$329,3,FALSE)</f>
        <v>10.612954999999999</v>
      </c>
      <c r="K91" s="41">
        <f t="shared" si="2"/>
        <v>5328.2128318399991</v>
      </c>
      <c r="L91" s="174" t="s">
        <v>721</v>
      </c>
      <c r="M91" s="3"/>
    </row>
    <row r="92" spans="2:13" x14ac:dyDescent="0.25">
      <c r="B92" s="442" t="str">
        <f>VLOOKUP(D92,'Unit List'!$B$9:$E$241,4,0)</f>
        <v>Steel Making</v>
      </c>
      <c r="C92" s="442" t="str">
        <f>VLOOKUP(D92,'Unit List'!$B$9:$D$241,3,0)</f>
        <v>Laddle Furnaces</v>
      </c>
      <c r="D92" s="414">
        <v>2240</v>
      </c>
      <c r="E92" s="733" t="s">
        <v>135</v>
      </c>
      <c r="F92" s="376" t="s">
        <v>143</v>
      </c>
      <c r="G92" s="585">
        <v>175.62100000000004</v>
      </c>
      <c r="H92" s="354" t="s">
        <v>299</v>
      </c>
      <c r="I92" s="376" t="s">
        <v>1196</v>
      </c>
      <c r="J92" s="702">
        <f>VLOOKUP(I92,Settings!$B$287:$D$329,3,FALSE)</f>
        <v>2.8822192000000002</v>
      </c>
      <c r="K92" s="41">
        <f t="shared" si="2"/>
        <v>506.17821812320017</v>
      </c>
      <c r="L92" s="174" t="s">
        <v>721</v>
      </c>
      <c r="M92" s="3"/>
    </row>
    <row r="93" spans="2:13" x14ac:dyDescent="0.25">
      <c r="B93" s="442" t="str">
        <f>VLOOKUP(D93,'Unit List'!$B$9:$E$241,4,0)</f>
        <v>Steel Making</v>
      </c>
      <c r="C93" s="442" t="str">
        <f>VLOOKUP(D93,'Unit List'!$B$9:$D$241,3,0)</f>
        <v>Laddle Furnaces</v>
      </c>
      <c r="D93" s="414">
        <v>2240</v>
      </c>
      <c r="E93" s="733" t="s">
        <v>1968</v>
      </c>
      <c r="F93" s="376" t="s">
        <v>144</v>
      </c>
      <c r="G93" s="585">
        <v>3959.4610000000002</v>
      </c>
      <c r="H93" s="354" t="s">
        <v>299</v>
      </c>
      <c r="I93" s="376" t="s">
        <v>1179</v>
      </c>
      <c r="J93" s="702">
        <f>VLOOKUP(I93,Settings!$B$287:$D$329,3,FALSE)</f>
        <v>17.443232999999999</v>
      </c>
      <c r="K93" s="41">
        <f t="shared" si="2"/>
        <v>69065.800777412995</v>
      </c>
      <c r="L93" s="174" t="s">
        <v>721</v>
      </c>
      <c r="M93" s="3"/>
    </row>
    <row r="94" spans="2:13" x14ac:dyDescent="0.25">
      <c r="B94" s="442" t="str">
        <f>VLOOKUP(D94,'Unit List'!$B$9:$E$241,4,0)</f>
        <v>Steel Making</v>
      </c>
      <c r="C94" s="442" t="str">
        <f>VLOOKUP(D94,'Unit List'!$B$9:$D$241,3,0)</f>
        <v>Laddle Furnaces</v>
      </c>
      <c r="D94" s="414">
        <v>2240</v>
      </c>
      <c r="E94" s="733" t="s">
        <v>97</v>
      </c>
      <c r="F94" s="376" t="s">
        <v>116</v>
      </c>
      <c r="G94" s="585">
        <v>15.836000000000002</v>
      </c>
      <c r="H94" s="354" t="s">
        <v>299</v>
      </c>
      <c r="I94" s="376" t="s">
        <v>1195</v>
      </c>
      <c r="J94" s="702">
        <f>VLOOKUP(I94,Settings!$B$287:$D$329,3,FALSE)</f>
        <v>2.8822192000000002</v>
      </c>
      <c r="K94" s="41">
        <f t="shared" si="2"/>
        <v>45.642823251200006</v>
      </c>
      <c r="L94" s="174" t="s">
        <v>721</v>
      </c>
      <c r="M94" s="3"/>
    </row>
    <row r="95" spans="2:13" x14ac:dyDescent="0.25">
      <c r="B95" s="442" t="str">
        <f>VLOOKUP(D95,'Unit List'!$B$9:$E$241,4,0)</f>
        <v>Steel Making</v>
      </c>
      <c r="C95" s="442" t="str">
        <f>VLOOKUP(D95,'Unit List'!$B$9:$D$241,3,0)</f>
        <v>Laddle Furnaces</v>
      </c>
      <c r="D95" s="414">
        <v>2240</v>
      </c>
      <c r="E95" s="733" t="s">
        <v>1964</v>
      </c>
      <c r="F95" s="376" t="s">
        <v>117</v>
      </c>
      <c r="G95" s="585">
        <v>196.00599999999997</v>
      </c>
      <c r="H95" s="354" t="s">
        <v>299</v>
      </c>
      <c r="I95" s="376" t="s">
        <v>1179</v>
      </c>
      <c r="J95" s="702">
        <f>VLOOKUP(I95,Settings!$B$287:$D$329,3,FALSE)</f>
        <v>17.443232999999999</v>
      </c>
      <c r="K95" s="41">
        <f t="shared" si="2"/>
        <v>3418.9783273979992</v>
      </c>
      <c r="L95" s="174" t="s">
        <v>721</v>
      </c>
      <c r="M95" s="3"/>
    </row>
    <row r="96" spans="2:13" x14ac:dyDescent="0.25">
      <c r="B96" s="442" t="str">
        <f>VLOOKUP(D96,'Unit List'!$B$9:$E$241,4,0)</f>
        <v>Steel Making</v>
      </c>
      <c r="C96" s="442" t="str">
        <f>VLOOKUP(D96,'Unit List'!$B$9:$D$241,3,0)</f>
        <v>Laddle Furnaces</v>
      </c>
      <c r="D96" s="414">
        <v>2240</v>
      </c>
      <c r="E96" s="733" t="s">
        <v>136</v>
      </c>
      <c r="F96" s="376" t="s">
        <v>145</v>
      </c>
      <c r="G96" s="585">
        <v>182.54500000000002</v>
      </c>
      <c r="H96" s="354" t="s">
        <v>299</v>
      </c>
      <c r="I96" s="376" t="s">
        <v>1194</v>
      </c>
      <c r="J96" s="702">
        <f>VLOOKUP(I96,Settings!$B$287:$D$329,3,FALSE)</f>
        <v>2.8822192000000002</v>
      </c>
      <c r="K96" s="41">
        <f t="shared" si="2"/>
        <v>526.13470386400013</v>
      </c>
      <c r="L96" s="174" t="s">
        <v>721</v>
      </c>
      <c r="M96" s="3"/>
    </row>
    <row r="97" spans="2:13" x14ac:dyDescent="0.25">
      <c r="B97" s="442" t="str">
        <f>VLOOKUP(D97,'Unit List'!$B$9:$E$241,4,0)</f>
        <v>Steel Making</v>
      </c>
      <c r="C97" s="442" t="str">
        <f>VLOOKUP(D97,'Unit List'!$B$9:$D$241,3,0)</f>
        <v>Laddle Furnaces</v>
      </c>
      <c r="D97" s="414">
        <v>2240</v>
      </c>
      <c r="E97" s="733" t="s">
        <v>137</v>
      </c>
      <c r="F97" s="376" t="s">
        <v>146</v>
      </c>
      <c r="G97" s="585">
        <v>0.6120000000000001</v>
      </c>
      <c r="H97" s="354" t="s">
        <v>299</v>
      </c>
      <c r="I97" s="376" t="s">
        <v>1193</v>
      </c>
      <c r="J97" s="702">
        <f>VLOOKUP(I97,Settings!$B$287:$D$329,3,FALSE)</f>
        <v>2.8822192000000002</v>
      </c>
      <c r="K97" s="41">
        <f t="shared" si="2"/>
        <v>1.7639181504000003</v>
      </c>
      <c r="L97" s="174" t="s">
        <v>721</v>
      </c>
      <c r="M97" s="3"/>
    </row>
    <row r="98" spans="2:13" x14ac:dyDescent="0.25">
      <c r="B98" s="442" t="str">
        <f>VLOOKUP(D98,'Unit List'!$B$9:$E$241,4,0)</f>
        <v>Steel Making</v>
      </c>
      <c r="C98" s="442" t="str">
        <f>VLOOKUP(D98,'Unit List'!$B$9:$D$241,3,0)</f>
        <v>Laddle Furnaces</v>
      </c>
      <c r="D98" s="414">
        <v>2240</v>
      </c>
      <c r="E98" s="733" t="s">
        <v>138</v>
      </c>
      <c r="F98" s="376" t="s">
        <v>147</v>
      </c>
      <c r="G98" s="585">
        <v>520.65899999999999</v>
      </c>
      <c r="H98" s="354" t="s">
        <v>299</v>
      </c>
      <c r="I98" s="376" t="s">
        <v>1179</v>
      </c>
      <c r="J98" s="702">
        <f>VLOOKUP(I98,Settings!$B$287:$D$329,3,FALSE)</f>
        <v>17.443232999999999</v>
      </c>
      <c r="K98" s="41">
        <f t="shared" si="2"/>
        <v>9081.9762505469989</v>
      </c>
      <c r="L98" s="174" t="s">
        <v>721</v>
      </c>
      <c r="M98" s="3"/>
    </row>
    <row r="99" spans="2:13" x14ac:dyDescent="0.25">
      <c r="B99" s="442" t="str">
        <f>VLOOKUP(D99,'Unit List'!$B$9:$E$241,4,0)</f>
        <v>Steel Making</v>
      </c>
      <c r="C99" s="442" t="str">
        <f>VLOOKUP(D99,'Unit List'!$B$9:$D$241,3,0)</f>
        <v>Laddle Furnaces</v>
      </c>
      <c r="D99" s="414">
        <v>2240</v>
      </c>
      <c r="E99" s="733" t="s">
        <v>139</v>
      </c>
      <c r="F99" s="376" t="s">
        <v>148</v>
      </c>
      <c r="G99" s="585">
        <v>3383.39</v>
      </c>
      <c r="H99" s="354" t="s">
        <v>299</v>
      </c>
      <c r="I99" s="376" t="s">
        <v>1209</v>
      </c>
      <c r="J99" s="702">
        <f>VLOOKUP(I99,Settings!$B$287:$D$329,3,FALSE)</f>
        <v>2.8822192000000002</v>
      </c>
      <c r="K99" s="41">
        <f t="shared" si="2"/>
        <v>9751.6716190879997</v>
      </c>
      <c r="L99" s="174" t="s">
        <v>721</v>
      </c>
      <c r="M99" s="3"/>
    </row>
    <row r="100" spans="2:13" x14ac:dyDescent="0.25">
      <c r="B100" s="442" t="str">
        <f>VLOOKUP(D100,'Unit List'!$B$9:$E$241,4,0)</f>
        <v>Steel Making</v>
      </c>
      <c r="C100" s="442" t="str">
        <f>VLOOKUP(D100,'Unit List'!$B$9:$D$241,3,0)</f>
        <v>Laddle Furnaces</v>
      </c>
      <c r="D100" s="414">
        <v>2240</v>
      </c>
      <c r="E100" s="733" t="s">
        <v>102</v>
      </c>
      <c r="F100" s="376" t="s">
        <v>122</v>
      </c>
      <c r="G100" s="585">
        <v>310.803</v>
      </c>
      <c r="H100" s="354" t="s">
        <v>299</v>
      </c>
      <c r="I100" s="376" t="s">
        <v>1181</v>
      </c>
      <c r="J100" s="702">
        <f>VLOOKUP(I100,Settings!$B$287:$D$329,3,FALSE)</f>
        <v>4.1287542999999998</v>
      </c>
      <c r="K100" s="41">
        <f t="shared" si="2"/>
        <v>1283.2292227029</v>
      </c>
      <c r="L100" s="174" t="s">
        <v>721</v>
      </c>
      <c r="M100" s="3"/>
    </row>
    <row r="101" spans="2:13" x14ac:dyDescent="0.25">
      <c r="B101" s="442" t="str">
        <f>VLOOKUP(D101,'Unit List'!$B$9:$E$241,4,0)</f>
        <v>Steel Making</v>
      </c>
      <c r="C101" s="442" t="str">
        <f>VLOOKUP(D101,'Unit List'!$B$9:$D$241,3,0)</f>
        <v>Laddle Furnaces</v>
      </c>
      <c r="D101" s="414">
        <v>2240</v>
      </c>
      <c r="E101" s="733" t="s">
        <v>103</v>
      </c>
      <c r="F101" s="376" t="s">
        <v>123</v>
      </c>
      <c r="G101" s="585">
        <v>0</v>
      </c>
      <c r="H101" s="354" t="s">
        <v>299</v>
      </c>
      <c r="I101" s="376" t="s">
        <v>1180</v>
      </c>
      <c r="J101" s="702">
        <f>VLOOKUP(I101,Settings!$B$287:$D$329,3,FALSE)</f>
        <v>3.2347212000000001</v>
      </c>
      <c r="K101" s="41">
        <f t="shared" si="2"/>
        <v>0</v>
      </c>
      <c r="L101" s="174" t="s">
        <v>721</v>
      </c>
      <c r="M101" s="3"/>
    </row>
    <row r="102" spans="2:13" x14ac:dyDescent="0.25">
      <c r="B102" s="442" t="str">
        <f>VLOOKUP(D102,'Unit List'!$B$9:$E$241,4,0)</f>
        <v>Steel Making</v>
      </c>
      <c r="C102" s="442" t="str">
        <f>VLOOKUP(D102,'Unit List'!$B$9:$D$241,3,0)</f>
        <v>Laddle Furnaces</v>
      </c>
      <c r="D102" s="414">
        <v>2240</v>
      </c>
      <c r="E102" s="733" t="s">
        <v>1969</v>
      </c>
      <c r="F102" s="376" t="s">
        <v>1944</v>
      </c>
      <c r="G102" s="585">
        <v>157.22500000000002</v>
      </c>
      <c r="H102" s="354" t="s">
        <v>299</v>
      </c>
      <c r="I102" s="376" t="s">
        <v>1983</v>
      </c>
      <c r="J102" s="702">
        <f>VLOOKUP(I102,Settings!$B$287:$D$329,3,FALSE)</f>
        <v>2.8962999999999999E-2</v>
      </c>
      <c r="K102" s="41">
        <f t="shared" si="2"/>
        <v>4.553707675000001</v>
      </c>
      <c r="L102" s="174" t="s">
        <v>721</v>
      </c>
      <c r="M102" s="3"/>
    </row>
    <row r="103" spans="2:13" x14ac:dyDescent="0.25">
      <c r="B103" s="442" t="str">
        <f>VLOOKUP(D103,'Unit List'!$B$9:$E$241,4,0)</f>
        <v>Steel Making</v>
      </c>
      <c r="C103" s="442" t="str">
        <f>VLOOKUP(D103,'Unit List'!$B$9:$D$241,3,0)</f>
        <v>Laddle Furnaces</v>
      </c>
      <c r="D103" s="414">
        <v>2240</v>
      </c>
      <c r="E103" s="733" t="s">
        <v>140</v>
      </c>
      <c r="F103" s="376" t="s">
        <v>149</v>
      </c>
      <c r="G103" s="585">
        <v>2093.0090000000005</v>
      </c>
      <c r="H103" s="354" t="s">
        <v>299</v>
      </c>
      <c r="I103" s="376" t="s">
        <v>1182</v>
      </c>
      <c r="J103" s="702">
        <f>VLOOKUP(I103,Settings!$B$287:$D$329,3,FALSE)</f>
        <v>10.659981999999999</v>
      </c>
      <c r="K103" s="41">
        <f t="shared" si="2"/>
        <v>22311.438265838005</v>
      </c>
      <c r="L103" s="174" t="s">
        <v>721</v>
      </c>
      <c r="M103" s="3"/>
    </row>
    <row r="104" spans="2:13" x14ac:dyDescent="0.25">
      <c r="B104" s="442" t="str">
        <f>VLOOKUP(D104,'Unit List'!$B$9:$E$241,4,0)</f>
        <v>Steel Making</v>
      </c>
      <c r="C104" s="442" t="str">
        <f>VLOOKUP(D104,'Unit List'!$B$9:$D$241,3,0)</f>
        <v>Laddle Furnaces</v>
      </c>
      <c r="D104" s="414">
        <v>2240</v>
      </c>
      <c r="E104" s="733" t="s">
        <v>1970</v>
      </c>
      <c r="F104" s="376" t="s">
        <v>1945</v>
      </c>
      <c r="G104" s="585">
        <v>2.0829999999999997</v>
      </c>
      <c r="H104" s="354" t="s">
        <v>299</v>
      </c>
      <c r="I104" s="376" t="s">
        <v>1209</v>
      </c>
      <c r="J104" s="702">
        <f>VLOOKUP(I104,Settings!$B$287:$D$329,3,FALSE)</f>
        <v>2.8822192000000002</v>
      </c>
      <c r="K104" s="41">
        <f t="shared" si="2"/>
        <v>6.0036625935999997</v>
      </c>
      <c r="L104" s="174" t="s">
        <v>721</v>
      </c>
      <c r="M104" s="3"/>
    </row>
    <row r="105" spans="2:13" x14ac:dyDescent="0.25">
      <c r="B105" s="442" t="str">
        <f>VLOOKUP(D105,'Unit List'!$B$9:$E$241,4,0)</f>
        <v>Steel Making</v>
      </c>
      <c r="C105" s="442" t="str">
        <f>VLOOKUP(D105,'Unit List'!$B$9:$D$241,3,0)</f>
        <v>Laddle Furnaces</v>
      </c>
      <c r="D105" s="414">
        <v>2240</v>
      </c>
      <c r="E105" s="733" t="s">
        <v>1976</v>
      </c>
      <c r="F105" s="376" t="s">
        <v>126</v>
      </c>
      <c r="G105" s="585">
        <v>0</v>
      </c>
      <c r="H105" s="354" t="s">
        <v>299</v>
      </c>
      <c r="I105" s="376" t="s">
        <v>474</v>
      </c>
      <c r="J105" s="702">
        <f>VLOOKUP(I105,Settings!$B$287:$D$329,3,FALSE)</f>
        <v>3.6394853999999997E-2</v>
      </c>
      <c r="K105" s="41">
        <f t="shared" ref="K105:K136" si="3">G105*J105</f>
        <v>0</v>
      </c>
      <c r="L105" s="174" t="s">
        <v>721</v>
      </c>
      <c r="M105" s="3"/>
    </row>
    <row r="106" spans="2:13" x14ac:dyDescent="0.25">
      <c r="B106" s="442" t="str">
        <f>VLOOKUP(D106,'Unit List'!$B$9:$E$241,4,0)</f>
        <v>Steel Making</v>
      </c>
      <c r="C106" s="442" t="str">
        <f>VLOOKUP(D106,'Unit List'!$B$9:$D$241,3,0)</f>
        <v>Laddle Furnaces</v>
      </c>
      <c r="D106" s="414">
        <v>2240</v>
      </c>
      <c r="E106" s="733" t="s">
        <v>141</v>
      </c>
      <c r="F106" s="376" t="s">
        <v>150</v>
      </c>
      <c r="G106" s="585">
        <v>2581.5800000000004</v>
      </c>
      <c r="H106" s="354" t="s">
        <v>299</v>
      </c>
      <c r="I106" s="376" t="s">
        <v>474</v>
      </c>
      <c r="J106" s="702">
        <f>VLOOKUP(I106,Settings!$B$287:$D$329,3,FALSE)</f>
        <v>3.6394853999999997E-2</v>
      </c>
      <c r="K106" s="41">
        <f t="shared" si="3"/>
        <v>93.956227189320003</v>
      </c>
      <c r="L106" s="174" t="s">
        <v>721</v>
      </c>
      <c r="M106" s="3"/>
    </row>
    <row r="107" spans="2:13" x14ac:dyDescent="0.25">
      <c r="B107" s="442" t="str">
        <f>VLOOKUP(D107,'Unit List'!$B$9:$E$241,4,0)</f>
        <v>Steel Making</v>
      </c>
      <c r="C107" s="442" t="str">
        <f>VLOOKUP(D107,'Unit List'!$B$9:$D$241,3,0)</f>
        <v>Laddle Furnaces</v>
      </c>
      <c r="D107" s="414">
        <v>2240</v>
      </c>
      <c r="E107" s="733" t="s">
        <v>154</v>
      </c>
      <c r="F107" s="376" t="s">
        <v>157</v>
      </c>
      <c r="G107" s="585">
        <v>4913.6610000000001</v>
      </c>
      <c r="H107" s="354" t="s">
        <v>299</v>
      </c>
      <c r="I107" s="376" t="s">
        <v>680</v>
      </c>
      <c r="J107" s="702">
        <f>VLOOKUP(I107,Settings!$B$287:$D$329,3,FALSE)</f>
        <v>2.9320000000000003E-4</v>
      </c>
      <c r="K107" s="41">
        <f t="shared" si="3"/>
        <v>1.4406854052000002</v>
      </c>
      <c r="L107" s="174" t="s">
        <v>721</v>
      </c>
      <c r="M107" s="3"/>
    </row>
    <row r="108" spans="2:13" x14ac:dyDescent="0.25">
      <c r="B108" s="442" t="str">
        <f>VLOOKUP(D108,'Unit List'!$B$9:$E$241,4,0)</f>
        <v>Steel Making</v>
      </c>
      <c r="C108" s="442" t="str">
        <f>VLOOKUP(D108,'Unit List'!$B$9:$D$241,3,0)</f>
        <v>Laddle Furnaces</v>
      </c>
      <c r="D108" s="414">
        <v>2240</v>
      </c>
      <c r="E108" s="733" t="s">
        <v>100</v>
      </c>
      <c r="F108" s="376" t="s">
        <v>120</v>
      </c>
      <c r="G108" s="585">
        <v>0.97399999999999998</v>
      </c>
      <c r="H108" s="354" t="s">
        <v>299</v>
      </c>
      <c r="I108" s="376" t="s">
        <v>1184</v>
      </c>
      <c r="J108" s="702">
        <f>VLOOKUP(I108,Settings!$B$287:$D$329,3,FALSE)</f>
        <v>5.0669465999999996</v>
      </c>
      <c r="K108" s="41">
        <f t="shared" si="3"/>
        <v>4.9352059883999999</v>
      </c>
      <c r="L108" s="174" t="s">
        <v>721</v>
      </c>
      <c r="M108" s="3"/>
    </row>
    <row r="109" spans="2:13" x14ac:dyDescent="0.25">
      <c r="B109" s="442" t="str">
        <f>VLOOKUP(D109,'Unit List'!$B$9:$E$241,4,0)</f>
        <v>Steel Making</v>
      </c>
      <c r="C109" s="442" t="str">
        <f>VLOOKUP(D109,'Unit List'!$B$9:$D$241,3,0)</f>
        <v>Laddle Furnaces</v>
      </c>
      <c r="D109" s="414">
        <v>2240</v>
      </c>
      <c r="E109" s="733" t="s">
        <v>153</v>
      </c>
      <c r="F109" s="376" t="s">
        <v>156</v>
      </c>
      <c r="G109" s="585">
        <v>477.01900000000001</v>
      </c>
      <c r="H109" s="354" t="s">
        <v>299</v>
      </c>
      <c r="I109" s="376" t="s">
        <v>1192</v>
      </c>
      <c r="J109" s="702">
        <f>VLOOKUP(I109,Settings!$B$287:$D$329,3,FALSE)</f>
        <v>2.8822192000000002</v>
      </c>
      <c r="K109" s="41">
        <f t="shared" si="3"/>
        <v>1374.8733205648002</v>
      </c>
      <c r="L109" s="174" t="s">
        <v>721</v>
      </c>
      <c r="M109" s="3"/>
    </row>
    <row r="110" spans="2:13" x14ac:dyDescent="0.25">
      <c r="B110" s="442" t="str">
        <f>VLOOKUP(D110,'Unit List'!$B$9:$E$241,4,0)</f>
        <v>Steel Making</v>
      </c>
      <c r="C110" s="442" t="str">
        <f>VLOOKUP(D110,'Unit List'!$B$9:$D$241,3,0)</f>
        <v>Laddle Furnaces</v>
      </c>
      <c r="D110" s="414">
        <v>2240</v>
      </c>
      <c r="E110" s="733" t="s">
        <v>152</v>
      </c>
      <c r="F110" s="376" t="s">
        <v>155</v>
      </c>
      <c r="G110" s="585">
        <v>2.383</v>
      </c>
      <c r="H110" s="354" t="s">
        <v>299</v>
      </c>
      <c r="I110" s="376" t="s">
        <v>1185</v>
      </c>
      <c r="J110" s="702">
        <f>VLOOKUP(I110,Settings!$B$287:$D$329,3,FALSE)</f>
        <v>2.8822192000000002</v>
      </c>
      <c r="K110" s="41">
        <f t="shared" si="3"/>
        <v>6.8683283536000008</v>
      </c>
      <c r="L110" s="174" t="s">
        <v>721</v>
      </c>
      <c r="M110" s="3"/>
    </row>
    <row r="111" spans="2:13" x14ac:dyDescent="0.25">
      <c r="B111" s="442" t="str">
        <f>VLOOKUP(D111,'Unit List'!$B$9:$E$241,4,0)</f>
        <v>Steel Making</v>
      </c>
      <c r="C111" s="442" t="str">
        <f>VLOOKUP(D111,'Unit List'!$B$9:$D$241,3,0)</f>
        <v>Laddle Furnaces</v>
      </c>
      <c r="D111" s="414">
        <v>2240</v>
      </c>
      <c r="E111" s="733" t="s">
        <v>99</v>
      </c>
      <c r="F111" s="376" t="s">
        <v>119</v>
      </c>
      <c r="G111" s="585">
        <v>0.02</v>
      </c>
      <c r="H111" s="354" t="s">
        <v>299</v>
      </c>
      <c r="I111" s="376" t="s">
        <v>1189</v>
      </c>
      <c r="J111" s="702">
        <f>VLOOKUP(I111,Settings!$B$287:$D$329,3,FALSE)</f>
        <v>16.349319999999999</v>
      </c>
      <c r="K111" s="41">
        <f t="shared" si="3"/>
        <v>0.32698639999999995</v>
      </c>
      <c r="L111" s="174" t="s">
        <v>721</v>
      </c>
      <c r="M111" s="3"/>
    </row>
    <row r="112" spans="2:13" x14ac:dyDescent="0.25">
      <c r="B112" s="442" t="str">
        <f>VLOOKUP(D112,'Unit List'!$B$9:$E$241,4,0)</f>
        <v>Steel Making</v>
      </c>
      <c r="C112" s="442" t="str">
        <f>VLOOKUP(D112,'Unit List'!$B$9:$D$241,3,0)</f>
        <v>Laddle Furnaces</v>
      </c>
      <c r="D112" s="414">
        <v>2240</v>
      </c>
      <c r="E112" s="733" t="s">
        <v>94</v>
      </c>
      <c r="F112" s="376" t="s">
        <v>113</v>
      </c>
      <c r="G112" s="585">
        <v>0.13100000000000001</v>
      </c>
      <c r="H112" s="354" t="s">
        <v>299</v>
      </c>
      <c r="I112" s="376" t="s">
        <v>1185</v>
      </c>
      <c r="J112" s="702">
        <f>VLOOKUP(I112,Settings!$B$287:$D$329,3,FALSE)</f>
        <v>2.8822192000000002</v>
      </c>
      <c r="K112" s="41">
        <f t="shared" si="3"/>
        <v>0.37757071520000002</v>
      </c>
      <c r="L112" s="174" t="s">
        <v>721</v>
      </c>
      <c r="M112" s="3"/>
    </row>
    <row r="113" spans="2:13" x14ac:dyDescent="0.25">
      <c r="B113" s="442" t="str">
        <f>VLOOKUP(D113,'Unit List'!$B$9:$E$241,4,0)</f>
        <v>Steel Making</v>
      </c>
      <c r="C113" s="442" t="str">
        <f>VLOOKUP(D113,'Unit List'!$B$9:$D$241,3,0)</f>
        <v>Laddle Furnaces</v>
      </c>
      <c r="D113" s="414">
        <v>2240</v>
      </c>
      <c r="E113" s="733" t="s">
        <v>101</v>
      </c>
      <c r="F113" s="376" t="s">
        <v>121</v>
      </c>
      <c r="G113" s="585">
        <v>0.66500000000000004</v>
      </c>
      <c r="H113" s="354" t="s">
        <v>299</v>
      </c>
      <c r="I113" s="376" t="s">
        <v>1186</v>
      </c>
      <c r="J113" s="702">
        <f>VLOOKUP(I113,Settings!$B$287:$D$329,3,FALSE)</f>
        <v>7.8191103000000002</v>
      </c>
      <c r="K113" s="41">
        <f t="shared" si="3"/>
        <v>5.1997083495000007</v>
      </c>
      <c r="L113" s="174" t="s">
        <v>721</v>
      </c>
      <c r="M113" s="3"/>
    </row>
    <row r="114" spans="2:13" x14ac:dyDescent="0.25">
      <c r="B114" s="442" t="str">
        <f>VLOOKUP(D114,'Unit List'!$B$9:$E$241,4,0)</f>
        <v>Hot Rolling</v>
      </c>
      <c r="C114" s="442" t="str">
        <f>VLOOKUP(D114,'Unit List'!$B$9:$D$241,3,0)</f>
        <v>Hot Rolling Mill</v>
      </c>
      <c r="D114" s="414">
        <v>3310</v>
      </c>
      <c r="E114" s="733" t="s">
        <v>1971</v>
      </c>
      <c r="F114" s="376" t="s">
        <v>1946</v>
      </c>
      <c r="G114" s="585">
        <v>5398881.8660000004</v>
      </c>
      <c r="H114" s="354" t="s">
        <v>299</v>
      </c>
      <c r="I114" s="376" t="s">
        <v>1174</v>
      </c>
      <c r="J114" s="702">
        <f>VLOOKUP(I114,Settings!$B$287:$D$329,3,FALSE)</f>
        <v>0</v>
      </c>
      <c r="K114" s="41">
        <f t="shared" si="3"/>
        <v>0</v>
      </c>
      <c r="L114" s="174" t="s">
        <v>722</v>
      </c>
      <c r="M114" s="3"/>
    </row>
    <row r="115" spans="2:13" x14ac:dyDescent="0.25">
      <c r="B115" s="442" t="str">
        <f>VLOOKUP(D115,'Unit List'!$B$9:$E$241,4,0)</f>
        <v>Hot Rolling</v>
      </c>
      <c r="C115" s="442" t="str">
        <f>VLOOKUP(D115,'Unit List'!$B$9:$D$241,3,0)</f>
        <v>Hot Rolling Mill</v>
      </c>
      <c r="D115" s="414">
        <v>3310</v>
      </c>
      <c r="E115" s="733" t="s">
        <v>1972</v>
      </c>
      <c r="F115" s="376" t="s">
        <v>1947</v>
      </c>
      <c r="G115" s="585">
        <v>40.800000000000004</v>
      </c>
      <c r="H115" s="354" t="s">
        <v>299</v>
      </c>
      <c r="I115" s="376" t="s">
        <v>1982</v>
      </c>
      <c r="J115" s="702">
        <f>VLOOKUP(I115,Settings!$B$287:$D$329,3,FALSE)</f>
        <v>1.4001159999999999</v>
      </c>
      <c r="K115" s="41">
        <f t="shared" si="3"/>
        <v>57.124732800000004</v>
      </c>
      <c r="L115" s="174" t="s">
        <v>721</v>
      </c>
      <c r="M115" s="3"/>
    </row>
    <row r="116" spans="2:13" x14ac:dyDescent="0.25">
      <c r="B116" s="442" t="str">
        <f>VLOOKUP(D116,'Unit List'!$B$9:$E$241,4,0)</f>
        <v>Hot Rolling</v>
      </c>
      <c r="C116" s="442" t="str">
        <f>VLOOKUP(D116,'Unit List'!$B$9:$D$241,3,0)</f>
        <v>Shearing Line 1</v>
      </c>
      <c r="D116" s="414">
        <v>3420</v>
      </c>
      <c r="E116" s="733" t="s">
        <v>1973</v>
      </c>
      <c r="F116" s="376" t="s">
        <v>158</v>
      </c>
      <c r="G116" s="585">
        <v>134527.45000000001</v>
      </c>
      <c r="H116" s="354" t="s">
        <v>299</v>
      </c>
      <c r="I116" s="376" t="s">
        <v>1174</v>
      </c>
      <c r="J116" s="702">
        <f>VLOOKUP(I116,Settings!$B$287:$D$329,3,FALSE)</f>
        <v>0</v>
      </c>
      <c r="K116" s="41">
        <f t="shared" si="3"/>
        <v>0</v>
      </c>
      <c r="L116" s="174" t="s">
        <v>722</v>
      </c>
      <c r="M116" s="3"/>
    </row>
    <row r="117" spans="2:13" x14ac:dyDescent="0.25">
      <c r="B117" s="442" t="str">
        <f>VLOOKUP(D117,'Unit List'!$B$9:$E$241,4,0)</f>
        <v>Hot Rolling</v>
      </c>
      <c r="C117" s="442" t="str">
        <f>VLOOKUP(D117,'Unit List'!$B$9:$D$241,3,0)</f>
        <v>Shearing Line 2</v>
      </c>
      <c r="D117" s="414">
        <v>3430</v>
      </c>
      <c r="E117" s="733" t="s">
        <v>1973</v>
      </c>
      <c r="F117" s="376" t="s">
        <v>158</v>
      </c>
      <c r="G117" s="585">
        <v>70373.592000000004</v>
      </c>
      <c r="H117" s="354" t="s">
        <v>299</v>
      </c>
      <c r="I117" s="376" t="s">
        <v>1174</v>
      </c>
      <c r="J117" s="702">
        <f>VLOOKUP(I117,Settings!$B$287:$D$329,3,FALSE)</f>
        <v>0</v>
      </c>
      <c r="K117" s="41">
        <f t="shared" si="3"/>
        <v>0</v>
      </c>
      <c r="L117" s="174" t="s">
        <v>722</v>
      </c>
      <c r="M117" s="3"/>
    </row>
    <row r="118" spans="2:13" x14ac:dyDescent="0.25">
      <c r="B118" s="442" t="str">
        <f>VLOOKUP(D118,'Unit List'!$B$9:$E$241,4,0)</f>
        <v>Hot Rolling</v>
      </c>
      <c r="C118" s="442" t="str">
        <f>VLOOKUP(D118,'Unit List'!$B$9:$D$241,3,0)</f>
        <v>Heavy Shearing Line</v>
      </c>
      <c r="D118" s="414">
        <v>3440</v>
      </c>
      <c r="E118" s="733" t="s">
        <v>1973</v>
      </c>
      <c r="F118" s="376" t="s">
        <v>158</v>
      </c>
      <c r="G118" s="585">
        <v>182761.22299999997</v>
      </c>
      <c r="H118" s="354" t="s">
        <v>299</v>
      </c>
      <c r="I118" s="376" t="s">
        <v>1174</v>
      </c>
      <c r="J118" s="702">
        <f>VLOOKUP(I118,Settings!$B$287:$D$329,3,FALSE)</f>
        <v>0</v>
      </c>
      <c r="K118" s="41">
        <f t="shared" si="3"/>
        <v>0</v>
      </c>
      <c r="L118" s="174" t="s">
        <v>722</v>
      </c>
      <c r="M118" s="3"/>
    </row>
    <row r="119" spans="2:13" x14ac:dyDescent="0.25">
      <c r="B119" s="442" t="str">
        <f>VLOOKUP(D119,'Unit List'!$B$9:$E$241,4,0)</f>
        <v>Hot Rolling</v>
      </c>
      <c r="C119" s="442" t="str">
        <f>VLOOKUP(D119,'Unit List'!$B$9:$D$241,3,0)</f>
        <v>Skin Pass Mill</v>
      </c>
      <c r="D119" s="414">
        <v>3450</v>
      </c>
      <c r="E119" s="733" t="s">
        <v>1973</v>
      </c>
      <c r="F119" s="376" t="s">
        <v>158</v>
      </c>
      <c r="G119" s="585">
        <v>471425.06400000001</v>
      </c>
      <c r="H119" s="354" t="s">
        <v>299</v>
      </c>
      <c r="I119" s="376" t="s">
        <v>1174</v>
      </c>
      <c r="J119" s="702">
        <f>VLOOKUP(I119,Settings!$B$287:$D$329,3,FALSE)</f>
        <v>0</v>
      </c>
      <c r="K119" s="41">
        <f t="shared" si="3"/>
        <v>0</v>
      </c>
      <c r="L119" s="174" t="s">
        <v>722</v>
      </c>
      <c r="M119" s="3"/>
    </row>
    <row r="120" spans="2:13" x14ac:dyDescent="0.25">
      <c r="B120" s="442" t="str">
        <f>VLOOKUP(D120,'Unit List'!$B$9:$E$241,4,0)</f>
        <v>Cold Rolling</v>
      </c>
      <c r="C120" s="442" t="str">
        <f>VLOOKUP(D120,'Unit List'!$B$9:$D$241,3,0)</f>
        <v>Tinning Line</v>
      </c>
      <c r="D120" s="414">
        <v>4710</v>
      </c>
      <c r="E120" s="733" t="s">
        <v>1974</v>
      </c>
      <c r="F120" s="376" t="s">
        <v>160</v>
      </c>
      <c r="G120" s="585">
        <v>402.34199999999998</v>
      </c>
      <c r="H120" s="354" t="s">
        <v>299</v>
      </c>
      <c r="I120" s="376" t="s">
        <v>1190</v>
      </c>
      <c r="J120" s="702">
        <f>VLOOKUP(I120,Settings!$B$287:$D$329,3,FALSE)</f>
        <v>3.9732563999999999</v>
      </c>
      <c r="K120" s="41">
        <f t="shared" si="3"/>
        <v>1598.6079264887999</v>
      </c>
      <c r="L120" s="174" t="s">
        <v>721</v>
      </c>
      <c r="M120" s="3"/>
    </row>
    <row r="121" spans="2:13" x14ac:dyDescent="0.25">
      <c r="B121" s="442" t="str">
        <f>VLOOKUP(D121,'Unit List'!$B$9:$E$241,4,0)</f>
        <v>Cold Rolling</v>
      </c>
      <c r="C121" s="442" t="str">
        <f>VLOOKUP(D121,'Unit List'!$B$9:$D$241,3,0)</f>
        <v>Galvanizing Line</v>
      </c>
      <c r="D121" s="414">
        <v>4800</v>
      </c>
      <c r="E121" s="733" t="s">
        <v>1975</v>
      </c>
      <c r="F121" s="376" t="s">
        <v>1948</v>
      </c>
      <c r="G121" s="585">
        <v>76118.12000000001</v>
      </c>
      <c r="H121" s="354" t="s">
        <v>299</v>
      </c>
      <c r="I121" s="376" t="s">
        <v>1174</v>
      </c>
      <c r="J121" s="702">
        <f>VLOOKUP(I121,Settings!$B$287:$D$329,3,FALSE)</f>
        <v>0</v>
      </c>
      <c r="K121" s="41">
        <f t="shared" si="3"/>
        <v>0</v>
      </c>
      <c r="L121" s="174" t="s">
        <v>722</v>
      </c>
      <c r="M121" s="3"/>
    </row>
    <row r="122" spans="2:13" x14ac:dyDescent="0.25">
      <c r="B122" s="442" t="str">
        <f>VLOOKUP(D122,'Unit List'!$B$9:$E$241,4,0)</f>
        <v>Cold Rolling</v>
      </c>
      <c r="C122" s="442" t="str">
        <f>VLOOKUP(D122,'Unit List'!$B$9:$D$241,3,0)</f>
        <v>Galvanizing Line</v>
      </c>
      <c r="D122" s="414">
        <v>4810</v>
      </c>
      <c r="E122" s="733" t="s">
        <v>161</v>
      </c>
      <c r="F122" s="376" t="s">
        <v>162</v>
      </c>
      <c r="G122" s="585">
        <v>4646.7649999999994</v>
      </c>
      <c r="H122" s="354" t="s">
        <v>299</v>
      </c>
      <c r="I122" s="376" t="s">
        <v>1191</v>
      </c>
      <c r="J122" s="702">
        <f>VLOOKUP(I122,Settings!$B$287:$D$329,3,FALSE)</f>
        <v>2.9592949000000002</v>
      </c>
      <c r="K122" s="41">
        <f t="shared" si="3"/>
        <v>13751.1479659985</v>
      </c>
      <c r="L122" s="174" t="s">
        <v>721</v>
      </c>
      <c r="M122" s="3"/>
    </row>
    <row r="123" spans="2:13" x14ac:dyDescent="0.25">
      <c r="B123" s="442" t="str">
        <f>VLOOKUP(D123,'Unit List'!$B$9:$E$241,4,0)</f>
        <v>Cold Rolling</v>
      </c>
      <c r="C123" s="442" t="str">
        <f>VLOOKUP(D123,'Unit List'!$B$9:$D$241,3,0)</f>
        <v>Coating Line</v>
      </c>
      <c r="D123" s="414">
        <v>4820</v>
      </c>
      <c r="E123" s="733" t="s">
        <v>163</v>
      </c>
      <c r="F123" s="376" t="s">
        <v>164</v>
      </c>
      <c r="G123" s="585">
        <v>2308.0650000000001</v>
      </c>
      <c r="H123" s="354" t="s">
        <v>299</v>
      </c>
      <c r="I123" s="376" t="s">
        <v>1175</v>
      </c>
      <c r="J123" s="702">
        <f>VLOOKUP(I123,Settings!$B$287:$D$329,3,FALSE)</f>
        <v>4.0838399000000001</v>
      </c>
      <c r="K123" s="41">
        <f t="shared" si="3"/>
        <v>9425.7679387935004</v>
      </c>
      <c r="L123" s="174" t="s">
        <v>721</v>
      </c>
      <c r="M123" s="3"/>
    </row>
    <row r="124" spans="2:13" x14ac:dyDescent="0.25">
      <c r="B124" s="442" t="str">
        <f>VLOOKUP(D124,'Unit List'!$B$9:$E$241,4,0)</f>
        <v>Steel Making</v>
      </c>
      <c r="C124" s="442" t="str">
        <f>VLOOKUP(D124,'Unit List'!$B$9:$D$241,3,0)</f>
        <v>EAFs</v>
      </c>
      <c r="D124" s="414">
        <v>2210</v>
      </c>
      <c r="E124" s="733" t="s">
        <v>1977</v>
      </c>
      <c r="F124" s="376" t="s">
        <v>1979</v>
      </c>
      <c r="G124" s="585">
        <v>15278.647999999999</v>
      </c>
      <c r="H124" s="354" t="s">
        <v>299</v>
      </c>
      <c r="I124" s="376" t="s">
        <v>476</v>
      </c>
      <c r="J124" s="702">
        <f>VLOOKUP(I124,Settings!$B$287:$D$329,3,FALSE)</f>
        <v>0.65</v>
      </c>
      <c r="K124" s="41">
        <f t="shared" si="3"/>
        <v>9931.1211999999996</v>
      </c>
      <c r="L124" s="174" t="s">
        <v>721</v>
      </c>
      <c r="M124" s="3"/>
    </row>
    <row r="125" spans="2:13" x14ac:dyDescent="0.25">
      <c r="B125" s="442" t="str">
        <f>VLOOKUP(D125,'Unit List'!$B$9:$E$241,4,0)</f>
        <v>Steel Making</v>
      </c>
      <c r="C125" s="442" t="str">
        <f>VLOOKUP(D125,'Unit List'!$B$9:$D$241,3,0)</f>
        <v>Laddle Furnaces</v>
      </c>
      <c r="D125" s="414">
        <v>2240</v>
      </c>
      <c r="E125" s="733" t="s">
        <v>1978</v>
      </c>
      <c r="F125" s="376" t="s">
        <v>1980</v>
      </c>
      <c r="G125" s="585">
        <v>1905.3720000000001</v>
      </c>
      <c r="H125" s="354" t="s">
        <v>299</v>
      </c>
      <c r="I125" s="376" t="s">
        <v>476</v>
      </c>
      <c r="J125" s="702">
        <f>VLOOKUP(I125,Settings!$B$287:$D$329,3,FALSE)</f>
        <v>0.65</v>
      </c>
      <c r="K125" s="41">
        <f t="shared" si="3"/>
        <v>1238.4918</v>
      </c>
      <c r="L125" s="174" t="s">
        <v>721</v>
      </c>
      <c r="M125" s="3"/>
    </row>
    <row r="126" spans="2:13" x14ac:dyDescent="0.25">
      <c r="B126" s="442" t="e">
        <f>VLOOKUP(D126,'Unit List'!$B$9:$E$241,4,0)</f>
        <v>#N/A</v>
      </c>
      <c r="C126" s="442" t="e">
        <f>VLOOKUP(D126,'Unit List'!$B$9:$D$241,3,0)</f>
        <v>#N/A</v>
      </c>
      <c r="D126" s="414"/>
      <c r="E126" s="733"/>
      <c r="F126" s="376"/>
      <c r="G126" s="585"/>
      <c r="H126" s="354" t="s">
        <v>299</v>
      </c>
      <c r="I126" s="376"/>
      <c r="J126" s="702" t="e">
        <f>VLOOKUP(I126,Settings!$B$287:$D$329,3,FALSE)</f>
        <v>#N/A</v>
      </c>
      <c r="K126" s="41" t="e">
        <f t="shared" si="3"/>
        <v>#N/A</v>
      </c>
      <c r="L126" s="174"/>
      <c r="M126" s="3"/>
    </row>
    <row r="127" spans="2:13" x14ac:dyDescent="0.25">
      <c r="B127" s="442" t="e">
        <f>VLOOKUP(D127,'Unit List'!$B$9:$E$241,4,0)</f>
        <v>#N/A</v>
      </c>
      <c r="C127" s="442" t="e">
        <f>VLOOKUP(D127,'Unit List'!$B$9:$D$241,3,0)</f>
        <v>#N/A</v>
      </c>
      <c r="D127" s="414"/>
      <c r="E127" s="733"/>
      <c r="F127" s="376"/>
      <c r="G127" s="585"/>
      <c r="H127" s="354" t="s">
        <v>299</v>
      </c>
      <c r="I127" s="376"/>
      <c r="J127" s="702" t="e">
        <f>VLOOKUP(I127,Settings!$B$287:$D$329,3,FALSE)</f>
        <v>#N/A</v>
      </c>
      <c r="K127" s="41" t="e">
        <f t="shared" si="3"/>
        <v>#N/A</v>
      </c>
      <c r="L127" s="174"/>
      <c r="M127" s="3"/>
    </row>
    <row r="128" spans="2:13" x14ac:dyDescent="0.25">
      <c r="B128" s="442" t="e">
        <f>VLOOKUP(D128,'Unit List'!$B$9:$E$241,4,0)</f>
        <v>#N/A</v>
      </c>
      <c r="C128" s="442" t="e">
        <f>VLOOKUP(D128,'Unit List'!$B$9:$D$241,3,0)</f>
        <v>#N/A</v>
      </c>
      <c r="D128" s="414"/>
      <c r="E128" s="733"/>
      <c r="F128" s="376"/>
      <c r="G128" s="585"/>
      <c r="H128" s="354" t="s">
        <v>299</v>
      </c>
      <c r="I128" s="376"/>
      <c r="J128" s="702" t="e">
        <f>VLOOKUP(I128,Settings!$B$287:$D$329,3,FALSE)</f>
        <v>#N/A</v>
      </c>
      <c r="K128" s="41" t="e">
        <f t="shared" si="3"/>
        <v>#N/A</v>
      </c>
      <c r="L128" s="174"/>
      <c r="M128" s="3"/>
    </row>
    <row r="129" spans="2:13" x14ac:dyDescent="0.25">
      <c r="B129" s="442" t="e">
        <f>VLOOKUP(D129,'Unit List'!$B$9:$E$241,4,0)</f>
        <v>#N/A</v>
      </c>
      <c r="C129" s="442" t="e">
        <f>VLOOKUP(D129,'Unit List'!$B$9:$D$241,3,0)</f>
        <v>#N/A</v>
      </c>
      <c r="D129" s="414"/>
      <c r="E129" s="733"/>
      <c r="F129" s="376"/>
      <c r="G129" s="585"/>
      <c r="H129" s="354" t="s">
        <v>299</v>
      </c>
      <c r="I129" s="376"/>
      <c r="J129" s="702" t="e">
        <f>VLOOKUP(I129,Settings!$B$287:$D$329,3,FALSE)</f>
        <v>#N/A</v>
      </c>
      <c r="K129" s="41" t="e">
        <f t="shared" si="3"/>
        <v>#N/A</v>
      </c>
      <c r="L129" s="174"/>
      <c r="M129" s="3"/>
    </row>
    <row r="130" spans="2:13" x14ac:dyDescent="0.25">
      <c r="B130" s="442" t="e">
        <f>VLOOKUP(D130,'Unit List'!$B$9:$E$241,4,0)</f>
        <v>#N/A</v>
      </c>
      <c r="C130" s="442" t="e">
        <f>VLOOKUP(D130,'Unit List'!$B$9:$D$241,3,0)</f>
        <v>#N/A</v>
      </c>
      <c r="D130" s="414"/>
      <c r="E130" s="733"/>
      <c r="F130" s="376"/>
      <c r="G130" s="585"/>
      <c r="H130" s="354" t="s">
        <v>299</v>
      </c>
      <c r="I130" s="376"/>
      <c r="J130" s="702" t="e">
        <f>VLOOKUP(I130,Settings!$B$287:$D$329,3,FALSE)</f>
        <v>#N/A</v>
      </c>
      <c r="K130" s="41" t="e">
        <f t="shared" si="3"/>
        <v>#N/A</v>
      </c>
      <c r="L130" s="174"/>
      <c r="M130" s="3"/>
    </row>
    <row r="131" spans="2:13" x14ac:dyDescent="0.25">
      <c r="B131" s="442" t="e">
        <f>VLOOKUP(D131,'Unit List'!$B$9:$E$241,4,0)</f>
        <v>#N/A</v>
      </c>
      <c r="C131" s="442" t="e">
        <f>VLOOKUP(D131,'Unit List'!$B$9:$D$241,3,0)</f>
        <v>#N/A</v>
      </c>
      <c r="D131" s="414"/>
      <c r="E131" s="733"/>
      <c r="F131" s="376"/>
      <c r="G131" s="585"/>
      <c r="H131" s="354" t="s">
        <v>299</v>
      </c>
      <c r="I131" s="376"/>
      <c r="J131" s="702" t="e">
        <f>VLOOKUP(I131,Settings!$B$287:$D$329,3,FALSE)</f>
        <v>#N/A</v>
      </c>
      <c r="K131" s="41" t="e">
        <f t="shared" si="3"/>
        <v>#N/A</v>
      </c>
      <c r="L131" s="174"/>
      <c r="M131" s="3"/>
    </row>
    <row r="132" spans="2:13" x14ac:dyDescent="0.25">
      <c r="B132" s="442" t="e">
        <f>VLOOKUP(D132,'Unit List'!$B$9:$E$241,4,0)</f>
        <v>#N/A</v>
      </c>
      <c r="C132" s="442" t="e">
        <f>VLOOKUP(D132,'Unit List'!$B$9:$D$241,3,0)</f>
        <v>#N/A</v>
      </c>
      <c r="D132" s="414"/>
      <c r="E132" s="733"/>
      <c r="F132" s="376"/>
      <c r="G132" s="585"/>
      <c r="H132" s="354" t="s">
        <v>299</v>
      </c>
      <c r="I132" s="376"/>
      <c r="J132" s="702" t="e">
        <f>VLOOKUP(I132,Settings!$B$287:$D$329,3,FALSE)</f>
        <v>#N/A</v>
      </c>
      <c r="K132" s="41" t="e">
        <f t="shared" si="3"/>
        <v>#N/A</v>
      </c>
      <c r="L132" s="174"/>
      <c r="M132" s="3"/>
    </row>
    <row r="133" spans="2:13" x14ac:dyDescent="0.25">
      <c r="B133" s="442" t="e">
        <f>VLOOKUP(D133,'Unit List'!$B$9:$E$241,4,0)</f>
        <v>#N/A</v>
      </c>
      <c r="C133" s="442" t="e">
        <f>VLOOKUP(D133,'Unit List'!$B$9:$D$241,3,0)</f>
        <v>#N/A</v>
      </c>
      <c r="D133" s="414"/>
      <c r="E133" s="733"/>
      <c r="F133" s="376"/>
      <c r="G133" s="585"/>
      <c r="H133" s="354" t="s">
        <v>299</v>
      </c>
      <c r="I133" s="376"/>
      <c r="J133" s="702" t="e">
        <f>VLOOKUP(I133,Settings!$B$287:$D$329,3,FALSE)</f>
        <v>#N/A</v>
      </c>
      <c r="K133" s="41" t="e">
        <f t="shared" si="3"/>
        <v>#N/A</v>
      </c>
      <c r="L133" s="174"/>
      <c r="M133" s="3"/>
    </row>
    <row r="134" spans="2:13" x14ac:dyDescent="0.25">
      <c r="B134" s="442" t="e">
        <f>VLOOKUP(D134,'Unit List'!$B$9:$E$241,4,0)</f>
        <v>#N/A</v>
      </c>
      <c r="C134" s="442" t="e">
        <f>VLOOKUP(D134,'Unit List'!$B$9:$D$241,3,0)</f>
        <v>#N/A</v>
      </c>
      <c r="D134" s="414"/>
      <c r="E134" s="733"/>
      <c r="F134" s="376"/>
      <c r="G134" s="585"/>
      <c r="H134" s="354" t="s">
        <v>299</v>
      </c>
      <c r="I134" s="376"/>
      <c r="J134" s="702" t="e">
        <f>VLOOKUP(I134,Settings!$B$287:$D$329,3,FALSE)</f>
        <v>#N/A</v>
      </c>
      <c r="K134" s="41" t="e">
        <f t="shared" si="3"/>
        <v>#N/A</v>
      </c>
      <c r="L134" s="174"/>
      <c r="M134" s="3"/>
    </row>
    <row r="135" spans="2:13" x14ac:dyDescent="0.25">
      <c r="B135" s="442" t="e">
        <f>VLOOKUP(D135,'Unit List'!$B$9:$E$241,4,0)</f>
        <v>#N/A</v>
      </c>
      <c r="C135" s="442" t="e">
        <f>VLOOKUP(D135,'Unit List'!$B$9:$D$241,3,0)</f>
        <v>#N/A</v>
      </c>
      <c r="D135" s="414"/>
      <c r="E135" s="733"/>
      <c r="F135" s="376"/>
      <c r="G135" s="585"/>
      <c r="H135" s="354" t="s">
        <v>299</v>
      </c>
      <c r="I135" s="376"/>
      <c r="J135" s="702" t="e">
        <f>VLOOKUP(I135,Settings!$B$287:$D$329,3,FALSE)</f>
        <v>#N/A</v>
      </c>
      <c r="K135" s="41" t="e">
        <f t="shared" si="3"/>
        <v>#N/A</v>
      </c>
      <c r="L135" s="174"/>
      <c r="M135" s="3"/>
    </row>
    <row r="136" spans="2:13" x14ac:dyDescent="0.25">
      <c r="B136" s="442" t="e">
        <f>VLOOKUP(D136,'Unit List'!$B$9:$E$241,4,0)</f>
        <v>#N/A</v>
      </c>
      <c r="C136" s="442" t="e">
        <f>VLOOKUP(D136,'Unit List'!$B$9:$D$241,3,0)</f>
        <v>#N/A</v>
      </c>
      <c r="D136" s="414"/>
      <c r="E136" s="733"/>
      <c r="F136" s="376"/>
      <c r="G136" s="585"/>
      <c r="H136" s="354" t="s">
        <v>299</v>
      </c>
      <c r="I136" s="376"/>
      <c r="J136" s="702" t="e">
        <f>VLOOKUP(I136,Settings!$B$287:$D$329,3,FALSE)</f>
        <v>#N/A</v>
      </c>
      <c r="K136" s="41" t="e">
        <f t="shared" si="3"/>
        <v>#N/A</v>
      </c>
      <c r="L136" s="174"/>
      <c r="M136" s="3"/>
    </row>
    <row r="137" spans="2:13" x14ac:dyDescent="0.25">
      <c r="B137" s="442" t="e">
        <f>VLOOKUP(D137,'Unit List'!$B$9:$E$241,4,0)</f>
        <v>#N/A</v>
      </c>
      <c r="C137" s="442" t="e">
        <f>VLOOKUP(D137,'Unit List'!$B$9:$D$241,3,0)</f>
        <v>#N/A</v>
      </c>
      <c r="D137" s="414"/>
      <c r="E137" s="733"/>
      <c r="F137" s="376"/>
      <c r="G137" s="585"/>
      <c r="H137" s="354" t="s">
        <v>299</v>
      </c>
      <c r="I137" s="376"/>
      <c r="J137" s="702" t="e">
        <f>VLOOKUP(I137,Settings!$B$287:$D$329,3,FALSE)</f>
        <v>#N/A</v>
      </c>
      <c r="K137" s="41" t="e">
        <f t="shared" ref="K137:K168" si="4">G137*J137</f>
        <v>#N/A</v>
      </c>
      <c r="L137" s="174"/>
      <c r="M137" s="3"/>
    </row>
    <row r="138" spans="2:13" x14ac:dyDescent="0.25">
      <c r="B138" s="442" t="e">
        <f>VLOOKUP(D138,'Unit List'!$B$9:$E$241,4,0)</f>
        <v>#N/A</v>
      </c>
      <c r="C138" s="442" t="e">
        <f>VLOOKUP(D138,'Unit List'!$B$9:$D$241,3,0)</f>
        <v>#N/A</v>
      </c>
      <c r="D138" s="414"/>
      <c r="E138" s="733"/>
      <c r="F138" s="376"/>
      <c r="G138" s="585"/>
      <c r="H138" s="354" t="s">
        <v>299</v>
      </c>
      <c r="I138" s="376"/>
      <c r="J138" s="702" t="e">
        <f>VLOOKUP(I138,Settings!$B$287:$D$329,3,FALSE)</f>
        <v>#N/A</v>
      </c>
      <c r="K138" s="41" t="e">
        <f t="shared" si="4"/>
        <v>#N/A</v>
      </c>
      <c r="L138" s="385"/>
      <c r="M138" s="3"/>
    </row>
    <row r="139" spans="2:13" x14ac:dyDescent="0.25">
      <c r="B139" s="442" t="e">
        <f>VLOOKUP(D139,'Unit List'!$B$9:$E$241,4,0)</f>
        <v>#N/A</v>
      </c>
      <c r="C139" s="442" t="e">
        <f>VLOOKUP(D139,'Unit List'!$B$9:$D$241,3,0)</f>
        <v>#N/A</v>
      </c>
      <c r="D139" s="414"/>
      <c r="E139" s="733"/>
      <c r="F139" s="376"/>
      <c r="G139" s="585"/>
      <c r="H139" s="354" t="s">
        <v>299</v>
      </c>
      <c r="I139" s="376"/>
      <c r="J139" s="702" t="e">
        <f>VLOOKUP(I139,Settings!$B$287:$D$329,3,FALSE)</f>
        <v>#N/A</v>
      </c>
      <c r="K139" s="41" t="e">
        <f t="shared" si="4"/>
        <v>#N/A</v>
      </c>
      <c r="L139" s="174"/>
      <c r="M139" s="3"/>
    </row>
    <row r="140" spans="2:13" x14ac:dyDescent="0.25">
      <c r="B140" s="442" t="e">
        <f>VLOOKUP(D140,'Unit List'!$B$9:$E$241,4,0)</f>
        <v>#N/A</v>
      </c>
      <c r="C140" s="442" t="e">
        <f>VLOOKUP(D140,'Unit List'!$B$9:$D$241,3,0)</f>
        <v>#N/A</v>
      </c>
      <c r="D140" s="414"/>
      <c r="E140" s="733"/>
      <c r="F140" s="376"/>
      <c r="G140" s="585"/>
      <c r="H140" s="354" t="s">
        <v>299</v>
      </c>
      <c r="I140" s="376"/>
      <c r="J140" s="702" t="e">
        <f>VLOOKUP(I140,Settings!$B$287:$D$329,3,FALSE)</f>
        <v>#N/A</v>
      </c>
      <c r="K140" s="41" t="e">
        <f t="shared" si="4"/>
        <v>#N/A</v>
      </c>
      <c r="L140" s="385"/>
      <c r="M140" s="3"/>
    </row>
    <row r="141" spans="2:13" x14ac:dyDescent="0.25">
      <c r="B141" s="442" t="e">
        <f>VLOOKUP(D141,'Unit List'!$B$9:$E$241,4,0)</f>
        <v>#N/A</v>
      </c>
      <c r="C141" s="442" t="e">
        <f>VLOOKUP(D141,'Unit List'!$B$9:$D$241,3,0)</f>
        <v>#N/A</v>
      </c>
      <c r="D141" s="414"/>
      <c r="E141" s="733"/>
      <c r="F141" s="376"/>
      <c r="G141" s="585"/>
      <c r="H141" s="354" t="s">
        <v>299</v>
      </c>
      <c r="I141" s="376"/>
      <c r="J141" s="702" t="e">
        <f>VLOOKUP(I141,Settings!$B$287:$D$329,3,FALSE)</f>
        <v>#N/A</v>
      </c>
      <c r="K141" s="41" t="e">
        <f t="shared" si="4"/>
        <v>#N/A</v>
      </c>
      <c r="L141" s="174"/>
      <c r="M141" s="3"/>
    </row>
    <row r="142" spans="2:13" x14ac:dyDescent="0.25">
      <c r="B142" s="442" t="e">
        <f>VLOOKUP(D142,'Unit List'!$B$9:$E$241,4,0)</f>
        <v>#N/A</v>
      </c>
      <c r="C142" s="442" t="e">
        <f>VLOOKUP(D142,'Unit List'!$B$9:$D$241,3,0)</f>
        <v>#N/A</v>
      </c>
      <c r="D142" s="414"/>
      <c r="E142" s="733"/>
      <c r="F142" s="376"/>
      <c r="G142" s="585"/>
      <c r="H142" s="354" t="s">
        <v>299</v>
      </c>
      <c r="I142" s="376"/>
      <c r="J142" s="702" t="e">
        <f>VLOOKUP(I142,Settings!$B$287:$D$329,3,FALSE)</f>
        <v>#N/A</v>
      </c>
      <c r="K142" s="41" t="e">
        <f t="shared" si="4"/>
        <v>#N/A</v>
      </c>
      <c r="L142" s="174"/>
      <c r="M142" s="3"/>
    </row>
    <row r="143" spans="2:13" x14ac:dyDescent="0.25">
      <c r="B143" s="442" t="e">
        <f>VLOOKUP(D143,'Unit List'!$B$9:$E$241,4,0)</f>
        <v>#N/A</v>
      </c>
      <c r="C143" s="442" t="e">
        <f>VLOOKUP(D143,'Unit List'!$B$9:$D$241,3,0)</f>
        <v>#N/A</v>
      </c>
      <c r="D143" s="414"/>
      <c r="E143" s="733"/>
      <c r="F143" s="376"/>
      <c r="G143" s="585"/>
      <c r="H143" s="354" t="s">
        <v>299</v>
      </c>
      <c r="I143" s="376"/>
      <c r="J143" s="702" t="e">
        <f>VLOOKUP(I143,Settings!$B$287:$D$329,3,FALSE)</f>
        <v>#N/A</v>
      </c>
      <c r="K143" s="41" t="e">
        <f t="shared" si="4"/>
        <v>#N/A</v>
      </c>
      <c r="L143" s="385"/>
      <c r="M143" s="3"/>
    </row>
    <row r="144" spans="2:13" x14ac:dyDescent="0.25">
      <c r="B144" s="442" t="e">
        <f>VLOOKUP(D144,'Unit List'!$B$9:$E$241,4,0)</f>
        <v>#N/A</v>
      </c>
      <c r="C144" s="442" t="e">
        <f>VLOOKUP(D144,'Unit List'!$B$9:$D$241,3,0)</f>
        <v>#N/A</v>
      </c>
      <c r="D144" s="414"/>
      <c r="E144" s="733"/>
      <c r="F144" s="376"/>
      <c r="G144" s="585"/>
      <c r="H144" s="354" t="s">
        <v>299</v>
      </c>
      <c r="I144" s="376"/>
      <c r="J144" s="702" t="e">
        <f>VLOOKUP(I144,Settings!$B$287:$D$329,3,FALSE)</f>
        <v>#N/A</v>
      </c>
      <c r="K144" s="41" t="e">
        <f t="shared" si="4"/>
        <v>#N/A</v>
      </c>
      <c r="L144" s="385"/>
      <c r="M144" s="3"/>
    </row>
    <row r="145" spans="2:13" x14ac:dyDescent="0.25">
      <c r="B145" s="442" t="e">
        <f>VLOOKUP(D145,'Unit List'!$B$9:$E$241,4,0)</f>
        <v>#N/A</v>
      </c>
      <c r="C145" s="442" t="e">
        <f>VLOOKUP(D145,'Unit List'!$B$9:$D$241,3,0)</f>
        <v>#N/A</v>
      </c>
      <c r="D145" s="414"/>
      <c r="E145" s="733"/>
      <c r="F145" s="376"/>
      <c r="G145" s="585"/>
      <c r="H145" s="354" t="s">
        <v>299</v>
      </c>
      <c r="I145" s="376"/>
      <c r="J145" s="702" t="e">
        <f>VLOOKUP(I145,Settings!$B$287:$D$329,3,FALSE)</f>
        <v>#N/A</v>
      </c>
      <c r="K145" s="41" t="e">
        <f t="shared" si="4"/>
        <v>#N/A</v>
      </c>
      <c r="L145" s="385"/>
      <c r="M145" s="3"/>
    </row>
    <row r="146" spans="2:13" x14ac:dyDescent="0.25">
      <c r="B146" s="442" t="e">
        <f>VLOOKUP(D146,'Unit List'!$B$9:$E$241,4,0)</f>
        <v>#N/A</v>
      </c>
      <c r="C146" s="442" t="e">
        <f>VLOOKUP(D146,'Unit List'!$B$9:$D$241,3,0)</f>
        <v>#N/A</v>
      </c>
      <c r="D146" s="414"/>
      <c r="E146" s="733"/>
      <c r="F146" s="376"/>
      <c r="G146" s="585"/>
      <c r="H146" s="354" t="s">
        <v>299</v>
      </c>
      <c r="I146" s="376"/>
      <c r="J146" s="702" t="e">
        <f>VLOOKUP(I146,Settings!$B$287:$D$329,3,FALSE)</f>
        <v>#N/A</v>
      </c>
      <c r="K146" s="41" t="e">
        <f t="shared" si="4"/>
        <v>#N/A</v>
      </c>
      <c r="L146" s="385"/>
      <c r="M146" s="3"/>
    </row>
    <row r="147" spans="2:13" x14ac:dyDescent="0.25">
      <c r="B147" s="442" t="e">
        <f>VLOOKUP(D147,'Unit List'!$B$9:$E$241,4,0)</f>
        <v>#N/A</v>
      </c>
      <c r="C147" s="442" t="e">
        <f>VLOOKUP(D147,'Unit List'!$B$9:$D$241,3,0)</f>
        <v>#N/A</v>
      </c>
      <c r="D147" s="414"/>
      <c r="E147" s="733"/>
      <c r="F147" s="376"/>
      <c r="G147" s="585"/>
      <c r="H147" s="354" t="s">
        <v>299</v>
      </c>
      <c r="I147" s="376"/>
      <c r="J147" s="702" t="e">
        <f>VLOOKUP(I147,Settings!$B$287:$D$329,3,FALSE)</f>
        <v>#N/A</v>
      </c>
      <c r="K147" s="41" t="e">
        <f t="shared" si="4"/>
        <v>#N/A</v>
      </c>
      <c r="L147" s="385"/>
      <c r="M147" s="3"/>
    </row>
    <row r="148" spans="2:13" x14ac:dyDescent="0.25">
      <c r="B148" s="442" t="e">
        <f>VLOOKUP(D148,'Unit List'!$B$9:$E$241,4,0)</f>
        <v>#N/A</v>
      </c>
      <c r="C148" s="442" t="e">
        <f>VLOOKUP(D148,'Unit List'!$B$9:$D$241,3,0)</f>
        <v>#N/A</v>
      </c>
      <c r="D148" s="414"/>
      <c r="E148" s="733"/>
      <c r="F148" s="376"/>
      <c r="G148" s="585"/>
      <c r="H148" s="354" t="s">
        <v>299</v>
      </c>
      <c r="I148" s="376"/>
      <c r="J148" s="702" t="e">
        <f>VLOOKUP(I148,Settings!$B$287:$D$329,3,FALSE)</f>
        <v>#N/A</v>
      </c>
      <c r="K148" s="41" t="e">
        <f t="shared" si="4"/>
        <v>#N/A</v>
      </c>
      <c r="L148" s="385"/>
      <c r="M148" s="3"/>
    </row>
    <row r="149" spans="2:13" x14ac:dyDescent="0.25">
      <c r="B149" s="442" t="e">
        <f>VLOOKUP(D149,'Unit List'!$B$9:$E$241,4,0)</f>
        <v>#N/A</v>
      </c>
      <c r="C149" s="442" t="e">
        <f>VLOOKUP(D149,'Unit List'!$B$9:$D$241,3,0)</f>
        <v>#N/A</v>
      </c>
      <c r="D149" s="414"/>
      <c r="E149" s="733"/>
      <c r="F149" s="376"/>
      <c r="G149" s="585"/>
      <c r="H149" s="354" t="s">
        <v>299</v>
      </c>
      <c r="I149" s="376"/>
      <c r="J149" s="702" t="e">
        <f>VLOOKUP(I149,Settings!$B$287:$D$329,3,FALSE)</f>
        <v>#N/A</v>
      </c>
      <c r="K149" s="41" t="e">
        <f t="shared" si="4"/>
        <v>#N/A</v>
      </c>
      <c r="L149" s="385"/>
      <c r="M149" s="3"/>
    </row>
    <row r="150" spans="2:13" x14ac:dyDescent="0.25">
      <c r="B150" s="442" t="e">
        <f>VLOOKUP(D150,'Unit List'!$B$9:$E$241,4,0)</f>
        <v>#N/A</v>
      </c>
      <c r="C150" s="442" t="e">
        <f>VLOOKUP(D150,'Unit List'!$B$9:$D$241,3,0)</f>
        <v>#N/A</v>
      </c>
      <c r="D150" s="414"/>
      <c r="E150" s="733"/>
      <c r="F150" s="376"/>
      <c r="G150" s="585"/>
      <c r="H150" s="354" t="s">
        <v>299</v>
      </c>
      <c r="I150" s="376"/>
      <c r="J150" s="702" t="e">
        <f>VLOOKUP(I150,Settings!$B$287:$D$329,3,FALSE)</f>
        <v>#N/A</v>
      </c>
      <c r="K150" s="41" t="e">
        <f t="shared" si="4"/>
        <v>#N/A</v>
      </c>
      <c r="L150" s="385"/>
      <c r="M150" s="3"/>
    </row>
    <row r="151" spans="2:13" x14ac:dyDescent="0.25">
      <c r="B151" s="442" t="e">
        <f>VLOOKUP(D151,'Unit List'!$B$9:$E$241,4,0)</f>
        <v>#N/A</v>
      </c>
      <c r="C151" s="442" t="e">
        <f>VLOOKUP(D151,'Unit List'!$B$9:$D$241,3,0)</f>
        <v>#N/A</v>
      </c>
      <c r="D151" s="414"/>
      <c r="E151" s="733"/>
      <c r="F151" s="376"/>
      <c r="G151" s="585"/>
      <c r="H151" s="354" t="s">
        <v>299</v>
      </c>
      <c r="I151" s="376"/>
      <c r="J151" s="702" t="e">
        <f>VLOOKUP(I151,Settings!$B$287:$D$329,3,FALSE)</f>
        <v>#N/A</v>
      </c>
      <c r="K151" s="41" t="e">
        <f t="shared" si="4"/>
        <v>#N/A</v>
      </c>
      <c r="L151" s="385"/>
      <c r="M151" s="3"/>
    </row>
    <row r="152" spans="2:13" x14ac:dyDescent="0.25">
      <c r="B152" s="442" t="e">
        <f>VLOOKUP(D152,'Unit List'!$B$9:$E$241,4,0)</f>
        <v>#N/A</v>
      </c>
      <c r="C152" s="442" t="e">
        <f>VLOOKUP(D152,'Unit List'!$B$9:$D$241,3,0)</f>
        <v>#N/A</v>
      </c>
      <c r="D152" s="414"/>
      <c r="E152" s="733"/>
      <c r="F152" s="376"/>
      <c r="G152" s="585"/>
      <c r="H152" s="354" t="s">
        <v>299</v>
      </c>
      <c r="I152" s="376"/>
      <c r="J152" s="702" t="e">
        <f>VLOOKUP(I152,Settings!$B$287:$D$329,3,FALSE)</f>
        <v>#N/A</v>
      </c>
      <c r="K152" s="41" t="e">
        <f t="shared" si="4"/>
        <v>#N/A</v>
      </c>
      <c r="L152" s="385"/>
      <c r="M152" s="3"/>
    </row>
    <row r="153" spans="2:13" x14ac:dyDescent="0.25">
      <c r="B153" s="442" t="e">
        <f>VLOOKUP(D153,'Unit List'!$B$9:$E$241,4,0)</f>
        <v>#N/A</v>
      </c>
      <c r="C153" s="442" t="e">
        <f>VLOOKUP(D153,'Unit List'!$B$9:$D$241,3,0)</f>
        <v>#N/A</v>
      </c>
      <c r="D153" s="414"/>
      <c r="E153" s="733"/>
      <c r="F153" s="376"/>
      <c r="G153" s="585"/>
      <c r="H153" s="354" t="s">
        <v>299</v>
      </c>
      <c r="I153" s="376"/>
      <c r="J153" s="702" t="e">
        <f>VLOOKUP(I153,Settings!$B$287:$D$329,3,FALSE)</f>
        <v>#N/A</v>
      </c>
      <c r="K153" s="41" t="e">
        <f t="shared" si="4"/>
        <v>#N/A</v>
      </c>
      <c r="L153" s="385"/>
      <c r="M153" s="3"/>
    </row>
    <row r="154" spans="2:13" x14ac:dyDescent="0.25">
      <c r="B154" s="442" t="e">
        <f>VLOOKUP(D154,'Unit List'!$B$9:$E$241,4,0)</f>
        <v>#N/A</v>
      </c>
      <c r="C154" s="442" t="e">
        <f>VLOOKUP(D154,'Unit List'!$B$9:$D$241,3,0)</f>
        <v>#N/A</v>
      </c>
      <c r="D154" s="414"/>
      <c r="E154" s="733"/>
      <c r="F154" s="376"/>
      <c r="G154" s="585"/>
      <c r="H154" s="354" t="s">
        <v>299</v>
      </c>
      <c r="I154" s="376"/>
      <c r="J154" s="702" t="e">
        <f>VLOOKUP(I154,Settings!$B$287:$D$329,3,FALSE)</f>
        <v>#N/A</v>
      </c>
      <c r="K154" s="41" t="e">
        <f t="shared" si="4"/>
        <v>#N/A</v>
      </c>
      <c r="L154" s="385"/>
      <c r="M154" s="3"/>
    </row>
    <row r="155" spans="2:13" x14ac:dyDescent="0.25">
      <c r="B155" s="442" t="e">
        <f>VLOOKUP(D155,'Unit List'!$B$9:$E$241,4,0)</f>
        <v>#N/A</v>
      </c>
      <c r="C155" s="442" t="e">
        <f>VLOOKUP(D155,'Unit List'!$B$9:$D$241,3,0)</f>
        <v>#N/A</v>
      </c>
      <c r="D155" s="414"/>
      <c r="E155" s="733"/>
      <c r="F155" s="376"/>
      <c r="G155" s="585"/>
      <c r="H155" s="354" t="s">
        <v>299</v>
      </c>
      <c r="I155" s="376"/>
      <c r="J155" s="702" t="e">
        <f>VLOOKUP(I155,Settings!$B$287:$D$329,3,FALSE)</f>
        <v>#N/A</v>
      </c>
      <c r="K155" s="41" t="e">
        <f t="shared" si="4"/>
        <v>#N/A</v>
      </c>
      <c r="L155" s="385"/>
      <c r="M155" s="3"/>
    </row>
    <row r="156" spans="2:13" x14ac:dyDescent="0.25">
      <c r="B156" s="442" t="e">
        <f>VLOOKUP(D156,'Unit List'!$B$9:$E$241,4,0)</f>
        <v>#N/A</v>
      </c>
      <c r="C156" s="442" t="e">
        <f>VLOOKUP(D156,'Unit List'!$B$9:$D$241,3,0)</f>
        <v>#N/A</v>
      </c>
      <c r="D156" s="414"/>
      <c r="E156" s="733"/>
      <c r="F156" s="376"/>
      <c r="G156" s="585"/>
      <c r="H156" s="354" t="s">
        <v>299</v>
      </c>
      <c r="I156" s="376"/>
      <c r="J156" s="702" t="e">
        <f>VLOOKUP(I156,Settings!$B$287:$D$329,3,FALSE)</f>
        <v>#N/A</v>
      </c>
      <c r="K156" s="41" t="e">
        <f t="shared" si="4"/>
        <v>#N/A</v>
      </c>
      <c r="L156" s="385"/>
      <c r="M156" s="3"/>
    </row>
    <row r="157" spans="2:13" x14ac:dyDescent="0.25">
      <c r="B157" s="442" t="e">
        <f>VLOOKUP(D157,'Unit List'!$B$9:$E$241,4,0)</f>
        <v>#N/A</v>
      </c>
      <c r="C157" s="442" t="e">
        <f>VLOOKUP(D157,'Unit List'!$B$9:$D$241,3,0)</f>
        <v>#N/A</v>
      </c>
      <c r="D157" s="414"/>
      <c r="E157" s="733"/>
      <c r="F157" s="376"/>
      <c r="G157" s="585"/>
      <c r="H157" s="354" t="s">
        <v>299</v>
      </c>
      <c r="I157" s="376"/>
      <c r="J157" s="702" t="e">
        <f>VLOOKUP(I157,Settings!$B$287:$D$329,3,FALSE)</f>
        <v>#N/A</v>
      </c>
      <c r="K157" s="41" t="e">
        <f t="shared" si="4"/>
        <v>#N/A</v>
      </c>
      <c r="L157" s="385"/>
      <c r="M157" s="3"/>
    </row>
    <row r="158" spans="2:13" x14ac:dyDescent="0.25">
      <c r="B158" s="442" t="e">
        <f>VLOOKUP(D158,'Unit List'!$B$9:$E$241,4,0)</f>
        <v>#N/A</v>
      </c>
      <c r="C158" s="442" t="e">
        <f>VLOOKUP(D158,'Unit List'!$B$9:$D$241,3,0)</f>
        <v>#N/A</v>
      </c>
      <c r="D158" s="414"/>
      <c r="E158" s="733"/>
      <c r="F158" s="376"/>
      <c r="G158" s="585"/>
      <c r="H158" s="354" t="s">
        <v>299</v>
      </c>
      <c r="I158" s="376"/>
      <c r="J158" s="702" t="e">
        <f>VLOOKUP(I158,Settings!$B$287:$D$329,3,FALSE)</f>
        <v>#N/A</v>
      </c>
      <c r="K158" s="41" t="e">
        <f t="shared" si="4"/>
        <v>#N/A</v>
      </c>
      <c r="L158" s="385"/>
      <c r="M158" s="3"/>
    </row>
    <row r="159" spans="2:13" x14ac:dyDescent="0.25">
      <c r="B159" s="442" t="e">
        <f>VLOOKUP(D159,'Unit List'!$B$9:$E$241,4,0)</f>
        <v>#N/A</v>
      </c>
      <c r="C159" s="442" t="e">
        <f>VLOOKUP(D159,'Unit List'!$B$9:$D$241,3,0)</f>
        <v>#N/A</v>
      </c>
      <c r="D159" s="414"/>
      <c r="E159" s="733"/>
      <c r="F159" s="376"/>
      <c r="G159" s="585"/>
      <c r="H159" s="354" t="s">
        <v>299</v>
      </c>
      <c r="I159" s="376"/>
      <c r="J159" s="702" t="e">
        <f>VLOOKUP(I159,Settings!$B$287:$D$329,3,FALSE)</f>
        <v>#N/A</v>
      </c>
      <c r="K159" s="41" t="e">
        <f t="shared" si="4"/>
        <v>#N/A</v>
      </c>
      <c r="L159" s="385"/>
      <c r="M159" s="3"/>
    </row>
    <row r="160" spans="2:13" x14ac:dyDescent="0.25">
      <c r="B160" s="442" t="e">
        <f>VLOOKUP(D160,'Unit List'!$B$9:$E$241,4,0)</f>
        <v>#N/A</v>
      </c>
      <c r="C160" s="442" t="e">
        <f>VLOOKUP(D160,'Unit List'!$B$9:$D$241,3,0)</f>
        <v>#N/A</v>
      </c>
      <c r="D160" s="414"/>
      <c r="E160" s="733"/>
      <c r="F160" s="376"/>
      <c r="G160" s="585"/>
      <c r="H160" s="354" t="s">
        <v>299</v>
      </c>
      <c r="I160" s="376"/>
      <c r="J160" s="702" t="e">
        <f>VLOOKUP(I160,Settings!$B$287:$D$329,3,FALSE)</f>
        <v>#N/A</v>
      </c>
      <c r="K160" s="41" t="e">
        <f t="shared" si="4"/>
        <v>#N/A</v>
      </c>
      <c r="L160" s="385"/>
      <c r="M160" s="3"/>
    </row>
    <row r="161" spans="2:13" x14ac:dyDescent="0.25">
      <c r="B161" s="442" t="e">
        <f>VLOOKUP(D161,'Unit List'!$B$9:$E$241,4,0)</f>
        <v>#N/A</v>
      </c>
      <c r="C161" s="442" t="e">
        <f>VLOOKUP(D161,'Unit List'!$B$9:$D$241,3,0)</f>
        <v>#N/A</v>
      </c>
      <c r="D161" s="414"/>
      <c r="E161" s="733"/>
      <c r="F161" s="376"/>
      <c r="G161" s="585"/>
      <c r="H161" s="354" t="s">
        <v>299</v>
      </c>
      <c r="I161" s="376"/>
      <c r="J161" s="702" t="e">
        <f>VLOOKUP(I161,Settings!$B$287:$D$329,3,FALSE)</f>
        <v>#N/A</v>
      </c>
      <c r="K161" s="41" t="e">
        <f t="shared" si="4"/>
        <v>#N/A</v>
      </c>
      <c r="L161" s="385"/>
      <c r="M161" s="3"/>
    </row>
    <row r="162" spans="2:13" x14ac:dyDescent="0.25">
      <c r="B162" s="442" t="e">
        <f>VLOOKUP(D162,'Unit List'!$B$9:$E$241,4,0)</f>
        <v>#N/A</v>
      </c>
      <c r="C162" s="442" t="e">
        <f>VLOOKUP(D162,'Unit List'!$B$9:$D$241,3,0)</f>
        <v>#N/A</v>
      </c>
      <c r="D162" s="414"/>
      <c r="E162" s="733"/>
      <c r="F162" s="376"/>
      <c r="G162" s="585"/>
      <c r="H162" s="354" t="s">
        <v>299</v>
      </c>
      <c r="I162" s="376"/>
      <c r="J162" s="702" t="e">
        <f>VLOOKUP(I162,Settings!$B$287:$D$329,3,FALSE)</f>
        <v>#N/A</v>
      </c>
      <c r="K162" s="41" t="e">
        <f t="shared" si="4"/>
        <v>#N/A</v>
      </c>
      <c r="L162" s="385"/>
      <c r="M162" s="3"/>
    </row>
    <row r="163" spans="2:13" x14ac:dyDescent="0.25">
      <c r="B163" s="442" t="e">
        <f>VLOOKUP(D163,'Unit List'!$B$9:$E$241,4,0)</f>
        <v>#N/A</v>
      </c>
      <c r="C163" s="442" t="e">
        <f>VLOOKUP(D163,'Unit List'!$B$9:$D$241,3,0)</f>
        <v>#N/A</v>
      </c>
      <c r="D163" s="414"/>
      <c r="E163" s="733"/>
      <c r="F163" s="376"/>
      <c r="G163" s="585"/>
      <c r="H163" s="354" t="s">
        <v>299</v>
      </c>
      <c r="I163" s="376"/>
      <c r="J163" s="702" t="e">
        <f>VLOOKUP(I163,Settings!$B$287:$D$329,3,FALSE)</f>
        <v>#N/A</v>
      </c>
      <c r="K163" s="41" t="e">
        <f t="shared" si="4"/>
        <v>#N/A</v>
      </c>
      <c r="L163" s="385"/>
      <c r="M163" s="3"/>
    </row>
    <row r="164" spans="2:13" x14ac:dyDescent="0.25">
      <c r="B164" s="442" t="e">
        <f>VLOOKUP(D164,'Unit List'!$B$9:$E$241,4,0)</f>
        <v>#N/A</v>
      </c>
      <c r="C164" s="442" t="e">
        <f>VLOOKUP(D164,'Unit List'!$B$9:$D$241,3,0)</f>
        <v>#N/A</v>
      </c>
      <c r="D164" s="414"/>
      <c r="E164" s="733"/>
      <c r="F164" s="376"/>
      <c r="G164" s="585"/>
      <c r="H164" s="354" t="s">
        <v>299</v>
      </c>
      <c r="I164" s="376"/>
      <c r="J164" s="702" t="e">
        <f>VLOOKUP(I164,Settings!$B$287:$D$329,3,FALSE)</f>
        <v>#N/A</v>
      </c>
      <c r="K164" s="41" t="e">
        <f t="shared" si="4"/>
        <v>#N/A</v>
      </c>
      <c r="L164" s="385"/>
      <c r="M164" s="3"/>
    </row>
    <row r="165" spans="2:13" x14ac:dyDescent="0.25">
      <c r="B165" s="442" t="e">
        <f>VLOOKUP(D165,'Unit List'!$B$9:$E$241,4,0)</f>
        <v>#N/A</v>
      </c>
      <c r="C165" s="442" t="e">
        <f>VLOOKUP(D165,'Unit List'!$B$9:$D$241,3,0)</f>
        <v>#N/A</v>
      </c>
      <c r="D165" s="414"/>
      <c r="E165" s="671"/>
      <c r="F165" s="376"/>
      <c r="G165" s="375"/>
      <c r="H165" s="354" t="s">
        <v>299</v>
      </c>
      <c r="I165" s="376"/>
      <c r="J165" s="702" t="e">
        <f>VLOOKUP(I165,Settings!$B$287:$D$329,3,FALSE)</f>
        <v>#N/A</v>
      </c>
      <c r="K165" s="41" t="e">
        <f t="shared" si="4"/>
        <v>#N/A</v>
      </c>
      <c r="L165" s="174"/>
      <c r="M165" s="3"/>
    </row>
    <row r="166" spans="2:13" x14ac:dyDescent="0.25">
      <c r="B166" s="442" t="e">
        <f>VLOOKUP(D166,'Unit List'!$B$9:$E$241,4,0)</f>
        <v>#N/A</v>
      </c>
      <c r="C166" s="442" t="e">
        <f>VLOOKUP(D166,'Unit List'!$B$9:$D$241,3,0)</f>
        <v>#N/A</v>
      </c>
      <c r="D166" s="414"/>
      <c r="E166" s="671"/>
      <c r="F166" s="376"/>
      <c r="G166" s="375"/>
      <c r="H166" s="354" t="s">
        <v>299</v>
      </c>
      <c r="I166" s="376"/>
      <c r="J166" s="702" t="e">
        <f>VLOOKUP(I166,Settings!$B$287:$D$329,3,FALSE)</f>
        <v>#N/A</v>
      </c>
      <c r="K166" s="41" t="e">
        <f t="shared" si="4"/>
        <v>#N/A</v>
      </c>
      <c r="L166" s="174"/>
      <c r="M166" s="3"/>
    </row>
    <row r="167" spans="2:13" x14ac:dyDescent="0.25">
      <c r="B167" s="442" t="e">
        <f>VLOOKUP(D167,'Unit List'!$B$9:$E$241,4,0)</f>
        <v>#N/A</v>
      </c>
      <c r="C167" s="442" t="e">
        <f>VLOOKUP(D167,'Unit List'!$B$9:$D$241,3,0)</f>
        <v>#N/A</v>
      </c>
      <c r="D167" s="414"/>
      <c r="E167" s="671"/>
      <c r="F167" s="376"/>
      <c r="G167" s="375"/>
      <c r="H167" s="354" t="s">
        <v>299</v>
      </c>
      <c r="I167" s="376"/>
      <c r="J167" s="702" t="e">
        <f>VLOOKUP(I167,Settings!$B$287:$D$329,3,FALSE)</f>
        <v>#N/A</v>
      </c>
      <c r="K167" s="41" t="e">
        <f t="shared" si="4"/>
        <v>#N/A</v>
      </c>
      <c r="L167" s="174"/>
      <c r="M167" s="3"/>
    </row>
    <row r="168" spans="2:13" x14ac:dyDescent="0.25">
      <c r="B168" s="442" t="e">
        <f>VLOOKUP(D168,'Unit List'!$B$9:$E$241,4,0)</f>
        <v>#N/A</v>
      </c>
      <c r="C168" s="442" t="e">
        <f>VLOOKUP(D168,'Unit List'!$B$9:$D$241,3,0)</f>
        <v>#N/A</v>
      </c>
      <c r="D168" s="414"/>
      <c r="E168" s="671"/>
      <c r="F168" s="376"/>
      <c r="G168" s="375"/>
      <c r="H168" s="354" t="s">
        <v>299</v>
      </c>
      <c r="I168" s="376"/>
      <c r="J168" s="702" t="e">
        <f>VLOOKUP(I168,Settings!$B$287:$D$329,3,FALSE)</f>
        <v>#N/A</v>
      </c>
      <c r="K168" s="41" t="e">
        <f t="shared" si="4"/>
        <v>#N/A</v>
      </c>
      <c r="L168" s="174"/>
      <c r="M168" s="3"/>
    </row>
    <row r="169" spans="2:13" x14ac:dyDescent="0.25">
      <c r="B169" s="442" t="e">
        <f>VLOOKUP(D169,'Unit List'!$B$9:$E$241,4,0)</f>
        <v>#N/A</v>
      </c>
      <c r="C169" s="442" t="e">
        <f>VLOOKUP(D169,'Unit List'!$B$9:$D$241,3,0)</f>
        <v>#N/A</v>
      </c>
      <c r="D169" s="414"/>
      <c r="E169" s="671"/>
      <c r="F169" s="376"/>
      <c r="G169" s="375"/>
      <c r="H169" s="354" t="s">
        <v>299</v>
      </c>
      <c r="I169" s="376"/>
      <c r="J169" s="702" t="e">
        <f>VLOOKUP(I169,Settings!$B$287:$D$329,3,FALSE)</f>
        <v>#N/A</v>
      </c>
      <c r="K169" s="41" t="e">
        <f t="shared" ref="K169:K170" si="5">G169*J169</f>
        <v>#N/A</v>
      </c>
      <c r="L169" s="174"/>
      <c r="M169" s="3"/>
    </row>
    <row r="170" spans="2:13" x14ac:dyDescent="0.25">
      <c r="B170" s="442" t="e">
        <f>VLOOKUP(D170,'Unit List'!$B$9:$E$241,4,0)</f>
        <v>#N/A</v>
      </c>
      <c r="C170" s="442" t="e">
        <f>VLOOKUP(D170,'Unit List'!$B$9:$D$241,3,0)</f>
        <v>#N/A</v>
      </c>
      <c r="D170" s="414"/>
      <c r="E170" s="671"/>
      <c r="F170" s="376"/>
      <c r="G170" s="375"/>
      <c r="H170" s="354" t="s">
        <v>299</v>
      </c>
      <c r="I170" s="376"/>
      <c r="J170" s="702" t="e">
        <f>VLOOKUP(I170,Settings!$B$287:$D$329,3,FALSE)</f>
        <v>#N/A</v>
      </c>
      <c r="K170" s="41" t="e">
        <f t="shared" si="5"/>
        <v>#N/A</v>
      </c>
      <c r="L170" s="174"/>
      <c r="M170" s="3"/>
    </row>
    <row r="171" spans="2:13" ht="30" customHeight="1" x14ac:dyDescent="0.25">
      <c r="B171" s="355" t="s">
        <v>410</v>
      </c>
      <c r="C171" s="378"/>
      <c r="D171" s="378"/>
      <c r="E171" s="378"/>
      <c r="F171" s="378"/>
      <c r="G171" s="448"/>
      <c r="H171" s="448"/>
      <c r="I171" s="448"/>
      <c r="J171" s="448"/>
      <c r="K171" s="448">
        <f>_xlfn.AGGREGATE(9,6,K9:K164)</f>
        <v>7604433.7467602771</v>
      </c>
      <c r="L171" s="373"/>
      <c r="M171" s="3"/>
    </row>
    <row r="174" spans="2:13" ht="16.2" customHeight="1" x14ac:dyDescent="0.25"/>
    <row r="175" spans="2:13" ht="30" customHeight="1" x14ac:dyDescent="0.25">
      <c r="B175" s="327"/>
      <c r="C175" s="235"/>
      <c r="D175" s="235"/>
      <c r="E175" s="235"/>
      <c r="F175" s="292" t="s">
        <v>1213</v>
      </c>
      <c r="J175" s="370" t="s">
        <v>856</v>
      </c>
      <c r="K175" s="371"/>
      <c r="L175" s="372"/>
    </row>
    <row r="176" spans="2:13" ht="16.2" customHeight="1" x14ac:dyDescent="0.25">
      <c r="B176" s="1049" t="s">
        <v>1214</v>
      </c>
      <c r="C176" s="1050"/>
      <c r="D176" s="1050"/>
      <c r="E176" s="1050"/>
      <c r="F176" s="1051"/>
      <c r="J176" s="1014" t="s">
        <v>329</v>
      </c>
      <c r="K176" s="1015" t="s">
        <v>335</v>
      </c>
      <c r="L176" s="374" t="s">
        <v>406</v>
      </c>
    </row>
    <row r="177" spans="2:12" x14ac:dyDescent="0.25">
      <c r="B177" s="1049"/>
      <c r="C177" s="1050"/>
      <c r="D177" s="1050"/>
      <c r="E177" s="1050"/>
      <c r="F177" s="1051"/>
      <c r="J177" s="1008"/>
      <c r="K177" s="1016"/>
      <c r="L177" s="374" t="s">
        <v>222</v>
      </c>
    </row>
    <row r="178" spans="2:12" ht="16.2" customHeight="1" x14ac:dyDescent="0.25">
      <c r="B178" s="236"/>
      <c r="C178" s="238"/>
      <c r="D178" s="238"/>
      <c r="E178" s="238"/>
      <c r="F178" s="232" t="s">
        <v>1210</v>
      </c>
      <c r="J178" s="353" t="s">
        <v>1852</v>
      </c>
      <c r="K178" s="91" t="s">
        <v>337</v>
      </c>
      <c r="L178" s="21">
        <f t="shared" ref="L178:L185" si="6">SUMIF($B$9:$B$170,K178,$K$9:$K$170)</f>
        <v>2113407.5449346504</v>
      </c>
    </row>
    <row r="179" spans="2:12" ht="16.2" customHeight="1" x14ac:dyDescent="0.25">
      <c r="B179" s="1052" t="s">
        <v>1215</v>
      </c>
      <c r="C179" s="1053"/>
      <c r="D179" s="1053"/>
      <c r="E179" s="1053"/>
      <c r="F179" s="1054"/>
      <c r="J179" s="353" t="s">
        <v>1853</v>
      </c>
      <c r="K179" s="91" t="s">
        <v>338</v>
      </c>
      <c r="L179" s="21">
        <f t="shared" si="6"/>
        <v>5466193.5532615464</v>
      </c>
    </row>
    <row r="180" spans="2:12" x14ac:dyDescent="0.25">
      <c r="B180" s="1055"/>
      <c r="C180" s="1056"/>
      <c r="D180" s="1056"/>
      <c r="E180" s="1056"/>
      <c r="F180" s="1057"/>
      <c r="J180" s="353" t="s">
        <v>1854</v>
      </c>
      <c r="K180" s="91" t="s">
        <v>339</v>
      </c>
      <c r="L180" s="21">
        <f t="shared" si="6"/>
        <v>57.124732800000004</v>
      </c>
    </row>
    <row r="181" spans="2:12" x14ac:dyDescent="0.25">
      <c r="J181" s="353" t="s">
        <v>1855</v>
      </c>
      <c r="K181" s="91" t="s">
        <v>340</v>
      </c>
      <c r="L181" s="21">
        <f t="shared" si="6"/>
        <v>24775.5238312808</v>
      </c>
    </row>
    <row r="182" spans="2:12" x14ac:dyDescent="0.25">
      <c r="J182" s="353" t="s">
        <v>1856</v>
      </c>
      <c r="K182" s="91" t="s">
        <v>341</v>
      </c>
      <c r="L182" s="21">
        <f t="shared" si="6"/>
        <v>0</v>
      </c>
    </row>
    <row r="183" spans="2:12" x14ac:dyDescent="0.25">
      <c r="J183" s="353" t="s">
        <v>1857</v>
      </c>
      <c r="K183" s="91" t="s">
        <v>342</v>
      </c>
      <c r="L183" s="21">
        <f t="shared" si="6"/>
        <v>0</v>
      </c>
    </row>
    <row r="184" spans="2:12" x14ac:dyDescent="0.25">
      <c r="J184" s="353" t="s">
        <v>1858</v>
      </c>
      <c r="K184" s="91" t="s">
        <v>343</v>
      </c>
      <c r="L184" s="21">
        <f t="shared" si="6"/>
        <v>0</v>
      </c>
    </row>
    <row r="185" spans="2:12" x14ac:dyDescent="0.25">
      <c r="J185" s="353" t="s">
        <v>1859</v>
      </c>
      <c r="K185" s="91" t="s">
        <v>510</v>
      </c>
      <c r="L185" s="21">
        <f t="shared" si="6"/>
        <v>0</v>
      </c>
    </row>
    <row r="186" spans="2:12" ht="30" customHeight="1" x14ac:dyDescent="0.25">
      <c r="J186" s="355" t="s">
        <v>410</v>
      </c>
      <c r="K186" s="378"/>
      <c r="L186" s="135">
        <f>_xlfn.AGGREGATE(9,6,L178:L185)</f>
        <v>7604433.746760278</v>
      </c>
    </row>
    <row r="187" spans="2:12" ht="38.4" customHeight="1" x14ac:dyDescent="0.25"/>
    <row r="189" spans="2:12" x14ac:dyDescent="0.25">
      <c r="G189" s="79"/>
    </row>
    <row r="190" spans="2:12" x14ac:dyDescent="0.25">
      <c r="G190" s="79"/>
    </row>
    <row r="191" spans="2:12" x14ac:dyDescent="0.25">
      <c r="G191" s="79"/>
    </row>
    <row r="192" spans="2:12" x14ac:dyDescent="0.25">
      <c r="G192" s="79"/>
    </row>
    <row r="193" spans="7:7" x14ac:dyDescent="0.25">
      <c r="G193" s="79"/>
    </row>
    <row r="194" spans="7:7" x14ac:dyDescent="0.25">
      <c r="G194" s="79"/>
    </row>
    <row r="195" spans="7:7" x14ac:dyDescent="0.25">
      <c r="G195" s="79"/>
    </row>
    <row r="196" spans="7:7" x14ac:dyDescent="0.25">
      <c r="G196" s="79"/>
    </row>
    <row r="197" spans="7:7" ht="16.8" customHeight="1" x14ac:dyDescent="0.25">
      <c r="G197" s="79"/>
    </row>
    <row r="200" spans="7:7" ht="16.2" customHeight="1" x14ac:dyDescent="0.25"/>
  </sheetData>
  <protectedRanges>
    <protectedRange sqref="I9:I170" name="Range4"/>
    <protectedRange sqref="D9:G170" name="Range3"/>
    <protectedRange sqref="L9:L170" name="Range2"/>
  </protectedRanges>
  <mergeCells count="4">
    <mergeCell ref="B176:F177"/>
    <mergeCell ref="K176:K177"/>
    <mergeCell ref="J176:J177"/>
    <mergeCell ref="B179:F180"/>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8935633F-7D94-4BF9-A470-481B3E07454E}">
          <x14:formula1>
            <xm:f>Settings!$B$341:$B$348</xm:f>
          </x14:formula1>
          <xm:sqref>K178:K185</xm:sqref>
        </x14:dataValidation>
        <x14:dataValidation type="list" allowBlank="1" showInputMessage="1" showErrorMessage="1" xr:uid="{A90C850E-FF0B-4CAE-98C9-05FF0EBE88D0}">
          <x14:formula1>
            <xm:f>Settings!$B$287:$B$329</xm:f>
          </x14:formula1>
          <xm:sqref>I9:I170</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A8FCE-CAA8-42D5-ADCE-2A54F2A4B5FA}">
  <dimension ref="A4:N331"/>
  <sheetViews>
    <sheetView rightToLeft="1" zoomScale="70" zoomScaleNormal="70" workbookViewId="0">
      <selection activeCell="I3" sqref="I3"/>
    </sheetView>
  </sheetViews>
  <sheetFormatPr defaultColWidth="9.09765625" defaultRowHeight="16.2" x14ac:dyDescent="0.25"/>
  <cols>
    <col min="1" max="1" width="12.09765625" style="3" customWidth="1"/>
    <col min="2" max="2" width="19.19921875" style="24" customWidth="1"/>
    <col min="3" max="3" width="56.69921875" style="3" customWidth="1"/>
    <col min="4" max="4" width="14.796875" style="3" bestFit="1" customWidth="1"/>
    <col min="5" max="5" width="17.3984375" style="3" customWidth="1"/>
    <col min="6" max="6" width="12.8984375" style="3" bestFit="1" customWidth="1"/>
    <col min="7" max="7" width="22.296875" style="3" customWidth="1"/>
    <col min="8" max="8" width="65.796875" style="24" bestFit="1" customWidth="1"/>
    <col min="9" max="9" width="11.296875" style="3" customWidth="1"/>
    <col min="10" max="10" width="14.09765625" style="24" customWidth="1"/>
    <col min="11" max="11" width="16.69921875" style="24" customWidth="1"/>
    <col min="12" max="12" width="27.8984375" style="3" customWidth="1"/>
    <col min="13" max="13" width="20.69921875" style="3" customWidth="1"/>
    <col min="14" max="14" width="26.8984375" style="24" customWidth="1"/>
    <col min="15" max="16384" width="9.09765625" style="3"/>
  </cols>
  <sheetData>
    <row r="4" spans="2:14" ht="16.2" customHeight="1" x14ac:dyDescent="0.25"/>
    <row r="5" spans="2:14" ht="16.2" customHeight="1" x14ac:dyDescent="0.25"/>
    <row r="6" spans="2:14" ht="16.2" customHeight="1" x14ac:dyDescent="0.25"/>
    <row r="7" spans="2:14" s="279" customFormat="1" ht="30" customHeight="1" x14ac:dyDescent="0.25">
      <c r="B7" s="370" t="s">
        <v>953</v>
      </c>
      <c r="C7" s="371"/>
      <c r="D7" s="371"/>
      <c r="E7" s="371"/>
      <c r="F7" s="371"/>
      <c r="G7" s="371"/>
      <c r="H7" s="371"/>
      <c r="I7" s="371"/>
      <c r="J7" s="371"/>
      <c r="K7" s="371"/>
      <c r="L7" s="372"/>
    </row>
    <row r="8" spans="2:14" s="80" customFormat="1" ht="17.25" customHeight="1" x14ac:dyDescent="0.25">
      <c r="B8" s="1014" t="s">
        <v>335</v>
      </c>
      <c r="C8" s="1014" t="s">
        <v>969</v>
      </c>
      <c r="D8" s="1014" t="s">
        <v>400</v>
      </c>
      <c r="E8" s="1014" t="s">
        <v>401</v>
      </c>
      <c r="F8" s="1014" t="s">
        <v>402</v>
      </c>
      <c r="G8" s="1014" t="s">
        <v>1146</v>
      </c>
      <c r="H8" s="1014" t="s">
        <v>1072</v>
      </c>
      <c r="I8" s="1014" t="s">
        <v>442</v>
      </c>
      <c r="J8" s="374" t="s">
        <v>405</v>
      </c>
      <c r="K8" s="374" t="s">
        <v>406</v>
      </c>
      <c r="L8" s="1014" t="s">
        <v>716</v>
      </c>
    </row>
    <row r="9" spans="2:14" s="80" customFormat="1" ht="17.25" customHeight="1" x14ac:dyDescent="0.25">
      <c r="B9" s="1008"/>
      <c r="C9" s="1008"/>
      <c r="D9" s="1008"/>
      <c r="E9" s="1008"/>
      <c r="F9" s="1008"/>
      <c r="G9" s="1008"/>
      <c r="H9" s="1008"/>
      <c r="I9" s="1008"/>
      <c r="J9" s="374" t="s">
        <v>1074</v>
      </c>
      <c r="K9" s="374" t="s">
        <v>222</v>
      </c>
      <c r="L9" s="1008"/>
    </row>
    <row r="10" spans="2:14" x14ac:dyDescent="0.25">
      <c r="B10" s="356" t="s">
        <v>337</v>
      </c>
      <c r="C10" s="387" t="s">
        <v>985</v>
      </c>
      <c r="D10" s="354" t="s">
        <v>1020</v>
      </c>
      <c r="E10" s="375">
        <v>116524038.57699999</v>
      </c>
      <c r="F10" s="354" t="s">
        <v>1050</v>
      </c>
      <c r="G10" s="449">
        <v>1</v>
      </c>
      <c r="H10" s="354" t="s">
        <v>1079</v>
      </c>
      <c r="I10" s="443">
        <v>1</v>
      </c>
      <c r="J10" s="450">
        <v>8.3000000000000004E-2</v>
      </c>
      <c r="K10" s="60">
        <f>J10*G10*E10/Settings!$D$17</f>
        <v>25.928593991745416</v>
      </c>
      <c r="L10" s="174" t="s">
        <v>721</v>
      </c>
      <c r="N10" s="3"/>
    </row>
    <row r="11" spans="2:14" x14ac:dyDescent="0.25">
      <c r="B11" s="356" t="s">
        <v>337</v>
      </c>
      <c r="C11" s="387" t="s">
        <v>992</v>
      </c>
      <c r="D11" s="354" t="s">
        <v>1027</v>
      </c>
      <c r="E11" s="375">
        <v>41206673.708999999</v>
      </c>
      <c r="F11" s="354" t="s">
        <v>1050</v>
      </c>
      <c r="G11" s="449">
        <v>1</v>
      </c>
      <c r="H11" s="354" t="s">
        <v>1080</v>
      </c>
      <c r="I11" s="443">
        <v>1</v>
      </c>
      <c r="J11" s="450">
        <v>0.221</v>
      </c>
      <c r="K11" s="60">
        <f>J11*G11*E11/Settings!$D$17</f>
        <v>24.414350718325494</v>
      </c>
      <c r="L11" s="174" t="s">
        <v>721</v>
      </c>
      <c r="N11" s="3"/>
    </row>
    <row r="12" spans="2:14" x14ac:dyDescent="0.25">
      <c r="B12" s="356" t="s">
        <v>337</v>
      </c>
      <c r="C12" s="387" t="s">
        <v>993</v>
      </c>
      <c r="D12" s="354" t="s">
        <v>1028</v>
      </c>
      <c r="E12" s="375">
        <v>52069466.462000005</v>
      </c>
      <c r="F12" s="354" t="s">
        <v>1050</v>
      </c>
      <c r="G12" s="449">
        <v>1</v>
      </c>
      <c r="H12" s="354" t="s">
        <v>1080</v>
      </c>
      <c r="I12" s="443">
        <v>1</v>
      </c>
      <c r="J12" s="450">
        <v>0.221</v>
      </c>
      <c r="K12" s="60">
        <f>J12*G12*E12/Settings!$D$17</f>
        <v>30.850396343486018</v>
      </c>
      <c r="L12" s="174" t="s">
        <v>721</v>
      </c>
      <c r="N12" s="3"/>
    </row>
    <row r="13" spans="2:14" x14ac:dyDescent="0.25">
      <c r="B13" s="356" t="s">
        <v>337</v>
      </c>
      <c r="C13" s="387" t="s">
        <v>1078</v>
      </c>
      <c r="D13" s="354" t="s">
        <v>1030</v>
      </c>
      <c r="E13" s="375">
        <v>195982110.06299999</v>
      </c>
      <c r="F13" s="354" t="s">
        <v>1050</v>
      </c>
      <c r="G13" s="449">
        <v>1</v>
      </c>
      <c r="H13" s="354" t="s">
        <v>1081</v>
      </c>
      <c r="I13" s="443">
        <v>1</v>
      </c>
      <c r="J13" s="450">
        <v>0.248</v>
      </c>
      <c r="K13" s="60">
        <f>J13*G13*E13/Settings!$D$17</f>
        <v>130.30271255244298</v>
      </c>
      <c r="L13" s="174" t="s">
        <v>721</v>
      </c>
      <c r="N13" s="3"/>
    </row>
    <row r="14" spans="2:14" x14ac:dyDescent="0.25">
      <c r="B14" s="356" t="s">
        <v>337</v>
      </c>
      <c r="C14" s="387" t="s">
        <v>995</v>
      </c>
      <c r="D14" s="354" t="s">
        <v>1031</v>
      </c>
      <c r="E14" s="375">
        <v>252351058.26800001</v>
      </c>
      <c r="F14" s="354" t="s">
        <v>1050</v>
      </c>
      <c r="G14" s="449">
        <v>1</v>
      </c>
      <c r="H14" s="354" t="s">
        <v>1082</v>
      </c>
      <c r="I14" s="443">
        <v>1</v>
      </c>
      <c r="J14" s="450">
        <v>0.36</v>
      </c>
      <c r="K14" s="60">
        <f>J14*G14*E14/Settings!$D$17</f>
        <v>243.55271638846662</v>
      </c>
      <c r="L14" s="174" t="s">
        <v>721</v>
      </c>
      <c r="N14" s="3"/>
    </row>
    <row r="15" spans="2:14" x14ac:dyDescent="0.25">
      <c r="B15" s="356" t="s">
        <v>337</v>
      </c>
      <c r="C15" s="387" t="s">
        <v>1003</v>
      </c>
      <c r="D15" s="354" t="s">
        <v>1039</v>
      </c>
      <c r="E15" s="375">
        <v>350623692.31400001</v>
      </c>
      <c r="F15" s="354" t="s">
        <v>1050</v>
      </c>
      <c r="G15" s="449">
        <v>1</v>
      </c>
      <c r="H15" s="354" t="s">
        <v>1083</v>
      </c>
      <c r="I15" s="443">
        <v>1</v>
      </c>
      <c r="J15" s="450">
        <v>0.10199999999999999</v>
      </c>
      <c r="K15" s="60">
        <f>J15*G15*E15/Settings!$D$17</f>
        <v>95.879724443447131</v>
      </c>
      <c r="L15" s="174" t="s">
        <v>721</v>
      </c>
      <c r="N15" s="3"/>
    </row>
    <row r="16" spans="2:14" x14ac:dyDescent="0.25">
      <c r="B16" s="356" t="s">
        <v>337</v>
      </c>
      <c r="C16" s="387" t="s">
        <v>1004</v>
      </c>
      <c r="D16" s="354" t="s">
        <v>1040</v>
      </c>
      <c r="E16" s="375">
        <v>37411194.480000004</v>
      </c>
      <c r="F16" s="354" t="s">
        <v>1050</v>
      </c>
      <c r="G16" s="449">
        <v>1</v>
      </c>
      <c r="H16" s="354" t="s">
        <v>1083</v>
      </c>
      <c r="I16" s="443">
        <v>1</v>
      </c>
      <c r="J16" s="450">
        <v>0.10199999999999999</v>
      </c>
      <c r="K16" s="60">
        <f>J16*G16*E16/Settings!$D$17</f>
        <v>10.230269934612137</v>
      </c>
      <c r="L16" s="174" t="s">
        <v>721</v>
      </c>
      <c r="N16" s="3"/>
    </row>
    <row r="17" spans="2:14" x14ac:dyDescent="0.25">
      <c r="B17" s="356" t="s">
        <v>337</v>
      </c>
      <c r="C17" s="387" t="s">
        <v>1005</v>
      </c>
      <c r="D17" s="354" t="s">
        <v>1041</v>
      </c>
      <c r="E17" s="375">
        <v>4424183.7060000002</v>
      </c>
      <c r="F17" s="354" t="s">
        <v>1050</v>
      </c>
      <c r="G17" s="449">
        <v>1</v>
      </c>
      <c r="H17" s="354" t="s">
        <v>1084</v>
      </c>
      <c r="I17" s="443">
        <v>1</v>
      </c>
      <c r="J17" s="450">
        <v>0.54400000000000004</v>
      </c>
      <c r="K17" s="60">
        <f>J17*G17*E17/Settings!$D$17</f>
        <v>6.4523422904894039</v>
      </c>
      <c r="L17" s="174" t="s">
        <v>721</v>
      </c>
      <c r="N17" s="3"/>
    </row>
    <row r="18" spans="2:14" ht="16.8" customHeight="1" x14ac:dyDescent="0.25">
      <c r="B18" s="356" t="s">
        <v>337</v>
      </c>
      <c r="C18" s="387" t="s">
        <v>978</v>
      </c>
      <c r="D18" s="446" t="s">
        <v>1013</v>
      </c>
      <c r="E18" s="386">
        <v>355500</v>
      </c>
      <c r="F18" s="443" t="s">
        <v>1049</v>
      </c>
      <c r="G18" s="451">
        <v>599.20000000000005</v>
      </c>
      <c r="H18" s="443" t="s">
        <v>1135</v>
      </c>
      <c r="I18" s="443">
        <v>1</v>
      </c>
      <c r="J18" s="450">
        <v>0.20699999999999999</v>
      </c>
      <c r="K18" s="60">
        <f>J18*G18*E18/Settings!$D$17</f>
        <v>118.21350705754615</v>
      </c>
      <c r="L18" s="174" t="s">
        <v>721</v>
      </c>
      <c r="N18" s="3"/>
    </row>
    <row r="19" spans="2:14" ht="17.25" customHeight="1" x14ac:dyDescent="0.25">
      <c r="B19" s="356" t="s">
        <v>337</v>
      </c>
      <c r="C19" s="387" t="s">
        <v>979</v>
      </c>
      <c r="D19" s="446" t="s">
        <v>1014</v>
      </c>
      <c r="E19" s="386">
        <v>49712</v>
      </c>
      <c r="F19" s="443" t="s">
        <v>1049</v>
      </c>
      <c r="G19" s="451">
        <v>970.67515462700192</v>
      </c>
      <c r="H19" s="443" t="s">
        <v>1134</v>
      </c>
      <c r="I19" s="443">
        <v>1</v>
      </c>
      <c r="J19" s="450">
        <v>0.39100000000000001</v>
      </c>
      <c r="K19" s="60">
        <f>J19*G19*E19/Settings!$D$17</f>
        <v>50.582146312102118</v>
      </c>
      <c r="L19" s="174" t="s">
        <v>721</v>
      </c>
      <c r="N19" s="3"/>
    </row>
    <row r="20" spans="2:14" ht="17.25" customHeight="1" x14ac:dyDescent="0.25">
      <c r="B20" s="356" t="s">
        <v>337</v>
      </c>
      <c r="C20" s="387" t="s">
        <v>980</v>
      </c>
      <c r="D20" s="354" t="s">
        <v>1015</v>
      </c>
      <c r="E20" s="375">
        <v>24103</v>
      </c>
      <c r="F20" s="354" t="s">
        <v>1049</v>
      </c>
      <c r="G20" s="449">
        <v>1296.9271990612503</v>
      </c>
      <c r="H20" s="354" t="s">
        <v>1134</v>
      </c>
      <c r="I20" s="443">
        <v>1</v>
      </c>
      <c r="J20" s="450">
        <v>0.39100000000000001</v>
      </c>
      <c r="K20" s="60">
        <f>J20*G20*E20/Settings!$D$17</f>
        <v>32.767914599210648</v>
      </c>
      <c r="L20" s="174" t="s">
        <v>721</v>
      </c>
      <c r="N20" s="3"/>
    </row>
    <row r="21" spans="2:14" ht="17.25" customHeight="1" x14ac:dyDescent="0.25">
      <c r="B21" s="356" t="s">
        <v>337</v>
      </c>
      <c r="C21" s="387" t="s">
        <v>981</v>
      </c>
      <c r="D21" s="354" t="s">
        <v>1016</v>
      </c>
      <c r="E21" s="375">
        <v>79510</v>
      </c>
      <c r="F21" s="354" t="s">
        <v>1049</v>
      </c>
      <c r="G21" s="449">
        <v>617.49618320610682</v>
      </c>
      <c r="H21" s="354" t="s">
        <v>1134</v>
      </c>
      <c r="I21" s="443">
        <v>1</v>
      </c>
      <c r="J21" s="450">
        <v>0.39100000000000001</v>
      </c>
      <c r="K21" s="60">
        <f>J21*G21*E21/Settings!$D$17</f>
        <v>51.465729727340289</v>
      </c>
      <c r="L21" s="174" t="s">
        <v>721</v>
      </c>
      <c r="N21" s="3"/>
    </row>
    <row r="22" spans="2:14" ht="16.8" customHeight="1" x14ac:dyDescent="0.25">
      <c r="B22" s="356" t="s">
        <v>337</v>
      </c>
      <c r="C22" s="387" t="s">
        <v>982</v>
      </c>
      <c r="D22" s="354" t="s">
        <v>1017</v>
      </c>
      <c r="E22" s="375">
        <v>1872</v>
      </c>
      <c r="F22" s="354" t="s">
        <v>1049</v>
      </c>
      <c r="G22" s="449">
        <v>646.60493827160496</v>
      </c>
      <c r="H22" s="354" t="s">
        <v>1134</v>
      </c>
      <c r="I22" s="443">
        <v>1</v>
      </c>
      <c r="J22" s="450">
        <v>0.39100000000000001</v>
      </c>
      <c r="K22" s="60">
        <f>J22*G22*E22/Settings!$D$17</f>
        <v>1.2688403044939822</v>
      </c>
      <c r="L22" s="174" t="s">
        <v>721</v>
      </c>
      <c r="N22" s="3"/>
    </row>
    <row r="23" spans="2:14" x14ac:dyDescent="0.25">
      <c r="B23" s="356" t="s">
        <v>337</v>
      </c>
      <c r="C23" s="387" t="s">
        <v>983</v>
      </c>
      <c r="D23" s="354" t="s">
        <v>1018</v>
      </c>
      <c r="E23" s="375">
        <v>376</v>
      </c>
      <c r="F23" s="354" t="s">
        <v>1049</v>
      </c>
      <c r="G23" s="449">
        <v>206.82201562939514</v>
      </c>
      <c r="H23" s="354" t="s">
        <v>1136</v>
      </c>
      <c r="I23" s="443">
        <v>1</v>
      </c>
      <c r="J23" s="450">
        <v>1.01</v>
      </c>
      <c r="K23" s="60">
        <f>J23*G23*E23/Settings!$D$17</f>
        <v>0.21056749549046019</v>
      </c>
      <c r="L23" s="174" t="s">
        <v>721</v>
      </c>
      <c r="N23" s="3"/>
    </row>
    <row r="24" spans="2:14" x14ac:dyDescent="0.25">
      <c r="B24" s="356" t="s">
        <v>337</v>
      </c>
      <c r="C24" s="387" t="s">
        <v>984</v>
      </c>
      <c r="D24" s="354" t="s">
        <v>1019</v>
      </c>
      <c r="E24" s="375">
        <v>82987</v>
      </c>
      <c r="F24" s="354" t="s">
        <v>1049</v>
      </c>
      <c r="G24" s="449">
        <v>1401.6159072427272</v>
      </c>
      <c r="H24" s="354" t="s">
        <v>1134</v>
      </c>
      <c r="I24" s="443">
        <v>1</v>
      </c>
      <c r="J24" s="450">
        <v>0.39100000000000001</v>
      </c>
      <c r="K24" s="60">
        <f>J24*G24*E24/Settings!$D$17</f>
        <v>121.92736457712823</v>
      </c>
      <c r="L24" s="174" t="s">
        <v>721</v>
      </c>
      <c r="N24" s="3"/>
    </row>
    <row r="25" spans="2:14" x14ac:dyDescent="0.25">
      <c r="B25" s="356" t="s">
        <v>337</v>
      </c>
      <c r="C25" s="387" t="s">
        <v>986</v>
      </c>
      <c r="D25" s="354" t="s">
        <v>1021</v>
      </c>
      <c r="E25" s="375">
        <v>287</v>
      </c>
      <c r="F25" s="354" t="s">
        <v>1049</v>
      </c>
      <c r="G25" s="449">
        <v>237.94260031928448</v>
      </c>
      <c r="H25" s="354" t="s">
        <v>1147</v>
      </c>
      <c r="I25" s="443">
        <v>1</v>
      </c>
      <c r="J25" s="450">
        <v>0.5</v>
      </c>
      <c r="K25" s="60">
        <f>J25*G25*E25/Settings!$D$17</f>
        <v>9.1539692888345514E-2</v>
      </c>
      <c r="L25" s="174" t="s">
        <v>721</v>
      </c>
      <c r="N25" s="3"/>
    </row>
    <row r="26" spans="2:14" x14ac:dyDescent="0.25">
      <c r="B26" s="356" t="s">
        <v>337</v>
      </c>
      <c r="C26" s="387" t="s">
        <v>987</v>
      </c>
      <c r="D26" s="354" t="s">
        <v>1022</v>
      </c>
      <c r="E26" s="375">
        <v>235.5</v>
      </c>
      <c r="F26" s="354" t="s">
        <v>1049</v>
      </c>
      <c r="G26" s="449">
        <v>293.43338352480708</v>
      </c>
      <c r="H26" s="354" t="s">
        <v>1147</v>
      </c>
      <c r="I26" s="443">
        <v>1</v>
      </c>
      <c r="J26" s="450">
        <v>0.5</v>
      </c>
      <c r="K26" s="60">
        <f>J26*G26*E26/Settings!$D$17</f>
        <v>9.2630878701481317E-2</v>
      </c>
      <c r="L26" s="174" t="s">
        <v>721</v>
      </c>
      <c r="N26" s="3"/>
    </row>
    <row r="27" spans="2:14" x14ac:dyDescent="0.25">
      <c r="B27" s="356" t="s">
        <v>337</v>
      </c>
      <c r="C27" s="387" t="s">
        <v>988</v>
      </c>
      <c r="D27" s="354" t="s">
        <v>1023</v>
      </c>
      <c r="E27" s="375">
        <v>333310</v>
      </c>
      <c r="F27" s="354" t="s">
        <v>1049</v>
      </c>
      <c r="G27" s="449">
        <v>133.39815380488952</v>
      </c>
      <c r="H27" s="354" t="s">
        <v>1136</v>
      </c>
      <c r="I27" s="443">
        <v>1</v>
      </c>
      <c r="J27" s="450">
        <v>1.01</v>
      </c>
      <c r="K27" s="60">
        <f>J27*G27*E27/Settings!$D$17</f>
        <v>120.39401088766854</v>
      </c>
      <c r="L27" s="174" t="s">
        <v>721</v>
      </c>
      <c r="N27" s="3"/>
    </row>
    <row r="28" spans="2:14" x14ac:dyDescent="0.25">
      <c r="B28" s="356" t="s">
        <v>337</v>
      </c>
      <c r="C28" s="387" t="s">
        <v>989</v>
      </c>
      <c r="D28" s="354" t="s">
        <v>1024</v>
      </c>
      <c r="E28" s="375">
        <v>922</v>
      </c>
      <c r="F28" s="354" t="s">
        <v>1049</v>
      </c>
      <c r="G28" s="449">
        <v>1296.505577978593</v>
      </c>
      <c r="H28" s="354" t="s">
        <v>1138</v>
      </c>
      <c r="I28" s="443">
        <v>1</v>
      </c>
      <c r="J28" s="450">
        <v>0.35499999999999998</v>
      </c>
      <c r="K28" s="60">
        <f>J28*G28*E28/Settings!$D$17</f>
        <v>1.1376770840288288</v>
      </c>
      <c r="L28" s="174" t="s">
        <v>721</v>
      </c>
      <c r="N28" s="3"/>
    </row>
    <row r="29" spans="2:14" x14ac:dyDescent="0.25">
      <c r="B29" s="356" t="s">
        <v>337</v>
      </c>
      <c r="C29" s="387" t="s">
        <v>990</v>
      </c>
      <c r="D29" s="354" t="s">
        <v>1025</v>
      </c>
      <c r="E29" s="375">
        <v>23810</v>
      </c>
      <c r="F29" s="354" t="s">
        <v>1049</v>
      </c>
      <c r="G29" s="449">
        <v>189.16114831815787</v>
      </c>
      <c r="H29" s="354" t="s">
        <v>1136</v>
      </c>
      <c r="I29" s="443">
        <v>1</v>
      </c>
      <c r="J29" s="450">
        <v>1.01</v>
      </c>
      <c r="K29" s="60">
        <f>J29*G29*E29/Settings!$D$17</f>
        <v>12.195456390316195</v>
      </c>
      <c r="L29" s="174" t="s">
        <v>721</v>
      </c>
      <c r="N29" s="3"/>
    </row>
    <row r="30" spans="2:14" x14ac:dyDescent="0.25">
      <c r="B30" s="356" t="s">
        <v>337</v>
      </c>
      <c r="C30" s="387" t="s">
        <v>991</v>
      </c>
      <c r="D30" s="354" t="s">
        <v>1026</v>
      </c>
      <c r="E30" s="375">
        <v>30000</v>
      </c>
      <c r="F30" s="354" t="s">
        <v>1049</v>
      </c>
      <c r="G30" s="449">
        <v>3200</v>
      </c>
      <c r="H30" s="354" t="s">
        <v>1139</v>
      </c>
      <c r="I30" s="443">
        <v>1</v>
      </c>
      <c r="J30" s="450">
        <v>0.27200000000000002</v>
      </c>
      <c r="K30" s="60">
        <f>J30*G30*E30/Settings!$D$17</f>
        <v>70.004423533196615</v>
      </c>
      <c r="L30" s="174" t="s">
        <v>721</v>
      </c>
      <c r="N30" s="3"/>
    </row>
    <row r="31" spans="2:14" x14ac:dyDescent="0.25">
      <c r="B31" s="356" t="s">
        <v>337</v>
      </c>
      <c r="C31" s="387" t="s">
        <v>994</v>
      </c>
      <c r="D31" s="354" t="s">
        <v>1029</v>
      </c>
      <c r="E31" s="375">
        <v>19874</v>
      </c>
      <c r="F31" s="354" t="s">
        <v>1049</v>
      </c>
      <c r="G31" s="449">
        <v>600.95071339373487</v>
      </c>
      <c r="H31" s="354" t="s">
        <v>1134</v>
      </c>
      <c r="I31" s="443">
        <v>1</v>
      </c>
      <c r="J31" s="450">
        <v>0.39100000000000001</v>
      </c>
      <c r="K31" s="60">
        <f>J31*G31*E31/Settings!$D$17</f>
        <v>12.519478668899749</v>
      </c>
      <c r="L31" s="174" t="s">
        <v>721</v>
      </c>
      <c r="N31" s="3"/>
    </row>
    <row r="32" spans="2:14" x14ac:dyDescent="0.25">
      <c r="B32" s="356" t="s">
        <v>337</v>
      </c>
      <c r="C32" s="387" t="s">
        <v>996</v>
      </c>
      <c r="D32" s="354" t="s">
        <v>1032</v>
      </c>
      <c r="E32" s="375">
        <v>0</v>
      </c>
      <c r="F32" s="354" t="s">
        <v>1049</v>
      </c>
      <c r="G32" s="449">
        <v>37.5</v>
      </c>
      <c r="H32" s="354" t="s">
        <v>1136</v>
      </c>
      <c r="I32" s="443">
        <v>1</v>
      </c>
      <c r="J32" s="450">
        <v>1.01</v>
      </c>
      <c r="K32" s="60">
        <f>J32*G32*E32/Settings!$D$17</f>
        <v>0</v>
      </c>
      <c r="L32" s="174" t="s">
        <v>721</v>
      </c>
      <c r="N32" s="3"/>
    </row>
    <row r="33" spans="2:14" x14ac:dyDescent="0.25">
      <c r="B33" s="356" t="s">
        <v>337</v>
      </c>
      <c r="C33" s="387" t="s">
        <v>997</v>
      </c>
      <c r="D33" s="354" t="s">
        <v>1033</v>
      </c>
      <c r="E33" s="375">
        <v>0</v>
      </c>
      <c r="F33" s="354" t="s">
        <v>1049</v>
      </c>
      <c r="G33" s="449">
        <v>52.088751026537459</v>
      </c>
      <c r="H33" s="354" t="s">
        <v>1136</v>
      </c>
      <c r="I33" s="443">
        <v>1</v>
      </c>
      <c r="J33" s="450">
        <v>1.01</v>
      </c>
      <c r="K33" s="60">
        <f>J33*G33*E33/Settings!$D$17</f>
        <v>0</v>
      </c>
      <c r="L33" s="174" t="s">
        <v>721</v>
      </c>
      <c r="N33" s="3"/>
    </row>
    <row r="34" spans="2:14" x14ac:dyDescent="0.25">
      <c r="B34" s="356" t="s">
        <v>337</v>
      </c>
      <c r="C34" s="387" t="s">
        <v>998</v>
      </c>
      <c r="D34" s="354" t="s">
        <v>1034</v>
      </c>
      <c r="E34" s="375">
        <v>0</v>
      </c>
      <c r="F34" s="354" t="s">
        <v>1049</v>
      </c>
      <c r="G34" s="449">
        <v>3296.9245191779314</v>
      </c>
      <c r="H34" s="354" t="s">
        <v>1148</v>
      </c>
      <c r="I34" s="443">
        <v>1</v>
      </c>
      <c r="J34" s="450">
        <v>0.184</v>
      </c>
      <c r="K34" s="60">
        <f>J34*G34*E34/Settings!$D$17</f>
        <v>0</v>
      </c>
      <c r="L34" s="174" t="s">
        <v>721</v>
      </c>
      <c r="N34" s="3"/>
    </row>
    <row r="35" spans="2:14" x14ac:dyDescent="0.25">
      <c r="B35" s="356" t="s">
        <v>337</v>
      </c>
      <c r="C35" s="387" t="s">
        <v>999</v>
      </c>
      <c r="D35" s="354" t="s">
        <v>1035</v>
      </c>
      <c r="E35" s="375">
        <v>410760</v>
      </c>
      <c r="F35" s="354" t="s">
        <v>1049</v>
      </c>
      <c r="G35" s="449">
        <v>1021.6938584618085</v>
      </c>
      <c r="H35" s="354" t="s">
        <v>1147</v>
      </c>
      <c r="I35" s="443">
        <v>1</v>
      </c>
      <c r="J35" s="450">
        <v>0.5</v>
      </c>
      <c r="K35" s="60">
        <f>J35*G35*E35/Settings!$D$17</f>
        <v>562.55408010854069</v>
      </c>
      <c r="L35" s="174" t="s">
        <v>721</v>
      </c>
      <c r="N35" s="3"/>
    </row>
    <row r="36" spans="2:14" x14ac:dyDescent="0.25">
      <c r="B36" s="356" t="s">
        <v>337</v>
      </c>
      <c r="C36" s="387" t="s">
        <v>1000</v>
      </c>
      <c r="D36" s="354" t="s">
        <v>1036</v>
      </c>
      <c r="E36" s="375">
        <v>7460</v>
      </c>
      <c r="F36" s="354" t="s">
        <v>1049</v>
      </c>
      <c r="G36" s="449">
        <v>4641.5013749783056</v>
      </c>
      <c r="H36" s="354" t="s">
        <v>1147</v>
      </c>
      <c r="I36" s="443">
        <v>1</v>
      </c>
      <c r="J36" s="450">
        <v>0.5</v>
      </c>
      <c r="K36" s="60">
        <f>J36*G36*E36/Settings!$D$17</f>
        <v>46.414391572952319</v>
      </c>
      <c r="L36" s="174" t="s">
        <v>721</v>
      </c>
      <c r="N36" s="3"/>
    </row>
    <row r="37" spans="2:14" x14ac:dyDescent="0.25">
      <c r="B37" s="356" t="s">
        <v>337</v>
      </c>
      <c r="C37" s="387" t="s">
        <v>1001</v>
      </c>
      <c r="D37" s="354" t="s">
        <v>1037</v>
      </c>
      <c r="E37" s="375">
        <v>1225</v>
      </c>
      <c r="F37" s="354" t="s">
        <v>1049</v>
      </c>
      <c r="G37" s="449">
        <v>3396.6822727931585</v>
      </c>
      <c r="H37" s="354" t="s">
        <v>1147</v>
      </c>
      <c r="I37" s="443">
        <v>1</v>
      </c>
      <c r="J37" s="450">
        <v>0.5</v>
      </c>
      <c r="K37" s="60">
        <f>J37*G37*E37/Settings!$D$17</f>
        <v>5.5775871424935577</v>
      </c>
      <c r="L37" s="174" t="s">
        <v>721</v>
      </c>
      <c r="N37" s="3"/>
    </row>
    <row r="38" spans="2:14" x14ac:dyDescent="0.25">
      <c r="B38" s="356" t="s">
        <v>337</v>
      </c>
      <c r="C38" s="387" t="s">
        <v>1002</v>
      </c>
      <c r="D38" s="354" t="s">
        <v>1038</v>
      </c>
      <c r="E38" s="375">
        <v>17340</v>
      </c>
      <c r="F38" s="354" t="s">
        <v>1049</v>
      </c>
      <c r="G38" s="449">
        <v>5139.0246291829408</v>
      </c>
      <c r="H38" s="354" t="s">
        <v>1147</v>
      </c>
      <c r="I38" s="443">
        <v>1</v>
      </c>
      <c r="J38" s="450">
        <v>0.5</v>
      </c>
      <c r="K38" s="60">
        <f>J38*G38*E38/Settings!$D$17</f>
        <v>119.44972194747014</v>
      </c>
      <c r="L38" s="174" t="s">
        <v>721</v>
      </c>
      <c r="N38" s="3"/>
    </row>
    <row r="39" spans="2:14" x14ac:dyDescent="0.25">
      <c r="B39" s="356" t="s">
        <v>337</v>
      </c>
      <c r="C39" s="387" t="s">
        <v>1006</v>
      </c>
      <c r="D39" s="354" t="s">
        <v>1042</v>
      </c>
      <c r="E39" s="375">
        <v>617</v>
      </c>
      <c r="F39" s="354" t="s">
        <v>1049</v>
      </c>
      <c r="G39" s="449">
        <v>1348.4504225870512</v>
      </c>
      <c r="H39" s="354" t="s">
        <v>1140</v>
      </c>
      <c r="I39" s="443">
        <v>1</v>
      </c>
      <c r="J39" s="450">
        <v>0.309</v>
      </c>
      <c r="K39" s="60">
        <f>J39*G39*E39/Settings!$D$17</f>
        <v>0.68922968436747245</v>
      </c>
      <c r="L39" s="174" t="s">
        <v>721</v>
      </c>
      <c r="N39" s="3"/>
    </row>
    <row r="40" spans="2:14" x14ac:dyDescent="0.25">
      <c r="B40" s="356" t="s">
        <v>337</v>
      </c>
      <c r="C40" s="387" t="s">
        <v>1009</v>
      </c>
      <c r="D40" s="354" t="s">
        <v>1045</v>
      </c>
      <c r="E40" s="375">
        <v>1690</v>
      </c>
      <c r="F40" s="354" t="s">
        <v>1049</v>
      </c>
      <c r="G40" s="449">
        <v>3557.8998513776151</v>
      </c>
      <c r="H40" s="354" t="s">
        <v>1141</v>
      </c>
      <c r="I40" s="443">
        <v>1</v>
      </c>
      <c r="J40" s="450">
        <v>0.54400000000000004</v>
      </c>
      <c r="K40" s="60">
        <f>J40*G40*E40/Settings!$D$17</f>
        <v>8.7692948013096998</v>
      </c>
      <c r="L40" s="174" t="s">
        <v>721</v>
      </c>
      <c r="N40" s="3"/>
    </row>
    <row r="41" spans="2:14" x14ac:dyDescent="0.25">
      <c r="B41" s="356" t="s">
        <v>337</v>
      </c>
      <c r="C41" s="387" t="s">
        <v>1011</v>
      </c>
      <c r="D41" s="446" t="s">
        <v>1047</v>
      </c>
      <c r="E41" s="375">
        <v>66436</v>
      </c>
      <c r="F41" s="354" t="s">
        <v>1049</v>
      </c>
      <c r="G41" s="449">
        <v>778.73900803072172</v>
      </c>
      <c r="H41" s="354" t="s">
        <v>1142</v>
      </c>
      <c r="I41" s="443">
        <v>1</v>
      </c>
      <c r="J41" s="450">
        <v>0.221</v>
      </c>
      <c r="K41" s="60">
        <f>J41*G41*E41/Settings!$D$17</f>
        <v>30.653002900749094</v>
      </c>
      <c r="L41" s="174" t="s">
        <v>721</v>
      </c>
      <c r="N41" s="3"/>
    </row>
    <row r="42" spans="2:14" x14ac:dyDescent="0.25">
      <c r="B42" s="356" t="s">
        <v>337</v>
      </c>
      <c r="C42" s="387" t="s">
        <v>1007</v>
      </c>
      <c r="D42" s="354" t="s">
        <v>1043</v>
      </c>
      <c r="E42" s="375">
        <v>584</v>
      </c>
      <c r="F42" s="354" t="s">
        <v>1051</v>
      </c>
      <c r="G42" s="449">
        <v>18744.4469924812</v>
      </c>
      <c r="H42" s="354" t="s">
        <v>1143</v>
      </c>
      <c r="I42" s="443">
        <v>1</v>
      </c>
      <c r="J42" s="450">
        <v>0.16400000000000001</v>
      </c>
      <c r="K42" s="60">
        <f>J42*G42*E42/Settings!$D$17</f>
        <v>4.8129868370447575</v>
      </c>
      <c r="L42" s="174" t="s">
        <v>721</v>
      </c>
      <c r="N42" s="3"/>
    </row>
    <row r="43" spans="2:14" x14ac:dyDescent="0.25">
      <c r="B43" s="356" t="s">
        <v>337</v>
      </c>
      <c r="C43" s="387" t="s">
        <v>1008</v>
      </c>
      <c r="D43" s="354" t="s">
        <v>1044</v>
      </c>
      <c r="E43" s="375">
        <v>23</v>
      </c>
      <c r="F43" s="354" t="s">
        <v>1051</v>
      </c>
      <c r="G43" s="449">
        <v>7256.9166884988208</v>
      </c>
      <c r="H43" s="354" t="s">
        <v>1144</v>
      </c>
      <c r="I43" s="443">
        <v>1</v>
      </c>
      <c r="J43" s="450">
        <v>0.53100000000000003</v>
      </c>
      <c r="K43" s="60">
        <f>J43*G43*E43/Settings!$D$17</f>
        <v>0.23760733372645435</v>
      </c>
      <c r="L43" s="174" t="s">
        <v>721</v>
      </c>
      <c r="N43" s="3"/>
    </row>
    <row r="44" spans="2:14" x14ac:dyDescent="0.25">
      <c r="B44" s="356" t="s">
        <v>337</v>
      </c>
      <c r="C44" s="387" t="s">
        <v>1010</v>
      </c>
      <c r="D44" s="354" t="s">
        <v>1046</v>
      </c>
      <c r="E44" s="375">
        <v>158</v>
      </c>
      <c r="F44" s="354" t="s">
        <v>1051</v>
      </c>
      <c r="G44" s="449">
        <v>3309.192484611262</v>
      </c>
      <c r="H44" s="354" t="s">
        <v>1143</v>
      </c>
      <c r="I44" s="443">
        <v>1</v>
      </c>
      <c r="J44" s="450">
        <v>0.16400000000000001</v>
      </c>
      <c r="K44" s="60">
        <f>J44*G44*E44/Settings!$D$17</f>
        <v>0.22988377008685409</v>
      </c>
      <c r="L44" s="174" t="s">
        <v>721</v>
      </c>
      <c r="N44" s="3"/>
    </row>
    <row r="45" spans="2:14" x14ac:dyDescent="0.25">
      <c r="B45" s="356" t="s">
        <v>337</v>
      </c>
      <c r="C45" s="387" t="s">
        <v>1012</v>
      </c>
      <c r="D45" s="446" t="s">
        <v>1048</v>
      </c>
      <c r="E45" s="375">
        <v>0</v>
      </c>
      <c r="F45" s="354" t="s">
        <v>1052</v>
      </c>
      <c r="G45" s="449">
        <v>10095.90143274571</v>
      </c>
      <c r="H45" s="354" t="s">
        <v>1145</v>
      </c>
      <c r="I45" s="443">
        <v>1</v>
      </c>
      <c r="J45" s="450">
        <v>0.371</v>
      </c>
      <c r="K45" s="60">
        <f>J45*G45*E45/Settings!$D$17</f>
        <v>0</v>
      </c>
      <c r="L45" s="174" t="s">
        <v>721</v>
      </c>
      <c r="N45" s="3"/>
    </row>
    <row r="46" spans="2:14" x14ac:dyDescent="0.25">
      <c r="B46" s="356" t="s">
        <v>337</v>
      </c>
      <c r="C46" s="387"/>
      <c r="D46" s="354"/>
      <c r="E46" s="375"/>
      <c r="F46" s="388"/>
      <c r="G46" s="452"/>
      <c r="H46" s="354"/>
      <c r="I46" s="354"/>
      <c r="J46" s="450"/>
      <c r="K46" s="60">
        <f>J46*G46*E46/Settings!$D$17</f>
        <v>0</v>
      </c>
      <c r="L46" s="385"/>
      <c r="N46" s="3"/>
    </row>
    <row r="47" spans="2:14" x14ac:dyDescent="0.25">
      <c r="B47" s="356" t="s">
        <v>337</v>
      </c>
      <c r="C47" s="387"/>
      <c r="D47" s="354"/>
      <c r="E47" s="375"/>
      <c r="F47" s="388"/>
      <c r="G47" s="452"/>
      <c r="H47" s="354"/>
      <c r="I47" s="354"/>
      <c r="J47" s="450"/>
      <c r="K47" s="60">
        <f>J47*G47*E47/Settings!$D$17</f>
        <v>0</v>
      </c>
      <c r="L47" s="385"/>
      <c r="N47" s="3"/>
    </row>
    <row r="48" spans="2:14" ht="30" customHeight="1" x14ac:dyDescent="0.25">
      <c r="B48" s="355" t="s">
        <v>410</v>
      </c>
      <c r="C48" s="378"/>
      <c r="D48" s="378"/>
      <c r="E48" s="448"/>
      <c r="F48" s="448"/>
      <c r="G48" s="448"/>
      <c r="H48" s="355"/>
      <c r="I48" s="448"/>
      <c r="J48" s="448"/>
      <c r="K48" s="448">
        <f>_xlfn.AGGREGATE(9,6,K10:K47)</f>
        <v>1939.8701799707676</v>
      </c>
      <c r="L48" s="373"/>
      <c r="N48" s="3"/>
    </row>
    <row r="49" spans="2:14" x14ac:dyDescent="0.25">
      <c r="I49" s="24"/>
      <c r="J49" s="3"/>
      <c r="K49" s="3"/>
      <c r="L49" s="24"/>
      <c r="N49" s="3"/>
    </row>
    <row r="50" spans="2:14" x14ac:dyDescent="0.25">
      <c r="I50" s="24"/>
      <c r="J50" s="3"/>
      <c r="K50" s="3"/>
      <c r="L50" s="24"/>
      <c r="N50" s="3"/>
    </row>
    <row r="51" spans="2:14" x14ac:dyDescent="0.25">
      <c r="I51" s="24"/>
      <c r="J51" s="3"/>
      <c r="K51" s="3"/>
      <c r="L51" s="24"/>
      <c r="N51" s="3"/>
    </row>
    <row r="52" spans="2:14" s="279" customFormat="1" ht="30" customHeight="1" x14ac:dyDescent="0.25">
      <c r="B52" s="370" t="s">
        <v>954</v>
      </c>
      <c r="C52" s="371"/>
      <c r="D52" s="371"/>
      <c r="E52" s="371"/>
      <c r="F52" s="371"/>
      <c r="G52" s="371"/>
      <c r="H52" s="371"/>
      <c r="I52" s="371"/>
      <c r="J52" s="371"/>
      <c r="K52" s="371"/>
      <c r="L52" s="372"/>
    </row>
    <row r="53" spans="2:14" ht="16.8" customHeight="1" x14ac:dyDescent="0.25">
      <c r="B53" s="1014" t="s">
        <v>335</v>
      </c>
      <c r="C53" s="1014" t="s">
        <v>969</v>
      </c>
      <c r="D53" s="1014" t="s">
        <v>400</v>
      </c>
      <c r="E53" s="1014" t="s">
        <v>401</v>
      </c>
      <c r="F53" s="1014" t="s">
        <v>402</v>
      </c>
      <c r="G53" s="1014" t="s">
        <v>1146</v>
      </c>
      <c r="H53" s="1014" t="s">
        <v>1072</v>
      </c>
      <c r="I53" s="1014" t="s">
        <v>442</v>
      </c>
      <c r="J53" s="374" t="s">
        <v>405</v>
      </c>
      <c r="K53" s="374" t="s">
        <v>406</v>
      </c>
      <c r="L53" s="1014" t="s">
        <v>716</v>
      </c>
      <c r="N53" s="3"/>
    </row>
    <row r="54" spans="2:14" ht="16.2" customHeight="1" x14ac:dyDescent="0.25">
      <c r="B54" s="1008"/>
      <c r="C54" s="1008"/>
      <c r="D54" s="1008"/>
      <c r="E54" s="1008"/>
      <c r="F54" s="1008"/>
      <c r="G54" s="1008"/>
      <c r="H54" s="1008"/>
      <c r="I54" s="1008"/>
      <c r="J54" s="374" t="s">
        <v>1074</v>
      </c>
      <c r="K54" s="374" t="s">
        <v>222</v>
      </c>
      <c r="L54" s="1008"/>
      <c r="N54" s="3"/>
    </row>
    <row r="55" spans="2:14" x14ac:dyDescent="0.25">
      <c r="B55" s="356" t="s">
        <v>338</v>
      </c>
      <c r="C55" s="387" t="s">
        <v>985</v>
      </c>
      <c r="D55" s="354" t="s">
        <v>1020</v>
      </c>
      <c r="E55" s="375">
        <v>81251829.948000014</v>
      </c>
      <c r="F55" s="354" t="s">
        <v>1050</v>
      </c>
      <c r="G55" s="449">
        <v>1</v>
      </c>
      <c r="H55" s="354" t="s">
        <v>1079</v>
      </c>
      <c r="I55" s="354">
        <v>1</v>
      </c>
      <c r="J55" s="450">
        <v>8.3000000000000004E-2</v>
      </c>
      <c r="K55" s="60">
        <f>J55*G55*E55/Settings!$D$17</f>
        <v>18.079923555137334</v>
      </c>
      <c r="L55" s="174" t="s">
        <v>721</v>
      </c>
      <c r="N55" s="3"/>
    </row>
    <row r="56" spans="2:14" x14ac:dyDescent="0.25">
      <c r="B56" s="356" t="s">
        <v>338</v>
      </c>
      <c r="C56" s="387" t="s">
        <v>992</v>
      </c>
      <c r="D56" s="354" t="s">
        <v>1027</v>
      </c>
      <c r="E56" s="375">
        <v>242640322.54299998</v>
      </c>
      <c r="F56" s="354" t="s">
        <v>1050</v>
      </c>
      <c r="G56" s="449">
        <v>1</v>
      </c>
      <c r="H56" s="354" t="s">
        <v>1080</v>
      </c>
      <c r="I56" s="354">
        <v>1</v>
      </c>
      <c r="J56" s="450">
        <v>0.221</v>
      </c>
      <c r="K56" s="60">
        <f>J56*G56*E56/Settings!$D$17</f>
        <v>143.76083774212947</v>
      </c>
      <c r="L56" s="174" t="s">
        <v>721</v>
      </c>
      <c r="N56" s="3"/>
    </row>
    <row r="57" spans="2:14" x14ac:dyDescent="0.25">
      <c r="B57" s="356" t="s">
        <v>338</v>
      </c>
      <c r="C57" s="387" t="s">
        <v>993</v>
      </c>
      <c r="D57" s="354" t="s">
        <v>1028</v>
      </c>
      <c r="E57" s="375">
        <v>47976338.705999993</v>
      </c>
      <c r="F57" s="354" t="s">
        <v>1050</v>
      </c>
      <c r="G57" s="449">
        <v>1</v>
      </c>
      <c r="H57" s="354" t="s">
        <v>1080</v>
      </c>
      <c r="I57" s="354">
        <v>1</v>
      </c>
      <c r="J57" s="450">
        <v>0.221</v>
      </c>
      <c r="K57" s="60">
        <f>J57*G57*E57/Settings!$D$17</f>
        <v>28.425278090175734</v>
      </c>
      <c r="L57" s="174" t="s">
        <v>721</v>
      </c>
      <c r="N57" s="3"/>
    </row>
    <row r="58" spans="2:14" x14ac:dyDescent="0.25">
      <c r="B58" s="356" t="s">
        <v>338</v>
      </c>
      <c r="C58" s="387" t="s">
        <v>1078</v>
      </c>
      <c r="D58" s="354" t="s">
        <v>1030</v>
      </c>
      <c r="E58" s="375">
        <v>84740446.501000017</v>
      </c>
      <c r="F58" s="354" t="s">
        <v>1050</v>
      </c>
      <c r="G58" s="449">
        <v>1</v>
      </c>
      <c r="H58" s="354" t="s">
        <v>1081</v>
      </c>
      <c r="I58" s="354">
        <v>1</v>
      </c>
      <c r="J58" s="450">
        <v>0.248</v>
      </c>
      <c r="K58" s="60">
        <f>J58*G58*E58/Settings!$D$17</f>
        <v>56.341418298006744</v>
      </c>
      <c r="L58" s="174" t="s">
        <v>721</v>
      </c>
      <c r="N58" s="3"/>
    </row>
    <row r="59" spans="2:14" x14ac:dyDescent="0.25">
      <c r="B59" s="356" t="s">
        <v>338</v>
      </c>
      <c r="C59" s="387" t="s">
        <v>995</v>
      </c>
      <c r="D59" s="354" t="s">
        <v>1031</v>
      </c>
      <c r="E59" s="375">
        <v>213235483.71300006</v>
      </c>
      <c r="F59" s="354" t="s">
        <v>1050</v>
      </c>
      <c r="G59" s="449">
        <v>1</v>
      </c>
      <c r="H59" s="354" t="s">
        <v>1082</v>
      </c>
      <c r="I59" s="354">
        <v>1</v>
      </c>
      <c r="J59" s="450">
        <v>0.36</v>
      </c>
      <c r="K59" s="60">
        <f>J59*G59*E59/Settings!$D$17</f>
        <v>205.80092528700695</v>
      </c>
      <c r="L59" s="174" t="s">
        <v>721</v>
      </c>
      <c r="N59" s="3"/>
    </row>
    <row r="60" spans="2:14" x14ac:dyDescent="0.25">
      <c r="B60" s="356" t="s">
        <v>338</v>
      </c>
      <c r="C60" s="387" t="s">
        <v>1003</v>
      </c>
      <c r="D60" s="354" t="s">
        <v>1039</v>
      </c>
      <c r="E60" s="375">
        <v>144764713.77099997</v>
      </c>
      <c r="F60" s="354" t="s">
        <v>1050</v>
      </c>
      <c r="G60" s="449">
        <v>1</v>
      </c>
      <c r="H60" s="354" t="s">
        <v>1083</v>
      </c>
      <c r="I60" s="354">
        <v>1</v>
      </c>
      <c r="J60" s="450">
        <v>0.10199999999999999</v>
      </c>
      <c r="K60" s="60">
        <f>J60*G60*E60/Settings!$D$17</f>
        <v>39.58660287299633</v>
      </c>
      <c r="L60" s="174" t="s">
        <v>721</v>
      </c>
      <c r="N60" s="3"/>
    </row>
    <row r="61" spans="2:14" x14ac:dyDescent="0.25">
      <c r="B61" s="356" t="s">
        <v>338</v>
      </c>
      <c r="C61" s="387" t="s">
        <v>1004</v>
      </c>
      <c r="D61" s="354" t="s">
        <v>1040</v>
      </c>
      <c r="E61" s="375">
        <v>350506748.94</v>
      </c>
      <c r="F61" s="354" t="s">
        <v>1050</v>
      </c>
      <c r="G61" s="449">
        <v>1</v>
      </c>
      <c r="H61" s="354" t="s">
        <v>1083</v>
      </c>
      <c r="I61" s="354">
        <v>1</v>
      </c>
      <c r="J61" s="450">
        <v>0.10199999999999999</v>
      </c>
      <c r="K61" s="60">
        <f>J61*G61*E61/Settings!$D$17</f>
        <v>95.847745718904562</v>
      </c>
      <c r="L61" s="174" t="s">
        <v>721</v>
      </c>
      <c r="N61" s="3"/>
    </row>
    <row r="62" spans="2:14" x14ac:dyDescent="0.25">
      <c r="B62" s="356" t="s">
        <v>338</v>
      </c>
      <c r="C62" s="387" t="s">
        <v>1005</v>
      </c>
      <c r="D62" s="354" t="s">
        <v>1041</v>
      </c>
      <c r="E62" s="375">
        <v>15269012.260000002</v>
      </c>
      <c r="F62" s="354" t="s">
        <v>1050</v>
      </c>
      <c r="G62" s="449">
        <v>1</v>
      </c>
      <c r="H62" s="354" t="s">
        <v>1084</v>
      </c>
      <c r="I62" s="354">
        <v>1</v>
      </c>
      <c r="J62" s="450">
        <v>0.54400000000000004</v>
      </c>
      <c r="K62" s="60">
        <f>J62*G62*E62/Settings!$D$17</f>
        <v>22.268716691304409</v>
      </c>
      <c r="L62" s="174" t="s">
        <v>721</v>
      </c>
      <c r="N62" s="3"/>
    </row>
    <row r="63" spans="2:14" x14ac:dyDescent="0.25">
      <c r="B63" s="356" t="s">
        <v>338</v>
      </c>
      <c r="C63" s="387" t="s">
        <v>979</v>
      </c>
      <c r="D63" s="354" t="s">
        <v>1014</v>
      </c>
      <c r="E63" s="375">
        <v>3744</v>
      </c>
      <c r="F63" s="354" t="s">
        <v>1049</v>
      </c>
      <c r="G63" s="451">
        <v>970.67515462700192</v>
      </c>
      <c r="H63" s="354" t="s">
        <v>1134</v>
      </c>
      <c r="I63" s="354">
        <v>1</v>
      </c>
      <c r="J63" s="450">
        <v>0.39100000000000001</v>
      </c>
      <c r="K63" s="60">
        <f>J63*G63*E63/Settings!$D$17</f>
        <v>3.8095340318737994</v>
      </c>
      <c r="L63" s="174" t="s">
        <v>721</v>
      </c>
      <c r="N63" s="3"/>
    </row>
    <row r="64" spans="2:14" x14ac:dyDescent="0.25">
      <c r="B64" s="356" t="s">
        <v>338</v>
      </c>
      <c r="C64" s="387" t="s">
        <v>980</v>
      </c>
      <c r="D64" s="354" t="s">
        <v>1015</v>
      </c>
      <c r="E64" s="375">
        <v>5945</v>
      </c>
      <c r="F64" s="354" t="s">
        <v>1049</v>
      </c>
      <c r="G64" s="449">
        <v>1296.9271990612503</v>
      </c>
      <c r="H64" s="354" t="s">
        <v>1134</v>
      </c>
      <c r="I64" s="354">
        <v>1</v>
      </c>
      <c r="J64" s="450">
        <v>0.39100000000000001</v>
      </c>
      <c r="K64" s="60">
        <f>J64*G64*E64/Settings!$D$17</f>
        <v>8.0821994063936984</v>
      </c>
      <c r="L64" s="174" t="s">
        <v>721</v>
      </c>
      <c r="N64" s="3"/>
    </row>
    <row r="65" spans="2:14" x14ac:dyDescent="0.25">
      <c r="B65" s="356" t="s">
        <v>338</v>
      </c>
      <c r="C65" s="387" t="s">
        <v>981</v>
      </c>
      <c r="D65" s="354" t="s">
        <v>1016</v>
      </c>
      <c r="E65" s="375">
        <v>2288</v>
      </c>
      <c r="F65" s="354" t="s">
        <v>1049</v>
      </c>
      <c r="G65" s="449">
        <v>617.49618320610682</v>
      </c>
      <c r="H65" s="354" t="s">
        <v>1134</v>
      </c>
      <c r="I65" s="354">
        <v>1</v>
      </c>
      <c r="J65" s="450">
        <v>0.39100000000000001</v>
      </c>
      <c r="K65" s="60">
        <f>J65*G65*E65/Settings!$D$17</f>
        <v>1.4809909397076415</v>
      </c>
      <c r="L65" s="174" t="s">
        <v>721</v>
      </c>
      <c r="N65" s="3"/>
    </row>
    <row r="66" spans="2:14" x14ac:dyDescent="0.25">
      <c r="B66" s="356" t="s">
        <v>338</v>
      </c>
      <c r="C66" s="387" t="s">
        <v>983</v>
      </c>
      <c r="D66" s="354" t="s">
        <v>1018</v>
      </c>
      <c r="E66" s="375">
        <v>528</v>
      </c>
      <c r="F66" s="354" t="s">
        <v>1049</v>
      </c>
      <c r="G66" s="449">
        <v>206.82201562939514</v>
      </c>
      <c r="H66" s="354" t="s">
        <v>1136</v>
      </c>
      <c r="I66" s="354">
        <v>1</v>
      </c>
      <c r="J66" s="450">
        <v>1.01</v>
      </c>
      <c r="K66" s="60">
        <f>J66*G66*E66/Settings!$D$17</f>
        <v>0.29569052558234832</v>
      </c>
      <c r="L66" s="174" t="s">
        <v>721</v>
      </c>
      <c r="N66" s="3"/>
    </row>
    <row r="67" spans="2:14" x14ac:dyDescent="0.25">
      <c r="B67" s="356" t="s">
        <v>338</v>
      </c>
      <c r="C67" s="387" t="s">
        <v>984</v>
      </c>
      <c r="D67" s="354" t="s">
        <v>1019</v>
      </c>
      <c r="E67" s="375">
        <v>200</v>
      </c>
      <c r="F67" s="354" t="s">
        <v>1049</v>
      </c>
      <c r="G67" s="449">
        <v>1401.6159072427272</v>
      </c>
      <c r="H67" s="354" t="s">
        <v>1134</v>
      </c>
      <c r="I67" s="354">
        <v>1</v>
      </c>
      <c r="J67" s="450">
        <v>0.39100000000000001</v>
      </c>
      <c r="K67" s="60">
        <f>J67*G67*E67/Settings!$D$17</f>
        <v>0.29384690271278208</v>
      </c>
      <c r="L67" s="174" t="s">
        <v>721</v>
      </c>
      <c r="N67" s="3"/>
    </row>
    <row r="68" spans="2:14" x14ac:dyDescent="0.25">
      <c r="B68" s="356" t="s">
        <v>338</v>
      </c>
      <c r="C68" s="387" t="s">
        <v>986</v>
      </c>
      <c r="D68" s="354" t="s">
        <v>1021</v>
      </c>
      <c r="E68" s="375">
        <v>30.8</v>
      </c>
      <c r="F68" s="354" t="s">
        <v>1049</v>
      </c>
      <c r="G68" s="449">
        <v>237.94260031928448</v>
      </c>
      <c r="H68" s="354" t="s">
        <v>1147</v>
      </c>
      <c r="I68" s="354">
        <v>1</v>
      </c>
      <c r="J68" s="450">
        <v>0.5</v>
      </c>
      <c r="K68" s="60">
        <f>J68*G68*E68/Settings!$D$17</f>
        <v>9.823771919724885E-3</v>
      </c>
      <c r="L68" s="174" t="s">
        <v>721</v>
      </c>
      <c r="N68" s="3"/>
    </row>
    <row r="69" spans="2:14" x14ac:dyDescent="0.25">
      <c r="B69" s="356" t="s">
        <v>338</v>
      </c>
      <c r="C69" s="387" t="s">
        <v>987</v>
      </c>
      <c r="D69" s="354" t="s">
        <v>1022</v>
      </c>
      <c r="E69" s="375">
        <v>12</v>
      </c>
      <c r="F69" s="354" t="s">
        <v>1049</v>
      </c>
      <c r="G69" s="449">
        <v>293.43338352480708</v>
      </c>
      <c r="H69" s="354" t="s">
        <v>1147</v>
      </c>
      <c r="I69" s="354">
        <v>1</v>
      </c>
      <c r="J69" s="450">
        <v>0.5</v>
      </c>
      <c r="K69" s="60">
        <f>J69*G69*E69/Settings!$D$17</f>
        <v>4.7200447745977736E-3</v>
      </c>
      <c r="L69" s="174" t="s">
        <v>721</v>
      </c>
      <c r="N69" s="3"/>
    </row>
    <row r="70" spans="2:14" x14ac:dyDescent="0.25">
      <c r="B70" s="356" t="s">
        <v>338</v>
      </c>
      <c r="C70" s="387" t="s">
        <v>988</v>
      </c>
      <c r="D70" s="354" t="s">
        <v>1023</v>
      </c>
      <c r="E70" s="375">
        <v>189210</v>
      </c>
      <c r="F70" s="354" t="s">
        <v>1049</v>
      </c>
      <c r="G70" s="449">
        <v>133.39815380488952</v>
      </c>
      <c r="H70" s="354" t="s">
        <v>1136</v>
      </c>
      <c r="I70" s="354">
        <v>1</v>
      </c>
      <c r="J70" s="450">
        <v>1.01</v>
      </c>
      <c r="K70" s="60">
        <f>J70*G70*E70/Settings!$D$17</f>
        <v>68.34403648272108</v>
      </c>
      <c r="L70" s="174" t="s">
        <v>721</v>
      </c>
      <c r="N70" s="3"/>
    </row>
    <row r="71" spans="2:14" x14ac:dyDescent="0.25">
      <c r="B71" s="356" t="s">
        <v>338</v>
      </c>
      <c r="C71" s="387" t="s">
        <v>989</v>
      </c>
      <c r="D71" s="354" t="s">
        <v>1024</v>
      </c>
      <c r="E71" s="375">
        <v>1884</v>
      </c>
      <c r="F71" s="354" t="s">
        <v>1049</v>
      </c>
      <c r="G71" s="449">
        <v>1296.505577978593</v>
      </c>
      <c r="H71" s="354" t="s">
        <v>1138</v>
      </c>
      <c r="I71" s="354">
        <v>1</v>
      </c>
      <c r="J71" s="450">
        <v>0.35499999999999998</v>
      </c>
      <c r="K71" s="60">
        <f>J71*G71*E71/Settings!$D$17</f>
        <v>2.3247110914428566</v>
      </c>
      <c r="L71" s="174" t="s">
        <v>721</v>
      </c>
      <c r="N71" s="3"/>
    </row>
    <row r="72" spans="2:14" x14ac:dyDescent="0.25">
      <c r="B72" s="356" t="s">
        <v>338</v>
      </c>
      <c r="C72" s="387" t="s">
        <v>990</v>
      </c>
      <c r="D72" s="354" t="s">
        <v>1025</v>
      </c>
      <c r="E72" s="375">
        <v>0</v>
      </c>
      <c r="F72" s="354" t="s">
        <v>1049</v>
      </c>
      <c r="G72" s="449">
        <v>189.16114831815787</v>
      </c>
      <c r="H72" s="354" t="s">
        <v>1136</v>
      </c>
      <c r="I72" s="354">
        <v>1</v>
      </c>
      <c r="J72" s="450">
        <v>1.01</v>
      </c>
      <c r="K72" s="60">
        <f>J72*G72*E72/Settings!$D$17</f>
        <v>0</v>
      </c>
      <c r="L72" s="174" t="s">
        <v>721</v>
      </c>
      <c r="N72" s="3"/>
    </row>
    <row r="73" spans="2:14" x14ac:dyDescent="0.25">
      <c r="B73" s="356" t="s">
        <v>338</v>
      </c>
      <c r="C73" s="387" t="s">
        <v>998</v>
      </c>
      <c r="D73" s="354" t="s">
        <v>1034</v>
      </c>
      <c r="E73" s="375">
        <v>0</v>
      </c>
      <c r="F73" s="354" t="s">
        <v>1049</v>
      </c>
      <c r="G73" s="449">
        <v>3296.9245191779314</v>
      </c>
      <c r="H73" s="354" t="s">
        <v>1148</v>
      </c>
      <c r="I73" s="354">
        <v>1</v>
      </c>
      <c r="J73" s="450">
        <v>0.184</v>
      </c>
      <c r="K73" s="60">
        <f>J73*G73*E73/Settings!$D$17</f>
        <v>0</v>
      </c>
      <c r="L73" s="174" t="s">
        <v>721</v>
      </c>
      <c r="N73" s="3"/>
    </row>
    <row r="74" spans="2:14" x14ac:dyDescent="0.25">
      <c r="B74" s="356" t="s">
        <v>338</v>
      </c>
      <c r="C74" s="387" t="s">
        <v>1000</v>
      </c>
      <c r="D74" s="354" t="s">
        <v>1036</v>
      </c>
      <c r="E74" s="375">
        <v>0</v>
      </c>
      <c r="F74" s="354" t="s">
        <v>1049</v>
      </c>
      <c r="G74" s="449">
        <v>4641.5013749783056</v>
      </c>
      <c r="H74" s="354" t="s">
        <v>1147</v>
      </c>
      <c r="I74" s="354">
        <v>1</v>
      </c>
      <c r="J74" s="450">
        <v>0.5</v>
      </c>
      <c r="K74" s="60">
        <f>J74*G74*E74/Settings!$D$17</f>
        <v>0</v>
      </c>
      <c r="L74" s="174" t="s">
        <v>721</v>
      </c>
      <c r="N74" s="3"/>
    </row>
    <row r="75" spans="2:14" x14ac:dyDescent="0.25">
      <c r="B75" s="356" t="s">
        <v>338</v>
      </c>
      <c r="C75" s="387" t="s">
        <v>1009</v>
      </c>
      <c r="D75" s="354" t="s">
        <v>1045</v>
      </c>
      <c r="E75" s="375">
        <v>55</v>
      </c>
      <c r="F75" s="354" t="s">
        <v>1049</v>
      </c>
      <c r="G75" s="449">
        <v>3557.8998513776151</v>
      </c>
      <c r="H75" s="354" t="s">
        <v>1141</v>
      </c>
      <c r="I75" s="354">
        <v>1</v>
      </c>
      <c r="J75" s="450">
        <v>0.54400000000000004</v>
      </c>
      <c r="K75" s="60">
        <f>J75*G75*E75/Settings!$D$17</f>
        <v>0.28539125093019735</v>
      </c>
      <c r="L75" s="174" t="s">
        <v>721</v>
      </c>
      <c r="N75" s="3"/>
    </row>
    <row r="76" spans="2:14" x14ac:dyDescent="0.25">
      <c r="B76" s="356" t="s">
        <v>338</v>
      </c>
      <c r="C76" s="387" t="s">
        <v>1011</v>
      </c>
      <c r="D76" s="354" t="s">
        <v>1047</v>
      </c>
      <c r="E76" s="375">
        <v>74445</v>
      </c>
      <c r="F76" s="354" t="s">
        <v>1049</v>
      </c>
      <c r="G76" s="449">
        <v>778.73900803072172</v>
      </c>
      <c r="H76" s="354" t="s">
        <v>1142</v>
      </c>
      <c r="I76" s="354">
        <v>1</v>
      </c>
      <c r="J76" s="450">
        <v>0.221</v>
      </c>
      <c r="K76" s="60">
        <f>J76*G76*E76/Settings!$D$17</f>
        <v>34.348287087516802</v>
      </c>
      <c r="L76" s="174" t="s">
        <v>721</v>
      </c>
      <c r="N76" s="3"/>
    </row>
    <row r="77" spans="2:14" x14ac:dyDescent="0.25">
      <c r="B77" s="356" t="s">
        <v>338</v>
      </c>
      <c r="C77" s="387" t="s">
        <v>1007</v>
      </c>
      <c r="D77" s="354" t="s">
        <v>1043</v>
      </c>
      <c r="E77" s="375">
        <v>25</v>
      </c>
      <c r="F77" s="354" t="s">
        <v>1051</v>
      </c>
      <c r="G77" s="449">
        <v>18744.4469924812</v>
      </c>
      <c r="H77" s="354" t="s">
        <v>1143</v>
      </c>
      <c r="I77" s="354">
        <v>1</v>
      </c>
      <c r="J77" s="450">
        <v>0.16400000000000001</v>
      </c>
      <c r="K77" s="60">
        <f>J77*G77*E77/Settings!$D$17</f>
        <v>0.20603539542143651</v>
      </c>
      <c r="L77" s="174" t="s">
        <v>721</v>
      </c>
      <c r="N77" s="3"/>
    </row>
    <row r="78" spans="2:14" x14ac:dyDescent="0.25">
      <c r="B78" s="356" t="s">
        <v>338</v>
      </c>
      <c r="C78" s="387" t="s">
        <v>1008</v>
      </c>
      <c r="D78" s="354" t="s">
        <v>1044</v>
      </c>
      <c r="E78" s="375">
        <v>6</v>
      </c>
      <c r="F78" s="354" t="s">
        <v>1051</v>
      </c>
      <c r="G78" s="449">
        <v>7256.9166884988208</v>
      </c>
      <c r="H78" s="354" t="s">
        <v>1144</v>
      </c>
      <c r="I78" s="354">
        <v>1</v>
      </c>
      <c r="J78" s="450">
        <v>0.53100000000000003</v>
      </c>
      <c r="K78" s="60">
        <f>J78*G78*E78/Settings!$D$17</f>
        <v>6.1984521841683737E-2</v>
      </c>
      <c r="L78" s="174" t="s">
        <v>721</v>
      </c>
      <c r="N78" s="3"/>
    </row>
    <row r="79" spans="2:14" x14ac:dyDescent="0.25">
      <c r="B79" s="356" t="s">
        <v>338</v>
      </c>
      <c r="C79" s="387" t="s">
        <v>1010</v>
      </c>
      <c r="D79" s="354" t="s">
        <v>1046</v>
      </c>
      <c r="E79" s="375">
        <v>27456</v>
      </c>
      <c r="F79" s="354" t="s">
        <v>1051</v>
      </c>
      <c r="G79" s="449">
        <v>3309.192484611262</v>
      </c>
      <c r="H79" s="354" t="s">
        <v>1143</v>
      </c>
      <c r="I79" s="354">
        <v>1</v>
      </c>
      <c r="J79" s="450">
        <v>0.16400000000000001</v>
      </c>
      <c r="K79" s="60">
        <f>J79*G79*E79/Settings!$D$17</f>
        <v>39.947397414586497</v>
      </c>
      <c r="L79" s="174" t="s">
        <v>721</v>
      </c>
      <c r="N79" s="3"/>
    </row>
    <row r="80" spans="2:14" x14ac:dyDescent="0.25">
      <c r="B80" s="356" t="s">
        <v>338</v>
      </c>
      <c r="C80" s="387"/>
      <c r="D80" s="354"/>
      <c r="E80" s="375"/>
      <c r="F80" s="354"/>
      <c r="G80" s="449"/>
      <c r="H80" s="354"/>
      <c r="I80" s="354"/>
      <c r="J80" s="450"/>
      <c r="K80" s="60">
        <f>J80*G80*E80/Settings!$D$17</f>
        <v>0</v>
      </c>
      <c r="L80" s="385"/>
      <c r="N80" s="3"/>
    </row>
    <row r="81" spans="2:14" x14ac:dyDescent="0.25">
      <c r="B81" s="356" t="s">
        <v>338</v>
      </c>
      <c r="C81" s="387"/>
      <c r="D81" s="354"/>
      <c r="E81" s="375"/>
      <c r="F81" s="354"/>
      <c r="G81" s="449"/>
      <c r="H81" s="354"/>
      <c r="I81" s="354"/>
      <c r="J81" s="450"/>
      <c r="K81" s="60">
        <f>J81*G81*E81/Settings!$D$17</f>
        <v>0</v>
      </c>
      <c r="L81" s="385"/>
      <c r="N81" s="3"/>
    </row>
    <row r="82" spans="2:14" x14ac:dyDescent="0.25">
      <c r="B82" s="356" t="s">
        <v>338</v>
      </c>
      <c r="C82" s="387"/>
      <c r="D82" s="354"/>
      <c r="E82" s="375"/>
      <c r="F82" s="354"/>
      <c r="G82" s="449"/>
      <c r="H82" s="354"/>
      <c r="I82" s="354"/>
      <c r="J82" s="450"/>
      <c r="K82" s="60">
        <f>J82*G82*E82/Settings!$D$17</f>
        <v>0</v>
      </c>
      <c r="L82" s="385"/>
      <c r="N82" s="3"/>
    </row>
    <row r="83" spans="2:14" x14ac:dyDescent="0.25">
      <c r="B83" s="356" t="s">
        <v>338</v>
      </c>
      <c r="C83" s="387"/>
      <c r="D83" s="354"/>
      <c r="E83" s="375"/>
      <c r="F83" s="354"/>
      <c r="G83" s="449"/>
      <c r="H83" s="354"/>
      <c r="I83" s="354"/>
      <c r="J83" s="450"/>
      <c r="K83" s="60">
        <f>J83*G83*E83/Settings!$D$17</f>
        <v>0</v>
      </c>
      <c r="L83" s="174"/>
      <c r="N83" s="3"/>
    </row>
    <row r="84" spans="2:14" x14ac:dyDescent="0.25">
      <c r="B84" s="356" t="s">
        <v>338</v>
      </c>
      <c r="C84" s="387"/>
      <c r="D84" s="354"/>
      <c r="E84" s="375"/>
      <c r="F84" s="354"/>
      <c r="G84" s="449"/>
      <c r="H84" s="354"/>
      <c r="I84" s="354"/>
      <c r="J84" s="450"/>
      <c r="K84" s="60">
        <f>J84*G84*E84/Settings!$D$17</f>
        <v>0</v>
      </c>
      <c r="L84" s="385"/>
      <c r="N84" s="3"/>
    </row>
    <row r="85" spans="2:14" x14ac:dyDescent="0.25">
      <c r="B85" s="356" t="s">
        <v>338</v>
      </c>
      <c r="C85" s="387"/>
      <c r="D85" s="354"/>
      <c r="E85" s="375"/>
      <c r="F85" s="388"/>
      <c r="G85" s="452"/>
      <c r="H85" s="354"/>
      <c r="I85" s="354"/>
      <c r="J85" s="450"/>
      <c r="K85" s="60">
        <f>J85*G85*E85/Settings!$D$17</f>
        <v>0</v>
      </c>
      <c r="L85" s="385"/>
      <c r="N85" s="3"/>
    </row>
    <row r="86" spans="2:14" x14ac:dyDescent="0.25">
      <c r="B86" s="356" t="s">
        <v>338</v>
      </c>
      <c r="C86" s="387"/>
      <c r="D86" s="354"/>
      <c r="E86" s="375"/>
      <c r="F86" s="388"/>
      <c r="G86" s="452"/>
      <c r="H86" s="354"/>
      <c r="I86" s="354"/>
      <c r="J86" s="450"/>
      <c r="K86" s="60">
        <f>J86*G86*E86/Settings!$D$17</f>
        <v>0</v>
      </c>
      <c r="L86" s="385"/>
      <c r="N86" s="3"/>
    </row>
    <row r="87" spans="2:14" ht="30" customHeight="1" x14ac:dyDescent="0.25">
      <c r="B87" s="355" t="s">
        <v>410</v>
      </c>
      <c r="C87" s="378"/>
      <c r="D87" s="378"/>
      <c r="E87" s="448"/>
      <c r="F87" s="448"/>
      <c r="G87" s="448"/>
      <c r="H87" s="355"/>
      <c r="I87" s="448"/>
      <c r="J87" s="448"/>
      <c r="K87" s="448">
        <f>_xlfn.AGGREGATE(9,6,K55:K86)</f>
        <v>769.60609712308667</v>
      </c>
      <c r="L87" s="373"/>
      <c r="N87" s="3"/>
    </row>
    <row r="88" spans="2:14" x14ac:dyDescent="0.25">
      <c r="I88" s="24"/>
      <c r="J88" s="3"/>
      <c r="K88" s="3"/>
      <c r="L88" s="24"/>
      <c r="N88" s="3"/>
    </row>
    <row r="89" spans="2:14" x14ac:dyDescent="0.25">
      <c r="I89" s="24"/>
      <c r="J89" s="3"/>
      <c r="K89" s="3"/>
      <c r="L89" s="24"/>
      <c r="N89" s="3"/>
    </row>
    <row r="90" spans="2:14" x14ac:dyDescent="0.25">
      <c r="I90" s="24"/>
      <c r="J90" s="3"/>
      <c r="K90" s="3"/>
      <c r="L90" s="24"/>
      <c r="N90" s="3"/>
    </row>
    <row r="91" spans="2:14" s="279" customFormat="1" ht="30" customHeight="1" x14ac:dyDescent="0.25">
      <c r="B91" s="370" t="s">
        <v>955</v>
      </c>
      <c r="C91" s="371"/>
      <c r="D91" s="371"/>
      <c r="E91" s="371"/>
      <c r="F91" s="371"/>
      <c r="G91" s="371"/>
      <c r="H91" s="371"/>
      <c r="I91" s="371"/>
      <c r="J91" s="371"/>
      <c r="K91" s="371"/>
      <c r="L91" s="372"/>
    </row>
    <row r="92" spans="2:14" ht="16.8" customHeight="1" x14ac:dyDescent="0.25">
      <c r="B92" s="1014" t="s">
        <v>335</v>
      </c>
      <c r="C92" s="1014" t="s">
        <v>969</v>
      </c>
      <c r="D92" s="1014" t="s">
        <v>400</v>
      </c>
      <c r="E92" s="1014" t="s">
        <v>401</v>
      </c>
      <c r="F92" s="1014" t="s">
        <v>402</v>
      </c>
      <c r="G92" s="1014" t="s">
        <v>1146</v>
      </c>
      <c r="H92" s="1014" t="s">
        <v>1072</v>
      </c>
      <c r="I92" s="1014" t="s">
        <v>442</v>
      </c>
      <c r="J92" s="374" t="s">
        <v>405</v>
      </c>
      <c r="K92" s="374" t="s">
        <v>406</v>
      </c>
      <c r="L92" s="1014" t="s">
        <v>716</v>
      </c>
      <c r="N92" s="3"/>
    </row>
    <row r="93" spans="2:14" ht="16.2" customHeight="1" x14ac:dyDescent="0.25">
      <c r="B93" s="1008"/>
      <c r="C93" s="1008"/>
      <c r="D93" s="1008"/>
      <c r="E93" s="1008"/>
      <c r="F93" s="1008"/>
      <c r="G93" s="1008"/>
      <c r="H93" s="1008"/>
      <c r="I93" s="1008"/>
      <c r="J93" s="374" t="s">
        <v>1074</v>
      </c>
      <c r="K93" s="374" t="s">
        <v>222</v>
      </c>
      <c r="L93" s="1008"/>
      <c r="N93" s="3"/>
    </row>
    <row r="94" spans="2:14" x14ac:dyDescent="0.25">
      <c r="B94" s="356" t="s">
        <v>339</v>
      </c>
      <c r="C94" s="387" t="s">
        <v>985</v>
      </c>
      <c r="D94" s="354" t="s">
        <v>1020</v>
      </c>
      <c r="E94" s="375">
        <v>12623202.105</v>
      </c>
      <c r="F94" s="354" t="s">
        <v>1050</v>
      </c>
      <c r="G94" s="449">
        <v>1</v>
      </c>
      <c r="H94" s="354" t="s">
        <v>1079</v>
      </c>
      <c r="I94" s="354">
        <v>1</v>
      </c>
      <c r="J94" s="450">
        <v>8.3000000000000004E-2</v>
      </c>
      <c r="K94" s="60">
        <f>J94*G94*E94/Settings!$D$17</f>
        <v>2.8088786335705955</v>
      </c>
      <c r="L94" s="174" t="s">
        <v>721</v>
      </c>
      <c r="N94" s="3"/>
    </row>
    <row r="95" spans="2:14" x14ac:dyDescent="0.25">
      <c r="B95" s="356" t="s">
        <v>339</v>
      </c>
      <c r="C95" s="387" t="s">
        <v>992</v>
      </c>
      <c r="D95" s="354" t="s">
        <v>1027</v>
      </c>
      <c r="E95" s="375">
        <v>8939425.0899999999</v>
      </c>
      <c r="F95" s="354" t="s">
        <v>1050</v>
      </c>
      <c r="G95" s="449">
        <v>1</v>
      </c>
      <c r="H95" s="354" t="s">
        <v>1080</v>
      </c>
      <c r="I95" s="354">
        <v>1</v>
      </c>
      <c r="J95" s="450">
        <v>0.221</v>
      </c>
      <c r="K95" s="60">
        <f>J95*G95*E95/Settings!$D$17</f>
        <v>5.2964784517365713</v>
      </c>
      <c r="L95" s="174" t="s">
        <v>721</v>
      </c>
      <c r="N95" s="3"/>
    </row>
    <row r="96" spans="2:14" x14ac:dyDescent="0.25">
      <c r="B96" s="356" t="s">
        <v>339</v>
      </c>
      <c r="C96" s="387" t="s">
        <v>993</v>
      </c>
      <c r="D96" s="354" t="s">
        <v>1028</v>
      </c>
      <c r="E96" s="375">
        <v>39211294.697999999</v>
      </c>
      <c r="F96" s="354" t="s">
        <v>1050</v>
      </c>
      <c r="G96" s="449">
        <v>1</v>
      </c>
      <c r="H96" s="354" t="s">
        <v>1080</v>
      </c>
      <c r="I96" s="354">
        <v>1</v>
      </c>
      <c r="J96" s="450">
        <v>0.221</v>
      </c>
      <c r="K96" s="60">
        <f>J96*G96*E96/Settings!$D$17</f>
        <v>23.232117875787186</v>
      </c>
      <c r="L96" s="174" t="s">
        <v>721</v>
      </c>
      <c r="N96" s="3"/>
    </row>
    <row r="97" spans="2:14" x14ac:dyDescent="0.25">
      <c r="B97" s="356" t="s">
        <v>339</v>
      </c>
      <c r="C97" s="387" t="s">
        <v>1078</v>
      </c>
      <c r="D97" s="354" t="s">
        <v>1030</v>
      </c>
      <c r="E97" s="375">
        <v>13988645.196999999</v>
      </c>
      <c r="F97" s="354" t="s">
        <v>1050</v>
      </c>
      <c r="G97" s="449">
        <v>1</v>
      </c>
      <c r="H97" s="354" t="s">
        <v>1081</v>
      </c>
      <c r="I97" s="354">
        <v>1</v>
      </c>
      <c r="J97" s="450">
        <v>0.248</v>
      </c>
      <c r="K97" s="60">
        <f>J97*G97*E97/Settings!$D$17</f>
        <v>9.3006367444296973</v>
      </c>
      <c r="L97" s="174" t="s">
        <v>721</v>
      </c>
      <c r="N97" s="3"/>
    </row>
    <row r="98" spans="2:14" x14ac:dyDescent="0.25">
      <c r="B98" s="356" t="s">
        <v>339</v>
      </c>
      <c r="C98" s="387" t="s">
        <v>995</v>
      </c>
      <c r="D98" s="354" t="s">
        <v>1031</v>
      </c>
      <c r="E98" s="375">
        <v>24032424.597000003</v>
      </c>
      <c r="F98" s="354" t="s">
        <v>1050</v>
      </c>
      <c r="G98" s="449">
        <v>1</v>
      </c>
      <c r="H98" s="354" t="s">
        <v>1082</v>
      </c>
      <c r="I98" s="354">
        <v>1</v>
      </c>
      <c r="J98" s="450">
        <v>0.36</v>
      </c>
      <c r="K98" s="60">
        <f>J98*G98*E98/Settings!$D$17</f>
        <v>23.194522472674628</v>
      </c>
      <c r="L98" s="174" t="s">
        <v>721</v>
      </c>
      <c r="N98" s="3"/>
    </row>
    <row r="99" spans="2:14" x14ac:dyDescent="0.25">
      <c r="B99" s="356" t="s">
        <v>339</v>
      </c>
      <c r="C99" s="387" t="s">
        <v>1003</v>
      </c>
      <c r="D99" s="354" t="s">
        <v>1039</v>
      </c>
      <c r="E99" s="375">
        <v>103430218.94599998</v>
      </c>
      <c r="F99" s="354" t="s">
        <v>1050</v>
      </c>
      <c r="G99" s="449">
        <v>1</v>
      </c>
      <c r="H99" s="354" t="s">
        <v>1083</v>
      </c>
      <c r="I99" s="354">
        <v>1</v>
      </c>
      <c r="J99" s="450">
        <v>0.10199999999999999</v>
      </c>
      <c r="K99" s="60">
        <f>J99*G99*E99/Settings!$D$17</f>
        <v>28.28348770791812</v>
      </c>
      <c r="L99" s="174" t="s">
        <v>721</v>
      </c>
      <c r="N99" s="3"/>
    </row>
    <row r="100" spans="2:14" x14ac:dyDescent="0.25">
      <c r="B100" s="356" t="s">
        <v>339</v>
      </c>
      <c r="C100" s="387" t="s">
        <v>1004</v>
      </c>
      <c r="D100" s="354" t="s">
        <v>1040</v>
      </c>
      <c r="E100" s="375">
        <v>13648893.119999999</v>
      </c>
      <c r="F100" s="354" t="s">
        <v>1050</v>
      </c>
      <c r="G100" s="449">
        <v>1</v>
      </c>
      <c r="H100" s="354" t="s">
        <v>1083</v>
      </c>
      <c r="I100" s="354">
        <v>1</v>
      </c>
      <c r="J100" s="450">
        <v>0.10199999999999999</v>
      </c>
      <c r="K100" s="60">
        <f>J100*G100*E100/Settings!$D$17</f>
        <v>3.7323550575461448</v>
      </c>
      <c r="L100" s="174" t="s">
        <v>721</v>
      </c>
      <c r="N100" s="3"/>
    </row>
    <row r="101" spans="2:14" x14ac:dyDescent="0.25">
      <c r="B101" s="356" t="s">
        <v>339</v>
      </c>
      <c r="C101" s="387" t="s">
        <v>1005</v>
      </c>
      <c r="D101" s="354" t="s">
        <v>1041</v>
      </c>
      <c r="E101" s="375">
        <v>84370</v>
      </c>
      <c r="F101" s="354" t="s">
        <v>1050</v>
      </c>
      <c r="G101" s="449">
        <v>1</v>
      </c>
      <c r="H101" s="354" t="s">
        <v>1084</v>
      </c>
      <c r="I101" s="354">
        <v>1</v>
      </c>
      <c r="J101" s="450">
        <v>0.54400000000000004</v>
      </c>
      <c r="K101" s="60">
        <f>J101*G101*E101/Settings!$D$17</f>
        <v>0.1230473586144958</v>
      </c>
      <c r="L101" s="174" t="s">
        <v>721</v>
      </c>
      <c r="N101" s="3"/>
    </row>
    <row r="102" spans="2:14" x14ac:dyDescent="0.25">
      <c r="B102" s="356" t="s">
        <v>339</v>
      </c>
      <c r="C102" s="387" t="s">
        <v>979</v>
      </c>
      <c r="D102" s="354" t="s">
        <v>1014</v>
      </c>
      <c r="E102" s="375">
        <v>211257</v>
      </c>
      <c r="F102" s="354" t="s">
        <v>1049</v>
      </c>
      <c r="G102" s="451">
        <v>970.67515462700192</v>
      </c>
      <c r="H102" s="354" t="s">
        <v>1134</v>
      </c>
      <c r="I102" s="354">
        <v>1</v>
      </c>
      <c r="J102" s="450">
        <v>0.39100000000000001</v>
      </c>
      <c r="K102" s="60">
        <f>J102*G102*E102/Settings!$D$17</f>
        <v>214.95478925522525</v>
      </c>
      <c r="L102" s="174" t="s">
        <v>721</v>
      </c>
      <c r="N102" s="3"/>
    </row>
    <row r="103" spans="2:14" x14ac:dyDescent="0.25">
      <c r="B103" s="356" t="s">
        <v>339</v>
      </c>
      <c r="C103" s="387" t="s">
        <v>980</v>
      </c>
      <c r="D103" s="354" t="s">
        <v>1015</v>
      </c>
      <c r="E103" s="375">
        <v>185795</v>
      </c>
      <c r="F103" s="354" t="s">
        <v>1049</v>
      </c>
      <c r="G103" s="449">
        <v>1296.9271990612503</v>
      </c>
      <c r="H103" s="354" t="s">
        <v>1134</v>
      </c>
      <c r="I103" s="354">
        <v>1</v>
      </c>
      <c r="J103" s="450">
        <v>0.39100000000000001</v>
      </c>
      <c r="K103" s="60">
        <f>J103*G103*E103/Settings!$D$17</f>
        <v>252.58742450982626</v>
      </c>
      <c r="L103" s="174" t="s">
        <v>721</v>
      </c>
      <c r="N103" s="3"/>
    </row>
    <row r="104" spans="2:14" x14ac:dyDescent="0.25">
      <c r="B104" s="356" t="s">
        <v>339</v>
      </c>
      <c r="C104" s="387" t="s">
        <v>981</v>
      </c>
      <c r="D104" s="354" t="s">
        <v>1016</v>
      </c>
      <c r="E104" s="375">
        <v>140608</v>
      </c>
      <c r="F104" s="354" t="s">
        <v>1049</v>
      </c>
      <c r="G104" s="449">
        <v>617.49618320610682</v>
      </c>
      <c r="H104" s="354" t="s">
        <v>1134</v>
      </c>
      <c r="I104" s="354">
        <v>1</v>
      </c>
      <c r="J104" s="450">
        <v>0.39100000000000001</v>
      </c>
      <c r="K104" s="60">
        <f>J104*G104*E104/Settings!$D$17</f>
        <v>91.013625022033253</v>
      </c>
      <c r="L104" s="174" t="s">
        <v>721</v>
      </c>
      <c r="N104" s="3"/>
    </row>
    <row r="105" spans="2:14" x14ac:dyDescent="0.25">
      <c r="B105" s="356" t="s">
        <v>339</v>
      </c>
      <c r="C105" s="387" t="s">
        <v>982</v>
      </c>
      <c r="D105" s="354" t="s">
        <v>1017</v>
      </c>
      <c r="E105" s="375">
        <v>177632</v>
      </c>
      <c r="F105" s="354" t="s">
        <v>1049</v>
      </c>
      <c r="G105" s="449">
        <v>646.60493827160496</v>
      </c>
      <c r="H105" s="354" t="s">
        <v>1134</v>
      </c>
      <c r="I105" s="354">
        <v>1</v>
      </c>
      <c r="J105" s="450">
        <v>0.39100000000000001</v>
      </c>
      <c r="K105" s="60">
        <f>J105*G105*E105/Settings!$D$17</f>
        <v>120.39884667087343</v>
      </c>
      <c r="L105" s="174" t="s">
        <v>721</v>
      </c>
      <c r="N105" s="3"/>
    </row>
    <row r="106" spans="2:14" x14ac:dyDescent="0.25">
      <c r="B106" s="356" t="s">
        <v>339</v>
      </c>
      <c r="C106" s="387" t="s">
        <v>984</v>
      </c>
      <c r="D106" s="354" t="s">
        <v>1019</v>
      </c>
      <c r="E106" s="375">
        <v>37276</v>
      </c>
      <c r="F106" s="354" t="s">
        <v>1049</v>
      </c>
      <c r="G106" s="449">
        <v>1401.6159072427272</v>
      </c>
      <c r="H106" s="354" t="s">
        <v>1134</v>
      </c>
      <c r="I106" s="354">
        <v>1</v>
      </c>
      <c r="J106" s="450">
        <v>0.39100000000000001</v>
      </c>
      <c r="K106" s="60">
        <f>J106*G106*E106/Settings!$D$17</f>
        <v>54.767185727608314</v>
      </c>
      <c r="L106" s="174" t="s">
        <v>721</v>
      </c>
      <c r="N106" s="3"/>
    </row>
    <row r="107" spans="2:14" x14ac:dyDescent="0.25">
      <c r="B107" s="356" t="s">
        <v>339</v>
      </c>
      <c r="C107" s="387" t="s">
        <v>986</v>
      </c>
      <c r="D107" s="354" t="s">
        <v>1021</v>
      </c>
      <c r="E107" s="375">
        <v>30.8</v>
      </c>
      <c r="F107" s="354" t="s">
        <v>1049</v>
      </c>
      <c r="G107" s="449">
        <v>237.94260031928448</v>
      </c>
      <c r="H107" s="354" t="s">
        <v>1147</v>
      </c>
      <c r="I107" s="354">
        <v>1</v>
      </c>
      <c r="J107" s="450">
        <v>0.5</v>
      </c>
      <c r="K107" s="60">
        <f>J107*G107*E107/Settings!$D$17</f>
        <v>9.823771919724885E-3</v>
      </c>
      <c r="L107" s="174" t="s">
        <v>721</v>
      </c>
      <c r="N107" s="3"/>
    </row>
    <row r="108" spans="2:14" x14ac:dyDescent="0.25">
      <c r="B108" s="356" t="s">
        <v>339</v>
      </c>
      <c r="C108" s="387" t="s">
        <v>987</v>
      </c>
      <c r="D108" s="354" t="s">
        <v>1022</v>
      </c>
      <c r="E108" s="375">
        <v>48</v>
      </c>
      <c r="F108" s="354" t="s">
        <v>1049</v>
      </c>
      <c r="G108" s="449">
        <v>293.43338352480708</v>
      </c>
      <c r="H108" s="354" t="s">
        <v>1147</v>
      </c>
      <c r="I108" s="354">
        <v>1</v>
      </c>
      <c r="J108" s="450">
        <v>0.5</v>
      </c>
      <c r="K108" s="60">
        <f>J108*G108*E108/Settings!$D$17</f>
        <v>1.8880179098391094E-2</v>
      </c>
      <c r="L108" s="174" t="s">
        <v>721</v>
      </c>
      <c r="N108" s="3"/>
    </row>
    <row r="109" spans="2:14" x14ac:dyDescent="0.25">
      <c r="B109" s="356" t="s">
        <v>339</v>
      </c>
      <c r="C109" s="387" t="s">
        <v>989</v>
      </c>
      <c r="D109" s="354" t="s">
        <v>1024</v>
      </c>
      <c r="E109" s="375">
        <v>68526</v>
      </c>
      <c r="F109" s="354" t="s">
        <v>1049</v>
      </c>
      <c r="G109" s="449">
        <v>1296.505577978593</v>
      </c>
      <c r="H109" s="354" t="s">
        <v>1138</v>
      </c>
      <c r="I109" s="354">
        <v>1</v>
      </c>
      <c r="J109" s="450">
        <v>0.35499999999999998</v>
      </c>
      <c r="K109" s="60">
        <f>J109*G109*E109/Settings!$D$17</f>
        <v>84.555813297353055</v>
      </c>
      <c r="L109" s="174" t="s">
        <v>721</v>
      </c>
      <c r="N109" s="3"/>
    </row>
    <row r="110" spans="2:14" x14ac:dyDescent="0.25">
      <c r="B110" s="356" t="s">
        <v>339</v>
      </c>
      <c r="C110" s="387" t="s">
        <v>994</v>
      </c>
      <c r="D110" s="354" t="s">
        <v>1029</v>
      </c>
      <c r="E110" s="375">
        <v>8492.5</v>
      </c>
      <c r="F110" s="354" t="s">
        <v>1049</v>
      </c>
      <c r="G110" s="449">
        <v>600.95071339373487</v>
      </c>
      <c r="H110" s="354" t="s">
        <v>1134</v>
      </c>
      <c r="I110" s="354">
        <v>1</v>
      </c>
      <c r="J110" s="450">
        <v>0.39100000000000001</v>
      </c>
      <c r="K110" s="60">
        <f>J110*G110*E110/Settings!$D$17</f>
        <v>5.3497872897067085</v>
      </c>
      <c r="L110" s="174" t="s">
        <v>721</v>
      </c>
      <c r="N110" s="3"/>
    </row>
    <row r="111" spans="2:14" x14ac:dyDescent="0.25">
      <c r="B111" s="356" t="s">
        <v>339</v>
      </c>
      <c r="C111" s="387" t="s">
        <v>1006</v>
      </c>
      <c r="D111" s="354" t="s">
        <v>1042</v>
      </c>
      <c r="E111" s="375">
        <v>1351635</v>
      </c>
      <c r="F111" s="354" t="s">
        <v>1049</v>
      </c>
      <c r="G111" s="449">
        <v>1348.4504225870512</v>
      </c>
      <c r="H111" s="354" t="s">
        <v>1140</v>
      </c>
      <c r="I111" s="354">
        <v>1</v>
      </c>
      <c r="J111" s="450">
        <v>0.309</v>
      </c>
      <c r="K111" s="60">
        <f>J111*G111*E111/Settings!$D$17</f>
        <v>1509.8654204700629</v>
      </c>
      <c r="L111" s="174" t="s">
        <v>721</v>
      </c>
      <c r="N111" s="3"/>
    </row>
    <row r="112" spans="2:14" x14ac:dyDescent="0.25">
      <c r="B112" s="356" t="s">
        <v>339</v>
      </c>
      <c r="C112" s="387" t="s">
        <v>1009</v>
      </c>
      <c r="D112" s="354" t="s">
        <v>1045</v>
      </c>
      <c r="E112" s="375">
        <v>770</v>
      </c>
      <c r="F112" s="354" t="s">
        <v>1049</v>
      </c>
      <c r="G112" s="449">
        <v>3557.8998513776151</v>
      </c>
      <c r="H112" s="354" t="s">
        <v>1141</v>
      </c>
      <c r="I112" s="354">
        <v>1</v>
      </c>
      <c r="J112" s="450">
        <v>0.54400000000000004</v>
      </c>
      <c r="K112" s="60">
        <f>J112*G112*E112/Settings!$D$17</f>
        <v>3.9954775130227622</v>
      </c>
      <c r="L112" s="174" t="s">
        <v>721</v>
      </c>
      <c r="N112" s="3"/>
    </row>
    <row r="113" spans="2:14" x14ac:dyDescent="0.25">
      <c r="B113" s="356" t="s">
        <v>339</v>
      </c>
      <c r="C113" s="387" t="s">
        <v>1011</v>
      </c>
      <c r="D113" s="354" t="s">
        <v>1047</v>
      </c>
      <c r="E113" s="375">
        <v>4120</v>
      </c>
      <c r="F113" s="354" t="s">
        <v>1049</v>
      </c>
      <c r="G113" s="449">
        <v>778.73900803072172</v>
      </c>
      <c r="H113" s="354" t="s">
        <v>1142</v>
      </c>
      <c r="I113" s="354">
        <v>1</v>
      </c>
      <c r="J113" s="450">
        <v>0.221</v>
      </c>
      <c r="K113" s="60">
        <f>J113*G113*E113/Settings!$D$17</f>
        <v>1.9009328067777451</v>
      </c>
      <c r="L113" s="174" t="s">
        <v>721</v>
      </c>
      <c r="N113" s="3"/>
    </row>
    <row r="114" spans="2:14" x14ac:dyDescent="0.25">
      <c r="B114" s="356" t="s">
        <v>339</v>
      </c>
      <c r="C114" s="387" t="s">
        <v>1007</v>
      </c>
      <c r="D114" s="354" t="s">
        <v>1043</v>
      </c>
      <c r="E114" s="375">
        <v>32</v>
      </c>
      <c r="F114" s="354" t="s">
        <v>1051</v>
      </c>
      <c r="G114" s="449">
        <v>18744.4469924812</v>
      </c>
      <c r="H114" s="354" t="s">
        <v>1143</v>
      </c>
      <c r="I114" s="354">
        <v>1</v>
      </c>
      <c r="J114" s="450">
        <v>0.16400000000000001</v>
      </c>
      <c r="K114" s="60">
        <f>J114*G114*E114/Settings!$D$17</f>
        <v>0.26372530613943873</v>
      </c>
      <c r="L114" s="174" t="s">
        <v>721</v>
      </c>
      <c r="N114" s="3"/>
    </row>
    <row r="115" spans="2:14" x14ac:dyDescent="0.25">
      <c r="B115" s="356" t="s">
        <v>339</v>
      </c>
      <c r="C115" s="387" t="s">
        <v>1008</v>
      </c>
      <c r="D115" s="354" t="s">
        <v>1044</v>
      </c>
      <c r="E115" s="375">
        <v>323</v>
      </c>
      <c r="F115" s="354" t="s">
        <v>1051</v>
      </c>
      <c r="G115" s="449">
        <v>7256.9166884988208</v>
      </c>
      <c r="H115" s="354" t="s">
        <v>1144</v>
      </c>
      <c r="I115" s="354">
        <v>1</v>
      </c>
      <c r="J115" s="450">
        <v>0.53100000000000003</v>
      </c>
      <c r="K115" s="60">
        <f>J115*G115*E115/Settings!$D$17</f>
        <v>3.3368334258106414</v>
      </c>
      <c r="L115" s="174" t="s">
        <v>721</v>
      </c>
      <c r="N115" s="3"/>
    </row>
    <row r="116" spans="2:14" x14ac:dyDescent="0.25">
      <c r="B116" s="356" t="s">
        <v>339</v>
      </c>
      <c r="C116" s="387" t="s">
        <v>1010</v>
      </c>
      <c r="D116" s="354" t="s">
        <v>1046</v>
      </c>
      <c r="E116" s="375">
        <v>231276</v>
      </c>
      <c r="F116" s="354" t="s">
        <v>1051</v>
      </c>
      <c r="G116" s="449">
        <v>3309.192484611262</v>
      </c>
      <c r="H116" s="354" t="s">
        <v>1143</v>
      </c>
      <c r="I116" s="354">
        <v>1</v>
      </c>
      <c r="J116" s="450">
        <v>0.16400000000000001</v>
      </c>
      <c r="K116" s="60">
        <f>J116*G116*E116/Settings!$D$17</f>
        <v>336.4974608266283</v>
      </c>
      <c r="L116" s="174" t="s">
        <v>721</v>
      </c>
      <c r="N116" s="3"/>
    </row>
    <row r="117" spans="2:14" x14ac:dyDescent="0.25">
      <c r="B117" s="356" t="s">
        <v>339</v>
      </c>
      <c r="C117" s="387"/>
      <c r="D117" s="354"/>
      <c r="E117" s="375"/>
      <c r="F117" s="354"/>
      <c r="G117" s="449"/>
      <c r="H117" s="354"/>
      <c r="I117" s="354"/>
      <c r="J117" s="450"/>
      <c r="K117" s="60">
        <f>J117*G117*E117/Settings!$D$17</f>
        <v>0</v>
      </c>
      <c r="L117" s="385"/>
      <c r="N117" s="3"/>
    </row>
    <row r="118" spans="2:14" x14ac:dyDescent="0.25">
      <c r="B118" s="356" t="s">
        <v>339</v>
      </c>
      <c r="C118" s="387"/>
      <c r="D118" s="354"/>
      <c r="E118" s="375"/>
      <c r="F118" s="354"/>
      <c r="G118" s="449"/>
      <c r="H118" s="354"/>
      <c r="I118" s="354"/>
      <c r="J118" s="450"/>
      <c r="K118" s="60">
        <f>J118*G118*E118/Settings!$D$17</f>
        <v>0</v>
      </c>
      <c r="L118" s="385"/>
      <c r="N118" s="3"/>
    </row>
    <row r="119" spans="2:14" x14ac:dyDescent="0.25">
      <c r="B119" s="356" t="s">
        <v>339</v>
      </c>
      <c r="C119" s="387"/>
      <c r="D119" s="354"/>
      <c r="E119" s="375"/>
      <c r="F119" s="354"/>
      <c r="G119" s="449"/>
      <c r="H119" s="354"/>
      <c r="I119" s="354"/>
      <c r="J119" s="450"/>
      <c r="K119" s="60">
        <f>J119*G119*E119/Settings!$D$17</f>
        <v>0</v>
      </c>
      <c r="L119" s="385"/>
      <c r="N119" s="3"/>
    </row>
    <row r="120" spans="2:14" x14ac:dyDescent="0.25">
      <c r="B120" s="356" t="s">
        <v>339</v>
      </c>
      <c r="C120" s="387"/>
      <c r="D120" s="354"/>
      <c r="E120" s="375"/>
      <c r="F120" s="354"/>
      <c r="G120" s="449"/>
      <c r="H120" s="354"/>
      <c r="I120" s="354"/>
      <c r="J120" s="450"/>
      <c r="K120" s="60">
        <f>J120*G120*E120/Settings!$D$17</f>
        <v>0</v>
      </c>
      <c r="L120" s="385"/>
      <c r="N120" s="3"/>
    </row>
    <row r="121" spans="2:14" x14ac:dyDescent="0.25">
      <c r="B121" s="356" t="s">
        <v>339</v>
      </c>
      <c r="C121" s="387"/>
      <c r="D121" s="354"/>
      <c r="E121" s="375"/>
      <c r="F121" s="388"/>
      <c r="G121" s="452"/>
      <c r="H121" s="354"/>
      <c r="I121" s="354"/>
      <c r="J121" s="450"/>
      <c r="K121" s="60">
        <f>J121*G121*E121/Settings!$D$17</f>
        <v>0</v>
      </c>
      <c r="L121" s="385"/>
      <c r="N121" s="3"/>
    </row>
    <row r="122" spans="2:14" x14ac:dyDescent="0.25">
      <c r="B122" s="356" t="s">
        <v>339</v>
      </c>
      <c r="C122" s="387"/>
      <c r="D122" s="354"/>
      <c r="E122" s="375"/>
      <c r="F122" s="388"/>
      <c r="G122" s="452"/>
      <c r="H122" s="354"/>
      <c r="I122" s="354"/>
      <c r="J122" s="450"/>
      <c r="K122" s="60">
        <f>J122*G122*E122/Settings!$D$17</f>
        <v>0</v>
      </c>
      <c r="L122" s="385"/>
      <c r="N122" s="3"/>
    </row>
    <row r="123" spans="2:14" x14ac:dyDescent="0.25">
      <c r="B123" s="356" t="s">
        <v>339</v>
      </c>
      <c r="C123" s="387"/>
      <c r="D123" s="354"/>
      <c r="E123" s="375"/>
      <c r="F123" s="388"/>
      <c r="G123" s="452"/>
      <c r="H123" s="354"/>
      <c r="I123" s="354"/>
      <c r="J123" s="450"/>
      <c r="K123" s="60">
        <f>J123*G123*E123/Settings!$D$17</f>
        <v>0</v>
      </c>
      <c r="L123" s="385"/>
      <c r="N123" s="3"/>
    </row>
    <row r="124" spans="2:14" x14ac:dyDescent="0.25">
      <c r="B124" s="356" t="s">
        <v>339</v>
      </c>
      <c r="C124" s="387"/>
      <c r="D124" s="354"/>
      <c r="E124" s="375"/>
      <c r="F124" s="388"/>
      <c r="G124" s="452"/>
      <c r="H124" s="354"/>
      <c r="I124" s="354"/>
      <c r="J124" s="450"/>
      <c r="K124" s="60">
        <f>J124*G124*E124/Settings!$D$17</f>
        <v>0</v>
      </c>
      <c r="L124" s="385"/>
      <c r="N124" s="3"/>
    </row>
    <row r="125" spans="2:14" ht="30" customHeight="1" x14ac:dyDescent="0.25">
      <c r="B125" s="355" t="s">
        <v>410</v>
      </c>
      <c r="C125" s="378"/>
      <c r="D125" s="378"/>
      <c r="E125" s="448"/>
      <c r="F125" s="448"/>
      <c r="G125" s="448"/>
      <c r="H125" s="355"/>
      <c r="I125" s="448"/>
      <c r="J125" s="448"/>
      <c r="K125" s="448">
        <f>_xlfn.AGGREGATE(9,6,K94:K124)</f>
        <v>2775.4875503743638</v>
      </c>
      <c r="L125" s="373"/>
      <c r="N125" s="3"/>
    </row>
    <row r="126" spans="2:14" x14ac:dyDescent="0.25">
      <c r="I126" s="24"/>
      <c r="J126" s="3"/>
      <c r="K126" s="3"/>
      <c r="L126" s="24"/>
      <c r="N126" s="3"/>
    </row>
    <row r="127" spans="2:14" x14ac:dyDescent="0.25">
      <c r="I127" s="24"/>
      <c r="J127" s="3"/>
      <c r="K127" s="3"/>
      <c r="L127" s="24"/>
      <c r="N127" s="3"/>
    </row>
    <row r="128" spans="2:14" x14ac:dyDescent="0.25">
      <c r="I128" s="24"/>
      <c r="J128" s="3"/>
      <c r="K128" s="3"/>
      <c r="L128" s="24"/>
      <c r="N128" s="3"/>
    </row>
    <row r="129" spans="2:14" s="279" customFormat="1" ht="30" customHeight="1" x14ac:dyDescent="0.25">
      <c r="B129" s="370" t="s">
        <v>956</v>
      </c>
      <c r="C129" s="371"/>
      <c r="D129" s="371"/>
      <c r="E129" s="371"/>
      <c r="F129" s="371"/>
      <c r="G129" s="371"/>
      <c r="H129" s="371"/>
      <c r="I129" s="371"/>
      <c r="J129" s="371"/>
      <c r="K129" s="371"/>
      <c r="L129" s="372"/>
    </row>
    <row r="130" spans="2:14" ht="16.8" customHeight="1" x14ac:dyDescent="0.25">
      <c r="B130" s="1014" t="s">
        <v>335</v>
      </c>
      <c r="C130" s="1014" t="s">
        <v>969</v>
      </c>
      <c r="D130" s="1014" t="s">
        <v>400</v>
      </c>
      <c r="E130" s="1014" t="s">
        <v>401</v>
      </c>
      <c r="F130" s="1014" t="s">
        <v>402</v>
      </c>
      <c r="G130" s="1014" t="s">
        <v>1146</v>
      </c>
      <c r="H130" s="1014" t="s">
        <v>1072</v>
      </c>
      <c r="I130" s="1014" t="s">
        <v>442</v>
      </c>
      <c r="J130" s="374" t="s">
        <v>405</v>
      </c>
      <c r="K130" s="374" t="s">
        <v>406</v>
      </c>
      <c r="L130" s="1014" t="s">
        <v>716</v>
      </c>
      <c r="N130" s="3"/>
    </row>
    <row r="131" spans="2:14" ht="16.2" customHeight="1" x14ac:dyDescent="0.25">
      <c r="B131" s="1008"/>
      <c r="C131" s="1008"/>
      <c r="D131" s="1008"/>
      <c r="E131" s="1008"/>
      <c r="F131" s="1008"/>
      <c r="G131" s="1008"/>
      <c r="H131" s="1008"/>
      <c r="I131" s="1008"/>
      <c r="J131" s="374" t="s">
        <v>1074</v>
      </c>
      <c r="K131" s="374" t="s">
        <v>222</v>
      </c>
      <c r="L131" s="1008"/>
      <c r="N131" s="3"/>
    </row>
    <row r="132" spans="2:14" x14ac:dyDescent="0.25">
      <c r="B132" s="356" t="s">
        <v>340</v>
      </c>
      <c r="C132" s="387" t="s">
        <v>985</v>
      </c>
      <c r="D132" s="354" t="s">
        <v>1020</v>
      </c>
      <c r="E132" s="375">
        <v>28417052.373999994</v>
      </c>
      <c r="F132" s="354" t="s">
        <v>1050</v>
      </c>
      <c r="G132" s="449">
        <v>1</v>
      </c>
      <c r="H132" s="354" t="s">
        <v>1079</v>
      </c>
      <c r="I132" s="354">
        <v>1</v>
      </c>
      <c r="J132" s="450">
        <v>8.3000000000000004E-2</v>
      </c>
      <c r="K132" s="60">
        <f>J132*G132*E132/Settings!$D$17</f>
        <v>6.3232807791906263</v>
      </c>
      <c r="L132" s="174" t="s">
        <v>721</v>
      </c>
      <c r="N132" s="3"/>
    </row>
    <row r="133" spans="2:14" x14ac:dyDescent="0.25">
      <c r="B133" s="356" t="s">
        <v>340</v>
      </c>
      <c r="C133" s="387" t="s">
        <v>992</v>
      </c>
      <c r="D133" s="354" t="s">
        <v>1027</v>
      </c>
      <c r="E133" s="375">
        <v>10129716.905999999</v>
      </c>
      <c r="F133" s="354" t="s">
        <v>1050</v>
      </c>
      <c r="G133" s="449">
        <v>1</v>
      </c>
      <c r="H133" s="354" t="s">
        <v>1080</v>
      </c>
      <c r="I133" s="354">
        <v>1</v>
      </c>
      <c r="J133" s="450">
        <v>0.221</v>
      </c>
      <c r="K133" s="60">
        <f>J133*G133*E133/Settings!$D$17</f>
        <v>6.001708921397837</v>
      </c>
      <c r="L133" s="174" t="s">
        <v>721</v>
      </c>
      <c r="N133" s="3"/>
    </row>
    <row r="134" spans="2:14" x14ac:dyDescent="0.25">
      <c r="B134" s="356" t="s">
        <v>340</v>
      </c>
      <c r="C134" s="387" t="s">
        <v>993</v>
      </c>
      <c r="D134" s="354" t="s">
        <v>1028</v>
      </c>
      <c r="E134" s="375">
        <v>15560997.633000001</v>
      </c>
      <c r="F134" s="354" t="s">
        <v>1050</v>
      </c>
      <c r="G134" s="449">
        <v>1</v>
      </c>
      <c r="H134" s="354" t="s">
        <v>1080</v>
      </c>
      <c r="I134" s="354">
        <v>1</v>
      </c>
      <c r="J134" s="450">
        <v>0.221</v>
      </c>
      <c r="K134" s="60">
        <f>J134*G134*E134/Settings!$D$17</f>
        <v>9.2196632133429848</v>
      </c>
      <c r="L134" s="174" t="s">
        <v>721</v>
      </c>
      <c r="N134" s="3"/>
    </row>
    <row r="135" spans="2:14" x14ac:dyDescent="0.25">
      <c r="B135" s="356" t="s">
        <v>340</v>
      </c>
      <c r="C135" s="387" t="s">
        <v>1078</v>
      </c>
      <c r="D135" s="354" t="s">
        <v>1030</v>
      </c>
      <c r="E135" s="375">
        <v>34610299.626000002</v>
      </c>
      <c r="F135" s="354" t="s">
        <v>1050</v>
      </c>
      <c r="G135" s="449">
        <v>1</v>
      </c>
      <c r="H135" s="354" t="s">
        <v>1081</v>
      </c>
      <c r="I135" s="354">
        <v>1</v>
      </c>
      <c r="J135" s="450">
        <v>0.248</v>
      </c>
      <c r="K135" s="60">
        <f>J135*G135*E135/Settings!$D$17</f>
        <v>23.011365282631601</v>
      </c>
      <c r="L135" s="174" t="s">
        <v>721</v>
      </c>
      <c r="N135" s="3"/>
    </row>
    <row r="136" spans="2:14" x14ac:dyDescent="0.25">
      <c r="B136" s="356" t="s">
        <v>340</v>
      </c>
      <c r="C136" s="387" t="s">
        <v>995</v>
      </c>
      <c r="D136" s="87" t="s">
        <v>1031</v>
      </c>
      <c r="E136" s="375">
        <v>56038496.516000003</v>
      </c>
      <c r="F136" s="354" t="s">
        <v>1050</v>
      </c>
      <c r="G136" s="449">
        <v>1</v>
      </c>
      <c r="H136" s="354" t="s">
        <v>1082</v>
      </c>
      <c r="I136" s="354">
        <v>1</v>
      </c>
      <c r="J136" s="450">
        <v>0.36</v>
      </c>
      <c r="K136" s="60">
        <f>J136*G136*E136/Settings!$D$17</f>
        <v>54.084687191217277</v>
      </c>
      <c r="L136" s="174" t="s">
        <v>721</v>
      </c>
      <c r="N136" s="3"/>
    </row>
    <row r="137" spans="2:14" x14ac:dyDescent="0.25">
      <c r="B137" s="356" t="s">
        <v>340</v>
      </c>
      <c r="C137" s="387" t="s">
        <v>1003</v>
      </c>
      <c r="D137" s="87" t="s">
        <v>1039</v>
      </c>
      <c r="E137" s="375">
        <v>236947873.70199996</v>
      </c>
      <c r="F137" s="354" t="s">
        <v>1050</v>
      </c>
      <c r="G137" s="449">
        <v>1</v>
      </c>
      <c r="H137" s="354" t="s">
        <v>1083</v>
      </c>
      <c r="I137" s="354">
        <v>1</v>
      </c>
      <c r="J137" s="450">
        <v>0.10199999999999999</v>
      </c>
      <c r="K137" s="60">
        <f>J137*G137*E137/Settings!$D$17</f>
        <v>64.794528538770251</v>
      </c>
      <c r="L137" s="174" t="s">
        <v>721</v>
      </c>
      <c r="N137" s="3"/>
    </row>
    <row r="138" spans="2:14" x14ac:dyDescent="0.25">
      <c r="B138" s="356" t="s">
        <v>340</v>
      </c>
      <c r="C138" s="387" t="s">
        <v>1004</v>
      </c>
      <c r="D138" s="87" t="s">
        <v>1040</v>
      </c>
      <c r="E138" s="375">
        <v>10687744.15</v>
      </c>
      <c r="F138" s="354" t="s">
        <v>1050</v>
      </c>
      <c r="G138" s="449">
        <v>1</v>
      </c>
      <c r="H138" s="354" t="s">
        <v>1083</v>
      </c>
      <c r="I138" s="354">
        <v>1</v>
      </c>
      <c r="J138" s="450">
        <v>0.10199999999999999</v>
      </c>
      <c r="K138" s="60">
        <f>J138*G138*E138/Settings!$D$17</f>
        <v>2.9226147191056415</v>
      </c>
      <c r="L138" s="174" t="s">
        <v>721</v>
      </c>
      <c r="N138" s="3"/>
    </row>
    <row r="139" spans="2:14" x14ac:dyDescent="0.25">
      <c r="B139" s="356" t="s">
        <v>340</v>
      </c>
      <c r="C139" s="387" t="s">
        <v>1005</v>
      </c>
      <c r="D139" s="87" t="s">
        <v>1041</v>
      </c>
      <c r="E139" s="375">
        <v>65509969.218999997</v>
      </c>
      <c r="F139" s="354" t="s">
        <v>1050</v>
      </c>
      <c r="G139" s="449">
        <v>1</v>
      </c>
      <c r="H139" s="354" t="s">
        <v>1084</v>
      </c>
      <c r="I139" s="354">
        <v>1</v>
      </c>
      <c r="J139" s="450">
        <v>0.54400000000000004</v>
      </c>
      <c r="K139" s="60">
        <f>J139*G139*E139/Settings!$D$17</f>
        <v>95.541408976115591</v>
      </c>
      <c r="L139" s="174" t="s">
        <v>721</v>
      </c>
      <c r="N139" s="3"/>
    </row>
    <row r="140" spans="2:14" x14ac:dyDescent="0.25">
      <c r="B140" s="356" t="s">
        <v>340</v>
      </c>
      <c r="C140" s="387" t="s">
        <v>979</v>
      </c>
      <c r="D140" s="87" t="s">
        <v>1014</v>
      </c>
      <c r="E140" s="375">
        <v>252476.5</v>
      </c>
      <c r="F140" s="354" t="s">
        <v>1049</v>
      </c>
      <c r="G140" s="451">
        <v>970.67515462700192</v>
      </c>
      <c r="H140" s="354" t="s">
        <v>1134</v>
      </c>
      <c r="I140" s="354">
        <v>1</v>
      </c>
      <c r="J140" s="450">
        <v>0.39100000000000001</v>
      </c>
      <c r="K140" s="60">
        <f>J140*G140*E140/Settings!$D$17</f>
        <v>256.895784988885</v>
      </c>
      <c r="L140" s="174" t="s">
        <v>721</v>
      </c>
      <c r="N140" s="3"/>
    </row>
    <row r="141" spans="2:14" x14ac:dyDescent="0.25">
      <c r="B141" s="356" t="s">
        <v>340</v>
      </c>
      <c r="C141" s="387" t="s">
        <v>980</v>
      </c>
      <c r="D141" s="354" t="s">
        <v>1015</v>
      </c>
      <c r="E141" s="375">
        <v>6532.25</v>
      </c>
      <c r="F141" s="354" t="s">
        <v>1049</v>
      </c>
      <c r="G141" s="449">
        <v>1296.9271990612503</v>
      </c>
      <c r="H141" s="354" t="s">
        <v>1134</v>
      </c>
      <c r="I141" s="354">
        <v>1</v>
      </c>
      <c r="J141" s="450">
        <v>0.39100000000000001</v>
      </c>
      <c r="K141" s="60">
        <f>J141*G141*E141/Settings!$D$17</f>
        <v>8.8805630062935634</v>
      </c>
      <c r="L141" s="174" t="s">
        <v>721</v>
      </c>
      <c r="N141" s="3"/>
    </row>
    <row r="142" spans="2:14" x14ac:dyDescent="0.25">
      <c r="B142" s="356" t="s">
        <v>340</v>
      </c>
      <c r="C142" s="387" t="s">
        <v>981</v>
      </c>
      <c r="D142" s="354" t="s">
        <v>1016</v>
      </c>
      <c r="E142" s="375">
        <v>132706</v>
      </c>
      <c r="F142" s="354" t="s">
        <v>1049</v>
      </c>
      <c r="G142" s="449">
        <v>617.49618320610682</v>
      </c>
      <c r="H142" s="354" t="s">
        <v>1134</v>
      </c>
      <c r="I142" s="354">
        <v>1</v>
      </c>
      <c r="J142" s="450">
        <v>0.39100000000000001</v>
      </c>
      <c r="K142" s="60">
        <f>J142*G142*E142/Settings!$D$17</f>
        <v>85.898769075542958</v>
      </c>
      <c r="L142" s="174" t="s">
        <v>721</v>
      </c>
      <c r="N142" s="3"/>
    </row>
    <row r="143" spans="2:14" x14ac:dyDescent="0.25">
      <c r="B143" s="356" t="s">
        <v>340</v>
      </c>
      <c r="C143" s="387" t="s">
        <v>982</v>
      </c>
      <c r="D143" s="354" t="s">
        <v>1017</v>
      </c>
      <c r="E143" s="375">
        <v>94432</v>
      </c>
      <c r="F143" s="354" t="s">
        <v>1049</v>
      </c>
      <c r="G143" s="449">
        <v>646.60493827160496</v>
      </c>
      <c r="H143" s="354" t="s">
        <v>1134</v>
      </c>
      <c r="I143" s="354">
        <v>1</v>
      </c>
      <c r="J143" s="450">
        <v>0.39100000000000001</v>
      </c>
      <c r="K143" s="60">
        <f>J143*G143*E143/Settings!$D$17</f>
        <v>64.005944248918652</v>
      </c>
      <c r="L143" s="174" t="s">
        <v>721</v>
      </c>
      <c r="N143" s="3"/>
    </row>
    <row r="144" spans="2:14" x14ac:dyDescent="0.25">
      <c r="B144" s="356" t="s">
        <v>340</v>
      </c>
      <c r="C144" s="387" t="s">
        <v>983</v>
      </c>
      <c r="D144" s="354" t="s">
        <v>1018</v>
      </c>
      <c r="E144" s="375">
        <v>13100257</v>
      </c>
      <c r="F144" s="354" t="s">
        <v>1049</v>
      </c>
      <c r="G144" s="449">
        <v>206.82201562939514</v>
      </c>
      <c r="H144" s="354" t="s">
        <v>1136</v>
      </c>
      <c r="I144" s="354">
        <v>1</v>
      </c>
      <c r="J144" s="450">
        <v>1.01</v>
      </c>
      <c r="K144" s="60">
        <f>J144*G144*E144/Settings!$D$17</f>
        <v>7336.4050712004509</v>
      </c>
      <c r="L144" s="174" t="s">
        <v>721</v>
      </c>
      <c r="N144" s="3"/>
    </row>
    <row r="145" spans="2:14" x14ac:dyDescent="0.25">
      <c r="B145" s="356" t="s">
        <v>340</v>
      </c>
      <c r="C145" s="387" t="s">
        <v>984</v>
      </c>
      <c r="D145" s="354" t="s">
        <v>1019</v>
      </c>
      <c r="E145" s="375">
        <v>9515</v>
      </c>
      <c r="F145" s="354" t="s">
        <v>1049</v>
      </c>
      <c r="G145" s="449">
        <v>1401.6159072427272</v>
      </c>
      <c r="H145" s="354" t="s">
        <v>1134</v>
      </c>
      <c r="I145" s="354">
        <v>1</v>
      </c>
      <c r="J145" s="450">
        <v>0.39100000000000001</v>
      </c>
      <c r="K145" s="60">
        <f>J145*G145*E145/Settings!$D$17</f>
        <v>13.979766396560606</v>
      </c>
      <c r="L145" s="174" t="s">
        <v>721</v>
      </c>
      <c r="N145" s="3"/>
    </row>
    <row r="146" spans="2:14" x14ac:dyDescent="0.25">
      <c r="B146" s="356" t="s">
        <v>340</v>
      </c>
      <c r="C146" s="387" t="s">
        <v>986</v>
      </c>
      <c r="D146" s="354" t="s">
        <v>1021</v>
      </c>
      <c r="E146" s="375">
        <v>1170.4000000000001</v>
      </c>
      <c r="F146" s="354" t="s">
        <v>1049</v>
      </c>
      <c r="G146" s="449">
        <v>237.94260031928448</v>
      </c>
      <c r="H146" s="354" t="s">
        <v>1147</v>
      </c>
      <c r="I146" s="354">
        <v>1</v>
      </c>
      <c r="J146" s="450">
        <v>0.5</v>
      </c>
      <c r="K146" s="60">
        <f>J146*G146*E146/Settings!$D$17</f>
        <v>0.37330333294954565</v>
      </c>
      <c r="L146" s="174" t="s">
        <v>721</v>
      </c>
      <c r="N146" s="3"/>
    </row>
    <row r="147" spans="2:14" x14ac:dyDescent="0.25">
      <c r="B147" s="356" t="s">
        <v>340</v>
      </c>
      <c r="C147" s="387" t="s">
        <v>987</v>
      </c>
      <c r="D147" s="354" t="s">
        <v>1022</v>
      </c>
      <c r="E147" s="375">
        <v>1026</v>
      </c>
      <c r="F147" s="354" t="s">
        <v>1049</v>
      </c>
      <c r="G147" s="449">
        <v>293.43338352480708</v>
      </c>
      <c r="H147" s="354" t="s">
        <v>1147</v>
      </c>
      <c r="I147" s="354">
        <v>1</v>
      </c>
      <c r="J147" s="450">
        <v>0.5</v>
      </c>
      <c r="K147" s="60">
        <f>J147*G147*E147/Settings!$D$17</f>
        <v>0.4035638282281096</v>
      </c>
      <c r="L147" s="174" t="s">
        <v>721</v>
      </c>
      <c r="N147" s="3"/>
    </row>
    <row r="148" spans="2:14" x14ac:dyDescent="0.25">
      <c r="B148" s="356" t="s">
        <v>340</v>
      </c>
      <c r="C148" s="387" t="s">
        <v>988</v>
      </c>
      <c r="D148" s="354" t="s">
        <v>1023</v>
      </c>
      <c r="E148" s="375">
        <v>284235</v>
      </c>
      <c r="F148" s="354" t="s">
        <v>1049</v>
      </c>
      <c r="G148" s="449">
        <v>133.39815380488952</v>
      </c>
      <c r="H148" s="354" t="s">
        <v>1136</v>
      </c>
      <c r="I148" s="354">
        <v>1</v>
      </c>
      <c r="J148" s="450">
        <v>1.01</v>
      </c>
      <c r="K148" s="60">
        <f>J148*G148*E148/Settings!$D$17</f>
        <v>102.66776179729521</v>
      </c>
      <c r="L148" s="174" t="s">
        <v>721</v>
      </c>
      <c r="N148" s="3"/>
    </row>
    <row r="149" spans="2:14" x14ac:dyDescent="0.25">
      <c r="B149" s="356" t="s">
        <v>340</v>
      </c>
      <c r="C149" s="387" t="s">
        <v>989</v>
      </c>
      <c r="D149" s="354" t="s">
        <v>1024</v>
      </c>
      <c r="E149" s="375">
        <v>61202</v>
      </c>
      <c r="F149" s="354" t="s">
        <v>1049</v>
      </c>
      <c r="G149" s="449">
        <v>1296.505577978593</v>
      </c>
      <c r="H149" s="354" t="s">
        <v>1138</v>
      </c>
      <c r="I149" s="354">
        <v>1</v>
      </c>
      <c r="J149" s="450">
        <v>0.35499999999999998</v>
      </c>
      <c r="K149" s="60">
        <f>J149*G149*E149/Settings!$D$17</f>
        <v>75.518560625523193</v>
      </c>
      <c r="L149" s="174" t="s">
        <v>721</v>
      </c>
      <c r="N149" s="3"/>
    </row>
    <row r="150" spans="2:14" x14ac:dyDescent="0.25">
      <c r="B150" s="356" t="s">
        <v>340</v>
      </c>
      <c r="C150" s="387" t="s">
        <v>990</v>
      </c>
      <c r="D150" s="354" t="s">
        <v>1025</v>
      </c>
      <c r="E150" s="375">
        <v>32720</v>
      </c>
      <c r="F150" s="354" t="s">
        <v>1049</v>
      </c>
      <c r="G150" s="449">
        <v>189.16114831815787</v>
      </c>
      <c r="H150" s="354" t="s">
        <v>1136</v>
      </c>
      <c r="I150" s="354">
        <v>1</v>
      </c>
      <c r="J150" s="450">
        <v>1.01</v>
      </c>
      <c r="K150" s="60">
        <f>J150*G150*E150/Settings!$D$17</f>
        <v>16.759148806851989</v>
      </c>
      <c r="L150" s="174" t="s">
        <v>721</v>
      </c>
      <c r="N150" s="3"/>
    </row>
    <row r="151" spans="2:14" x14ac:dyDescent="0.25">
      <c r="B151" s="356" t="s">
        <v>340</v>
      </c>
      <c r="C151" s="387" t="s">
        <v>997</v>
      </c>
      <c r="D151" s="354" t="s">
        <v>1033</v>
      </c>
      <c r="E151" s="375">
        <v>48770</v>
      </c>
      <c r="F151" s="354" t="s">
        <v>1049</v>
      </c>
      <c r="G151" s="449">
        <v>52.088751026537459</v>
      </c>
      <c r="H151" s="354" t="s">
        <v>1136</v>
      </c>
      <c r="I151" s="354">
        <v>1</v>
      </c>
      <c r="J151" s="450">
        <v>1.01</v>
      </c>
      <c r="K151" s="60">
        <f>J151*G151*E151/Settings!$D$17</f>
        <v>6.8786532926901094</v>
      </c>
      <c r="L151" s="174" t="s">
        <v>721</v>
      </c>
      <c r="N151" s="3"/>
    </row>
    <row r="152" spans="2:14" x14ac:dyDescent="0.25">
      <c r="B152" s="356" t="s">
        <v>340</v>
      </c>
      <c r="C152" s="387" t="s">
        <v>998</v>
      </c>
      <c r="D152" s="354" t="s">
        <v>1034</v>
      </c>
      <c r="E152" s="375">
        <v>67.5</v>
      </c>
      <c r="F152" s="354" t="s">
        <v>1049</v>
      </c>
      <c r="G152" s="449">
        <v>3296.9245191779314</v>
      </c>
      <c r="H152" s="354" t="s">
        <v>1148</v>
      </c>
      <c r="I152" s="354">
        <v>1</v>
      </c>
      <c r="J152" s="450">
        <v>0.184</v>
      </c>
      <c r="K152" s="60">
        <f>J152*G152*E152/Settings!$D$17</f>
        <v>0.10977815988576536</v>
      </c>
      <c r="L152" s="174" t="s">
        <v>721</v>
      </c>
      <c r="N152" s="3"/>
    </row>
    <row r="153" spans="2:14" x14ac:dyDescent="0.25">
      <c r="B153" s="356" t="s">
        <v>340</v>
      </c>
      <c r="C153" s="387" t="s">
        <v>1006</v>
      </c>
      <c r="D153" s="354" t="s">
        <v>1042</v>
      </c>
      <c r="E153" s="375">
        <v>1430964</v>
      </c>
      <c r="F153" s="354" t="s">
        <v>1049</v>
      </c>
      <c r="G153" s="449">
        <v>1348.4504225870512</v>
      </c>
      <c r="H153" s="354" t="s">
        <v>1140</v>
      </c>
      <c r="I153" s="354">
        <v>1</v>
      </c>
      <c r="J153" s="450">
        <v>0.309</v>
      </c>
      <c r="K153" s="60">
        <f>J153*G153*E153/Settings!$D$17</f>
        <v>1598.4811443455687</v>
      </c>
      <c r="L153" s="174" t="s">
        <v>721</v>
      </c>
      <c r="N153" s="3"/>
    </row>
    <row r="154" spans="2:14" x14ac:dyDescent="0.25">
      <c r="B154" s="356" t="s">
        <v>340</v>
      </c>
      <c r="C154" s="387" t="s">
        <v>1009</v>
      </c>
      <c r="D154" s="354" t="s">
        <v>1045</v>
      </c>
      <c r="E154" s="375">
        <v>135306.4</v>
      </c>
      <c r="F154" s="354" t="s">
        <v>1049</v>
      </c>
      <c r="G154" s="449">
        <v>3557.8998513776151</v>
      </c>
      <c r="H154" s="354" t="s">
        <v>1141</v>
      </c>
      <c r="I154" s="354">
        <v>1</v>
      </c>
      <c r="J154" s="450">
        <v>0.54400000000000004</v>
      </c>
      <c r="K154" s="60">
        <f>J154*G154*E154/Settings!$D$17</f>
        <v>702.09568645203001</v>
      </c>
      <c r="L154" s="174" t="s">
        <v>721</v>
      </c>
      <c r="N154" s="3"/>
    </row>
    <row r="155" spans="2:14" x14ac:dyDescent="0.25">
      <c r="B155" s="356" t="s">
        <v>340</v>
      </c>
      <c r="C155" s="387" t="s">
        <v>1011</v>
      </c>
      <c r="D155" s="354" t="s">
        <v>1047</v>
      </c>
      <c r="E155" s="375">
        <v>6407022</v>
      </c>
      <c r="F155" s="354" t="s">
        <v>1049</v>
      </c>
      <c r="G155" s="449">
        <v>778.73900803072172</v>
      </c>
      <c r="H155" s="354" t="s">
        <v>1142</v>
      </c>
      <c r="I155" s="354">
        <v>1</v>
      </c>
      <c r="J155" s="450">
        <v>0.221</v>
      </c>
      <c r="K155" s="60">
        <f>J155*G155*E155/Settings!$D$17</f>
        <v>2956.1452217346505</v>
      </c>
      <c r="L155" s="174" t="s">
        <v>721</v>
      </c>
      <c r="N155" s="3"/>
    </row>
    <row r="156" spans="2:14" x14ac:dyDescent="0.25">
      <c r="B156" s="356" t="s">
        <v>340</v>
      </c>
      <c r="C156" s="387" t="s">
        <v>1008</v>
      </c>
      <c r="D156" s="354" t="s">
        <v>1044</v>
      </c>
      <c r="E156" s="375">
        <v>39298</v>
      </c>
      <c r="F156" s="354" t="s">
        <v>1051</v>
      </c>
      <c r="G156" s="449">
        <v>7256.9166884988208</v>
      </c>
      <c r="H156" s="354" t="s">
        <v>1144</v>
      </c>
      <c r="I156" s="354">
        <v>1</v>
      </c>
      <c r="J156" s="450">
        <v>0.53100000000000003</v>
      </c>
      <c r="K156" s="60">
        <f>J156*G156*E156/Settings!$D$17</f>
        <v>405.97795655574799</v>
      </c>
      <c r="L156" s="174" t="s">
        <v>721</v>
      </c>
      <c r="N156" s="3"/>
    </row>
    <row r="157" spans="2:14" x14ac:dyDescent="0.25">
      <c r="B157" s="356" t="s">
        <v>340</v>
      </c>
      <c r="C157" s="387" t="s">
        <v>1010</v>
      </c>
      <c r="D157" s="354" t="s">
        <v>1046</v>
      </c>
      <c r="E157" s="375">
        <v>354854</v>
      </c>
      <c r="F157" s="354" t="s">
        <v>1051</v>
      </c>
      <c r="G157" s="449">
        <v>3309.192484611262</v>
      </c>
      <c r="H157" s="354" t="s">
        <v>1143</v>
      </c>
      <c r="I157" s="354">
        <v>1</v>
      </c>
      <c r="J157" s="450">
        <v>0.16400000000000001</v>
      </c>
      <c r="K157" s="60">
        <f>J157*G157*E157/Settings!$D$17</f>
        <v>516.29857816709193</v>
      </c>
      <c r="L157" s="174" t="s">
        <v>721</v>
      </c>
      <c r="N157" s="3"/>
    </row>
    <row r="158" spans="2:14" x14ac:dyDescent="0.25">
      <c r="B158" s="356" t="s">
        <v>340</v>
      </c>
      <c r="C158" s="387" t="s">
        <v>1012</v>
      </c>
      <c r="D158" s="354" t="s">
        <v>1048</v>
      </c>
      <c r="E158" s="375">
        <v>203742</v>
      </c>
      <c r="F158" s="354" t="s">
        <v>1052</v>
      </c>
      <c r="G158" s="449">
        <v>10095.90143274571</v>
      </c>
      <c r="H158" s="354" t="s">
        <v>1145</v>
      </c>
      <c r="I158" s="354">
        <v>1</v>
      </c>
      <c r="J158" s="450">
        <v>0.371</v>
      </c>
      <c r="K158" s="60">
        <f>J158*G158*E158/Settings!$D$17</f>
        <v>2045.902453164399</v>
      </c>
      <c r="L158" s="174" t="s">
        <v>721</v>
      </c>
      <c r="N158" s="3"/>
    </row>
    <row r="159" spans="2:14" x14ac:dyDescent="0.25">
      <c r="B159" s="356" t="s">
        <v>340</v>
      </c>
      <c r="C159" s="387"/>
      <c r="D159" s="354"/>
      <c r="E159" s="375"/>
      <c r="F159" s="354"/>
      <c r="G159" s="449"/>
      <c r="H159" s="356"/>
      <c r="I159" s="453"/>
      <c r="J159" s="450"/>
      <c r="K159" s="60">
        <f>J159*G159*E159/Settings!$D$17</f>
        <v>0</v>
      </c>
      <c r="L159" s="174"/>
      <c r="N159" s="3"/>
    </row>
    <row r="160" spans="2:14" x14ac:dyDescent="0.25">
      <c r="B160" s="356" t="s">
        <v>340</v>
      </c>
      <c r="C160" s="387"/>
      <c r="D160" s="354"/>
      <c r="E160" s="375"/>
      <c r="F160" s="388"/>
      <c r="G160" s="449"/>
      <c r="H160" s="354"/>
      <c r="I160" s="354"/>
      <c r="J160" s="450"/>
      <c r="K160" s="60">
        <f>J160*G160*E160/Settings!$D$17</f>
        <v>0</v>
      </c>
      <c r="L160" s="385"/>
      <c r="N160" s="3"/>
    </row>
    <row r="161" spans="2:14" x14ac:dyDescent="0.25">
      <c r="B161" s="356" t="s">
        <v>340</v>
      </c>
      <c r="C161" s="387"/>
      <c r="D161" s="354"/>
      <c r="E161" s="375"/>
      <c r="F161" s="388"/>
      <c r="G161" s="449"/>
      <c r="H161" s="354"/>
      <c r="I161" s="354"/>
      <c r="J161" s="450"/>
      <c r="K161" s="60">
        <f>J161*G161*E161/Settings!$D$17</f>
        <v>0</v>
      </c>
      <c r="L161" s="385"/>
      <c r="N161" s="3"/>
    </row>
    <row r="162" spans="2:14" x14ac:dyDescent="0.25">
      <c r="B162" s="356" t="s">
        <v>340</v>
      </c>
      <c r="C162" s="387"/>
      <c r="D162" s="354"/>
      <c r="E162" s="375"/>
      <c r="F162" s="388"/>
      <c r="G162" s="452"/>
      <c r="H162" s="354"/>
      <c r="I162" s="354"/>
      <c r="J162" s="450"/>
      <c r="K162" s="60">
        <f>J162*G162*E162/Settings!$D$17</f>
        <v>0</v>
      </c>
      <c r="L162" s="385"/>
      <c r="N162" s="3"/>
    </row>
    <row r="163" spans="2:14" x14ac:dyDescent="0.25">
      <c r="B163" s="356" t="s">
        <v>340</v>
      </c>
      <c r="C163" s="387"/>
      <c r="D163" s="354"/>
      <c r="E163" s="375"/>
      <c r="F163" s="388"/>
      <c r="G163" s="452"/>
      <c r="H163" s="354"/>
      <c r="I163" s="354"/>
      <c r="J163" s="450"/>
      <c r="K163" s="60">
        <f>J163*G163*E163/Settings!$D$17</f>
        <v>0</v>
      </c>
      <c r="L163" s="385"/>
      <c r="N163" s="3"/>
    </row>
    <row r="164" spans="2:14" ht="30" customHeight="1" x14ac:dyDescent="0.25">
      <c r="B164" s="355" t="s">
        <v>410</v>
      </c>
      <c r="C164" s="378"/>
      <c r="D164" s="378"/>
      <c r="E164" s="448"/>
      <c r="F164" s="448"/>
      <c r="G164" s="448"/>
      <c r="H164" s="355"/>
      <c r="I164" s="448"/>
      <c r="J164" s="448"/>
      <c r="K164" s="448">
        <f>_xlfn.AGGREGATE(9,6,K132:K163)</f>
        <v>16455.576966801338</v>
      </c>
      <c r="L164" s="373"/>
      <c r="N164" s="3"/>
    </row>
    <row r="165" spans="2:14" x14ac:dyDescent="0.25">
      <c r="I165" s="24"/>
      <c r="J165" s="3"/>
      <c r="K165" s="3"/>
      <c r="L165" s="24"/>
      <c r="N165" s="3"/>
    </row>
    <row r="166" spans="2:14" x14ac:dyDescent="0.25">
      <c r="I166" s="24"/>
      <c r="J166" s="3"/>
      <c r="K166" s="3"/>
      <c r="L166" s="24"/>
      <c r="N166" s="3"/>
    </row>
    <row r="167" spans="2:14" x14ac:dyDescent="0.25">
      <c r="I167" s="24"/>
      <c r="J167" s="3"/>
      <c r="K167" s="3"/>
      <c r="L167" s="24"/>
      <c r="N167" s="3"/>
    </row>
    <row r="168" spans="2:14" s="279" customFormat="1" ht="30" customHeight="1" x14ac:dyDescent="0.25">
      <c r="B168" s="370" t="s">
        <v>957</v>
      </c>
      <c r="C168" s="371"/>
      <c r="D168" s="371"/>
      <c r="E168" s="371"/>
      <c r="F168" s="371"/>
      <c r="G168" s="371"/>
      <c r="H168" s="371"/>
      <c r="I168" s="371"/>
      <c r="J168" s="371"/>
      <c r="K168" s="371"/>
      <c r="L168" s="372"/>
    </row>
    <row r="169" spans="2:14" ht="16.8" customHeight="1" x14ac:dyDescent="0.25">
      <c r="B169" s="1014" t="s">
        <v>335</v>
      </c>
      <c r="C169" s="1014" t="s">
        <v>969</v>
      </c>
      <c r="D169" s="1014" t="s">
        <v>400</v>
      </c>
      <c r="E169" s="1014" t="s">
        <v>401</v>
      </c>
      <c r="F169" s="1014" t="s">
        <v>402</v>
      </c>
      <c r="G169" s="1014" t="s">
        <v>1146</v>
      </c>
      <c r="H169" s="1014" t="s">
        <v>1072</v>
      </c>
      <c r="I169" s="1014" t="s">
        <v>442</v>
      </c>
      <c r="J169" s="374" t="s">
        <v>405</v>
      </c>
      <c r="K169" s="374" t="s">
        <v>406</v>
      </c>
      <c r="L169" s="1014" t="s">
        <v>716</v>
      </c>
      <c r="N169" s="3"/>
    </row>
    <row r="170" spans="2:14" ht="16.2" customHeight="1" x14ac:dyDescent="0.25">
      <c r="B170" s="1008"/>
      <c r="C170" s="1008"/>
      <c r="D170" s="1008"/>
      <c r="E170" s="1008"/>
      <c r="F170" s="1008"/>
      <c r="G170" s="1008"/>
      <c r="H170" s="1008"/>
      <c r="I170" s="1008"/>
      <c r="J170" s="374" t="s">
        <v>1074</v>
      </c>
      <c r="K170" s="374" t="s">
        <v>222</v>
      </c>
      <c r="L170" s="1008"/>
      <c r="N170" s="3"/>
    </row>
    <row r="171" spans="2:14" x14ac:dyDescent="0.25">
      <c r="B171" s="356" t="s">
        <v>341</v>
      </c>
      <c r="C171" s="387" t="s">
        <v>985</v>
      </c>
      <c r="D171" s="354" t="s">
        <v>1020</v>
      </c>
      <c r="E171" s="375">
        <v>71243832.971999973</v>
      </c>
      <c r="F171" s="354" t="s">
        <v>1050</v>
      </c>
      <c r="G171" s="449">
        <v>1</v>
      </c>
      <c r="H171" s="354" t="s">
        <v>1079</v>
      </c>
      <c r="I171" s="354">
        <v>1</v>
      </c>
      <c r="J171" s="450">
        <v>8.3000000000000004E-2</v>
      </c>
      <c r="K171" s="60">
        <f>J171*G171*E171/Settings!$D$17</f>
        <v>15.852972846680332</v>
      </c>
      <c r="L171" s="174" t="s">
        <v>721</v>
      </c>
      <c r="N171" s="3"/>
    </row>
    <row r="172" spans="2:14" x14ac:dyDescent="0.25">
      <c r="B172" s="356" t="s">
        <v>341</v>
      </c>
      <c r="C172" s="387" t="s">
        <v>992</v>
      </c>
      <c r="D172" s="354" t="s">
        <v>1027</v>
      </c>
      <c r="E172" s="375">
        <v>2470683.3079999997</v>
      </c>
      <c r="F172" s="354" t="s">
        <v>1050</v>
      </c>
      <c r="G172" s="449">
        <v>1</v>
      </c>
      <c r="H172" s="354" t="s">
        <v>1080</v>
      </c>
      <c r="I172" s="354">
        <v>1</v>
      </c>
      <c r="J172" s="450">
        <v>0.221</v>
      </c>
      <c r="K172" s="60">
        <f>J172*G172*E172/Settings!$D$17</f>
        <v>1.4638436778809936</v>
      </c>
      <c r="L172" s="174" t="s">
        <v>721</v>
      </c>
      <c r="N172" s="3"/>
    </row>
    <row r="173" spans="2:14" x14ac:dyDescent="0.25">
      <c r="B173" s="356" t="s">
        <v>341</v>
      </c>
      <c r="C173" s="387" t="s">
        <v>993</v>
      </c>
      <c r="D173" s="354" t="s">
        <v>1028</v>
      </c>
      <c r="E173" s="375">
        <v>5166951.3229999989</v>
      </c>
      <c r="F173" s="354" t="s">
        <v>1050</v>
      </c>
      <c r="G173" s="449">
        <v>1</v>
      </c>
      <c r="H173" s="354" t="s">
        <v>1080</v>
      </c>
      <c r="I173" s="354">
        <v>1</v>
      </c>
      <c r="J173" s="450">
        <v>0.221</v>
      </c>
      <c r="K173" s="60">
        <f>J173*G173*E173/Settings!$D$17</f>
        <v>3.0613429910671432</v>
      </c>
      <c r="L173" s="174" t="s">
        <v>721</v>
      </c>
      <c r="N173" s="3"/>
    </row>
    <row r="174" spans="2:14" x14ac:dyDescent="0.25">
      <c r="B174" s="356" t="s">
        <v>341</v>
      </c>
      <c r="C174" s="387" t="s">
        <v>1078</v>
      </c>
      <c r="D174" s="354" t="s">
        <v>1030</v>
      </c>
      <c r="E174" s="375">
        <v>4285355.6449999996</v>
      </c>
      <c r="F174" s="354" t="s">
        <v>1050</v>
      </c>
      <c r="G174" s="449">
        <v>1</v>
      </c>
      <c r="H174" s="354" t="s">
        <v>1081</v>
      </c>
      <c r="I174" s="354">
        <v>1</v>
      </c>
      <c r="J174" s="450">
        <v>0.248</v>
      </c>
      <c r="K174" s="60">
        <f>J174*G174*E174/Settings!$D$17</f>
        <v>2.8492063108001231</v>
      </c>
      <c r="L174" s="174" t="s">
        <v>721</v>
      </c>
      <c r="N174" s="3"/>
    </row>
    <row r="175" spans="2:14" x14ac:dyDescent="0.25">
      <c r="B175" s="356" t="s">
        <v>341</v>
      </c>
      <c r="C175" s="387" t="s">
        <v>995</v>
      </c>
      <c r="D175" s="354" t="s">
        <v>1031</v>
      </c>
      <c r="E175" s="375">
        <v>18056989.436999995</v>
      </c>
      <c r="F175" s="354" t="s">
        <v>1050</v>
      </c>
      <c r="G175" s="449">
        <v>1</v>
      </c>
      <c r="H175" s="354" t="s">
        <v>1082</v>
      </c>
      <c r="I175" s="354">
        <v>1</v>
      </c>
      <c r="J175" s="450">
        <v>0.36</v>
      </c>
      <c r="K175" s="60">
        <f>J175*G175*E175/Settings!$D$17</f>
        <v>17.427423753890693</v>
      </c>
      <c r="L175" s="174" t="s">
        <v>721</v>
      </c>
      <c r="N175" s="3"/>
    </row>
    <row r="176" spans="2:14" x14ac:dyDescent="0.25">
      <c r="B176" s="356" t="s">
        <v>341</v>
      </c>
      <c r="C176" s="387" t="s">
        <v>1003</v>
      </c>
      <c r="D176" s="354" t="s">
        <v>1039</v>
      </c>
      <c r="E176" s="375">
        <v>40230005.767000005</v>
      </c>
      <c r="F176" s="354" t="s">
        <v>1050</v>
      </c>
      <c r="G176" s="449">
        <v>1</v>
      </c>
      <c r="H176" s="354" t="s">
        <v>1083</v>
      </c>
      <c r="I176" s="354">
        <v>1</v>
      </c>
      <c r="J176" s="450">
        <v>0.10199999999999999</v>
      </c>
      <c r="K176" s="60">
        <f>J176*G176*E176/Settings!$D$17</f>
        <v>11.00108735334379</v>
      </c>
      <c r="L176" s="174" t="s">
        <v>721</v>
      </c>
      <c r="N176" s="3"/>
    </row>
    <row r="177" spans="2:14" x14ac:dyDescent="0.25">
      <c r="B177" s="356" t="s">
        <v>341</v>
      </c>
      <c r="C177" s="387" t="s">
        <v>1004</v>
      </c>
      <c r="D177" s="354" t="s">
        <v>1040</v>
      </c>
      <c r="E177" s="375">
        <v>105786106.61</v>
      </c>
      <c r="F177" s="354" t="s">
        <v>1050</v>
      </c>
      <c r="G177" s="449">
        <v>1</v>
      </c>
      <c r="H177" s="354" t="s">
        <v>1083</v>
      </c>
      <c r="I177" s="354">
        <v>1</v>
      </c>
      <c r="J177" s="450">
        <v>0.10199999999999999</v>
      </c>
      <c r="K177" s="60">
        <f>J177*G177*E177/Settings!$D$17</f>
        <v>28.927716449430971</v>
      </c>
      <c r="L177" s="174" t="s">
        <v>721</v>
      </c>
      <c r="N177" s="3"/>
    </row>
    <row r="178" spans="2:14" x14ac:dyDescent="0.25">
      <c r="B178" s="356" t="s">
        <v>341</v>
      </c>
      <c r="C178" s="387" t="s">
        <v>1005</v>
      </c>
      <c r="D178" s="354" t="s">
        <v>1041</v>
      </c>
      <c r="E178" s="375">
        <v>475800.43000000005</v>
      </c>
      <c r="F178" s="354" t="s">
        <v>1050</v>
      </c>
      <c r="G178" s="449">
        <v>1</v>
      </c>
      <c r="H178" s="354" t="s">
        <v>1084</v>
      </c>
      <c r="I178" s="354">
        <v>1</v>
      </c>
      <c r="J178" s="450">
        <v>0.54400000000000004</v>
      </c>
      <c r="K178" s="60">
        <f>J178*G178*E178/Settings!$D$17</f>
        <v>0.69391947539577226</v>
      </c>
      <c r="L178" s="174" t="s">
        <v>721</v>
      </c>
      <c r="N178" s="3"/>
    </row>
    <row r="179" spans="2:14" x14ac:dyDescent="0.25">
      <c r="B179" s="356" t="s">
        <v>341</v>
      </c>
      <c r="C179" s="387" t="s">
        <v>979</v>
      </c>
      <c r="D179" s="354" t="s">
        <v>1014</v>
      </c>
      <c r="E179" s="375">
        <v>624</v>
      </c>
      <c r="F179" s="354" t="s">
        <v>1049</v>
      </c>
      <c r="G179" s="451">
        <v>970.67515462700192</v>
      </c>
      <c r="H179" s="354" t="s">
        <v>1134</v>
      </c>
      <c r="I179" s="354">
        <v>1</v>
      </c>
      <c r="J179" s="450">
        <v>0.39100000000000001</v>
      </c>
      <c r="K179" s="60">
        <f>J179*G179*E179/Settings!$D$17</f>
        <v>0.63492233864563319</v>
      </c>
      <c r="L179" s="174" t="s">
        <v>721</v>
      </c>
      <c r="N179" s="3"/>
    </row>
    <row r="180" spans="2:14" x14ac:dyDescent="0.25">
      <c r="B180" s="356" t="s">
        <v>341</v>
      </c>
      <c r="C180" s="387" t="s">
        <v>980</v>
      </c>
      <c r="D180" s="354" t="s">
        <v>1015</v>
      </c>
      <c r="E180" s="375">
        <v>738</v>
      </c>
      <c r="F180" s="354" t="s">
        <v>1049</v>
      </c>
      <c r="G180" s="449">
        <v>1296.9271990612503</v>
      </c>
      <c r="H180" s="354" t="s">
        <v>1134</v>
      </c>
      <c r="I180" s="354">
        <v>1</v>
      </c>
      <c r="J180" s="450">
        <v>0.39100000000000001</v>
      </c>
      <c r="K180" s="60">
        <f>J180*G180*E180/Settings!$D$17</f>
        <v>1.0033075125178383</v>
      </c>
      <c r="L180" s="174" t="s">
        <v>721</v>
      </c>
      <c r="N180" s="3"/>
    </row>
    <row r="181" spans="2:14" x14ac:dyDescent="0.25">
      <c r="B181" s="356" t="s">
        <v>341</v>
      </c>
      <c r="C181" s="387" t="s">
        <v>981</v>
      </c>
      <c r="D181" s="354" t="s">
        <v>1016</v>
      </c>
      <c r="E181" s="375">
        <v>1248</v>
      </c>
      <c r="F181" s="354" t="s">
        <v>1049</v>
      </c>
      <c r="G181" s="449">
        <v>617.49618320610682</v>
      </c>
      <c r="H181" s="354" t="s">
        <v>1134</v>
      </c>
      <c r="I181" s="354">
        <v>1</v>
      </c>
      <c r="J181" s="450">
        <v>0.39100000000000001</v>
      </c>
      <c r="K181" s="60">
        <f>J181*G181*E181/Settings!$D$17</f>
        <v>0.80781323984053177</v>
      </c>
      <c r="L181" s="174" t="s">
        <v>721</v>
      </c>
      <c r="N181" s="3"/>
    </row>
    <row r="182" spans="2:14" x14ac:dyDescent="0.25">
      <c r="B182" s="356" t="s">
        <v>341</v>
      </c>
      <c r="C182" s="387" t="s">
        <v>982</v>
      </c>
      <c r="D182" s="354" t="s">
        <v>1017</v>
      </c>
      <c r="E182" s="375">
        <v>416</v>
      </c>
      <c r="F182" s="354" t="s">
        <v>1049</v>
      </c>
      <c r="G182" s="449">
        <v>646.60493827160496</v>
      </c>
      <c r="H182" s="354" t="s">
        <v>1134</v>
      </c>
      <c r="I182" s="354">
        <v>1</v>
      </c>
      <c r="J182" s="450">
        <v>0.39100000000000001</v>
      </c>
      <c r="K182" s="60">
        <f>J182*G182*E182/Settings!$D$17</f>
        <v>0.2819645121097738</v>
      </c>
      <c r="L182" s="174" t="s">
        <v>721</v>
      </c>
      <c r="N182" s="3"/>
    </row>
    <row r="183" spans="2:14" x14ac:dyDescent="0.25">
      <c r="B183" s="356" t="s">
        <v>341</v>
      </c>
      <c r="C183" s="387" t="s">
        <v>983</v>
      </c>
      <c r="D183" s="354" t="s">
        <v>1018</v>
      </c>
      <c r="E183" s="375">
        <v>46414.5</v>
      </c>
      <c r="F183" s="354" t="s">
        <v>1049</v>
      </c>
      <c r="G183" s="449">
        <v>206.82201562939514</v>
      </c>
      <c r="H183" s="354" t="s">
        <v>1136</v>
      </c>
      <c r="I183" s="354">
        <v>1</v>
      </c>
      <c r="J183" s="450">
        <v>1.01</v>
      </c>
      <c r="K183" s="60">
        <f>J183*G183*E183/Settings!$D$17</f>
        <v>25.993045264473309</v>
      </c>
      <c r="L183" s="174" t="s">
        <v>721</v>
      </c>
      <c r="N183" s="3"/>
    </row>
    <row r="184" spans="2:14" x14ac:dyDescent="0.25">
      <c r="B184" s="356" t="s">
        <v>341</v>
      </c>
      <c r="C184" s="387" t="s">
        <v>984</v>
      </c>
      <c r="D184" s="354" t="s">
        <v>1019</v>
      </c>
      <c r="E184" s="375">
        <v>180</v>
      </c>
      <c r="F184" s="354" t="s">
        <v>1049</v>
      </c>
      <c r="G184" s="449">
        <v>1401.6159072427272</v>
      </c>
      <c r="H184" s="354" t="s">
        <v>1134</v>
      </c>
      <c r="I184" s="354">
        <v>1</v>
      </c>
      <c r="J184" s="450">
        <v>0.39100000000000001</v>
      </c>
      <c r="K184" s="60">
        <f>J184*G184*E184/Settings!$D$17</f>
        <v>0.26446221244150386</v>
      </c>
      <c r="L184" s="174" t="s">
        <v>721</v>
      </c>
      <c r="N184" s="3"/>
    </row>
    <row r="185" spans="2:14" x14ac:dyDescent="0.25">
      <c r="B185" s="356" t="s">
        <v>341</v>
      </c>
      <c r="C185" s="387" t="s">
        <v>986</v>
      </c>
      <c r="D185" s="354" t="s">
        <v>1021</v>
      </c>
      <c r="E185" s="375">
        <v>369.59999999999997</v>
      </c>
      <c r="F185" s="354" t="s">
        <v>1049</v>
      </c>
      <c r="G185" s="449">
        <v>237.94260031928448</v>
      </c>
      <c r="H185" s="354" t="s">
        <v>1147</v>
      </c>
      <c r="I185" s="354">
        <v>1</v>
      </c>
      <c r="J185" s="450">
        <v>0.5</v>
      </c>
      <c r="K185" s="60">
        <f>J185*G185*E185/Settings!$D$17</f>
        <v>0.11788526303669862</v>
      </c>
      <c r="L185" s="174" t="s">
        <v>721</v>
      </c>
      <c r="N185" s="3"/>
    </row>
    <row r="186" spans="2:14" x14ac:dyDescent="0.25">
      <c r="B186" s="356" t="s">
        <v>341</v>
      </c>
      <c r="C186" s="387" t="s">
        <v>987</v>
      </c>
      <c r="D186" s="354" t="s">
        <v>1022</v>
      </c>
      <c r="E186" s="375">
        <v>0</v>
      </c>
      <c r="F186" s="354" t="s">
        <v>1049</v>
      </c>
      <c r="G186" s="449">
        <v>293.43338352480708</v>
      </c>
      <c r="H186" s="354" t="s">
        <v>1147</v>
      </c>
      <c r="I186" s="354">
        <v>1</v>
      </c>
      <c r="J186" s="450">
        <v>0.5</v>
      </c>
      <c r="K186" s="60">
        <f>J186*G186*E186/Settings!$D$17</f>
        <v>0</v>
      </c>
      <c r="L186" s="174" t="s">
        <v>721</v>
      </c>
      <c r="N186" s="3"/>
    </row>
    <row r="187" spans="2:14" x14ac:dyDescent="0.25">
      <c r="B187" s="356" t="s">
        <v>341</v>
      </c>
      <c r="C187" s="387" t="s">
        <v>988</v>
      </c>
      <c r="D187" s="354" t="s">
        <v>1023</v>
      </c>
      <c r="E187" s="375">
        <v>1310290</v>
      </c>
      <c r="F187" s="354" t="s">
        <v>1049</v>
      </c>
      <c r="G187" s="449">
        <v>133.39815380488952</v>
      </c>
      <c r="H187" s="354" t="s">
        <v>1136</v>
      </c>
      <c r="I187" s="354">
        <v>1</v>
      </c>
      <c r="J187" s="450">
        <v>1.01</v>
      </c>
      <c r="K187" s="60">
        <f>J187*G187*E187/Settings!$D$17</f>
        <v>473.2863356215031</v>
      </c>
      <c r="L187" s="174" t="s">
        <v>721</v>
      </c>
      <c r="N187" s="3"/>
    </row>
    <row r="188" spans="2:14" x14ac:dyDescent="0.25">
      <c r="B188" s="356" t="s">
        <v>341</v>
      </c>
      <c r="C188" s="387" t="s">
        <v>989</v>
      </c>
      <c r="D188" s="354" t="s">
        <v>1024</v>
      </c>
      <c r="E188" s="375">
        <v>9226</v>
      </c>
      <c r="F188" s="354" t="s">
        <v>1049</v>
      </c>
      <c r="G188" s="449">
        <v>1296.505577978593</v>
      </c>
      <c r="H188" s="354" t="s">
        <v>1138</v>
      </c>
      <c r="I188" s="354">
        <v>1</v>
      </c>
      <c r="J188" s="450">
        <v>0.35499999999999998</v>
      </c>
      <c r="K188" s="60">
        <f>J188*G188*E188/Settings!$D$17</f>
        <v>11.384174378796068</v>
      </c>
      <c r="L188" s="174" t="s">
        <v>721</v>
      </c>
      <c r="N188" s="3"/>
    </row>
    <row r="189" spans="2:14" x14ac:dyDescent="0.25">
      <c r="B189" s="356" t="s">
        <v>341</v>
      </c>
      <c r="C189" s="387" t="s">
        <v>990</v>
      </c>
      <c r="D189" s="354" t="s">
        <v>1025</v>
      </c>
      <c r="E189" s="375">
        <v>4468850</v>
      </c>
      <c r="F189" s="354" t="s">
        <v>1049</v>
      </c>
      <c r="G189" s="449">
        <v>189.16114831815787</v>
      </c>
      <c r="H189" s="354" t="s">
        <v>1136</v>
      </c>
      <c r="I189" s="354">
        <v>1</v>
      </c>
      <c r="J189" s="450">
        <v>1.01</v>
      </c>
      <c r="K189" s="60">
        <f>J189*G189*E189/Settings!$D$17</f>
        <v>2288.9401633710427</v>
      </c>
      <c r="L189" s="174" t="s">
        <v>721</v>
      </c>
      <c r="N189" s="3"/>
    </row>
    <row r="190" spans="2:14" x14ac:dyDescent="0.25">
      <c r="B190" s="356" t="s">
        <v>341</v>
      </c>
      <c r="C190" s="387" t="s">
        <v>994</v>
      </c>
      <c r="D190" s="354" t="s">
        <v>1029</v>
      </c>
      <c r="E190" s="375">
        <v>878.3</v>
      </c>
      <c r="F190" s="354" t="s">
        <v>1049</v>
      </c>
      <c r="G190" s="449">
        <v>600.95071339373487</v>
      </c>
      <c r="H190" s="354" t="s">
        <v>1134</v>
      </c>
      <c r="I190" s="354">
        <v>1</v>
      </c>
      <c r="J190" s="450">
        <v>0.39100000000000001</v>
      </c>
      <c r="K190" s="60">
        <f>J190*G190*E190/Settings!$D$17</f>
        <v>0.55327856067699754</v>
      </c>
      <c r="L190" s="174" t="s">
        <v>721</v>
      </c>
      <c r="N190" s="3"/>
    </row>
    <row r="191" spans="2:14" x14ac:dyDescent="0.25">
      <c r="B191" s="356" t="s">
        <v>341</v>
      </c>
      <c r="C191" s="387" t="s">
        <v>996</v>
      </c>
      <c r="D191" s="354" t="s">
        <v>1032</v>
      </c>
      <c r="E191" s="375">
        <v>4473570</v>
      </c>
      <c r="F191" s="354" t="s">
        <v>1049</v>
      </c>
      <c r="G191" s="449">
        <v>37.5</v>
      </c>
      <c r="H191" s="354" t="s">
        <v>1136</v>
      </c>
      <c r="I191" s="354">
        <v>1</v>
      </c>
      <c r="J191" s="450">
        <v>1.01</v>
      </c>
      <c r="K191" s="60">
        <f>J191*G191*E191/Settings!$D$17</f>
        <v>454.24716491736035</v>
      </c>
      <c r="L191" s="174" t="s">
        <v>721</v>
      </c>
      <c r="N191" s="3"/>
    </row>
    <row r="192" spans="2:14" x14ac:dyDescent="0.25">
      <c r="B192" s="356" t="s">
        <v>341</v>
      </c>
      <c r="C192" s="387" t="s">
        <v>997</v>
      </c>
      <c r="D192" s="354" t="s">
        <v>1033</v>
      </c>
      <c r="E192" s="375">
        <v>989570</v>
      </c>
      <c r="F192" s="354" t="s">
        <v>1049</v>
      </c>
      <c r="G192" s="449">
        <v>52.088751026537459</v>
      </c>
      <c r="H192" s="354" t="s">
        <v>1136</v>
      </c>
      <c r="I192" s="354">
        <v>1</v>
      </c>
      <c r="J192" s="450">
        <v>1.01</v>
      </c>
      <c r="K192" s="60">
        <f>J192*G192*E192/Settings!$D$17</f>
        <v>139.57164114921778</v>
      </c>
      <c r="L192" s="174" t="s">
        <v>721</v>
      </c>
      <c r="N192" s="3"/>
    </row>
    <row r="193" spans="2:14" x14ac:dyDescent="0.25">
      <c r="B193" s="356" t="s">
        <v>341</v>
      </c>
      <c r="C193" s="387" t="s">
        <v>998</v>
      </c>
      <c r="D193" s="354" t="s">
        <v>1034</v>
      </c>
      <c r="E193" s="375">
        <v>5149</v>
      </c>
      <c r="F193" s="354" t="s">
        <v>1049</v>
      </c>
      <c r="G193" s="449">
        <v>3296.9245191779314</v>
      </c>
      <c r="H193" s="354" t="s">
        <v>1148</v>
      </c>
      <c r="I193" s="354">
        <v>1</v>
      </c>
      <c r="J193" s="450">
        <v>0.184</v>
      </c>
      <c r="K193" s="60">
        <f>J193*G193*E193/Settings!$D$17</f>
        <v>8.3740406703971235</v>
      </c>
      <c r="L193" s="174" t="s">
        <v>721</v>
      </c>
      <c r="N193" s="3"/>
    </row>
    <row r="194" spans="2:14" x14ac:dyDescent="0.25">
      <c r="B194" s="356" t="s">
        <v>341</v>
      </c>
      <c r="C194" s="387" t="s">
        <v>1000</v>
      </c>
      <c r="D194" s="354" t="s">
        <v>1036</v>
      </c>
      <c r="E194" s="375">
        <v>4620</v>
      </c>
      <c r="F194" s="354" t="s">
        <v>1049</v>
      </c>
      <c r="G194" s="449">
        <v>4641.5013749783056</v>
      </c>
      <c r="H194" s="354" t="s">
        <v>1147</v>
      </c>
      <c r="I194" s="354">
        <v>1</v>
      </c>
      <c r="J194" s="450">
        <v>0.5</v>
      </c>
      <c r="K194" s="60">
        <f>J194*G194*E194/Settings!$D$17</f>
        <v>28.744569580032135</v>
      </c>
      <c r="L194" s="174" t="s">
        <v>721</v>
      </c>
      <c r="N194" s="3"/>
    </row>
    <row r="195" spans="2:14" x14ac:dyDescent="0.25">
      <c r="B195" s="356" t="s">
        <v>341</v>
      </c>
      <c r="C195" s="387" t="s">
        <v>1002</v>
      </c>
      <c r="D195" s="354" t="s">
        <v>1038</v>
      </c>
      <c r="E195" s="375">
        <v>0</v>
      </c>
      <c r="F195" s="354" t="s">
        <v>1049</v>
      </c>
      <c r="G195" s="449">
        <v>5139.0246291829408</v>
      </c>
      <c r="H195" s="354" t="s">
        <v>1147</v>
      </c>
      <c r="I195" s="354">
        <v>1</v>
      </c>
      <c r="J195" s="450">
        <v>0.5</v>
      </c>
      <c r="K195" s="60">
        <f>J195*G195*E195/Settings!$D$17</f>
        <v>0</v>
      </c>
      <c r="L195" s="174" t="s">
        <v>721</v>
      </c>
      <c r="N195" s="3"/>
    </row>
    <row r="196" spans="2:14" x14ac:dyDescent="0.25">
      <c r="B196" s="356" t="s">
        <v>341</v>
      </c>
      <c r="C196" s="387" t="s">
        <v>1009</v>
      </c>
      <c r="D196" s="354" t="s">
        <v>1045</v>
      </c>
      <c r="E196" s="375">
        <v>380</v>
      </c>
      <c r="F196" s="354" t="s">
        <v>1049</v>
      </c>
      <c r="G196" s="449">
        <v>3557.8998513776151</v>
      </c>
      <c r="H196" s="354" t="s">
        <v>1141</v>
      </c>
      <c r="I196" s="354">
        <v>1</v>
      </c>
      <c r="J196" s="450">
        <v>0.54400000000000004</v>
      </c>
      <c r="K196" s="60">
        <f>J196*G196*E196/Settings!$D$17</f>
        <v>1.9717940973359087</v>
      </c>
      <c r="L196" s="174" t="s">
        <v>721</v>
      </c>
      <c r="N196" s="3"/>
    </row>
    <row r="197" spans="2:14" x14ac:dyDescent="0.25">
      <c r="B197" s="356" t="s">
        <v>341</v>
      </c>
      <c r="C197" s="387" t="s">
        <v>1011</v>
      </c>
      <c r="D197" s="354" t="s">
        <v>1047</v>
      </c>
      <c r="E197" s="375">
        <v>9495</v>
      </c>
      <c r="F197" s="354" t="s">
        <v>1049</v>
      </c>
      <c r="G197" s="449">
        <v>778.73900803072172</v>
      </c>
      <c r="H197" s="354" t="s">
        <v>1142</v>
      </c>
      <c r="I197" s="354">
        <v>1</v>
      </c>
      <c r="J197" s="450">
        <v>0.221</v>
      </c>
      <c r="K197" s="60">
        <f>J197*G197*E197/Settings!$D$17</f>
        <v>4.3809118932899738</v>
      </c>
      <c r="L197" s="174" t="s">
        <v>721</v>
      </c>
      <c r="N197" s="3"/>
    </row>
    <row r="198" spans="2:14" x14ac:dyDescent="0.25">
      <c r="B198" s="356" t="s">
        <v>341</v>
      </c>
      <c r="C198" s="387" t="s">
        <v>1007</v>
      </c>
      <c r="D198" s="354" t="s">
        <v>1043</v>
      </c>
      <c r="E198" s="375">
        <v>4</v>
      </c>
      <c r="F198" s="354" t="s">
        <v>1051</v>
      </c>
      <c r="G198" s="449">
        <v>18744.4469924812</v>
      </c>
      <c r="H198" s="354" t="s">
        <v>1143</v>
      </c>
      <c r="I198" s="354">
        <v>1</v>
      </c>
      <c r="J198" s="450">
        <v>0.16400000000000001</v>
      </c>
      <c r="K198" s="60">
        <f>J198*G198*E198/Settings!$D$17</f>
        <v>3.2965663267429841E-2</v>
      </c>
      <c r="L198" s="174" t="s">
        <v>721</v>
      </c>
      <c r="N198" s="3"/>
    </row>
    <row r="199" spans="2:14" x14ac:dyDescent="0.25">
      <c r="B199" s="356" t="s">
        <v>341</v>
      </c>
      <c r="C199" s="387" t="s">
        <v>1008</v>
      </c>
      <c r="D199" s="354" t="s">
        <v>1044</v>
      </c>
      <c r="E199" s="375">
        <v>12</v>
      </c>
      <c r="F199" s="354" t="s">
        <v>1051</v>
      </c>
      <c r="G199" s="449">
        <v>7256.9166884988208</v>
      </c>
      <c r="H199" s="354" t="s">
        <v>1144</v>
      </c>
      <c r="I199" s="354">
        <v>1</v>
      </c>
      <c r="J199" s="450">
        <v>0.53100000000000003</v>
      </c>
      <c r="K199" s="60">
        <f>J199*G199*E199/Settings!$D$17</f>
        <v>0.12396904368336747</v>
      </c>
      <c r="L199" s="174" t="s">
        <v>721</v>
      </c>
      <c r="N199" s="3"/>
    </row>
    <row r="200" spans="2:14" x14ac:dyDescent="0.25">
      <c r="B200" s="356" t="s">
        <v>341</v>
      </c>
      <c r="C200" s="387"/>
      <c r="D200" s="354"/>
      <c r="E200" s="375"/>
      <c r="F200" s="354"/>
      <c r="G200" s="449"/>
      <c r="H200" s="354"/>
      <c r="I200" s="354"/>
      <c r="J200" s="450"/>
      <c r="K200" s="60">
        <f>J200*G200*E200/Settings!$D$17</f>
        <v>0</v>
      </c>
      <c r="L200" s="385"/>
      <c r="N200" s="3"/>
    </row>
    <row r="201" spans="2:14" x14ac:dyDescent="0.25">
      <c r="B201" s="356" t="s">
        <v>341</v>
      </c>
      <c r="C201" s="387"/>
      <c r="D201" s="354"/>
      <c r="E201" s="375"/>
      <c r="F201" s="354"/>
      <c r="G201" s="449"/>
      <c r="H201" s="354"/>
      <c r="I201" s="354"/>
      <c r="J201" s="450"/>
      <c r="K201" s="60">
        <f>J201*G201*E201/Settings!$D$17</f>
        <v>0</v>
      </c>
      <c r="L201" s="385"/>
      <c r="N201" s="3"/>
    </row>
    <row r="202" spans="2:14" x14ac:dyDescent="0.25">
      <c r="B202" s="356" t="s">
        <v>341</v>
      </c>
      <c r="C202" s="387"/>
      <c r="D202" s="354"/>
      <c r="E202" s="375"/>
      <c r="F202" s="354"/>
      <c r="G202" s="449"/>
      <c r="H202" s="354"/>
      <c r="I202" s="354"/>
      <c r="J202" s="450"/>
      <c r="K202" s="60">
        <f>J202*G202*E202/Settings!$D$17</f>
        <v>0</v>
      </c>
      <c r="L202" s="385"/>
      <c r="N202" s="3"/>
    </row>
    <row r="203" spans="2:14" ht="30" customHeight="1" x14ac:dyDescent="0.25">
      <c r="B203" s="355" t="s">
        <v>410</v>
      </c>
      <c r="C203" s="378"/>
      <c r="D203" s="378"/>
      <c r="E203" s="448"/>
      <c r="F203" s="448"/>
      <c r="G203" s="448"/>
      <c r="H203" s="355"/>
      <c r="I203" s="448"/>
      <c r="J203" s="448"/>
      <c r="K203" s="448">
        <f>_xlfn.AGGREGATE(9,6,K171:K202)</f>
        <v>3521.9919221481582</v>
      </c>
      <c r="L203" s="373"/>
      <c r="N203" s="3"/>
    </row>
    <row r="204" spans="2:14" x14ac:dyDescent="0.25">
      <c r="I204" s="24"/>
      <c r="J204" s="3"/>
      <c r="K204" s="3"/>
      <c r="L204" s="24"/>
      <c r="N204" s="3"/>
    </row>
    <row r="205" spans="2:14" x14ac:dyDescent="0.25">
      <c r="I205" s="24"/>
      <c r="J205" s="3"/>
      <c r="K205" s="3"/>
      <c r="L205" s="24"/>
      <c r="N205" s="3"/>
    </row>
    <row r="206" spans="2:14" x14ac:dyDescent="0.25">
      <c r="I206" s="24"/>
      <c r="J206" s="3"/>
      <c r="K206" s="3"/>
      <c r="L206" s="24"/>
      <c r="N206" s="3"/>
    </row>
    <row r="207" spans="2:14" s="279" customFormat="1" ht="30" customHeight="1" x14ac:dyDescent="0.25">
      <c r="B207" s="370" t="s">
        <v>959</v>
      </c>
      <c r="C207" s="371"/>
      <c r="D207" s="371"/>
      <c r="E207" s="371"/>
      <c r="F207" s="371"/>
      <c r="G207" s="371"/>
      <c r="H207" s="371"/>
      <c r="I207" s="371"/>
      <c r="J207" s="371"/>
      <c r="K207" s="371"/>
      <c r="L207" s="372"/>
    </row>
    <row r="208" spans="2:14" ht="16.8" customHeight="1" x14ac:dyDescent="0.25">
      <c r="B208" s="1014" t="s">
        <v>335</v>
      </c>
      <c r="C208" s="1014" t="s">
        <v>969</v>
      </c>
      <c r="D208" s="1014" t="s">
        <v>400</v>
      </c>
      <c r="E208" s="1014" t="s">
        <v>401</v>
      </c>
      <c r="F208" s="1014" t="s">
        <v>402</v>
      </c>
      <c r="G208" s="1014" t="s">
        <v>1146</v>
      </c>
      <c r="H208" s="1014" t="s">
        <v>1072</v>
      </c>
      <c r="I208" s="1014" t="s">
        <v>442</v>
      </c>
      <c r="J208" s="374" t="s">
        <v>405</v>
      </c>
      <c r="K208" s="374" t="s">
        <v>406</v>
      </c>
      <c r="L208" s="1014" t="s">
        <v>716</v>
      </c>
      <c r="N208" s="3"/>
    </row>
    <row r="209" spans="2:14" ht="16.2" customHeight="1" x14ac:dyDescent="0.25">
      <c r="B209" s="1008"/>
      <c r="C209" s="1008"/>
      <c r="D209" s="1008"/>
      <c r="E209" s="1008"/>
      <c r="F209" s="1008"/>
      <c r="G209" s="1008"/>
      <c r="H209" s="1008"/>
      <c r="I209" s="1008"/>
      <c r="J209" s="374" t="s">
        <v>1074</v>
      </c>
      <c r="K209" s="374" t="s">
        <v>222</v>
      </c>
      <c r="L209" s="1008"/>
      <c r="N209" s="3"/>
    </row>
    <row r="210" spans="2:14" x14ac:dyDescent="0.25">
      <c r="B210" s="356" t="s">
        <v>342</v>
      </c>
      <c r="C210" s="387" t="s">
        <v>985</v>
      </c>
      <c r="D210" s="354" t="s">
        <v>1020</v>
      </c>
      <c r="E210" s="375">
        <v>7212045.2170000002</v>
      </c>
      <c r="F210" s="354" t="s">
        <v>1050</v>
      </c>
      <c r="G210" s="449">
        <v>1</v>
      </c>
      <c r="H210" s="354" t="s">
        <v>1079</v>
      </c>
      <c r="I210" s="354">
        <v>1</v>
      </c>
      <c r="J210" s="450">
        <v>8.3000000000000004E-2</v>
      </c>
      <c r="K210" s="60">
        <f>J210*G210*E210/Settings!$D$17</f>
        <v>1.6048035629844104</v>
      </c>
      <c r="L210" s="174" t="s">
        <v>721</v>
      </c>
      <c r="N210" s="3"/>
    </row>
    <row r="211" spans="2:14" x14ac:dyDescent="0.25">
      <c r="B211" s="356" t="s">
        <v>342</v>
      </c>
      <c r="C211" s="387" t="s">
        <v>992</v>
      </c>
      <c r="D211" s="354" t="s">
        <v>1027</v>
      </c>
      <c r="E211" s="375">
        <v>110492.302</v>
      </c>
      <c r="F211" s="354" t="s">
        <v>1050</v>
      </c>
      <c r="G211" s="449">
        <v>1</v>
      </c>
      <c r="H211" s="354" t="s">
        <v>1080</v>
      </c>
      <c r="I211" s="354">
        <v>1</v>
      </c>
      <c r="J211" s="450">
        <v>0.221</v>
      </c>
      <c r="K211" s="60">
        <f>J211*G211*E211/Settings!$D$17</f>
        <v>6.5465070822106938E-2</v>
      </c>
      <c r="L211" s="174" t="s">
        <v>721</v>
      </c>
      <c r="N211" s="3"/>
    </row>
    <row r="212" spans="2:14" x14ac:dyDescent="0.25">
      <c r="B212" s="356" t="s">
        <v>342</v>
      </c>
      <c r="C212" s="387" t="s">
        <v>993</v>
      </c>
      <c r="D212" s="354" t="s">
        <v>1028</v>
      </c>
      <c r="E212" s="375">
        <v>18758311.900000002</v>
      </c>
      <c r="F212" s="354" t="s">
        <v>1050</v>
      </c>
      <c r="G212" s="449">
        <v>1</v>
      </c>
      <c r="H212" s="354" t="s">
        <v>1080</v>
      </c>
      <c r="I212" s="354">
        <v>1</v>
      </c>
      <c r="J212" s="450">
        <v>0.221</v>
      </c>
      <c r="K212" s="60">
        <f>J212*G212*E212/Settings!$D$17</f>
        <v>11.114025093229314</v>
      </c>
      <c r="L212" s="174" t="s">
        <v>721</v>
      </c>
      <c r="N212" s="3"/>
    </row>
    <row r="213" spans="2:14" x14ac:dyDescent="0.25">
      <c r="B213" s="356" t="s">
        <v>342</v>
      </c>
      <c r="C213" s="387" t="s">
        <v>1078</v>
      </c>
      <c r="D213" s="354" t="s">
        <v>1030</v>
      </c>
      <c r="E213" s="375">
        <v>1200892.135</v>
      </c>
      <c r="F213" s="354" t="s">
        <v>1050</v>
      </c>
      <c r="G213" s="449">
        <v>1</v>
      </c>
      <c r="H213" s="354" t="s">
        <v>1081</v>
      </c>
      <c r="I213" s="354">
        <v>1</v>
      </c>
      <c r="J213" s="450">
        <v>0.248</v>
      </c>
      <c r="K213" s="60">
        <f>J213*G213*E213/Settings!$D$17</f>
        <v>0.79843768710875185</v>
      </c>
      <c r="L213" s="174" t="s">
        <v>721</v>
      </c>
      <c r="N213" s="3"/>
    </row>
    <row r="214" spans="2:14" x14ac:dyDescent="0.25">
      <c r="B214" s="356" t="s">
        <v>342</v>
      </c>
      <c r="C214" s="387" t="s">
        <v>995</v>
      </c>
      <c r="D214" s="354" t="s">
        <v>1031</v>
      </c>
      <c r="E214" s="375">
        <v>7810440.3940000013</v>
      </c>
      <c r="F214" s="354" t="s">
        <v>1050</v>
      </c>
      <c r="G214" s="449">
        <v>1</v>
      </c>
      <c r="H214" s="354" t="s">
        <v>1082</v>
      </c>
      <c r="I214" s="354">
        <v>1</v>
      </c>
      <c r="J214" s="450">
        <v>0.36</v>
      </c>
      <c r="K214" s="60">
        <f>J214*G214*E214/Settings!$D$17</f>
        <v>7.5381256064664024</v>
      </c>
      <c r="L214" s="174" t="s">
        <v>721</v>
      </c>
      <c r="N214" s="3"/>
    </row>
    <row r="215" spans="2:14" x14ac:dyDescent="0.25">
      <c r="B215" s="356" t="s">
        <v>342</v>
      </c>
      <c r="C215" s="387" t="s">
        <v>1003</v>
      </c>
      <c r="D215" s="354" t="s">
        <v>1039</v>
      </c>
      <c r="E215" s="375">
        <v>523146315.94800001</v>
      </c>
      <c r="F215" s="354" t="s">
        <v>1050</v>
      </c>
      <c r="G215" s="449">
        <v>1</v>
      </c>
      <c r="H215" s="354" t="s">
        <v>1083</v>
      </c>
      <c r="I215" s="354">
        <v>1</v>
      </c>
      <c r="J215" s="450">
        <v>0.10199999999999999</v>
      </c>
      <c r="K215" s="60">
        <f>J215*G215*E215/Settings!$D$17</f>
        <v>143.05686043537219</v>
      </c>
      <c r="L215" s="174" t="s">
        <v>721</v>
      </c>
      <c r="N215" s="3"/>
    </row>
    <row r="216" spans="2:14" x14ac:dyDescent="0.25">
      <c r="B216" s="356" t="s">
        <v>342</v>
      </c>
      <c r="C216" s="387" t="s">
        <v>1004</v>
      </c>
      <c r="D216" s="354" t="s">
        <v>1040</v>
      </c>
      <c r="E216" s="375">
        <v>0</v>
      </c>
      <c r="F216" s="354" t="s">
        <v>1050</v>
      </c>
      <c r="G216" s="449">
        <v>1</v>
      </c>
      <c r="H216" s="354" t="s">
        <v>1083</v>
      </c>
      <c r="I216" s="354">
        <v>1</v>
      </c>
      <c r="J216" s="450">
        <v>0.10199999999999999</v>
      </c>
      <c r="K216" s="60">
        <f>J216*G216*E216/Settings!$D$17</f>
        <v>0</v>
      </c>
      <c r="L216" s="174" t="s">
        <v>721</v>
      </c>
      <c r="N216" s="3"/>
    </row>
    <row r="217" spans="2:14" x14ac:dyDescent="0.25">
      <c r="B217" s="356" t="s">
        <v>342</v>
      </c>
      <c r="C217" s="387" t="s">
        <v>1005</v>
      </c>
      <c r="D217" s="354" t="s">
        <v>1041</v>
      </c>
      <c r="E217" s="375">
        <v>45467.851000000002</v>
      </c>
      <c r="F217" s="354" t="s">
        <v>1050</v>
      </c>
      <c r="G217" s="449">
        <v>1</v>
      </c>
      <c r="H217" s="354" t="s">
        <v>1084</v>
      </c>
      <c r="I217" s="354">
        <v>1</v>
      </c>
      <c r="J217" s="450">
        <v>0.54400000000000004</v>
      </c>
      <c r="K217" s="60">
        <f>J217*G217*E217/Settings!$D$17</f>
        <v>6.6311472886422432E-2</v>
      </c>
      <c r="L217" s="174" t="s">
        <v>721</v>
      </c>
      <c r="N217" s="3"/>
    </row>
    <row r="218" spans="2:14" x14ac:dyDescent="0.25">
      <c r="B218" s="356" t="s">
        <v>342</v>
      </c>
      <c r="C218" s="387" t="s">
        <v>979</v>
      </c>
      <c r="D218" s="354" t="s">
        <v>1014</v>
      </c>
      <c r="E218" s="375">
        <v>29952</v>
      </c>
      <c r="F218" s="354" t="s">
        <v>1049</v>
      </c>
      <c r="G218" s="451">
        <v>970.67515462700192</v>
      </c>
      <c r="H218" s="354" t="s">
        <v>1134</v>
      </c>
      <c r="I218" s="354">
        <v>1</v>
      </c>
      <c r="J218" s="450">
        <v>0.39100000000000001</v>
      </c>
      <c r="K218" s="60">
        <f>J218*G218*E218/Settings!$D$17</f>
        <v>30.476272254990395</v>
      </c>
      <c r="L218" s="174" t="s">
        <v>721</v>
      </c>
      <c r="N218" s="3"/>
    </row>
    <row r="219" spans="2:14" x14ac:dyDescent="0.25">
      <c r="B219" s="356" t="s">
        <v>342</v>
      </c>
      <c r="C219" s="387" t="s">
        <v>980</v>
      </c>
      <c r="D219" s="354" t="s">
        <v>1015</v>
      </c>
      <c r="E219" s="375">
        <v>6125</v>
      </c>
      <c r="F219" s="354" t="s">
        <v>1049</v>
      </c>
      <c r="G219" s="449">
        <v>1296.9271990612503</v>
      </c>
      <c r="H219" s="354" t="s">
        <v>1134</v>
      </c>
      <c r="I219" s="354">
        <v>1</v>
      </c>
      <c r="J219" s="450">
        <v>0.39100000000000001</v>
      </c>
      <c r="K219" s="60">
        <f>J219*G219*E219/Settings!$D$17</f>
        <v>8.3269085557882931</v>
      </c>
      <c r="L219" s="174" t="s">
        <v>721</v>
      </c>
      <c r="N219" s="3"/>
    </row>
    <row r="220" spans="2:14" x14ac:dyDescent="0.25">
      <c r="B220" s="356" t="s">
        <v>342</v>
      </c>
      <c r="C220" s="387" t="s">
        <v>981</v>
      </c>
      <c r="D220" s="354" t="s">
        <v>1016</v>
      </c>
      <c r="E220" s="375">
        <v>3328</v>
      </c>
      <c r="F220" s="354" t="s">
        <v>1049</v>
      </c>
      <c r="G220" s="449">
        <v>617.49618320610682</v>
      </c>
      <c r="H220" s="354" t="s">
        <v>1134</v>
      </c>
      <c r="I220" s="354">
        <v>1</v>
      </c>
      <c r="J220" s="450">
        <v>0.39100000000000001</v>
      </c>
      <c r="K220" s="60">
        <f>J220*G220*E220/Settings!$D$17</f>
        <v>2.1541686395747517</v>
      </c>
      <c r="L220" s="174" t="s">
        <v>721</v>
      </c>
      <c r="N220" s="3"/>
    </row>
    <row r="221" spans="2:14" x14ac:dyDescent="0.25">
      <c r="B221" s="356" t="s">
        <v>342</v>
      </c>
      <c r="C221" s="387" t="s">
        <v>986</v>
      </c>
      <c r="D221" s="354" t="s">
        <v>1021</v>
      </c>
      <c r="E221" s="375">
        <v>408.1</v>
      </c>
      <c r="F221" s="354" t="s">
        <v>1049</v>
      </c>
      <c r="G221" s="449">
        <v>237.94260031928448</v>
      </c>
      <c r="H221" s="354" t="s">
        <v>1147</v>
      </c>
      <c r="I221" s="354">
        <v>1</v>
      </c>
      <c r="J221" s="450">
        <v>0.5</v>
      </c>
      <c r="K221" s="60">
        <f>J221*G221*E221/Settings!$D$17</f>
        <v>0.13016497793635476</v>
      </c>
      <c r="L221" s="174" t="s">
        <v>721</v>
      </c>
      <c r="N221" s="3"/>
    </row>
    <row r="222" spans="2:14" x14ac:dyDescent="0.25">
      <c r="B222" s="356" t="s">
        <v>342</v>
      </c>
      <c r="C222" s="387" t="s">
        <v>988</v>
      </c>
      <c r="D222" s="354" t="s">
        <v>1023</v>
      </c>
      <c r="E222" s="375">
        <v>150</v>
      </c>
      <c r="F222" s="354" t="s">
        <v>1049</v>
      </c>
      <c r="G222" s="449">
        <v>133.39815380488952</v>
      </c>
      <c r="H222" s="354" t="s">
        <v>1136</v>
      </c>
      <c r="I222" s="354">
        <v>1</v>
      </c>
      <c r="J222" s="450">
        <v>1.01</v>
      </c>
      <c r="K222" s="60">
        <f>J222*G222*E222/Settings!$D$17</f>
        <v>5.418109757628118E-2</v>
      </c>
      <c r="L222" s="174" t="s">
        <v>721</v>
      </c>
      <c r="N222" s="3"/>
    </row>
    <row r="223" spans="2:14" x14ac:dyDescent="0.25">
      <c r="B223" s="356" t="s">
        <v>342</v>
      </c>
      <c r="C223" s="387" t="s">
        <v>989</v>
      </c>
      <c r="D223" s="354" t="s">
        <v>1024</v>
      </c>
      <c r="E223" s="375">
        <v>5155</v>
      </c>
      <c r="F223" s="354" t="s">
        <v>1049</v>
      </c>
      <c r="G223" s="449">
        <v>1296.505577978593</v>
      </c>
      <c r="H223" s="354" t="s">
        <v>1138</v>
      </c>
      <c r="I223" s="354">
        <v>1</v>
      </c>
      <c r="J223" s="450">
        <v>0.35499999999999998</v>
      </c>
      <c r="K223" s="60">
        <f>J223*G223*E223/Settings!$D$17</f>
        <v>6.3608735012674753</v>
      </c>
      <c r="L223" s="174" t="s">
        <v>721</v>
      </c>
      <c r="N223" s="3"/>
    </row>
    <row r="224" spans="2:14" x14ac:dyDescent="0.25">
      <c r="B224" s="356" t="s">
        <v>342</v>
      </c>
      <c r="C224" s="387" t="s">
        <v>994</v>
      </c>
      <c r="D224" s="354" t="s">
        <v>1029</v>
      </c>
      <c r="E224" s="375">
        <v>17975.5</v>
      </c>
      <c r="F224" s="354" t="s">
        <v>1049</v>
      </c>
      <c r="G224" s="449">
        <v>600.95071339373487</v>
      </c>
      <c r="H224" s="354" t="s">
        <v>1134</v>
      </c>
      <c r="I224" s="354">
        <v>1</v>
      </c>
      <c r="J224" s="450">
        <v>0.39100000000000001</v>
      </c>
      <c r="K224" s="60">
        <f>J224*G224*E224/Settings!$D$17</f>
        <v>11.323532696629135</v>
      </c>
      <c r="L224" s="174" t="s">
        <v>721</v>
      </c>
      <c r="N224" s="3"/>
    </row>
    <row r="225" spans="2:14" x14ac:dyDescent="0.25">
      <c r="B225" s="356" t="s">
        <v>342</v>
      </c>
      <c r="C225" s="387" t="s">
        <v>998</v>
      </c>
      <c r="D225" s="354" t="s">
        <v>1034</v>
      </c>
      <c r="E225" s="375">
        <v>57.3</v>
      </c>
      <c r="F225" s="354" t="s">
        <v>1049</v>
      </c>
      <c r="G225" s="449">
        <v>3296.9245191779314</v>
      </c>
      <c r="H225" s="354" t="s">
        <v>1148</v>
      </c>
      <c r="I225" s="354">
        <v>1</v>
      </c>
      <c r="J225" s="450">
        <v>0.184</v>
      </c>
      <c r="K225" s="60">
        <f>J225*G225*E225/Settings!$D$17</f>
        <v>9.3189460169694135E-2</v>
      </c>
      <c r="L225" s="174" t="s">
        <v>721</v>
      </c>
      <c r="N225" s="3"/>
    </row>
    <row r="226" spans="2:14" x14ac:dyDescent="0.25">
      <c r="B226" s="356" t="s">
        <v>342</v>
      </c>
      <c r="C226" s="387" t="s">
        <v>1009</v>
      </c>
      <c r="D226" s="354" t="s">
        <v>1045</v>
      </c>
      <c r="E226" s="375">
        <v>0</v>
      </c>
      <c r="F226" s="354" t="s">
        <v>1049</v>
      </c>
      <c r="G226" s="449">
        <v>3557.8998513776151</v>
      </c>
      <c r="H226" s="354" t="s">
        <v>1141</v>
      </c>
      <c r="I226" s="354">
        <v>1</v>
      </c>
      <c r="J226" s="450">
        <v>0.54400000000000004</v>
      </c>
      <c r="K226" s="60">
        <f>J226*G226*E226/Settings!$D$17</f>
        <v>0</v>
      </c>
      <c r="L226" s="174" t="s">
        <v>721</v>
      </c>
      <c r="N226" s="3"/>
    </row>
    <row r="227" spans="2:14" x14ac:dyDescent="0.25">
      <c r="B227" s="356" t="s">
        <v>342</v>
      </c>
      <c r="C227" s="387" t="s">
        <v>1011</v>
      </c>
      <c r="D227" s="354" t="s">
        <v>1047</v>
      </c>
      <c r="E227" s="375">
        <v>13542</v>
      </c>
      <c r="F227" s="354" t="s">
        <v>1049</v>
      </c>
      <c r="G227" s="449">
        <v>778.73900803072172</v>
      </c>
      <c r="H227" s="354" t="s">
        <v>1142</v>
      </c>
      <c r="I227" s="354">
        <v>1</v>
      </c>
      <c r="J227" s="450">
        <v>0.221</v>
      </c>
      <c r="K227" s="60">
        <f>J227*G227*E227/Settings!$D$17</f>
        <v>6.2481631236369468</v>
      </c>
      <c r="L227" s="174" t="s">
        <v>721</v>
      </c>
      <c r="N227" s="3"/>
    </row>
    <row r="228" spans="2:14" x14ac:dyDescent="0.25">
      <c r="B228" s="356" t="s">
        <v>342</v>
      </c>
      <c r="C228" s="387" t="s">
        <v>1007</v>
      </c>
      <c r="D228" s="354" t="s">
        <v>1043</v>
      </c>
      <c r="E228" s="375">
        <v>43</v>
      </c>
      <c r="F228" s="354" t="s">
        <v>1051</v>
      </c>
      <c r="G228" s="449">
        <v>18744.4469924812</v>
      </c>
      <c r="H228" s="354" t="s">
        <v>1143</v>
      </c>
      <c r="I228" s="354">
        <v>1</v>
      </c>
      <c r="J228" s="450">
        <v>0.16400000000000001</v>
      </c>
      <c r="K228" s="60">
        <f>J228*G228*E228/Settings!$D$17</f>
        <v>0.35438088012487085</v>
      </c>
      <c r="L228" s="174" t="s">
        <v>721</v>
      </c>
      <c r="N228" s="3"/>
    </row>
    <row r="229" spans="2:14" x14ac:dyDescent="0.25">
      <c r="B229" s="356" t="s">
        <v>342</v>
      </c>
      <c r="C229" s="387" t="s">
        <v>1008</v>
      </c>
      <c r="D229" s="354" t="s">
        <v>1044</v>
      </c>
      <c r="E229" s="375">
        <v>1</v>
      </c>
      <c r="F229" s="354" t="s">
        <v>1051</v>
      </c>
      <c r="G229" s="449">
        <v>7256.9166884988208</v>
      </c>
      <c r="H229" s="354" t="s">
        <v>1144</v>
      </c>
      <c r="I229" s="354">
        <v>1</v>
      </c>
      <c r="J229" s="450">
        <v>0.53100000000000003</v>
      </c>
      <c r="K229" s="60">
        <f>J229*G229*E229/Settings!$D$17</f>
        <v>1.0330753640280623E-2</v>
      </c>
      <c r="L229" s="174" t="s">
        <v>721</v>
      </c>
      <c r="N229" s="3"/>
    </row>
    <row r="230" spans="2:14" x14ac:dyDescent="0.25">
      <c r="B230" s="356" t="s">
        <v>342</v>
      </c>
      <c r="C230" s="387"/>
      <c r="D230" s="354"/>
      <c r="E230" s="375"/>
      <c r="F230" s="354"/>
      <c r="G230" s="449"/>
      <c r="H230" s="354"/>
      <c r="I230" s="354"/>
      <c r="J230" s="450"/>
      <c r="K230" s="60">
        <f>J230*G230*E230/Settings!$D$17</f>
        <v>0</v>
      </c>
      <c r="L230" s="385"/>
      <c r="N230" s="3"/>
    </row>
    <row r="231" spans="2:14" x14ac:dyDescent="0.25">
      <c r="B231" s="356" t="s">
        <v>342</v>
      </c>
      <c r="C231" s="387"/>
      <c r="D231" s="354"/>
      <c r="E231" s="375"/>
      <c r="F231" s="354"/>
      <c r="G231" s="449"/>
      <c r="H231" s="354"/>
      <c r="I231" s="354"/>
      <c r="J231" s="450"/>
      <c r="K231" s="60">
        <f>J231*G231*E231/Settings!$D$17</f>
        <v>0</v>
      </c>
      <c r="L231" s="385"/>
      <c r="N231" s="3"/>
    </row>
    <row r="232" spans="2:14" x14ac:dyDescent="0.25">
      <c r="B232" s="356" t="s">
        <v>342</v>
      </c>
      <c r="C232" s="387"/>
      <c r="D232" s="354"/>
      <c r="E232" s="375"/>
      <c r="F232" s="354"/>
      <c r="G232" s="449"/>
      <c r="H232" s="354"/>
      <c r="I232" s="354"/>
      <c r="J232" s="450"/>
      <c r="K232" s="60">
        <f>J232*G232*E232/Settings!$D$17</f>
        <v>0</v>
      </c>
      <c r="L232" s="174"/>
      <c r="N232" s="3"/>
    </row>
    <row r="233" spans="2:14" x14ac:dyDescent="0.25">
      <c r="B233" s="356" t="s">
        <v>342</v>
      </c>
      <c r="C233" s="387"/>
      <c r="D233" s="354"/>
      <c r="E233" s="375"/>
      <c r="F233" s="354"/>
      <c r="G233" s="449"/>
      <c r="H233" s="354"/>
      <c r="I233" s="354"/>
      <c r="J233" s="450"/>
      <c r="K233" s="60">
        <f>J233*G233*E233/Settings!$D$17</f>
        <v>0</v>
      </c>
      <c r="L233" s="385"/>
      <c r="N233" s="3"/>
    </row>
    <row r="234" spans="2:14" x14ac:dyDescent="0.25">
      <c r="B234" s="356" t="s">
        <v>342</v>
      </c>
      <c r="C234" s="387"/>
      <c r="D234" s="354"/>
      <c r="E234" s="375"/>
      <c r="F234" s="354"/>
      <c r="G234" s="449"/>
      <c r="H234" s="354"/>
      <c r="I234" s="354"/>
      <c r="J234" s="450"/>
      <c r="K234" s="60">
        <f>J234*G234*E234/Settings!$D$17</f>
        <v>0</v>
      </c>
      <c r="L234" s="385"/>
      <c r="N234" s="3"/>
    </row>
    <row r="235" spans="2:14" x14ac:dyDescent="0.25">
      <c r="B235" s="356" t="s">
        <v>342</v>
      </c>
      <c r="C235" s="387"/>
      <c r="D235" s="354"/>
      <c r="E235" s="375"/>
      <c r="F235" s="354"/>
      <c r="G235" s="449"/>
      <c r="H235" s="354"/>
      <c r="I235" s="354"/>
      <c r="J235" s="450"/>
      <c r="K235" s="60">
        <f>J235*G235*E235/Settings!$D$17</f>
        <v>0</v>
      </c>
      <c r="L235" s="174"/>
      <c r="N235" s="3"/>
    </row>
    <row r="236" spans="2:14" x14ac:dyDescent="0.25">
      <c r="B236" s="356" t="s">
        <v>342</v>
      </c>
      <c r="C236" s="387"/>
      <c r="D236" s="354"/>
      <c r="E236" s="375"/>
      <c r="F236" s="354"/>
      <c r="G236" s="449"/>
      <c r="H236" s="354"/>
      <c r="I236" s="354"/>
      <c r="J236" s="450"/>
      <c r="K236" s="60">
        <f>J236*G236*E236/Settings!$D$17</f>
        <v>0</v>
      </c>
      <c r="L236" s="385"/>
      <c r="N236" s="3"/>
    </row>
    <row r="237" spans="2:14" x14ac:dyDescent="0.25">
      <c r="B237" s="356" t="s">
        <v>342</v>
      </c>
      <c r="C237" s="387"/>
      <c r="D237" s="354"/>
      <c r="E237" s="375"/>
      <c r="F237" s="354"/>
      <c r="G237" s="449"/>
      <c r="H237" s="356"/>
      <c r="I237" s="453"/>
      <c r="J237" s="450"/>
      <c r="K237" s="60">
        <f>J237*G237*E237/Settings!$D$17</f>
        <v>0</v>
      </c>
      <c r="L237" s="174"/>
      <c r="N237" s="3"/>
    </row>
    <row r="238" spans="2:14" ht="30" customHeight="1" x14ac:dyDescent="0.25">
      <c r="B238" s="355" t="s">
        <v>410</v>
      </c>
      <c r="C238" s="378"/>
      <c r="D238" s="378"/>
      <c r="E238" s="448"/>
      <c r="F238" s="448"/>
      <c r="G238" s="448"/>
      <c r="H238" s="355"/>
      <c r="I238" s="448"/>
      <c r="J238" s="448"/>
      <c r="K238" s="448">
        <f>_xlfn.AGGREGATE(9,6,K210:K237)</f>
        <v>229.77619487020402</v>
      </c>
      <c r="L238" s="373"/>
      <c r="N238" s="3"/>
    </row>
    <row r="239" spans="2:14" x14ac:dyDescent="0.25">
      <c r="I239" s="24"/>
      <c r="J239" s="3"/>
      <c r="K239" s="3"/>
      <c r="L239" s="24"/>
      <c r="N239" s="3"/>
    </row>
    <row r="240" spans="2:14" x14ac:dyDescent="0.25">
      <c r="I240" s="24"/>
      <c r="J240" s="3"/>
      <c r="K240" s="3"/>
      <c r="L240" s="24"/>
      <c r="N240" s="3"/>
    </row>
    <row r="241" spans="2:14" x14ac:dyDescent="0.25">
      <c r="I241" s="24"/>
      <c r="J241" s="3"/>
      <c r="K241" s="3"/>
      <c r="L241" s="24"/>
      <c r="N241" s="3"/>
    </row>
    <row r="242" spans="2:14" s="279" customFormat="1" ht="30" customHeight="1" x14ac:dyDescent="0.25">
      <c r="B242" s="370" t="s">
        <v>958</v>
      </c>
      <c r="C242" s="371"/>
      <c r="D242" s="371"/>
      <c r="E242" s="371"/>
      <c r="F242" s="371"/>
      <c r="G242" s="371"/>
      <c r="H242" s="371"/>
      <c r="I242" s="371"/>
      <c r="J242" s="371"/>
      <c r="K242" s="371"/>
      <c r="L242" s="372"/>
    </row>
    <row r="243" spans="2:14" ht="16.8" customHeight="1" x14ac:dyDescent="0.25">
      <c r="B243" s="1014" t="s">
        <v>335</v>
      </c>
      <c r="C243" s="1014" t="s">
        <v>969</v>
      </c>
      <c r="D243" s="1014" t="s">
        <v>400</v>
      </c>
      <c r="E243" s="1014" t="s">
        <v>401</v>
      </c>
      <c r="F243" s="1014" t="s">
        <v>402</v>
      </c>
      <c r="G243" s="1014" t="s">
        <v>1146</v>
      </c>
      <c r="H243" s="1014" t="s">
        <v>1072</v>
      </c>
      <c r="I243" s="1014" t="s">
        <v>442</v>
      </c>
      <c r="J243" s="374" t="s">
        <v>405</v>
      </c>
      <c r="K243" s="374" t="s">
        <v>406</v>
      </c>
      <c r="L243" s="1014" t="s">
        <v>716</v>
      </c>
      <c r="N243" s="3"/>
    </row>
    <row r="244" spans="2:14" ht="16.2" customHeight="1" x14ac:dyDescent="0.25">
      <c r="B244" s="1008"/>
      <c r="C244" s="1008"/>
      <c r="D244" s="1008"/>
      <c r="E244" s="1008"/>
      <c r="F244" s="1008"/>
      <c r="G244" s="1008"/>
      <c r="H244" s="1008"/>
      <c r="I244" s="1008"/>
      <c r="J244" s="374" t="s">
        <v>1074</v>
      </c>
      <c r="K244" s="374" t="s">
        <v>222</v>
      </c>
      <c r="L244" s="1008"/>
      <c r="N244" s="3"/>
    </row>
    <row r="245" spans="2:14" x14ac:dyDescent="0.25">
      <c r="B245" s="356" t="s">
        <v>343</v>
      </c>
      <c r="C245" s="387" t="s">
        <v>985</v>
      </c>
      <c r="D245" s="354" t="s">
        <v>1020</v>
      </c>
      <c r="E245" s="375">
        <v>29284227.998</v>
      </c>
      <c r="F245" s="354" t="s">
        <v>1050</v>
      </c>
      <c r="G245" s="449">
        <v>1</v>
      </c>
      <c r="H245" s="354" t="s">
        <v>1079</v>
      </c>
      <c r="I245" s="354">
        <v>1</v>
      </c>
      <c r="J245" s="450">
        <v>8.3000000000000004E-2</v>
      </c>
      <c r="K245" s="60">
        <f>J245*G245*E245/Settings!$D$17</f>
        <v>6.5162422054235201</v>
      </c>
      <c r="L245" s="174" t="s">
        <v>721</v>
      </c>
      <c r="N245" s="3"/>
    </row>
    <row r="246" spans="2:14" x14ac:dyDescent="0.25">
      <c r="B246" s="356" t="s">
        <v>343</v>
      </c>
      <c r="C246" s="387" t="s">
        <v>992</v>
      </c>
      <c r="D246" s="354" t="s">
        <v>1027</v>
      </c>
      <c r="E246" s="375">
        <v>76376707.697999999</v>
      </c>
      <c r="F246" s="354" t="s">
        <v>1050</v>
      </c>
      <c r="G246" s="449">
        <v>1</v>
      </c>
      <c r="H246" s="354" t="s">
        <v>1080</v>
      </c>
      <c r="I246" s="354">
        <v>1</v>
      </c>
      <c r="J246" s="450">
        <v>0.221</v>
      </c>
      <c r="K246" s="60">
        <f>J246*G246*E246/Settings!$D$17</f>
        <v>45.252080806578995</v>
      </c>
      <c r="L246" s="174" t="s">
        <v>721</v>
      </c>
      <c r="N246" s="3"/>
    </row>
    <row r="247" spans="2:14" x14ac:dyDescent="0.25">
      <c r="B247" s="356" t="s">
        <v>343</v>
      </c>
      <c r="C247" s="387" t="s">
        <v>993</v>
      </c>
      <c r="D247" s="354" t="s">
        <v>1028</v>
      </c>
      <c r="E247" s="375">
        <v>2572779.9429999986</v>
      </c>
      <c r="F247" s="354" t="s">
        <v>1050</v>
      </c>
      <c r="G247" s="449">
        <v>1</v>
      </c>
      <c r="H247" s="354" t="s">
        <v>1080</v>
      </c>
      <c r="I247" s="354">
        <v>1</v>
      </c>
      <c r="J247" s="450">
        <v>0.221</v>
      </c>
      <c r="K247" s="60">
        <f>J247*G247*E247/Settings!$D$17</f>
        <v>1.5243344389565814</v>
      </c>
      <c r="L247" s="174" t="s">
        <v>721</v>
      </c>
      <c r="N247" s="3"/>
    </row>
    <row r="248" spans="2:14" x14ac:dyDescent="0.25">
      <c r="B248" s="356" t="s">
        <v>343</v>
      </c>
      <c r="C248" s="387" t="s">
        <v>1078</v>
      </c>
      <c r="D248" s="354" t="s">
        <v>1030</v>
      </c>
      <c r="E248" s="375">
        <v>36831798.218999997</v>
      </c>
      <c r="F248" s="354" t="s">
        <v>1050</v>
      </c>
      <c r="G248" s="449">
        <v>1</v>
      </c>
      <c r="H248" s="354" t="s">
        <v>1081</v>
      </c>
      <c r="I248" s="354">
        <v>1</v>
      </c>
      <c r="J248" s="450">
        <v>0.248</v>
      </c>
      <c r="K248" s="60">
        <f>J248*G248*E248/Settings!$D$17</f>
        <v>24.488374038717978</v>
      </c>
      <c r="L248" s="174" t="s">
        <v>721</v>
      </c>
      <c r="N248" s="3"/>
    </row>
    <row r="249" spans="2:14" x14ac:dyDescent="0.25">
      <c r="B249" s="356" t="s">
        <v>343</v>
      </c>
      <c r="C249" s="387" t="s">
        <v>995</v>
      </c>
      <c r="D249" s="354" t="s">
        <v>1031</v>
      </c>
      <c r="E249" s="375">
        <v>13788152.397999998</v>
      </c>
      <c r="F249" s="354" t="s">
        <v>1050</v>
      </c>
      <c r="G249" s="449">
        <v>1</v>
      </c>
      <c r="H249" s="354" t="s">
        <v>1082</v>
      </c>
      <c r="I249" s="354">
        <v>1</v>
      </c>
      <c r="J249" s="450">
        <v>0.36</v>
      </c>
      <c r="K249" s="60">
        <f>J249*G249*E249/Settings!$D$17</f>
        <v>13.307421785981418</v>
      </c>
      <c r="L249" s="174" t="s">
        <v>721</v>
      </c>
      <c r="N249" s="3"/>
    </row>
    <row r="250" spans="2:14" x14ac:dyDescent="0.25">
      <c r="B250" s="356" t="s">
        <v>343</v>
      </c>
      <c r="C250" s="387" t="s">
        <v>1003</v>
      </c>
      <c r="D250" s="354" t="s">
        <v>1039</v>
      </c>
      <c r="E250" s="375">
        <v>93974856.040999994</v>
      </c>
      <c r="F250" s="354" t="s">
        <v>1050</v>
      </c>
      <c r="G250" s="449">
        <v>1</v>
      </c>
      <c r="H250" s="354" t="s">
        <v>1083</v>
      </c>
      <c r="I250" s="354">
        <v>1</v>
      </c>
      <c r="J250" s="450">
        <v>0.10199999999999999</v>
      </c>
      <c r="K250" s="60">
        <f>J250*G250*E250/Settings!$D$17</f>
        <v>25.697873530333371</v>
      </c>
      <c r="L250" s="174" t="s">
        <v>721</v>
      </c>
      <c r="N250" s="3"/>
    </row>
    <row r="251" spans="2:14" x14ac:dyDescent="0.25">
      <c r="B251" s="356" t="s">
        <v>343</v>
      </c>
      <c r="C251" s="387" t="s">
        <v>1004</v>
      </c>
      <c r="D251" s="354" t="s">
        <v>1040</v>
      </c>
      <c r="E251" s="375">
        <v>51953687.600000001</v>
      </c>
      <c r="F251" s="354" t="s">
        <v>1050</v>
      </c>
      <c r="G251" s="449">
        <v>1</v>
      </c>
      <c r="H251" s="354" t="s">
        <v>1083</v>
      </c>
      <c r="I251" s="354">
        <v>1</v>
      </c>
      <c r="J251" s="450">
        <v>0.10199999999999999</v>
      </c>
      <c r="K251" s="60">
        <f>J251*G251*E251/Settings!$D$17</f>
        <v>14.206984183053844</v>
      </c>
      <c r="L251" s="174" t="s">
        <v>721</v>
      </c>
      <c r="N251" s="3"/>
    </row>
    <row r="252" spans="2:14" x14ac:dyDescent="0.25">
      <c r="B252" s="356" t="s">
        <v>343</v>
      </c>
      <c r="C252" s="387" t="s">
        <v>1005</v>
      </c>
      <c r="D252" s="354" t="s">
        <v>1041</v>
      </c>
      <c r="E252" s="375">
        <v>525176.42599999986</v>
      </c>
      <c r="F252" s="354" t="s">
        <v>1050</v>
      </c>
      <c r="G252" s="449">
        <v>1</v>
      </c>
      <c r="H252" s="354" t="s">
        <v>1084</v>
      </c>
      <c r="I252" s="354">
        <v>1</v>
      </c>
      <c r="J252" s="450">
        <v>0.54400000000000004</v>
      </c>
      <c r="K252" s="60">
        <f>J252*G252*E252/Settings!$D$17</f>
        <v>0.76593068656988494</v>
      </c>
      <c r="L252" s="174" t="s">
        <v>721</v>
      </c>
      <c r="N252" s="3"/>
    </row>
    <row r="253" spans="2:14" x14ac:dyDescent="0.25">
      <c r="B253" s="356" t="s">
        <v>343</v>
      </c>
      <c r="C253" s="387" t="s">
        <v>979</v>
      </c>
      <c r="D253" s="354" t="s">
        <v>1014</v>
      </c>
      <c r="E253" s="375">
        <v>7698</v>
      </c>
      <c r="F253" s="354" t="s">
        <v>1049</v>
      </c>
      <c r="G253" s="451">
        <v>970.67515462700192</v>
      </c>
      <c r="H253" s="354" t="s">
        <v>1134</v>
      </c>
      <c r="I253" s="354">
        <v>1</v>
      </c>
      <c r="J253" s="450">
        <v>0.39100000000000001</v>
      </c>
      <c r="K253" s="60">
        <f>J253*G253*E253/Settings!$D$17</f>
        <v>7.8327438507918021</v>
      </c>
      <c r="L253" s="174" t="s">
        <v>721</v>
      </c>
      <c r="N253" s="3"/>
    </row>
    <row r="254" spans="2:14" x14ac:dyDescent="0.25">
      <c r="B254" s="356" t="s">
        <v>343</v>
      </c>
      <c r="C254" s="387" t="s">
        <v>980</v>
      </c>
      <c r="D254" s="354" t="s">
        <v>1015</v>
      </c>
      <c r="E254" s="375">
        <v>50</v>
      </c>
      <c r="F254" s="354" t="s">
        <v>1049</v>
      </c>
      <c r="G254" s="449">
        <v>1296.9271990612503</v>
      </c>
      <c r="H254" s="354" t="s">
        <v>1134</v>
      </c>
      <c r="I254" s="354">
        <v>1</v>
      </c>
      <c r="J254" s="450">
        <v>0.39100000000000001</v>
      </c>
      <c r="K254" s="60">
        <f>J254*G254*E254/Settings!$D$17</f>
        <v>6.7974763720720754E-2</v>
      </c>
      <c r="L254" s="174" t="s">
        <v>721</v>
      </c>
      <c r="N254" s="3"/>
    </row>
    <row r="255" spans="2:14" x14ac:dyDescent="0.25">
      <c r="B255" s="356" t="s">
        <v>343</v>
      </c>
      <c r="C255" s="387" t="s">
        <v>981</v>
      </c>
      <c r="D255" s="354" t="s">
        <v>1016</v>
      </c>
      <c r="E255" s="375">
        <v>7488</v>
      </c>
      <c r="F255" s="354" t="s">
        <v>1049</v>
      </c>
      <c r="G255" s="449">
        <v>617.49618320610682</v>
      </c>
      <c r="H255" s="354" t="s">
        <v>1134</v>
      </c>
      <c r="I255" s="354">
        <v>1</v>
      </c>
      <c r="J255" s="450">
        <v>0.39100000000000001</v>
      </c>
      <c r="K255" s="60">
        <f>J255*G255*E255/Settings!$D$17</f>
        <v>4.8468794390431906</v>
      </c>
      <c r="L255" s="174" t="s">
        <v>721</v>
      </c>
      <c r="N255" s="3"/>
    </row>
    <row r="256" spans="2:14" x14ac:dyDescent="0.25">
      <c r="B256" s="356" t="s">
        <v>343</v>
      </c>
      <c r="C256" s="387" t="s">
        <v>984</v>
      </c>
      <c r="D256" s="354" t="s">
        <v>1019</v>
      </c>
      <c r="E256" s="375">
        <v>280</v>
      </c>
      <c r="F256" s="354" t="s">
        <v>1049</v>
      </c>
      <c r="G256" s="449">
        <v>1401.6159072427272</v>
      </c>
      <c r="H256" s="354" t="s">
        <v>1134</v>
      </c>
      <c r="I256" s="354">
        <v>1</v>
      </c>
      <c r="J256" s="450">
        <v>0.39100000000000001</v>
      </c>
      <c r="K256" s="60">
        <f>J256*G256*E256/Settings!$D$17</f>
        <v>0.41138566379789487</v>
      </c>
      <c r="L256" s="174" t="s">
        <v>721</v>
      </c>
      <c r="N256" s="3"/>
    </row>
    <row r="257" spans="2:14" x14ac:dyDescent="0.25">
      <c r="B257" s="356" t="s">
        <v>343</v>
      </c>
      <c r="C257" s="387" t="s">
        <v>986</v>
      </c>
      <c r="D257" s="354" t="s">
        <v>1021</v>
      </c>
      <c r="E257" s="375">
        <v>77.000000000000014</v>
      </c>
      <c r="F257" s="354" t="s">
        <v>1049</v>
      </c>
      <c r="G257" s="449">
        <v>237.94260031928448</v>
      </c>
      <c r="H257" s="354" t="s">
        <v>1147</v>
      </c>
      <c r="I257" s="354">
        <v>1</v>
      </c>
      <c r="J257" s="450">
        <v>0.5</v>
      </c>
      <c r="K257" s="60">
        <f>J257*G257*E257/Settings!$D$17</f>
        <v>2.4559429799312218E-2</v>
      </c>
      <c r="L257" s="174" t="s">
        <v>721</v>
      </c>
      <c r="N257" s="3"/>
    </row>
    <row r="258" spans="2:14" x14ac:dyDescent="0.25">
      <c r="B258" s="356" t="s">
        <v>343</v>
      </c>
      <c r="C258" s="387" t="s">
        <v>987</v>
      </c>
      <c r="D258" s="354" t="s">
        <v>1022</v>
      </c>
      <c r="E258" s="375">
        <v>24</v>
      </c>
      <c r="F258" s="354" t="s">
        <v>1049</v>
      </c>
      <c r="G258" s="449">
        <v>293.43338352480708</v>
      </c>
      <c r="H258" s="354" t="s">
        <v>1147</v>
      </c>
      <c r="I258" s="354">
        <v>1</v>
      </c>
      <c r="J258" s="450">
        <v>0.5</v>
      </c>
      <c r="K258" s="60">
        <f>J258*G258*E258/Settings!$D$17</f>
        <v>9.4400895491955471E-3</v>
      </c>
      <c r="L258" s="174" t="s">
        <v>721</v>
      </c>
      <c r="N258" s="3"/>
    </row>
    <row r="259" spans="2:14" x14ac:dyDescent="0.25">
      <c r="B259" s="356" t="s">
        <v>343</v>
      </c>
      <c r="C259" s="387" t="s">
        <v>989</v>
      </c>
      <c r="D259" s="354" t="s">
        <v>1024</v>
      </c>
      <c r="E259" s="375">
        <v>8443</v>
      </c>
      <c r="F259" s="354" t="s">
        <v>1049</v>
      </c>
      <c r="G259" s="449">
        <v>1296.505577978593</v>
      </c>
      <c r="H259" s="354" t="s">
        <v>1138</v>
      </c>
      <c r="I259" s="354">
        <v>1</v>
      </c>
      <c r="J259" s="450">
        <v>0.35499999999999998</v>
      </c>
      <c r="K259" s="60">
        <f>J259*G259*E259/Settings!$D$17</f>
        <v>10.418012603530805</v>
      </c>
      <c r="L259" s="174" t="s">
        <v>721</v>
      </c>
      <c r="N259" s="3"/>
    </row>
    <row r="260" spans="2:14" x14ac:dyDescent="0.25">
      <c r="B260" s="356" t="s">
        <v>343</v>
      </c>
      <c r="C260" s="387" t="s">
        <v>994</v>
      </c>
      <c r="D260" s="354" t="s">
        <v>1029</v>
      </c>
      <c r="E260" s="375">
        <v>2501</v>
      </c>
      <c r="F260" s="354" t="s">
        <v>1049</v>
      </c>
      <c r="G260" s="449">
        <v>600.95071339373487</v>
      </c>
      <c r="H260" s="354" t="s">
        <v>1134</v>
      </c>
      <c r="I260" s="354">
        <v>1</v>
      </c>
      <c r="J260" s="450">
        <v>0.39100000000000001</v>
      </c>
      <c r="K260" s="60">
        <f>J260*G260*E260/Settings!$D$17</f>
        <v>1.5754863716875451</v>
      </c>
      <c r="L260" s="174" t="s">
        <v>721</v>
      </c>
      <c r="N260" s="3"/>
    </row>
    <row r="261" spans="2:14" x14ac:dyDescent="0.25">
      <c r="B261" s="356" t="s">
        <v>343</v>
      </c>
      <c r="C261" s="387" t="s">
        <v>1009</v>
      </c>
      <c r="D261" s="354" t="s">
        <v>1045</v>
      </c>
      <c r="E261" s="375">
        <v>570</v>
      </c>
      <c r="F261" s="354" t="s">
        <v>1049</v>
      </c>
      <c r="G261" s="449">
        <v>3557.8998513776151</v>
      </c>
      <c r="H261" s="354" t="s">
        <v>1141</v>
      </c>
      <c r="I261" s="354">
        <v>1</v>
      </c>
      <c r="J261" s="450">
        <v>0.54400000000000004</v>
      </c>
      <c r="K261" s="60">
        <f>J261*G261*E261/Settings!$D$17</f>
        <v>2.9576911460038628</v>
      </c>
      <c r="L261" s="174" t="s">
        <v>721</v>
      </c>
      <c r="N261" s="3"/>
    </row>
    <row r="262" spans="2:14" x14ac:dyDescent="0.25">
      <c r="B262" s="356" t="s">
        <v>343</v>
      </c>
      <c r="C262" s="387" t="s">
        <v>1011</v>
      </c>
      <c r="D262" s="354" t="s">
        <v>1047</v>
      </c>
      <c r="E262" s="375">
        <v>319051</v>
      </c>
      <c r="F262" s="354" t="s">
        <v>1049</v>
      </c>
      <c r="G262" s="449">
        <v>778.73900803072172</v>
      </c>
      <c r="H262" s="354" t="s">
        <v>1142</v>
      </c>
      <c r="I262" s="354">
        <v>1</v>
      </c>
      <c r="J262" s="450">
        <v>0.221</v>
      </c>
      <c r="K262" s="60">
        <f>J262*G262*E262/Settings!$D$17</f>
        <v>147.20740605224427</v>
      </c>
      <c r="L262" s="174" t="s">
        <v>721</v>
      </c>
      <c r="N262" s="3"/>
    </row>
    <row r="263" spans="2:14" x14ac:dyDescent="0.25">
      <c r="B263" s="356" t="s">
        <v>343</v>
      </c>
      <c r="C263" s="387" t="s">
        <v>1007</v>
      </c>
      <c r="D263" s="354" t="s">
        <v>1043</v>
      </c>
      <c r="E263" s="375">
        <v>3858</v>
      </c>
      <c r="F263" s="354" t="s">
        <v>1051</v>
      </c>
      <c r="G263" s="449">
        <v>18744.4469924812</v>
      </c>
      <c r="H263" s="354" t="s">
        <v>1143</v>
      </c>
      <c r="I263" s="354">
        <v>1</v>
      </c>
      <c r="J263" s="450">
        <v>0.16400000000000001</v>
      </c>
      <c r="K263" s="60">
        <f>J263*G263*E263/Settings!$D$17</f>
        <v>31.795382221436082</v>
      </c>
      <c r="L263" s="174" t="s">
        <v>721</v>
      </c>
      <c r="N263" s="3"/>
    </row>
    <row r="264" spans="2:14" x14ac:dyDescent="0.25">
      <c r="B264" s="356" t="s">
        <v>343</v>
      </c>
      <c r="C264" s="387" t="s">
        <v>1008</v>
      </c>
      <c r="D264" s="354" t="s">
        <v>1044</v>
      </c>
      <c r="E264" s="375">
        <v>8</v>
      </c>
      <c r="F264" s="354" t="s">
        <v>1051</v>
      </c>
      <c r="G264" s="449">
        <v>7256.9166884988208</v>
      </c>
      <c r="H264" s="354" t="s">
        <v>1144</v>
      </c>
      <c r="I264" s="354">
        <v>1</v>
      </c>
      <c r="J264" s="450">
        <v>0.53100000000000003</v>
      </c>
      <c r="K264" s="60">
        <f>J264*G264*E264/Settings!$D$17</f>
        <v>8.2646029122244988E-2</v>
      </c>
      <c r="L264" s="174" t="s">
        <v>721</v>
      </c>
      <c r="N264" s="3"/>
    </row>
    <row r="265" spans="2:14" x14ac:dyDescent="0.25">
      <c r="B265" s="356" t="s">
        <v>343</v>
      </c>
      <c r="C265" s="387" t="s">
        <v>1010</v>
      </c>
      <c r="D265" s="354" t="s">
        <v>1046</v>
      </c>
      <c r="E265" s="375">
        <v>3708</v>
      </c>
      <c r="F265" s="354" t="s">
        <v>1051</v>
      </c>
      <c r="G265" s="449">
        <v>3309.192484611262</v>
      </c>
      <c r="H265" s="354" t="s">
        <v>1143</v>
      </c>
      <c r="I265" s="354">
        <v>1</v>
      </c>
      <c r="J265" s="450">
        <v>0.16400000000000001</v>
      </c>
      <c r="K265" s="60">
        <f>J265*G265*E265/Settings!$D$17</f>
        <v>5.3949937941902215</v>
      </c>
      <c r="L265" s="174" t="s">
        <v>721</v>
      </c>
      <c r="N265" s="3"/>
    </row>
    <row r="266" spans="2:14" x14ac:dyDescent="0.25">
      <c r="B266" s="356" t="s">
        <v>343</v>
      </c>
      <c r="C266" s="387"/>
      <c r="D266" s="354"/>
      <c r="E266" s="375"/>
      <c r="F266" s="354"/>
      <c r="G266" s="449"/>
      <c r="H266" s="354"/>
      <c r="I266" s="354"/>
      <c r="J266" s="450"/>
      <c r="K266" s="60">
        <f>J266*G266*E266/Settings!$D$17</f>
        <v>0</v>
      </c>
      <c r="L266" s="385"/>
      <c r="N266" s="3"/>
    </row>
    <row r="267" spans="2:14" x14ac:dyDescent="0.25">
      <c r="B267" s="356" t="s">
        <v>343</v>
      </c>
      <c r="C267" s="387"/>
      <c r="D267" s="354"/>
      <c r="E267" s="375"/>
      <c r="F267" s="354"/>
      <c r="G267" s="449"/>
      <c r="H267" s="354"/>
      <c r="I267" s="354"/>
      <c r="J267" s="450"/>
      <c r="K267" s="60">
        <f>J267*G267*E267/Settings!$D$17</f>
        <v>0</v>
      </c>
      <c r="L267" s="174"/>
      <c r="N267" s="3"/>
    </row>
    <row r="268" spans="2:14" x14ac:dyDescent="0.25">
      <c r="B268" s="356" t="s">
        <v>343</v>
      </c>
      <c r="C268" s="387"/>
      <c r="D268" s="354"/>
      <c r="E268" s="375"/>
      <c r="F268" s="354"/>
      <c r="G268" s="449"/>
      <c r="H268" s="354"/>
      <c r="I268" s="354"/>
      <c r="J268" s="450"/>
      <c r="K268" s="60">
        <f>J268*G268*E268/Settings!$D$17</f>
        <v>0</v>
      </c>
      <c r="L268" s="385"/>
      <c r="N268" s="3"/>
    </row>
    <row r="269" spans="2:14" ht="30" customHeight="1" x14ac:dyDescent="0.25">
      <c r="B269" s="355" t="s">
        <v>410</v>
      </c>
      <c r="C269" s="378"/>
      <c r="D269" s="378"/>
      <c r="E269" s="448"/>
      <c r="F269" s="448"/>
      <c r="G269" s="448"/>
      <c r="H269" s="355"/>
      <c r="I269" s="448"/>
      <c r="J269" s="448"/>
      <c r="K269" s="448">
        <f>_xlfn.AGGREGATE(9,6,K245:K268)</f>
        <v>344.38384313053274</v>
      </c>
      <c r="L269" s="373"/>
      <c r="N269" s="3"/>
    </row>
    <row r="270" spans="2:14" x14ac:dyDescent="0.25">
      <c r="I270" s="24"/>
      <c r="J270" s="3"/>
      <c r="K270" s="3"/>
      <c r="L270" s="24"/>
      <c r="N270" s="3"/>
    </row>
    <row r="271" spans="2:14" x14ac:dyDescent="0.25">
      <c r="I271" s="24"/>
      <c r="J271" s="3"/>
      <c r="K271" s="3"/>
      <c r="L271" s="24"/>
      <c r="N271" s="3"/>
    </row>
    <row r="272" spans="2:14" x14ac:dyDescent="0.25">
      <c r="I272" s="24"/>
      <c r="J272" s="3"/>
      <c r="K272" s="3"/>
      <c r="L272" s="24"/>
      <c r="N272" s="3"/>
    </row>
    <row r="273" spans="2:14" s="279" customFormat="1" ht="30" customHeight="1" x14ac:dyDescent="0.25">
      <c r="B273" s="370" t="s">
        <v>960</v>
      </c>
      <c r="C273" s="371"/>
      <c r="D273" s="371"/>
      <c r="E273" s="371"/>
      <c r="F273" s="371"/>
      <c r="G273" s="371"/>
      <c r="H273" s="371"/>
      <c r="I273" s="371"/>
      <c r="J273" s="371"/>
      <c r="K273" s="371"/>
      <c r="L273" s="372"/>
    </row>
    <row r="274" spans="2:14" ht="16.8" customHeight="1" x14ac:dyDescent="0.25">
      <c r="B274" s="1014" t="s">
        <v>335</v>
      </c>
      <c r="C274" s="1014" t="s">
        <v>969</v>
      </c>
      <c r="D274" s="1014" t="s">
        <v>400</v>
      </c>
      <c r="E274" s="1014" t="s">
        <v>401</v>
      </c>
      <c r="F274" s="1014" t="s">
        <v>402</v>
      </c>
      <c r="G274" s="1014" t="s">
        <v>1146</v>
      </c>
      <c r="H274" s="1014" t="s">
        <v>1072</v>
      </c>
      <c r="I274" s="1014" t="s">
        <v>442</v>
      </c>
      <c r="J274" s="374" t="s">
        <v>405</v>
      </c>
      <c r="K274" s="374" t="s">
        <v>406</v>
      </c>
      <c r="L274" s="1014" t="s">
        <v>716</v>
      </c>
      <c r="N274" s="3"/>
    </row>
    <row r="275" spans="2:14" ht="16.2" customHeight="1" x14ac:dyDescent="0.25">
      <c r="B275" s="1008"/>
      <c r="C275" s="1008"/>
      <c r="D275" s="1008"/>
      <c r="E275" s="1008"/>
      <c r="F275" s="1008"/>
      <c r="G275" s="1008"/>
      <c r="H275" s="1008"/>
      <c r="I275" s="1008"/>
      <c r="J275" s="374" t="s">
        <v>1074</v>
      </c>
      <c r="K275" s="374" t="s">
        <v>222</v>
      </c>
      <c r="L275" s="1008"/>
      <c r="N275" s="3"/>
    </row>
    <row r="276" spans="2:14" x14ac:dyDescent="0.25">
      <c r="B276" s="356" t="s">
        <v>510</v>
      </c>
      <c r="C276" s="387" t="s">
        <v>985</v>
      </c>
      <c r="D276" s="354" t="s">
        <v>1020</v>
      </c>
      <c r="E276" s="375">
        <v>98461975.125</v>
      </c>
      <c r="F276" s="354" t="s">
        <v>1050</v>
      </c>
      <c r="G276" s="449">
        <v>1</v>
      </c>
      <c r="H276" s="354" t="s">
        <v>1079</v>
      </c>
      <c r="I276" s="354">
        <v>1</v>
      </c>
      <c r="J276" s="450">
        <v>8.3000000000000004E-2</v>
      </c>
      <c r="K276" s="60">
        <f>J276*G276*E276/Settings!$D$17</f>
        <v>21.909475571037923</v>
      </c>
      <c r="L276" s="174" t="s">
        <v>721</v>
      </c>
      <c r="N276" s="3"/>
    </row>
    <row r="277" spans="2:14" x14ac:dyDescent="0.25">
      <c r="B277" s="356" t="s">
        <v>510</v>
      </c>
      <c r="C277" s="387" t="s">
        <v>992</v>
      </c>
      <c r="D277" s="354" t="s">
        <v>1027</v>
      </c>
      <c r="E277" s="375">
        <v>41962565.318000004</v>
      </c>
      <c r="F277" s="354" t="s">
        <v>1050</v>
      </c>
      <c r="G277" s="449">
        <v>1</v>
      </c>
      <c r="H277" s="354" t="s">
        <v>1080</v>
      </c>
      <c r="I277" s="354">
        <v>1</v>
      </c>
      <c r="J277" s="450">
        <v>0.221</v>
      </c>
      <c r="K277" s="60">
        <f>J277*G277*E277/Settings!$D$17</f>
        <v>24.862205426946019</v>
      </c>
      <c r="L277" s="174" t="s">
        <v>721</v>
      </c>
      <c r="N277" s="3"/>
    </row>
    <row r="278" spans="2:14" x14ac:dyDescent="0.25">
      <c r="B278" s="356" t="s">
        <v>510</v>
      </c>
      <c r="C278" s="387" t="s">
        <v>993</v>
      </c>
      <c r="D278" s="354" t="s">
        <v>1028</v>
      </c>
      <c r="E278" s="375">
        <v>90391071.571999997</v>
      </c>
      <c r="F278" s="354" t="s">
        <v>1050</v>
      </c>
      <c r="G278" s="449">
        <v>1</v>
      </c>
      <c r="H278" s="354" t="s">
        <v>1080</v>
      </c>
      <c r="I278" s="354">
        <v>1</v>
      </c>
      <c r="J278" s="450">
        <v>0.221</v>
      </c>
      <c r="K278" s="60">
        <f>J278*G278*E278/Settings!$D$17</f>
        <v>53.555386167509816</v>
      </c>
      <c r="L278" s="174" t="s">
        <v>721</v>
      </c>
      <c r="N278" s="3"/>
    </row>
    <row r="279" spans="2:14" x14ac:dyDescent="0.25">
      <c r="B279" s="356" t="s">
        <v>510</v>
      </c>
      <c r="C279" s="387" t="s">
        <v>1078</v>
      </c>
      <c r="D279" s="354" t="s">
        <v>1030</v>
      </c>
      <c r="E279" s="375">
        <v>2710905.8679999998</v>
      </c>
      <c r="F279" s="354" t="s">
        <v>1050</v>
      </c>
      <c r="G279" s="449">
        <v>1</v>
      </c>
      <c r="H279" s="354" t="s">
        <v>1081</v>
      </c>
      <c r="I279" s="354">
        <v>1</v>
      </c>
      <c r="J279" s="450">
        <v>0.248</v>
      </c>
      <c r="K279" s="60">
        <f>J279*G279*E279/Settings!$D$17</f>
        <v>1.8024011883594053</v>
      </c>
      <c r="L279" s="174" t="s">
        <v>721</v>
      </c>
      <c r="N279" s="3"/>
    </row>
    <row r="280" spans="2:14" x14ac:dyDescent="0.25">
      <c r="B280" s="356" t="s">
        <v>510</v>
      </c>
      <c r="C280" s="387" t="s">
        <v>995</v>
      </c>
      <c r="D280" s="354" t="s">
        <v>1031</v>
      </c>
      <c r="E280" s="375">
        <v>4085036.5350000001</v>
      </c>
      <c r="F280" s="354" t="s">
        <v>1050</v>
      </c>
      <c r="G280" s="449">
        <v>1</v>
      </c>
      <c r="H280" s="354" t="s">
        <v>1082</v>
      </c>
      <c r="I280" s="354">
        <v>1</v>
      </c>
      <c r="J280" s="450">
        <v>0.36</v>
      </c>
      <c r="K280" s="60">
        <f>J280*G280*E280/Settings!$D$17</f>
        <v>3.9426097575099526</v>
      </c>
      <c r="L280" s="174" t="s">
        <v>721</v>
      </c>
      <c r="N280" s="3"/>
    </row>
    <row r="281" spans="2:14" x14ac:dyDescent="0.25">
      <c r="B281" s="356" t="s">
        <v>510</v>
      </c>
      <c r="C281" s="387" t="s">
        <v>1003</v>
      </c>
      <c r="D281" s="354" t="s">
        <v>1039</v>
      </c>
      <c r="E281" s="375">
        <v>348698448.792</v>
      </c>
      <c r="F281" s="354" t="s">
        <v>1050</v>
      </c>
      <c r="G281" s="449">
        <v>1</v>
      </c>
      <c r="H281" s="354" t="s">
        <v>1083</v>
      </c>
      <c r="I281" s="354">
        <v>1</v>
      </c>
      <c r="J281" s="450">
        <v>0.10199999999999999</v>
      </c>
      <c r="K281" s="60">
        <f>J281*G281*E281/Settings!$D$17</f>
        <v>95.353257400796224</v>
      </c>
      <c r="L281" s="174" t="s">
        <v>721</v>
      </c>
      <c r="N281" s="3"/>
    </row>
    <row r="282" spans="2:14" x14ac:dyDescent="0.25">
      <c r="B282" s="356" t="s">
        <v>510</v>
      </c>
      <c r="C282" s="387" t="s">
        <v>1004</v>
      </c>
      <c r="D282" s="354" t="s">
        <v>1040</v>
      </c>
      <c r="E282" s="375">
        <v>52745919.674000002</v>
      </c>
      <c r="F282" s="354" t="s">
        <v>1050</v>
      </c>
      <c r="G282" s="449">
        <v>1</v>
      </c>
      <c r="H282" s="354" t="s">
        <v>1083</v>
      </c>
      <c r="I282" s="354">
        <v>1</v>
      </c>
      <c r="J282" s="450">
        <v>0.10199999999999999</v>
      </c>
      <c r="K282" s="60">
        <f>J282*G282*E282/Settings!$D$17</f>
        <v>14.423623830104153</v>
      </c>
      <c r="L282" s="174" t="s">
        <v>721</v>
      </c>
      <c r="N282" s="3"/>
    </row>
    <row r="283" spans="2:14" x14ac:dyDescent="0.25">
      <c r="B283" s="356" t="s">
        <v>510</v>
      </c>
      <c r="C283" s="387" t="s">
        <v>1005</v>
      </c>
      <c r="D283" s="354" t="s">
        <v>1041</v>
      </c>
      <c r="E283" s="375">
        <v>1377704.362</v>
      </c>
      <c r="F283" s="354" t="s">
        <v>1050</v>
      </c>
      <c r="G283" s="449">
        <v>1</v>
      </c>
      <c r="H283" s="354" t="s">
        <v>1084</v>
      </c>
      <c r="I283" s="354">
        <v>1</v>
      </c>
      <c r="J283" s="450">
        <v>0.54400000000000004</v>
      </c>
      <c r="K283" s="60">
        <f>J283*G283*E283/Settings!$D$17</f>
        <v>2.0092791596037585</v>
      </c>
      <c r="L283" s="174" t="s">
        <v>721</v>
      </c>
      <c r="N283" s="3"/>
    </row>
    <row r="284" spans="2:14" x14ac:dyDescent="0.25">
      <c r="B284" s="356" t="s">
        <v>510</v>
      </c>
      <c r="C284" s="387" t="s">
        <v>979</v>
      </c>
      <c r="D284" s="354" t="s">
        <v>1014</v>
      </c>
      <c r="E284" s="375">
        <v>2912</v>
      </c>
      <c r="F284" s="354" t="s">
        <v>1049</v>
      </c>
      <c r="G284" s="451">
        <v>970.67515462700192</v>
      </c>
      <c r="H284" s="354" t="s">
        <v>1134</v>
      </c>
      <c r="I284" s="354">
        <v>1</v>
      </c>
      <c r="J284" s="450">
        <v>0.39100000000000001</v>
      </c>
      <c r="K284" s="60">
        <f>J284*G284*E284/Settings!$D$17</f>
        <v>2.9629709136796216</v>
      </c>
      <c r="L284" s="174" t="s">
        <v>721</v>
      </c>
      <c r="N284" s="3"/>
    </row>
    <row r="285" spans="2:14" x14ac:dyDescent="0.25">
      <c r="B285" s="356" t="s">
        <v>510</v>
      </c>
      <c r="C285" s="387" t="s">
        <v>980</v>
      </c>
      <c r="D285" s="354" t="s">
        <v>1015</v>
      </c>
      <c r="E285" s="375">
        <v>0</v>
      </c>
      <c r="F285" s="354" t="s">
        <v>1049</v>
      </c>
      <c r="G285" s="449">
        <v>1296.9271990612503</v>
      </c>
      <c r="H285" s="354" t="s">
        <v>1134</v>
      </c>
      <c r="I285" s="354">
        <v>1</v>
      </c>
      <c r="J285" s="450">
        <v>0.39100000000000001</v>
      </c>
      <c r="K285" s="60">
        <f>J285*G285*E285/Settings!$D$17</f>
        <v>0</v>
      </c>
      <c r="L285" s="174" t="s">
        <v>721</v>
      </c>
      <c r="N285" s="3"/>
    </row>
    <row r="286" spans="2:14" x14ac:dyDescent="0.25">
      <c r="B286" s="356" t="s">
        <v>510</v>
      </c>
      <c r="C286" s="387" t="s">
        <v>983</v>
      </c>
      <c r="D286" s="354" t="s">
        <v>1018</v>
      </c>
      <c r="E286" s="375">
        <v>2376.5</v>
      </c>
      <c r="F286" s="354" t="s">
        <v>1049</v>
      </c>
      <c r="G286" s="449">
        <v>206.82201562939514</v>
      </c>
      <c r="H286" s="354" t="s">
        <v>1136</v>
      </c>
      <c r="I286" s="354">
        <v>1</v>
      </c>
      <c r="J286" s="450">
        <v>1.01</v>
      </c>
      <c r="K286" s="60">
        <f>J286*G286*E286/Settings!$D$17</f>
        <v>1.3308873750879751</v>
      </c>
      <c r="L286" s="174" t="s">
        <v>721</v>
      </c>
      <c r="N286" s="3"/>
    </row>
    <row r="287" spans="2:14" x14ac:dyDescent="0.25">
      <c r="B287" s="356" t="s">
        <v>510</v>
      </c>
      <c r="C287" s="387" t="s">
        <v>986</v>
      </c>
      <c r="D287" s="354" t="s">
        <v>1021</v>
      </c>
      <c r="E287" s="375">
        <v>2048.1999999999998</v>
      </c>
      <c r="F287" s="354" t="s">
        <v>1049</v>
      </c>
      <c r="G287" s="449">
        <v>237.94260031928448</v>
      </c>
      <c r="H287" s="354" t="s">
        <v>1147</v>
      </c>
      <c r="I287" s="354">
        <v>1</v>
      </c>
      <c r="J287" s="450">
        <v>0.5</v>
      </c>
      <c r="K287" s="60">
        <f>J287*G287*E287/Settings!$D$17</f>
        <v>0.65328083266170478</v>
      </c>
      <c r="L287" s="174" t="s">
        <v>721</v>
      </c>
      <c r="N287" s="3"/>
    </row>
    <row r="288" spans="2:14" x14ac:dyDescent="0.25">
      <c r="B288" s="356" t="s">
        <v>510</v>
      </c>
      <c r="C288" s="387" t="s">
        <v>987</v>
      </c>
      <c r="D288" s="354" t="s">
        <v>1022</v>
      </c>
      <c r="E288" s="375">
        <v>868.5</v>
      </c>
      <c r="F288" s="354" t="s">
        <v>1049</v>
      </c>
      <c r="G288" s="449">
        <v>293.43338352480708</v>
      </c>
      <c r="H288" s="354" t="s">
        <v>1147</v>
      </c>
      <c r="I288" s="354">
        <v>1</v>
      </c>
      <c r="J288" s="450">
        <v>0.5</v>
      </c>
      <c r="K288" s="60">
        <f>J288*G288*E288/Settings!$D$17</f>
        <v>0.34161324056151382</v>
      </c>
      <c r="L288" s="174" t="s">
        <v>721</v>
      </c>
      <c r="N288" s="3"/>
    </row>
    <row r="289" spans="2:14" x14ac:dyDescent="0.25">
      <c r="B289" s="356" t="s">
        <v>510</v>
      </c>
      <c r="C289" s="387" t="s">
        <v>988</v>
      </c>
      <c r="D289" s="354" t="s">
        <v>1023</v>
      </c>
      <c r="E289" s="375">
        <v>10</v>
      </c>
      <c r="F289" s="354" t="s">
        <v>1049</v>
      </c>
      <c r="G289" s="449">
        <v>133.39815380488952</v>
      </c>
      <c r="H289" s="354" t="s">
        <v>1136</v>
      </c>
      <c r="I289" s="354">
        <v>1</v>
      </c>
      <c r="J289" s="450">
        <v>1.01</v>
      </c>
      <c r="K289" s="60">
        <f>J289*G289*E289/Settings!$D$17</f>
        <v>3.6120731717520786E-3</v>
      </c>
      <c r="L289" s="174" t="s">
        <v>721</v>
      </c>
      <c r="N289" s="3"/>
    </row>
    <row r="290" spans="2:14" x14ac:dyDescent="0.25">
      <c r="B290" s="356" t="s">
        <v>510</v>
      </c>
      <c r="C290" s="387" t="s">
        <v>990</v>
      </c>
      <c r="D290" s="354" t="s">
        <v>1025</v>
      </c>
      <c r="E290" s="375">
        <v>15</v>
      </c>
      <c r="F290" s="354" t="s">
        <v>1049</v>
      </c>
      <c r="G290" s="449">
        <v>189.16114831815787</v>
      </c>
      <c r="H290" s="354" t="s">
        <v>1136</v>
      </c>
      <c r="I290" s="354">
        <v>1</v>
      </c>
      <c r="J290" s="450">
        <v>1.01</v>
      </c>
      <c r="K290" s="60">
        <f>J290*G290*E290/Settings!$D$17</f>
        <v>7.6829838662218781E-3</v>
      </c>
      <c r="L290" s="174" t="s">
        <v>721</v>
      </c>
      <c r="N290" s="3"/>
    </row>
    <row r="291" spans="2:14" x14ac:dyDescent="0.25">
      <c r="B291" s="356" t="s">
        <v>510</v>
      </c>
      <c r="C291" s="387" t="s">
        <v>994</v>
      </c>
      <c r="D291" s="354" t="s">
        <v>1029</v>
      </c>
      <c r="E291" s="375">
        <v>626</v>
      </c>
      <c r="F291" s="354" t="s">
        <v>1049</v>
      </c>
      <c r="G291" s="449">
        <v>600.95071339373487</v>
      </c>
      <c r="H291" s="354" t="s">
        <v>1134</v>
      </c>
      <c r="I291" s="354">
        <v>1</v>
      </c>
      <c r="J291" s="450">
        <v>0.39100000000000001</v>
      </c>
      <c r="K291" s="60">
        <f>J291*G291*E291/Settings!$D$17</f>
        <v>0.39434404985062105</v>
      </c>
      <c r="L291" s="174" t="s">
        <v>721</v>
      </c>
      <c r="N291" s="3"/>
    </row>
    <row r="292" spans="2:14" x14ac:dyDescent="0.25">
      <c r="B292" s="356" t="s">
        <v>510</v>
      </c>
      <c r="C292" s="387" t="s">
        <v>997</v>
      </c>
      <c r="D292" s="354" t="s">
        <v>1033</v>
      </c>
      <c r="E292" s="375">
        <v>280</v>
      </c>
      <c r="F292" s="354" t="s">
        <v>1049</v>
      </c>
      <c r="G292" s="449">
        <v>52.088751026537459</v>
      </c>
      <c r="H292" s="354" t="s">
        <v>1136</v>
      </c>
      <c r="I292" s="354">
        <v>1</v>
      </c>
      <c r="J292" s="450">
        <v>1.01</v>
      </c>
      <c r="K292" s="60">
        <f>J292*G292*E292/Settings!$D$17</f>
        <v>3.949196067158562E-2</v>
      </c>
      <c r="L292" s="174" t="s">
        <v>721</v>
      </c>
      <c r="N292" s="3"/>
    </row>
    <row r="293" spans="2:14" x14ac:dyDescent="0.25">
      <c r="B293" s="356" t="s">
        <v>510</v>
      </c>
      <c r="C293" s="387" t="s">
        <v>1009</v>
      </c>
      <c r="D293" s="354" t="s">
        <v>1045</v>
      </c>
      <c r="E293" s="375">
        <v>883</v>
      </c>
      <c r="F293" s="354" t="s">
        <v>1049</v>
      </c>
      <c r="G293" s="449">
        <v>3557.8998513776151</v>
      </c>
      <c r="H293" s="354" t="s">
        <v>1141</v>
      </c>
      <c r="I293" s="354">
        <v>1</v>
      </c>
      <c r="J293" s="450">
        <v>0.54400000000000004</v>
      </c>
      <c r="K293" s="60">
        <f>J293*G293*E293/Settings!$D$17</f>
        <v>4.5818268103884403</v>
      </c>
      <c r="L293" s="174" t="s">
        <v>721</v>
      </c>
      <c r="N293" s="3"/>
    </row>
    <row r="294" spans="2:14" x14ac:dyDescent="0.25">
      <c r="B294" s="356" t="s">
        <v>510</v>
      </c>
      <c r="C294" s="387" t="s">
        <v>1011</v>
      </c>
      <c r="D294" s="354" t="s">
        <v>1047</v>
      </c>
      <c r="E294" s="375">
        <v>31982</v>
      </c>
      <c r="F294" s="354" t="s">
        <v>1049</v>
      </c>
      <c r="G294" s="449">
        <v>778.73900803072172</v>
      </c>
      <c r="H294" s="354" t="s">
        <v>1142</v>
      </c>
      <c r="I294" s="354">
        <v>1</v>
      </c>
      <c r="J294" s="450">
        <v>0.221</v>
      </c>
      <c r="K294" s="60">
        <f>J294*G294*E294/Settings!$D$17</f>
        <v>14.756221608341223</v>
      </c>
      <c r="L294" s="174" t="s">
        <v>721</v>
      </c>
      <c r="N294" s="3"/>
    </row>
    <row r="295" spans="2:14" x14ac:dyDescent="0.25">
      <c r="B295" s="356" t="s">
        <v>510</v>
      </c>
      <c r="C295" s="387" t="s">
        <v>1007</v>
      </c>
      <c r="D295" s="354" t="s">
        <v>1043</v>
      </c>
      <c r="E295" s="375">
        <v>1270</v>
      </c>
      <c r="F295" s="354" t="s">
        <v>1051</v>
      </c>
      <c r="G295" s="449">
        <v>18744.4469924812</v>
      </c>
      <c r="H295" s="354" t="s">
        <v>1143</v>
      </c>
      <c r="I295" s="354">
        <v>1</v>
      </c>
      <c r="J295" s="450">
        <v>0.16400000000000001</v>
      </c>
      <c r="K295" s="60">
        <f>J295*G295*E295/Settings!$D$17</f>
        <v>10.466598087408975</v>
      </c>
      <c r="L295" s="174" t="s">
        <v>721</v>
      </c>
      <c r="N295" s="3"/>
    </row>
    <row r="296" spans="2:14" x14ac:dyDescent="0.25">
      <c r="B296" s="356" t="s">
        <v>510</v>
      </c>
      <c r="C296" s="387" t="s">
        <v>1008</v>
      </c>
      <c r="D296" s="354" t="s">
        <v>1044</v>
      </c>
      <c r="E296" s="375">
        <v>8</v>
      </c>
      <c r="F296" s="354" t="s">
        <v>1051</v>
      </c>
      <c r="G296" s="449">
        <v>7256.9166884988208</v>
      </c>
      <c r="H296" s="354" t="s">
        <v>1144</v>
      </c>
      <c r="I296" s="354">
        <v>1</v>
      </c>
      <c r="J296" s="450">
        <v>0.53100000000000003</v>
      </c>
      <c r="K296" s="60">
        <f>J296*G296*E296/Settings!$D$17</f>
        <v>8.2646029122244988E-2</v>
      </c>
      <c r="L296" s="174" t="s">
        <v>721</v>
      </c>
      <c r="N296" s="3"/>
    </row>
    <row r="297" spans="2:14" x14ac:dyDescent="0.25">
      <c r="B297" s="356" t="s">
        <v>510</v>
      </c>
      <c r="C297" s="387" t="s">
        <v>1010</v>
      </c>
      <c r="D297" s="354" t="s">
        <v>1046</v>
      </c>
      <c r="E297" s="375">
        <v>1379</v>
      </c>
      <c r="F297" s="354" t="s">
        <v>1051</v>
      </c>
      <c r="G297" s="449">
        <v>3309.192484611262</v>
      </c>
      <c r="H297" s="354" t="s">
        <v>1143</v>
      </c>
      <c r="I297" s="354">
        <v>1</v>
      </c>
      <c r="J297" s="450">
        <v>0.16400000000000001</v>
      </c>
      <c r="K297" s="60">
        <f>J297*G297*E297/Settings!$D$17</f>
        <v>2.0063906262643787</v>
      </c>
      <c r="L297" s="174" t="s">
        <v>721</v>
      </c>
      <c r="N297" s="3"/>
    </row>
    <row r="298" spans="2:14" x14ac:dyDescent="0.25">
      <c r="B298" s="356" t="s">
        <v>510</v>
      </c>
      <c r="C298" s="387"/>
      <c r="D298" s="354"/>
      <c r="E298" s="375"/>
      <c r="F298" s="354"/>
      <c r="G298" s="449"/>
      <c r="H298" s="354"/>
      <c r="I298" s="354"/>
      <c r="J298" s="450"/>
      <c r="K298" s="60">
        <f>J298*G298*E298/Settings!$D$17</f>
        <v>0</v>
      </c>
      <c r="L298" s="174"/>
      <c r="N298" s="3"/>
    </row>
    <row r="299" spans="2:14" x14ac:dyDescent="0.25">
      <c r="B299" s="356" t="s">
        <v>510</v>
      </c>
      <c r="C299" s="387"/>
      <c r="D299" s="354"/>
      <c r="E299" s="375"/>
      <c r="F299" s="354"/>
      <c r="G299" s="449"/>
      <c r="H299" s="354"/>
      <c r="I299" s="354"/>
      <c r="J299" s="450"/>
      <c r="K299" s="60">
        <f>J299*G299*E299/Settings!$D$17</f>
        <v>0</v>
      </c>
      <c r="L299" s="385"/>
      <c r="N299" s="3"/>
    </row>
    <row r="300" spans="2:14" x14ac:dyDescent="0.25">
      <c r="B300" s="356" t="s">
        <v>510</v>
      </c>
      <c r="C300" s="387"/>
      <c r="D300" s="354"/>
      <c r="E300" s="375"/>
      <c r="F300" s="354"/>
      <c r="G300" s="449"/>
      <c r="H300" s="354"/>
      <c r="I300" s="354"/>
      <c r="J300" s="450"/>
      <c r="K300" s="60">
        <f>J300*G300*E300/Settings!$D$17</f>
        <v>0</v>
      </c>
      <c r="L300" s="385"/>
      <c r="N300" s="3"/>
    </row>
    <row r="301" spans="2:14" x14ac:dyDescent="0.25">
      <c r="B301" s="356" t="s">
        <v>510</v>
      </c>
      <c r="C301" s="387"/>
      <c r="D301" s="354"/>
      <c r="E301" s="375"/>
      <c r="F301" s="354"/>
      <c r="G301" s="449"/>
      <c r="H301" s="354"/>
      <c r="I301" s="354"/>
      <c r="J301" s="450"/>
      <c r="K301" s="60">
        <f>J301*G301*E301/Settings!$D$17</f>
        <v>0</v>
      </c>
      <c r="L301" s="174"/>
      <c r="N301" s="3"/>
    </row>
    <row r="302" spans="2:14" ht="30" customHeight="1" x14ac:dyDescent="0.25">
      <c r="B302" s="355" t="s">
        <v>410</v>
      </c>
      <c r="C302" s="378"/>
      <c r="D302" s="378"/>
      <c r="E302" s="448"/>
      <c r="F302" s="448"/>
      <c r="G302" s="448"/>
      <c r="H302" s="355"/>
      <c r="I302" s="448"/>
      <c r="J302" s="448"/>
      <c r="K302" s="448">
        <f>_xlfn.AGGREGATE(9,6,K276:K301)</f>
        <v>255.48580509294354</v>
      </c>
      <c r="L302" s="373"/>
      <c r="N302" s="3"/>
    </row>
    <row r="306" spans="1:13" ht="30" customHeight="1" x14ac:dyDescent="0.25">
      <c r="B306" s="328"/>
      <c r="C306" s="235"/>
      <c r="D306" s="235"/>
      <c r="E306" s="251" t="s">
        <v>699</v>
      </c>
      <c r="H306" s="3"/>
      <c r="J306" s="370" t="s">
        <v>1310</v>
      </c>
      <c r="K306" s="371"/>
      <c r="L306" s="372"/>
    </row>
    <row r="307" spans="1:13" ht="16.2" customHeight="1" x14ac:dyDescent="0.25">
      <c r="B307" s="236"/>
      <c r="C307" s="238"/>
      <c r="D307" s="239" t="s">
        <v>1066</v>
      </c>
      <c r="E307" s="240" t="s">
        <v>279</v>
      </c>
      <c r="H307" s="3"/>
      <c r="J307" s="1014" t="s">
        <v>329</v>
      </c>
      <c r="K307" s="1015" t="s">
        <v>335</v>
      </c>
      <c r="L307" s="374" t="s">
        <v>406</v>
      </c>
    </row>
    <row r="308" spans="1:13" x14ac:dyDescent="0.25">
      <c r="B308" s="236"/>
      <c r="C308" s="238"/>
      <c r="D308" s="238"/>
      <c r="E308" s="240" t="s">
        <v>280</v>
      </c>
      <c r="H308" s="3"/>
      <c r="J308" s="1008"/>
      <c r="K308" s="1016"/>
      <c r="L308" s="374" t="s">
        <v>222</v>
      </c>
    </row>
    <row r="309" spans="1:13" ht="16.2" customHeight="1" x14ac:dyDescent="0.25">
      <c r="B309" s="236"/>
      <c r="C309" s="238"/>
      <c r="D309" s="238"/>
      <c r="E309" s="240" t="s">
        <v>281</v>
      </c>
      <c r="H309" s="3"/>
      <c r="J309" s="353" t="s">
        <v>1860</v>
      </c>
      <c r="K309" s="91" t="s">
        <v>337</v>
      </c>
      <c r="L309" s="21">
        <f>K48</f>
        <v>1939.8701799707676</v>
      </c>
    </row>
    <row r="310" spans="1:13" s="24" customFormat="1" x14ac:dyDescent="0.25">
      <c r="B310" s="236"/>
      <c r="C310" s="237"/>
      <c r="D310" s="238"/>
      <c r="E310" s="240" t="s">
        <v>283</v>
      </c>
      <c r="F310" s="3"/>
      <c r="G310" s="3"/>
      <c r="H310" s="3"/>
      <c r="I310" s="3"/>
      <c r="J310" s="353" t="s">
        <v>1861</v>
      </c>
      <c r="K310" s="91" t="s">
        <v>338</v>
      </c>
      <c r="L310" s="21">
        <f>K87</f>
        <v>769.60609712308667</v>
      </c>
    </row>
    <row r="311" spans="1:13" s="24" customFormat="1" x14ac:dyDescent="0.25">
      <c r="B311" s="244"/>
      <c r="C311" s="245"/>
      <c r="D311" s="242"/>
      <c r="E311" s="247" t="s">
        <v>284</v>
      </c>
      <c r="F311" s="3"/>
      <c r="G311" s="3"/>
      <c r="H311" s="3"/>
      <c r="I311" s="3"/>
      <c r="J311" s="353" t="s">
        <v>1862</v>
      </c>
      <c r="K311" s="91" t="s">
        <v>339</v>
      </c>
      <c r="L311" s="21">
        <f>K125</f>
        <v>2775.4875503743638</v>
      </c>
    </row>
    <row r="312" spans="1:13" s="24" customFormat="1" x14ac:dyDescent="0.25">
      <c r="C312" s="3"/>
      <c r="E312" s="3"/>
      <c r="F312" s="3"/>
      <c r="G312" s="3"/>
      <c r="H312" s="3"/>
      <c r="I312" s="3"/>
      <c r="J312" s="353" t="s">
        <v>1863</v>
      </c>
      <c r="K312" s="91" t="s">
        <v>340</v>
      </c>
      <c r="L312" s="21">
        <f>K164</f>
        <v>16455.576966801338</v>
      </c>
    </row>
    <row r="313" spans="1:13" s="24" customFormat="1" x14ac:dyDescent="0.25">
      <c r="C313" s="3"/>
      <c r="E313" s="3"/>
      <c r="F313" s="3"/>
      <c r="G313" s="3"/>
      <c r="H313" s="3"/>
      <c r="I313" s="3"/>
      <c r="J313" s="353" t="s">
        <v>1864</v>
      </c>
      <c r="K313" s="91" t="s">
        <v>341</v>
      </c>
      <c r="L313" s="21">
        <f>K203</f>
        <v>3521.9919221481582</v>
      </c>
    </row>
    <row r="314" spans="1:13" s="24" customFormat="1" x14ac:dyDescent="0.25">
      <c r="A314" s="3"/>
      <c r="B314" s="327"/>
      <c r="C314" s="235"/>
      <c r="D314" s="243"/>
      <c r="E314" s="251"/>
      <c r="F314" s="3"/>
      <c r="G314" s="3"/>
      <c r="H314" s="3"/>
      <c r="I314" s="3"/>
      <c r="J314" s="353" t="s">
        <v>1865</v>
      </c>
      <c r="K314" s="91" t="s">
        <v>342</v>
      </c>
      <c r="L314" s="21">
        <f>K238</f>
        <v>229.77619487020402</v>
      </c>
    </row>
    <row r="315" spans="1:13" s="24" customFormat="1" x14ac:dyDescent="0.25">
      <c r="A315" s="3"/>
      <c r="B315" s="236"/>
      <c r="C315" s="238"/>
      <c r="D315" s="237"/>
      <c r="E315" s="269" t="s">
        <v>1085</v>
      </c>
      <c r="F315" s="3"/>
      <c r="G315" s="3"/>
      <c r="H315" s="3"/>
      <c r="I315" s="3"/>
      <c r="J315" s="353" t="s">
        <v>1866</v>
      </c>
      <c r="K315" s="91" t="s">
        <v>343</v>
      </c>
      <c r="L315" s="21">
        <f>K269</f>
        <v>344.38384313053274</v>
      </c>
    </row>
    <row r="316" spans="1:13" s="24" customFormat="1" x14ac:dyDescent="0.25">
      <c r="A316" s="3"/>
      <c r="B316" s="236"/>
      <c r="C316" s="238"/>
      <c r="D316" s="237"/>
      <c r="E316" s="249" t="s">
        <v>1133</v>
      </c>
      <c r="F316" s="3"/>
      <c r="G316" s="3"/>
      <c r="H316" s="3"/>
      <c r="I316" s="3"/>
      <c r="J316" s="353" t="s">
        <v>1867</v>
      </c>
      <c r="K316" s="91" t="s">
        <v>510</v>
      </c>
      <c r="L316" s="21">
        <f>K302</f>
        <v>255.48580509294354</v>
      </c>
    </row>
    <row r="317" spans="1:13" s="24" customFormat="1" ht="30" customHeight="1" x14ac:dyDescent="0.25">
      <c r="B317" s="244"/>
      <c r="C317" s="242"/>
      <c r="D317" s="245"/>
      <c r="E317" s="250"/>
      <c r="F317" s="3"/>
      <c r="G317" s="3"/>
      <c r="H317" s="3"/>
      <c r="I317" s="3"/>
      <c r="J317" s="355" t="s">
        <v>410</v>
      </c>
      <c r="K317" s="378"/>
      <c r="L317" s="135">
        <f>_xlfn.AGGREGATE(9,6,L309:L316)</f>
        <v>26292.178559511394</v>
      </c>
    </row>
    <row r="318" spans="1:13" s="24" customFormat="1" ht="34.200000000000003" customHeight="1" x14ac:dyDescent="0.25">
      <c r="E318" s="3"/>
      <c r="F318" s="3"/>
      <c r="G318" s="3"/>
      <c r="I318" s="3"/>
      <c r="L318" s="3"/>
    </row>
    <row r="319" spans="1:13" x14ac:dyDescent="0.25">
      <c r="H319" s="3"/>
    </row>
    <row r="320" spans="1:13" s="24" customFormat="1" x14ac:dyDescent="0.25">
      <c r="C320" s="3"/>
      <c r="D320" s="3"/>
      <c r="E320" s="79"/>
      <c r="F320" s="3"/>
      <c r="G320" s="3"/>
      <c r="H320" s="3"/>
      <c r="I320" s="3"/>
      <c r="L320" s="3"/>
      <c r="M320" s="3"/>
    </row>
    <row r="321" spans="3:13" s="24" customFormat="1" x14ac:dyDescent="0.25">
      <c r="C321" s="3"/>
      <c r="D321" s="3"/>
      <c r="E321" s="79"/>
      <c r="F321" s="3"/>
      <c r="G321" s="3"/>
      <c r="H321" s="3"/>
      <c r="I321" s="3"/>
      <c r="L321" s="3"/>
      <c r="M321" s="3"/>
    </row>
    <row r="322" spans="3:13" s="24" customFormat="1" x14ac:dyDescent="0.25">
      <c r="C322" s="3"/>
      <c r="D322" s="3"/>
      <c r="E322" s="79"/>
      <c r="F322" s="3"/>
      <c r="G322" s="3"/>
      <c r="H322" s="3"/>
      <c r="I322" s="3"/>
      <c r="L322" s="3"/>
      <c r="M322" s="3"/>
    </row>
    <row r="323" spans="3:13" s="24" customFormat="1" x14ac:dyDescent="0.25">
      <c r="C323" s="3"/>
      <c r="D323" s="3"/>
      <c r="E323" s="79"/>
      <c r="F323" s="3"/>
      <c r="G323" s="3"/>
      <c r="H323" s="3"/>
      <c r="I323" s="3"/>
      <c r="L323" s="3"/>
      <c r="M323" s="3"/>
    </row>
    <row r="324" spans="3:13" s="24" customFormat="1" x14ac:dyDescent="0.25">
      <c r="E324" s="79"/>
      <c r="F324" s="3"/>
      <c r="G324" s="3"/>
      <c r="I324" s="3"/>
      <c r="L324" s="3"/>
      <c r="M324" s="3"/>
    </row>
    <row r="325" spans="3:13" s="24" customFormat="1" x14ac:dyDescent="0.25">
      <c r="C325" s="3"/>
      <c r="D325" s="3"/>
      <c r="E325" s="79"/>
      <c r="F325" s="3"/>
      <c r="G325" s="3"/>
      <c r="I325" s="3"/>
      <c r="L325" s="3"/>
      <c r="M325" s="3"/>
    </row>
    <row r="326" spans="3:13" x14ac:dyDescent="0.25">
      <c r="E326" s="79"/>
    </row>
    <row r="327" spans="3:13" x14ac:dyDescent="0.25">
      <c r="E327" s="79"/>
    </row>
    <row r="328" spans="3:13" ht="16.8" customHeight="1" x14ac:dyDescent="0.25">
      <c r="E328" s="79"/>
    </row>
    <row r="331" spans="3:13" ht="16.2" customHeight="1" x14ac:dyDescent="0.25"/>
  </sheetData>
  <protectedRanges>
    <protectedRange sqref="E276:G301 J276:J301 L276:L301" name="Range9"/>
    <protectedRange sqref="E245:G268 J245:J268 L245:L268" name="Range8"/>
    <protectedRange sqref="E210:G237 J210:J237 L210:L237" name="Range7"/>
    <protectedRange sqref="E171:G202 J171:J202 L171:L202" name="Range6"/>
    <protectedRange sqref="E94:G124 J94:J124 L94:L124" name="Range5"/>
    <protectedRange sqref="E94:G124 J94:J124 L94:L124" name="Range4"/>
    <protectedRange sqref="F10:F47" name="Range3"/>
    <protectedRange sqref="E55:E86 G55:G86 J55:J86 L55:L86 F55:F86" name="Range2"/>
    <protectedRange sqref="E10:E47 G10:G47 J10:J47 L10:L47" name="Range1"/>
  </protectedRanges>
  <mergeCells count="74">
    <mergeCell ref="B53:B54"/>
    <mergeCell ref="C53:C54"/>
    <mergeCell ref="H53:H54"/>
    <mergeCell ref="B130:B131"/>
    <mergeCell ref="C130:C131"/>
    <mergeCell ref="D130:D131"/>
    <mergeCell ref="G130:G131"/>
    <mergeCell ref="B92:B93"/>
    <mergeCell ref="C92:C93"/>
    <mergeCell ref="D53:D54"/>
    <mergeCell ref="D92:D93"/>
    <mergeCell ref="F53:F54"/>
    <mergeCell ref="E53:E54"/>
    <mergeCell ref="E92:E93"/>
    <mergeCell ref="L8:L9"/>
    <mergeCell ref="L92:L93"/>
    <mergeCell ref="L53:L54"/>
    <mergeCell ref="E130:E131"/>
    <mergeCell ref="E169:E170"/>
    <mergeCell ref="L130:L131"/>
    <mergeCell ref="F169:F170"/>
    <mergeCell ref="H130:H131"/>
    <mergeCell ref="F130:F131"/>
    <mergeCell ref="E8:E9"/>
    <mergeCell ref="G53:G54"/>
    <mergeCell ref="H92:H93"/>
    <mergeCell ref="F92:F93"/>
    <mergeCell ref="G92:G93"/>
    <mergeCell ref="L169:L170"/>
    <mergeCell ref="I8:I9"/>
    <mergeCell ref="B8:B9"/>
    <mergeCell ref="C8:C9"/>
    <mergeCell ref="H8:H9"/>
    <mergeCell ref="F8:F9"/>
    <mergeCell ref="G8:G9"/>
    <mergeCell ref="D8:D9"/>
    <mergeCell ref="D274:D275"/>
    <mergeCell ref="L274:L275"/>
    <mergeCell ref="G243:G244"/>
    <mergeCell ref="H243:H244"/>
    <mergeCell ref="F274:F275"/>
    <mergeCell ref="G274:G275"/>
    <mergeCell ref="H274:H275"/>
    <mergeCell ref="E274:E275"/>
    <mergeCell ref="E243:E244"/>
    <mergeCell ref="H169:H170"/>
    <mergeCell ref="G169:G170"/>
    <mergeCell ref="D208:D209"/>
    <mergeCell ref="D169:D170"/>
    <mergeCell ref="L243:L244"/>
    <mergeCell ref="G208:G209"/>
    <mergeCell ref="E208:E209"/>
    <mergeCell ref="L208:L209"/>
    <mergeCell ref="B169:B170"/>
    <mergeCell ref="B274:B275"/>
    <mergeCell ref="C274:C275"/>
    <mergeCell ref="J307:J308"/>
    <mergeCell ref="B243:B244"/>
    <mergeCell ref="F243:F244"/>
    <mergeCell ref="C243:C244"/>
    <mergeCell ref="D243:D244"/>
    <mergeCell ref="I208:I209"/>
    <mergeCell ref="I243:I244"/>
    <mergeCell ref="I274:I275"/>
    <mergeCell ref="B208:B209"/>
    <mergeCell ref="C208:C209"/>
    <mergeCell ref="H208:H209"/>
    <mergeCell ref="F208:F209"/>
    <mergeCell ref="C169:C170"/>
    <mergeCell ref="I53:I54"/>
    <mergeCell ref="I92:I93"/>
    <mergeCell ref="I130:I131"/>
    <mergeCell ref="I169:I170"/>
    <mergeCell ref="K307:K30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9D11521-3DD7-40D5-9939-237A3527CBA8}">
          <x14:formula1>
            <xm:f>Settings!$B$341:$B$348</xm:f>
          </x14:formula1>
          <xm:sqref>B245:B268 B276:B301 B210:B237 B171:B202 B132:B163 B94:B124 B55:B86 B10:B47 K309:K316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A555C-7B5E-46B2-AB2C-EAF18FF778A6}">
  <dimension ref="A4:K200"/>
  <sheetViews>
    <sheetView rightToLeft="1" zoomScale="70" zoomScaleNormal="70" workbookViewId="0">
      <selection activeCell="F175" sqref="F175"/>
    </sheetView>
  </sheetViews>
  <sheetFormatPr defaultColWidth="9.09765625" defaultRowHeight="16.2" x14ac:dyDescent="0.25"/>
  <cols>
    <col min="1" max="1" width="12.09765625" style="3" customWidth="1"/>
    <col min="2" max="2" width="16.69921875" style="24" customWidth="1"/>
    <col min="3" max="3" width="50.796875" style="3" customWidth="1"/>
    <col min="4" max="4" width="50.796875" style="24" customWidth="1"/>
    <col min="5" max="5" width="14.796875" style="3" bestFit="1" customWidth="1"/>
    <col min="6" max="6" width="17.3984375" style="3" customWidth="1"/>
    <col min="7" max="7" width="12.8984375" style="3" bestFit="1" customWidth="1"/>
    <col min="8" max="8" width="14.09765625" style="24" customWidth="1"/>
    <col min="9" max="9" width="16.8984375" style="3" customWidth="1"/>
    <col min="10" max="10" width="18" style="3" customWidth="1"/>
    <col min="11" max="11" width="26.8984375" style="24" customWidth="1"/>
    <col min="12" max="16384" width="9.09765625" style="3"/>
  </cols>
  <sheetData>
    <row r="4" spans="2:11" ht="16.2" customHeight="1" x14ac:dyDescent="0.25"/>
    <row r="5" spans="2:11" ht="16.2" customHeight="1" x14ac:dyDescent="0.25"/>
    <row r="6" spans="2:11" ht="16.2" customHeight="1" x14ac:dyDescent="0.25"/>
    <row r="7" spans="2:11" s="279" customFormat="1" ht="30" customHeight="1" x14ac:dyDescent="0.25">
      <c r="B7" s="370" t="s">
        <v>970</v>
      </c>
      <c r="C7" s="371"/>
      <c r="D7" s="371"/>
      <c r="E7" s="371"/>
      <c r="F7" s="371"/>
      <c r="G7" s="371"/>
      <c r="H7" s="371"/>
      <c r="I7" s="371"/>
      <c r="J7" s="371"/>
      <c r="K7" s="372"/>
    </row>
    <row r="8" spans="2:11" s="80" customFormat="1" ht="17.25" customHeight="1" x14ac:dyDescent="0.25">
      <c r="B8" s="1014" t="s">
        <v>335</v>
      </c>
      <c r="C8" s="1014" t="s">
        <v>969</v>
      </c>
      <c r="D8" s="1014" t="s">
        <v>1072</v>
      </c>
      <c r="E8" s="1014" t="s">
        <v>400</v>
      </c>
      <c r="F8" s="1014" t="s">
        <v>401</v>
      </c>
      <c r="G8" s="1014" t="s">
        <v>402</v>
      </c>
      <c r="H8" s="1014" t="s">
        <v>442</v>
      </c>
      <c r="I8" s="374" t="s">
        <v>405</v>
      </c>
      <c r="J8" s="374" t="s">
        <v>406</v>
      </c>
      <c r="K8" s="1014" t="s">
        <v>716</v>
      </c>
    </row>
    <row r="9" spans="2:11" s="80" customFormat="1" ht="17.25" customHeight="1" x14ac:dyDescent="0.25">
      <c r="B9" s="1008"/>
      <c r="C9" s="1008"/>
      <c r="D9" s="1008"/>
      <c r="E9" s="1008"/>
      <c r="F9" s="1008"/>
      <c r="G9" s="1008"/>
      <c r="H9" s="1008"/>
      <c r="I9" s="374" t="s">
        <v>1074</v>
      </c>
      <c r="J9" s="374" t="s">
        <v>222</v>
      </c>
      <c r="K9" s="1008"/>
    </row>
    <row r="10" spans="2:11" ht="17.25" customHeight="1" x14ac:dyDescent="0.25">
      <c r="B10" s="356" t="s">
        <v>337</v>
      </c>
      <c r="C10" s="387" t="s">
        <v>1053</v>
      </c>
      <c r="D10" s="443" t="s">
        <v>1077</v>
      </c>
      <c r="E10" s="446" t="s">
        <v>1054</v>
      </c>
      <c r="F10" s="386">
        <v>330410926.76199996</v>
      </c>
      <c r="G10" s="354" t="s">
        <v>1050</v>
      </c>
      <c r="H10" s="443">
        <v>1</v>
      </c>
      <c r="I10" s="450">
        <v>0.221</v>
      </c>
      <c r="J10" s="41">
        <f>I10*F10/Settings!$D$17</f>
        <v>195.7636353786196</v>
      </c>
      <c r="K10" s="174" t="s">
        <v>721</v>
      </c>
    </row>
    <row r="11" spans="2:11" ht="17.25" customHeight="1" x14ac:dyDescent="0.25">
      <c r="B11" s="356" t="s">
        <v>337</v>
      </c>
      <c r="C11" s="387" t="s">
        <v>1055</v>
      </c>
      <c r="D11" s="443" t="s">
        <v>1076</v>
      </c>
      <c r="E11" s="446" t="s">
        <v>1056</v>
      </c>
      <c r="F11" s="386">
        <v>15528780.310999999</v>
      </c>
      <c r="G11" s="354" t="s">
        <v>1050</v>
      </c>
      <c r="H11" s="443">
        <v>1</v>
      </c>
      <c r="I11" s="450">
        <v>0.16200000000000001</v>
      </c>
      <c r="J11" s="41">
        <f>I11*F11/Settings!$D$17</f>
        <v>6.7443128386536371</v>
      </c>
      <c r="K11" s="174" t="s">
        <v>721</v>
      </c>
    </row>
    <row r="12" spans="2:11" ht="17.25" customHeight="1" x14ac:dyDescent="0.25">
      <c r="B12" s="356" t="s">
        <v>337</v>
      </c>
      <c r="C12" s="387" t="s">
        <v>1057</v>
      </c>
      <c r="D12" s="354" t="s">
        <v>1073</v>
      </c>
      <c r="E12" s="354">
        <v>80010</v>
      </c>
      <c r="F12" s="375">
        <v>2268975684.9380002</v>
      </c>
      <c r="G12" s="354" t="s">
        <v>1050</v>
      </c>
      <c r="H12" s="354">
        <v>1</v>
      </c>
      <c r="I12" s="450">
        <v>0.214</v>
      </c>
      <c r="J12" s="41">
        <f>I12*F12/Settings!$D$17</f>
        <v>1301.7541228046059</v>
      </c>
      <c r="K12" s="174" t="s">
        <v>721</v>
      </c>
    </row>
    <row r="13" spans="2:11" ht="17.25" customHeight="1" x14ac:dyDescent="0.25">
      <c r="B13" s="356" t="s">
        <v>337</v>
      </c>
      <c r="C13" s="387" t="s">
        <v>1058</v>
      </c>
      <c r="D13" s="354" t="s">
        <v>1075</v>
      </c>
      <c r="E13" s="354">
        <v>81990</v>
      </c>
      <c r="F13" s="375">
        <v>1278717066.2390001</v>
      </c>
      <c r="G13" s="354" t="s">
        <v>1050</v>
      </c>
      <c r="H13" s="354">
        <v>1</v>
      </c>
      <c r="I13" s="450">
        <v>0.111</v>
      </c>
      <c r="J13" s="41">
        <f>I13*F13/Settings!$D$17</f>
        <v>380.52464270593964</v>
      </c>
      <c r="K13" s="174" t="s">
        <v>721</v>
      </c>
    </row>
    <row r="14" spans="2:11" ht="17.25" customHeight="1" x14ac:dyDescent="0.25">
      <c r="B14" s="356" t="s">
        <v>337</v>
      </c>
      <c r="C14" s="387"/>
      <c r="D14" s="354"/>
      <c r="E14" s="354"/>
      <c r="F14" s="375"/>
      <c r="G14" s="354"/>
      <c r="H14" s="354"/>
      <c r="I14" s="450"/>
      <c r="J14" s="41">
        <f>I14*F14/Settings!$D$17</f>
        <v>0</v>
      </c>
      <c r="K14" s="174"/>
    </row>
    <row r="15" spans="2:11" x14ac:dyDescent="0.25">
      <c r="B15" s="356" t="s">
        <v>337</v>
      </c>
      <c r="C15" s="387"/>
      <c r="D15" s="354"/>
      <c r="E15" s="354"/>
      <c r="F15" s="375"/>
      <c r="G15" s="354"/>
      <c r="H15" s="354"/>
      <c r="I15" s="450"/>
      <c r="J15" s="41">
        <f>I15*F15/Settings!$D$17</f>
        <v>0</v>
      </c>
      <c r="K15" s="174"/>
    </row>
    <row r="16" spans="2:11" x14ac:dyDescent="0.25">
      <c r="B16" s="356" t="s">
        <v>337</v>
      </c>
      <c r="C16" s="387"/>
      <c r="D16" s="354"/>
      <c r="E16" s="354"/>
      <c r="F16" s="375"/>
      <c r="G16" s="354"/>
      <c r="H16" s="354"/>
      <c r="I16" s="450"/>
      <c r="J16" s="41">
        <f>I16*F16/Settings!$D$17</f>
        <v>0</v>
      </c>
      <c r="K16" s="385"/>
    </row>
    <row r="17" spans="2:11" x14ac:dyDescent="0.25">
      <c r="B17" s="356" t="s">
        <v>337</v>
      </c>
      <c r="C17" s="387"/>
      <c r="D17" s="354"/>
      <c r="E17" s="354"/>
      <c r="F17" s="375"/>
      <c r="G17" s="354"/>
      <c r="H17" s="354"/>
      <c r="I17" s="450"/>
      <c r="J17" s="41">
        <f>I17*F17/Settings!$D$17</f>
        <v>0</v>
      </c>
      <c r="K17" s="174"/>
    </row>
    <row r="18" spans="2:11" x14ac:dyDescent="0.25">
      <c r="B18" s="356" t="s">
        <v>337</v>
      </c>
      <c r="C18" s="387"/>
      <c r="D18" s="354"/>
      <c r="E18" s="354"/>
      <c r="F18" s="375"/>
      <c r="G18" s="354"/>
      <c r="H18" s="354"/>
      <c r="I18" s="450"/>
      <c r="J18" s="41">
        <f>I18*F18/Settings!$D$17</f>
        <v>0</v>
      </c>
      <c r="K18" s="174"/>
    </row>
    <row r="19" spans="2:11" x14ac:dyDescent="0.25">
      <c r="B19" s="356" t="s">
        <v>337</v>
      </c>
      <c r="C19" s="387"/>
      <c r="D19" s="354"/>
      <c r="E19" s="354"/>
      <c r="F19" s="375"/>
      <c r="G19" s="354"/>
      <c r="H19" s="354"/>
      <c r="I19" s="450"/>
      <c r="J19" s="41">
        <f>I19*F19/Settings!$D$17</f>
        <v>0</v>
      </c>
      <c r="K19" s="174"/>
    </row>
    <row r="20" spans="2:11" x14ac:dyDescent="0.25">
      <c r="B20" s="356" t="s">
        <v>337</v>
      </c>
      <c r="C20" s="387"/>
      <c r="D20" s="354"/>
      <c r="E20" s="354"/>
      <c r="F20" s="375"/>
      <c r="G20" s="354"/>
      <c r="H20" s="354"/>
      <c r="I20" s="450"/>
      <c r="J20" s="41">
        <f>I20*F20/Settings!$D$17</f>
        <v>0</v>
      </c>
      <c r="K20" s="174"/>
    </row>
    <row r="21" spans="2:11" x14ac:dyDescent="0.25">
      <c r="B21" s="356" t="s">
        <v>337</v>
      </c>
      <c r="C21" s="387"/>
      <c r="D21" s="354"/>
      <c r="E21" s="354"/>
      <c r="F21" s="375"/>
      <c r="G21" s="354"/>
      <c r="H21" s="354"/>
      <c r="I21" s="450"/>
      <c r="J21" s="41">
        <f>I21*F21/Settings!$D$17</f>
        <v>0</v>
      </c>
      <c r="K21" s="385"/>
    </row>
    <row r="22" spans="2:11" x14ac:dyDescent="0.25">
      <c r="B22" s="356" t="s">
        <v>337</v>
      </c>
      <c r="C22" s="387"/>
      <c r="D22" s="354"/>
      <c r="E22" s="354"/>
      <c r="F22" s="375"/>
      <c r="G22" s="354"/>
      <c r="H22" s="354"/>
      <c r="I22" s="450"/>
      <c r="J22" s="41">
        <f>I22*F22/Settings!$D$17</f>
        <v>0</v>
      </c>
      <c r="K22" s="385"/>
    </row>
    <row r="23" spans="2:11" x14ac:dyDescent="0.25">
      <c r="B23" s="356" t="s">
        <v>337</v>
      </c>
      <c r="C23" s="387"/>
      <c r="D23" s="354"/>
      <c r="E23" s="354"/>
      <c r="F23" s="375"/>
      <c r="G23" s="354"/>
      <c r="H23" s="354"/>
      <c r="I23" s="450"/>
      <c r="J23" s="41">
        <f>I23*F23/Settings!$D$17</f>
        <v>0</v>
      </c>
      <c r="K23" s="174"/>
    </row>
    <row r="24" spans="2:11" ht="30" customHeight="1" x14ac:dyDescent="0.25">
      <c r="B24" s="355" t="s">
        <v>410</v>
      </c>
      <c r="C24" s="378"/>
      <c r="D24" s="355"/>
      <c r="E24" s="378"/>
      <c r="F24" s="448"/>
      <c r="G24" s="448"/>
      <c r="H24" s="448"/>
      <c r="I24" s="448"/>
      <c r="J24" s="448">
        <f>_xlfn.AGGREGATE(9,6,J10:J23)</f>
        <v>1884.7867137278188</v>
      </c>
      <c r="K24" s="373"/>
    </row>
    <row r="28" spans="2:11" s="279" customFormat="1" ht="30" customHeight="1" x14ac:dyDescent="0.25">
      <c r="B28" s="370" t="s">
        <v>971</v>
      </c>
      <c r="C28" s="371"/>
      <c r="D28" s="371"/>
      <c r="E28" s="371"/>
      <c r="F28" s="371"/>
      <c r="G28" s="371"/>
      <c r="H28" s="371"/>
      <c r="I28" s="371"/>
      <c r="J28" s="371"/>
      <c r="K28" s="372"/>
    </row>
    <row r="29" spans="2:11" ht="16.8" customHeight="1" x14ac:dyDescent="0.25">
      <c r="B29" s="1014" t="s">
        <v>335</v>
      </c>
      <c r="C29" s="1014" t="s">
        <v>969</v>
      </c>
      <c r="D29" s="1014" t="s">
        <v>1072</v>
      </c>
      <c r="E29" s="1014" t="s">
        <v>400</v>
      </c>
      <c r="F29" s="1014" t="s">
        <v>401</v>
      </c>
      <c r="G29" s="1014" t="s">
        <v>402</v>
      </c>
      <c r="H29" s="1014" t="s">
        <v>442</v>
      </c>
      <c r="I29" s="374" t="s">
        <v>405</v>
      </c>
      <c r="J29" s="374" t="s">
        <v>406</v>
      </c>
      <c r="K29" s="1014" t="s">
        <v>716</v>
      </c>
    </row>
    <row r="30" spans="2:11" ht="16.2" customHeight="1" x14ac:dyDescent="0.25">
      <c r="B30" s="1008"/>
      <c r="C30" s="1008"/>
      <c r="D30" s="1008"/>
      <c r="E30" s="1008"/>
      <c r="F30" s="1008"/>
      <c r="G30" s="1008"/>
      <c r="H30" s="1008"/>
      <c r="I30" s="374" t="s">
        <v>1074</v>
      </c>
      <c r="J30" s="374" t="s">
        <v>222</v>
      </c>
      <c r="K30" s="1008"/>
    </row>
    <row r="31" spans="2:11" x14ac:dyDescent="0.25">
      <c r="B31" s="356" t="s">
        <v>338</v>
      </c>
      <c r="C31" s="387" t="s">
        <v>1053</v>
      </c>
      <c r="D31" s="443" t="s">
        <v>1077</v>
      </c>
      <c r="E31" s="446" t="s">
        <v>1054</v>
      </c>
      <c r="F31" s="386">
        <v>412922458.92900002</v>
      </c>
      <c r="G31" s="354" t="s">
        <v>1050</v>
      </c>
      <c r="H31" s="443">
        <v>1</v>
      </c>
      <c r="I31" s="450">
        <v>0.221</v>
      </c>
      <c r="J31" s="41">
        <f>I31*F31/Settings!$D$17</f>
        <v>244.65050984117906</v>
      </c>
      <c r="K31" s="174" t="s">
        <v>721</v>
      </c>
    </row>
    <row r="32" spans="2:11" x14ac:dyDescent="0.25">
      <c r="B32" s="356" t="s">
        <v>338</v>
      </c>
      <c r="C32" s="387" t="s">
        <v>1055</v>
      </c>
      <c r="D32" s="443" t="s">
        <v>1076</v>
      </c>
      <c r="E32" s="446" t="s">
        <v>1056</v>
      </c>
      <c r="F32" s="386">
        <v>21792535.542999998</v>
      </c>
      <c r="G32" s="354" t="s">
        <v>1050</v>
      </c>
      <c r="H32" s="443">
        <v>1</v>
      </c>
      <c r="I32" s="450">
        <v>0.16200000000000001</v>
      </c>
      <c r="J32" s="41">
        <f>I32*F32/Settings!$D$17</f>
        <v>9.464727705971768</v>
      </c>
      <c r="K32" s="174" t="s">
        <v>721</v>
      </c>
    </row>
    <row r="33" spans="2:11" x14ac:dyDescent="0.25">
      <c r="B33" s="356" t="s">
        <v>338</v>
      </c>
      <c r="C33" s="387" t="s">
        <v>1057</v>
      </c>
      <c r="D33" s="354" t="s">
        <v>1073</v>
      </c>
      <c r="E33" s="354">
        <v>80010</v>
      </c>
      <c r="F33" s="375">
        <v>1189648789.0630002</v>
      </c>
      <c r="G33" s="354" t="s">
        <v>1050</v>
      </c>
      <c r="H33" s="354">
        <v>1</v>
      </c>
      <c r="I33" s="450">
        <v>0.214</v>
      </c>
      <c r="J33" s="41">
        <f>I33*F33/Settings!$D$17</f>
        <v>682.52393629973335</v>
      </c>
      <c r="K33" s="174" t="s">
        <v>721</v>
      </c>
    </row>
    <row r="34" spans="2:11" x14ac:dyDescent="0.25">
      <c r="B34" s="356" t="s">
        <v>338</v>
      </c>
      <c r="C34" s="387" t="s">
        <v>1058</v>
      </c>
      <c r="D34" s="354" t="s">
        <v>1075</v>
      </c>
      <c r="E34" s="354">
        <v>81990</v>
      </c>
      <c r="F34" s="375">
        <v>9895752049.7989998</v>
      </c>
      <c r="G34" s="354" t="s">
        <v>1050</v>
      </c>
      <c r="H34" s="354">
        <v>1</v>
      </c>
      <c r="I34" s="450">
        <v>0.111</v>
      </c>
      <c r="J34" s="41">
        <f>I34*F34/Settings!$D$17</f>
        <v>2944.8089905703382</v>
      </c>
      <c r="K34" s="174" t="s">
        <v>721</v>
      </c>
    </row>
    <row r="35" spans="2:11" x14ac:dyDescent="0.25">
      <c r="B35" s="356" t="s">
        <v>338</v>
      </c>
      <c r="C35" s="387"/>
      <c r="D35" s="354"/>
      <c r="E35" s="354"/>
      <c r="F35" s="375"/>
      <c r="G35" s="354"/>
      <c r="H35" s="354"/>
      <c r="I35" s="450"/>
      <c r="J35" s="41">
        <f>I35*F35/Settings!$D$17</f>
        <v>0</v>
      </c>
      <c r="K35" s="174"/>
    </row>
    <row r="36" spans="2:11" x14ac:dyDescent="0.25">
      <c r="B36" s="356" t="s">
        <v>338</v>
      </c>
      <c r="C36" s="387"/>
      <c r="D36" s="354"/>
      <c r="E36" s="354"/>
      <c r="F36" s="375"/>
      <c r="G36" s="354"/>
      <c r="H36" s="354"/>
      <c r="I36" s="450"/>
      <c r="J36" s="41">
        <f>I36*F36/Settings!$D$17</f>
        <v>0</v>
      </c>
      <c r="K36" s="385"/>
    </row>
    <row r="37" spans="2:11" x14ac:dyDescent="0.25">
      <c r="B37" s="356" t="s">
        <v>338</v>
      </c>
      <c r="C37" s="387"/>
      <c r="D37" s="354"/>
      <c r="E37" s="354"/>
      <c r="F37" s="375"/>
      <c r="G37" s="354"/>
      <c r="H37" s="354"/>
      <c r="I37" s="450"/>
      <c r="J37" s="41">
        <f>I37*F37/Settings!$D$17</f>
        <v>0</v>
      </c>
      <c r="K37" s="385"/>
    </row>
    <row r="38" spans="2:11" x14ac:dyDescent="0.25">
      <c r="B38" s="356" t="s">
        <v>338</v>
      </c>
      <c r="C38" s="387"/>
      <c r="D38" s="354"/>
      <c r="E38" s="354"/>
      <c r="F38" s="375"/>
      <c r="G38" s="354"/>
      <c r="H38" s="354"/>
      <c r="I38" s="450"/>
      <c r="J38" s="41">
        <f>I38*F38/Settings!$D$17</f>
        <v>0</v>
      </c>
      <c r="K38" s="385"/>
    </row>
    <row r="39" spans="2:11" x14ac:dyDescent="0.25">
      <c r="B39" s="356" t="s">
        <v>338</v>
      </c>
      <c r="C39" s="387"/>
      <c r="D39" s="354"/>
      <c r="E39" s="354"/>
      <c r="F39" s="375"/>
      <c r="G39" s="354"/>
      <c r="H39" s="354"/>
      <c r="I39" s="450"/>
      <c r="J39" s="41">
        <f>I39*F39/Settings!$D$17</f>
        <v>0</v>
      </c>
      <c r="K39" s="385"/>
    </row>
    <row r="40" spans="2:11" x14ac:dyDescent="0.25">
      <c r="B40" s="356" t="s">
        <v>338</v>
      </c>
      <c r="C40" s="387"/>
      <c r="D40" s="354"/>
      <c r="E40" s="354"/>
      <c r="F40" s="375"/>
      <c r="G40" s="354"/>
      <c r="H40" s="354"/>
      <c r="I40" s="450"/>
      <c r="J40" s="41">
        <f>I40*F40/Settings!$D$17</f>
        <v>0</v>
      </c>
      <c r="K40" s="385"/>
    </row>
    <row r="41" spans="2:11" x14ac:dyDescent="0.25">
      <c r="B41" s="356" t="s">
        <v>338</v>
      </c>
      <c r="C41" s="387"/>
      <c r="D41" s="354"/>
      <c r="E41" s="354"/>
      <c r="F41" s="375"/>
      <c r="G41" s="354"/>
      <c r="H41" s="354"/>
      <c r="I41" s="450"/>
      <c r="J41" s="41">
        <f>I41*F41/Settings!$D$17</f>
        <v>0</v>
      </c>
      <c r="K41" s="385"/>
    </row>
    <row r="42" spans="2:11" x14ac:dyDescent="0.25">
      <c r="B42" s="356" t="s">
        <v>338</v>
      </c>
      <c r="C42" s="387"/>
      <c r="D42" s="354"/>
      <c r="E42" s="354"/>
      <c r="F42" s="375"/>
      <c r="G42" s="354"/>
      <c r="H42" s="354"/>
      <c r="I42" s="450"/>
      <c r="J42" s="41">
        <f>I42*F42/Settings!$D$17</f>
        <v>0</v>
      </c>
      <c r="K42" s="385"/>
    </row>
    <row r="43" spans="2:11" x14ac:dyDescent="0.25">
      <c r="B43" s="356" t="s">
        <v>338</v>
      </c>
      <c r="C43" s="387"/>
      <c r="D43" s="354"/>
      <c r="E43" s="354"/>
      <c r="F43" s="375"/>
      <c r="G43" s="354"/>
      <c r="H43" s="354"/>
      <c r="I43" s="450"/>
      <c r="J43" s="41">
        <f>I43*F43/Settings!$D$17</f>
        <v>0</v>
      </c>
      <c r="K43" s="385"/>
    </row>
    <row r="44" spans="2:11" x14ac:dyDescent="0.25">
      <c r="B44" s="356" t="s">
        <v>338</v>
      </c>
      <c r="C44" s="387"/>
      <c r="D44" s="354"/>
      <c r="E44" s="354"/>
      <c r="F44" s="375"/>
      <c r="G44" s="354"/>
      <c r="H44" s="354"/>
      <c r="I44" s="450"/>
      <c r="J44" s="41">
        <f>I44*F44/Settings!$D$17</f>
        <v>0</v>
      </c>
      <c r="K44" s="385"/>
    </row>
    <row r="45" spans="2:11" ht="30" customHeight="1" x14ac:dyDescent="0.25">
      <c r="B45" s="355" t="s">
        <v>410</v>
      </c>
      <c r="C45" s="378"/>
      <c r="D45" s="355"/>
      <c r="E45" s="378"/>
      <c r="F45" s="448"/>
      <c r="G45" s="448"/>
      <c r="H45" s="448"/>
      <c r="I45" s="448"/>
      <c r="J45" s="448">
        <f>_xlfn.AGGREGATE(9,6,J31:J44)</f>
        <v>3881.4481644172224</v>
      </c>
      <c r="K45" s="373"/>
    </row>
    <row r="49" spans="2:11" s="279" customFormat="1" ht="30" customHeight="1" x14ac:dyDescent="0.25">
      <c r="B49" s="370" t="s">
        <v>972</v>
      </c>
      <c r="C49" s="371"/>
      <c r="D49" s="371"/>
      <c r="E49" s="371"/>
      <c r="F49" s="371"/>
      <c r="G49" s="371"/>
      <c r="H49" s="371"/>
      <c r="I49" s="371"/>
      <c r="J49" s="371"/>
      <c r="K49" s="372"/>
    </row>
    <row r="50" spans="2:11" ht="16.8" customHeight="1" x14ac:dyDescent="0.25">
      <c r="B50" s="1014" t="s">
        <v>335</v>
      </c>
      <c r="C50" s="1014" t="s">
        <v>969</v>
      </c>
      <c r="D50" s="1014" t="s">
        <v>1072</v>
      </c>
      <c r="E50" s="1014" t="s">
        <v>400</v>
      </c>
      <c r="F50" s="1014" t="s">
        <v>401</v>
      </c>
      <c r="G50" s="1014" t="s">
        <v>402</v>
      </c>
      <c r="H50" s="1014" t="s">
        <v>442</v>
      </c>
      <c r="I50" s="374" t="s">
        <v>405</v>
      </c>
      <c r="J50" s="374" t="s">
        <v>406</v>
      </c>
      <c r="K50" s="1014" t="s">
        <v>716</v>
      </c>
    </row>
    <row r="51" spans="2:11" ht="16.2" customHeight="1" x14ac:dyDescent="0.25">
      <c r="B51" s="1008"/>
      <c r="C51" s="1008"/>
      <c r="D51" s="1008"/>
      <c r="E51" s="1008"/>
      <c r="F51" s="1008"/>
      <c r="G51" s="1008"/>
      <c r="H51" s="1008"/>
      <c r="I51" s="374" t="s">
        <v>1074</v>
      </c>
      <c r="J51" s="374" t="s">
        <v>222</v>
      </c>
      <c r="K51" s="1008"/>
    </row>
    <row r="52" spans="2:11" x14ac:dyDescent="0.25">
      <c r="B52" s="356" t="s">
        <v>339</v>
      </c>
      <c r="C52" s="387" t="s">
        <v>1053</v>
      </c>
      <c r="D52" s="443" t="s">
        <v>1077</v>
      </c>
      <c r="E52" s="446" t="s">
        <v>1054</v>
      </c>
      <c r="F52" s="386">
        <v>0</v>
      </c>
      <c r="G52" s="354" t="s">
        <v>1050</v>
      </c>
      <c r="H52" s="443">
        <v>1</v>
      </c>
      <c r="I52" s="450">
        <v>0.221</v>
      </c>
      <c r="J52" s="41">
        <f>I52*F52/Settings!$D$17</f>
        <v>0</v>
      </c>
      <c r="K52" s="174" t="s">
        <v>721</v>
      </c>
    </row>
    <row r="53" spans="2:11" x14ac:dyDescent="0.25">
      <c r="B53" s="356" t="s">
        <v>339</v>
      </c>
      <c r="C53" s="387" t="s">
        <v>1055</v>
      </c>
      <c r="D53" s="443" t="s">
        <v>1076</v>
      </c>
      <c r="E53" s="446" t="s">
        <v>1056</v>
      </c>
      <c r="F53" s="386">
        <v>7137002.1560000004</v>
      </c>
      <c r="G53" s="354" t="s">
        <v>1050</v>
      </c>
      <c r="H53" s="443">
        <v>1</v>
      </c>
      <c r="I53" s="450">
        <v>0.16200000000000001</v>
      </c>
      <c r="J53" s="41">
        <f>I53*F53/Settings!$D$17</f>
        <v>3.0996752034744848</v>
      </c>
      <c r="K53" s="174" t="s">
        <v>721</v>
      </c>
    </row>
    <row r="54" spans="2:11" x14ac:dyDescent="0.25">
      <c r="B54" s="356" t="s">
        <v>339</v>
      </c>
      <c r="C54" s="387" t="s">
        <v>1057</v>
      </c>
      <c r="D54" s="354" t="s">
        <v>1073</v>
      </c>
      <c r="E54" s="354">
        <v>80010</v>
      </c>
      <c r="F54" s="375">
        <v>418398999.51800001</v>
      </c>
      <c r="G54" s="354" t="s">
        <v>1050</v>
      </c>
      <c r="H54" s="354">
        <v>1</v>
      </c>
      <c r="I54" s="450">
        <v>0.214</v>
      </c>
      <c r="J54" s="41">
        <f>I54*F54/Settings!$D$17</f>
        <v>240.04339324366163</v>
      </c>
      <c r="K54" s="174" t="s">
        <v>721</v>
      </c>
    </row>
    <row r="55" spans="2:11" x14ac:dyDescent="0.25">
      <c r="B55" s="356" t="s">
        <v>339</v>
      </c>
      <c r="C55" s="387" t="s">
        <v>1058</v>
      </c>
      <c r="D55" s="354" t="s">
        <v>1075</v>
      </c>
      <c r="E55" s="354">
        <v>81990</v>
      </c>
      <c r="F55" s="375">
        <v>904849038.50599992</v>
      </c>
      <c r="G55" s="354" t="s">
        <v>1050</v>
      </c>
      <c r="H55" s="354">
        <v>1</v>
      </c>
      <c r="I55" s="450">
        <v>0.111</v>
      </c>
      <c r="J55" s="41">
        <f>I55*F55/Settings!$D$17</f>
        <v>269.26782020124659</v>
      </c>
      <c r="K55" s="174" t="s">
        <v>721</v>
      </c>
    </row>
    <row r="56" spans="2:11" x14ac:dyDescent="0.25">
      <c r="B56" s="356" t="s">
        <v>339</v>
      </c>
      <c r="C56" s="387"/>
      <c r="D56" s="354"/>
      <c r="E56" s="354"/>
      <c r="F56" s="375"/>
      <c r="G56" s="354"/>
      <c r="H56" s="354"/>
      <c r="I56" s="450"/>
      <c r="J56" s="41">
        <f>I56*F56/Settings!$D$17</f>
        <v>0</v>
      </c>
      <c r="K56" s="385"/>
    </row>
    <row r="57" spans="2:11" x14ac:dyDescent="0.25">
      <c r="B57" s="356" t="s">
        <v>339</v>
      </c>
      <c r="C57" s="387"/>
      <c r="D57" s="354"/>
      <c r="E57" s="354"/>
      <c r="F57" s="375"/>
      <c r="G57" s="354"/>
      <c r="H57" s="354"/>
      <c r="I57" s="450"/>
      <c r="J57" s="41">
        <f>I57*F57/Settings!$D$17</f>
        <v>0</v>
      </c>
      <c r="K57" s="385"/>
    </row>
    <row r="58" spans="2:11" x14ac:dyDescent="0.25">
      <c r="B58" s="356" t="s">
        <v>339</v>
      </c>
      <c r="C58" s="387"/>
      <c r="D58" s="354"/>
      <c r="E58" s="354"/>
      <c r="F58" s="375"/>
      <c r="G58" s="354"/>
      <c r="H58" s="354"/>
      <c r="I58" s="450"/>
      <c r="J58" s="41">
        <f>I58*F58/Settings!$D$17</f>
        <v>0</v>
      </c>
      <c r="K58" s="385"/>
    </row>
    <row r="59" spans="2:11" x14ac:dyDescent="0.25">
      <c r="B59" s="356" t="s">
        <v>339</v>
      </c>
      <c r="C59" s="387"/>
      <c r="D59" s="354"/>
      <c r="E59" s="354"/>
      <c r="F59" s="375"/>
      <c r="G59" s="354"/>
      <c r="H59" s="354"/>
      <c r="I59" s="450"/>
      <c r="J59" s="41">
        <f>I59*F59/Settings!$D$17</f>
        <v>0</v>
      </c>
      <c r="K59" s="385"/>
    </row>
    <row r="60" spans="2:11" x14ac:dyDescent="0.25">
      <c r="B60" s="356" t="s">
        <v>339</v>
      </c>
      <c r="C60" s="387"/>
      <c r="D60" s="354"/>
      <c r="E60" s="354"/>
      <c r="F60" s="375"/>
      <c r="G60" s="354"/>
      <c r="H60" s="354"/>
      <c r="I60" s="450"/>
      <c r="J60" s="41">
        <f>I60*F60/Settings!$D$17</f>
        <v>0</v>
      </c>
      <c r="K60" s="385"/>
    </row>
    <row r="61" spans="2:11" x14ac:dyDescent="0.25">
      <c r="B61" s="356" t="s">
        <v>339</v>
      </c>
      <c r="C61" s="387"/>
      <c r="D61" s="354"/>
      <c r="E61" s="354"/>
      <c r="F61" s="375"/>
      <c r="G61" s="354"/>
      <c r="H61" s="354"/>
      <c r="I61" s="450"/>
      <c r="J61" s="41">
        <f>I61*F61/Settings!$D$17</f>
        <v>0</v>
      </c>
      <c r="K61" s="385"/>
    </row>
    <row r="62" spans="2:11" x14ac:dyDescent="0.25">
      <c r="B62" s="356" t="s">
        <v>339</v>
      </c>
      <c r="C62" s="387"/>
      <c r="D62" s="354"/>
      <c r="E62" s="354"/>
      <c r="F62" s="375"/>
      <c r="G62" s="354"/>
      <c r="H62" s="354"/>
      <c r="I62" s="450"/>
      <c r="J62" s="41">
        <f>I62*F62/Settings!$D$17</f>
        <v>0</v>
      </c>
      <c r="K62" s="385"/>
    </row>
    <row r="63" spans="2:11" x14ac:dyDescent="0.25">
      <c r="B63" s="356" t="s">
        <v>339</v>
      </c>
      <c r="C63" s="387"/>
      <c r="D63" s="354"/>
      <c r="E63" s="354"/>
      <c r="F63" s="375"/>
      <c r="G63" s="354"/>
      <c r="H63" s="354"/>
      <c r="I63" s="450"/>
      <c r="J63" s="41">
        <f>I63*F63/Settings!$D$17</f>
        <v>0</v>
      </c>
      <c r="K63" s="385"/>
    </row>
    <row r="64" spans="2:11" x14ac:dyDescent="0.25">
      <c r="B64" s="356" t="s">
        <v>339</v>
      </c>
      <c r="C64" s="387"/>
      <c r="D64" s="354"/>
      <c r="E64" s="354"/>
      <c r="F64" s="375"/>
      <c r="G64" s="354"/>
      <c r="H64" s="354"/>
      <c r="I64" s="450"/>
      <c r="J64" s="41">
        <f>I64*F64/Settings!$D$17</f>
        <v>0</v>
      </c>
      <c r="K64" s="385"/>
    </row>
    <row r="65" spans="2:11" x14ac:dyDescent="0.25">
      <c r="B65" s="356" t="s">
        <v>339</v>
      </c>
      <c r="C65" s="387"/>
      <c r="D65" s="354"/>
      <c r="E65" s="354"/>
      <c r="F65" s="375"/>
      <c r="G65" s="354"/>
      <c r="H65" s="354"/>
      <c r="I65" s="450"/>
      <c r="J65" s="41">
        <f>I65*F65/Settings!$D$17</f>
        <v>0</v>
      </c>
      <c r="K65" s="385"/>
    </row>
    <row r="66" spans="2:11" ht="30" customHeight="1" x14ac:dyDescent="0.25">
      <c r="B66" s="355" t="s">
        <v>410</v>
      </c>
      <c r="C66" s="378"/>
      <c r="D66" s="355"/>
      <c r="E66" s="378"/>
      <c r="F66" s="448"/>
      <c r="G66" s="448"/>
      <c r="H66" s="448"/>
      <c r="I66" s="448"/>
      <c r="J66" s="448">
        <f>_xlfn.AGGREGATE(9,6,J52:J65)</f>
        <v>512.41088864838275</v>
      </c>
      <c r="K66" s="373"/>
    </row>
    <row r="70" spans="2:11" s="279" customFormat="1" ht="30" customHeight="1" x14ac:dyDescent="0.25">
      <c r="B70" s="370" t="s">
        <v>973</v>
      </c>
      <c r="C70" s="371"/>
      <c r="D70" s="371"/>
      <c r="E70" s="371"/>
      <c r="F70" s="371"/>
      <c r="G70" s="371"/>
      <c r="H70" s="371"/>
      <c r="I70" s="371"/>
      <c r="J70" s="371"/>
      <c r="K70" s="372"/>
    </row>
    <row r="71" spans="2:11" ht="16.8" customHeight="1" x14ac:dyDescent="0.25">
      <c r="B71" s="1014" t="s">
        <v>335</v>
      </c>
      <c r="C71" s="1014" t="s">
        <v>969</v>
      </c>
      <c r="D71" s="1014" t="s">
        <v>1072</v>
      </c>
      <c r="E71" s="1014" t="s">
        <v>400</v>
      </c>
      <c r="F71" s="1014" t="s">
        <v>401</v>
      </c>
      <c r="G71" s="1014" t="s">
        <v>402</v>
      </c>
      <c r="H71" s="1014" t="s">
        <v>442</v>
      </c>
      <c r="I71" s="374" t="s">
        <v>405</v>
      </c>
      <c r="J71" s="374" t="s">
        <v>406</v>
      </c>
      <c r="K71" s="1014" t="s">
        <v>716</v>
      </c>
    </row>
    <row r="72" spans="2:11" ht="16.2" customHeight="1" x14ac:dyDescent="0.25">
      <c r="B72" s="1008"/>
      <c r="C72" s="1008"/>
      <c r="D72" s="1008"/>
      <c r="E72" s="1008"/>
      <c r="F72" s="1008"/>
      <c r="G72" s="1008"/>
      <c r="H72" s="1008"/>
      <c r="I72" s="374" t="s">
        <v>1074</v>
      </c>
      <c r="J72" s="374" t="s">
        <v>222</v>
      </c>
      <c r="K72" s="1008"/>
    </row>
    <row r="73" spans="2:11" x14ac:dyDescent="0.25">
      <c r="B73" s="356" t="s">
        <v>340</v>
      </c>
      <c r="C73" s="387" t="s">
        <v>1053</v>
      </c>
      <c r="D73" s="443" t="s">
        <v>1077</v>
      </c>
      <c r="E73" s="446" t="s">
        <v>1054</v>
      </c>
      <c r="F73" s="386">
        <v>23275252.609999999</v>
      </c>
      <c r="G73" s="354" t="s">
        <v>1050</v>
      </c>
      <c r="H73" s="443">
        <v>1</v>
      </c>
      <c r="I73" s="450">
        <v>0.221</v>
      </c>
      <c r="J73" s="41">
        <f>I73*F73/Settings!$D$17</f>
        <v>13.790246315223655</v>
      </c>
      <c r="K73" s="174" t="s">
        <v>721</v>
      </c>
    </row>
    <row r="74" spans="2:11" x14ac:dyDescent="0.25">
      <c r="B74" s="356" t="s">
        <v>340</v>
      </c>
      <c r="C74" s="387" t="s">
        <v>1055</v>
      </c>
      <c r="D74" s="443" t="s">
        <v>1076</v>
      </c>
      <c r="E74" s="446" t="s">
        <v>1056</v>
      </c>
      <c r="F74" s="386">
        <v>8203143.4760000017</v>
      </c>
      <c r="G74" s="354" t="s">
        <v>1050</v>
      </c>
      <c r="H74" s="443">
        <v>1</v>
      </c>
      <c r="I74" s="450">
        <v>0.16200000000000001</v>
      </c>
      <c r="J74" s="41">
        <f>I74*F74/Settings!$D$17</f>
        <v>3.5627116073832803</v>
      </c>
      <c r="K74" s="174" t="s">
        <v>721</v>
      </c>
    </row>
    <row r="75" spans="2:11" x14ac:dyDescent="0.25">
      <c r="B75" s="356" t="s">
        <v>340</v>
      </c>
      <c r="C75" s="387" t="s">
        <v>1057</v>
      </c>
      <c r="D75" s="354" t="s">
        <v>1073</v>
      </c>
      <c r="E75" s="354">
        <v>80010</v>
      </c>
      <c r="F75" s="375">
        <v>460216268.94600004</v>
      </c>
      <c r="G75" s="354" t="s">
        <v>1050</v>
      </c>
      <c r="H75" s="354">
        <v>1</v>
      </c>
      <c r="I75" s="450">
        <v>0.214</v>
      </c>
      <c r="J75" s="41">
        <f>I75*F75/Settings!$D$17</f>
        <v>264.03474900991677</v>
      </c>
      <c r="K75" s="174" t="s">
        <v>721</v>
      </c>
    </row>
    <row r="76" spans="2:11" x14ac:dyDescent="0.25">
      <c r="B76" s="356" t="s">
        <v>340</v>
      </c>
      <c r="C76" s="387" t="s">
        <v>1058</v>
      </c>
      <c r="D76" s="354" t="s">
        <v>1075</v>
      </c>
      <c r="E76" s="354">
        <v>81990</v>
      </c>
      <c r="F76" s="375">
        <v>1428508846.8799996</v>
      </c>
      <c r="G76" s="354" t="s">
        <v>1050</v>
      </c>
      <c r="H76" s="354">
        <v>1</v>
      </c>
      <c r="I76" s="450">
        <v>0.111</v>
      </c>
      <c r="J76" s="41">
        <f>I76*F76/Settings!$D$17</f>
        <v>425.10015148236607</v>
      </c>
      <c r="K76" s="174" t="s">
        <v>721</v>
      </c>
    </row>
    <row r="77" spans="2:11" x14ac:dyDescent="0.25">
      <c r="B77" s="356" t="s">
        <v>340</v>
      </c>
      <c r="C77" s="387"/>
      <c r="D77" s="354"/>
      <c r="E77" s="354"/>
      <c r="F77" s="375"/>
      <c r="G77" s="354"/>
      <c r="H77" s="354"/>
      <c r="I77" s="450"/>
      <c r="J77" s="41">
        <f>I77*F77/Settings!$D$17</f>
        <v>0</v>
      </c>
      <c r="K77" s="385"/>
    </row>
    <row r="78" spans="2:11" x14ac:dyDescent="0.25">
      <c r="B78" s="356" t="s">
        <v>340</v>
      </c>
      <c r="C78" s="387"/>
      <c r="D78" s="354"/>
      <c r="E78" s="354"/>
      <c r="F78" s="375"/>
      <c r="G78" s="354"/>
      <c r="H78" s="354"/>
      <c r="I78" s="450"/>
      <c r="J78" s="41">
        <f>I78*F78/Settings!$D$17</f>
        <v>0</v>
      </c>
      <c r="K78" s="385"/>
    </row>
    <row r="79" spans="2:11" x14ac:dyDescent="0.25">
      <c r="B79" s="356" t="s">
        <v>340</v>
      </c>
      <c r="C79" s="387"/>
      <c r="D79" s="354"/>
      <c r="E79" s="354"/>
      <c r="F79" s="375"/>
      <c r="G79" s="354"/>
      <c r="H79" s="354"/>
      <c r="I79" s="450"/>
      <c r="J79" s="41">
        <f>I79*F79/Settings!$D$17</f>
        <v>0</v>
      </c>
      <c r="K79" s="385"/>
    </row>
    <row r="80" spans="2:11" x14ac:dyDescent="0.25">
      <c r="B80" s="356" t="s">
        <v>340</v>
      </c>
      <c r="C80" s="387"/>
      <c r="D80" s="354"/>
      <c r="E80" s="354"/>
      <c r="F80" s="375"/>
      <c r="G80" s="354"/>
      <c r="H80" s="354"/>
      <c r="I80" s="450"/>
      <c r="J80" s="41">
        <f>I80*F80/Settings!$D$17</f>
        <v>0</v>
      </c>
      <c r="K80" s="385"/>
    </row>
    <row r="81" spans="2:11" x14ac:dyDescent="0.25">
      <c r="B81" s="356" t="s">
        <v>340</v>
      </c>
      <c r="C81" s="387"/>
      <c r="D81" s="354"/>
      <c r="E81" s="354"/>
      <c r="F81" s="375"/>
      <c r="G81" s="354"/>
      <c r="H81" s="354"/>
      <c r="I81" s="450"/>
      <c r="J81" s="41">
        <f>I81*F81/Settings!$D$17</f>
        <v>0</v>
      </c>
      <c r="K81" s="385"/>
    </row>
    <row r="82" spans="2:11" x14ac:dyDescent="0.25">
      <c r="B82" s="356" t="s">
        <v>340</v>
      </c>
      <c r="C82" s="387"/>
      <c r="D82" s="354"/>
      <c r="E82" s="354"/>
      <c r="F82" s="375"/>
      <c r="G82" s="354"/>
      <c r="H82" s="354"/>
      <c r="I82" s="450"/>
      <c r="J82" s="41">
        <f>I82*F82/Settings!$D$17</f>
        <v>0</v>
      </c>
      <c r="K82" s="385"/>
    </row>
    <row r="83" spans="2:11" x14ac:dyDescent="0.25">
      <c r="B83" s="356" t="s">
        <v>340</v>
      </c>
      <c r="C83" s="387"/>
      <c r="D83" s="354"/>
      <c r="E83" s="354"/>
      <c r="F83" s="375"/>
      <c r="G83" s="354"/>
      <c r="H83" s="354"/>
      <c r="I83" s="450"/>
      <c r="J83" s="41">
        <f>I83*F83/Settings!$D$17</f>
        <v>0</v>
      </c>
      <c r="K83" s="385"/>
    </row>
    <row r="84" spans="2:11" x14ac:dyDescent="0.25">
      <c r="B84" s="356" t="s">
        <v>340</v>
      </c>
      <c r="C84" s="387"/>
      <c r="D84" s="354"/>
      <c r="E84" s="354"/>
      <c r="F84" s="375"/>
      <c r="G84" s="354"/>
      <c r="H84" s="354"/>
      <c r="I84" s="450"/>
      <c r="J84" s="41">
        <f>I84*F84/Settings!$D$17</f>
        <v>0</v>
      </c>
      <c r="K84" s="385"/>
    </row>
    <row r="85" spans="2:11" x14ac:dyDescent="0.25">
      <c r="B85" s="356" t="s">
        <v>340</v>
      </c>
      <c r="C85" s="387"/>
      <c r="D85" s="354"/>
      <c r="E85" s="354"/>
      <c r="F85" s="375"/>
      <c r="G85" s="354"/>
      <c r="H85" s="354"/>
      <c r="I85" s="450"/>
      <c r="J85" s="41">
        <f>I85*F85/Settings!$D$17</f>
        <v>0</v>
      </c>
      <c r="K85" s="385"/>
    </row>
    <row r="86" spans="2:11" x14ac:dyDescent="0.25">
      <c r="B86" s="356" t="s">
        <v>340</v>
      </c>
      <c r="C86" s="387"/>
      <c r="D86" s="354"/>
      <c r="E86" s="354"/>
      <c r="F86" s="375"/>
      <c r="G86" s="354"/>
      <c r="H86" s="354"/>
      <c r="I86" s="450"/>
      <c r="J86" s="41">
        <f>I86*F86/Settings!$D$17</f>
        <v>0</v>
      </c>
      <c r="K86" s="385"/>
    </row>
    <row r="87" spans="2:11" ht="30" customHeight="1" x14ac:dyDescent="0.25">
      <c r="B87" s="355" t="s">
        <v>410</v>
      </c>
      <c r="C87" s="378"/>
      <c r="D87" s="355"/>
      <c r="E87" s="378"/>
      <c r="F87" s="448"/>
      <c r="G87" s="448"/>
      <c r="H87" s="448"/>
      <c r="I87" s="448"/>
      <c r="J87" s="448">
        <f>_xlfn.AGGREGATE(9,6,J73:J86)</f>
        <v>706.48785841488984</v>
      </c>
      <c r="K87" s="373"/>
    </row>
    <row r="91" spans="2:11" s="279" customFormat="1" ht="30" customHeight="1" x14ac:dyDescent="0.25">
      <c r="B91" s="370" t="s">
        <v>974</v>
      </c>
      <c r="C91" s="371"/>
      <c r="D91" s="371"/>
      <c r="E91" s="371"/>
      <c r="F91" s="371"/>
      <c r="G91" s="371"/>
      <c r="H91" s="371"/>
      <c r="I91" s="371"/>
      <c r="J91" s="371"/>
      <c r="K91" s="372"/>
    </row>
    <row r="92" spans="2:11" ht="16.8" customHeight="1" x14ac:dyDescent="0.25">
      <c r="B92" s="1014" t="s">
        <v>335</v>
      </c>
      <c r="C92" s="1014" t="s">
        <v>969</v>
      </c>
      <c r="D92" s="1014" t="s">
        <v>1072</v>
      </c>
      <c r="E92" s="1014" t="s">
        <v>400</v>
      </c>
      <c r="F92" s="1014" t="s">
        <v>401</v>
      </c>
      <c r="G92" s="1014" t="s">
        <v>402</v>
      </c>
      <c r="H92" s="1014" t="s">
        <v>442</v>
      </c>
      <c r="I92" s="374" t="s">
        <v>405</v>
      </c>
      <c r="J92" s="374" t="s">
        <v>406</v>
      </c>
      <c r="K92" s="1014" t="s">
        <v>716</v>
      </c>
    </row>
    <row r="93" spans="2:11" ht="16.2" customHeight="1" x14ac:dyDescent="0.25">
      <c r="B93" s="1008"/>
      <c r="C93" s="1008"/>
      <c r="D93" s="1008"/>
      <c r="E93" s="1008"/>
      <c r="F93" s="1008"/>
      <c r="G93" s="1008"/>
      <c r="H93" s="1008"/>
      <c r="I93" s="374" t="s">
        <v>1074</v>
      </c>
      <c r="J93" s="374" t="s">
        <v>222</v>
      </c>
      <c r="K93" s="1008"/>
    </row>
    <row r="94" spans="2:11" x14ac:dyDescent="0.25">
      <c r="B94" s="356" t="s">
        <v>341</v>
      </c>
      <c r="C94" s="387" t="s">
        <v>1053</v>
      </c>
      <c r="D94" s="443" t="s">
        <v>1077</v>
      </c>
      <c r="E94" s="446" t="s">
        <v>1054</v>
      </c>
      <c r="F94" s="386">
        <v>263477175.85500002</v>
      </c>
      <c r="G94" s="354" t="s">
        <v>1050</v>
      </c>
      <c r="H94" s="443">
        <v>1</v>
      </c>
      <c r="I94" s="450">
        <v>0.221</v>
      </c>
      <c r="J94" s="41">
        <f>I94*F94/Settings!$D$17</f>
        <v>156.1063681826115</v>
      </c>
      <c r="K94" s="174" t="s">
        <v>721</v>
      </c>
    </row>
    <row r="95" spans="2:11" x14ac:dyDescent="0.25">
      <c r="B95" s="356" t="s">
        <v>341</v>
      </c>
      <c r="C95" s="387" t="s">
        <v>1055</v>
      </c>
      <c r="D95" s="443" t="s">
        <v>1076</v>
      </c>
      <c r="E95" s="446" t="s">
        <v>1056</v>
      </c>
      <c r="F95" s="386">
        <v>2442637.0649999999</v>
      </c>
      <c r="G95" s="354" t="s">
        <v>1050</v>
      </c>
      <c r="H95" s="443">
        <v>1</v>
      </c>
      <c r="I95" s="450">
        <v>0.16200000000000001</v>
      </c>
      <c r="J95" s="41">
        <f>I95*F95/Settings!$D$17</f>
        <v>1.060863003257329</v>
      </c>
      <c r="K95" s="174" t="s">
        <v>721</v>
      </c>
    </row>
    <row r="96" spans="2:11" x14ac:dyDescent="0.25">
      <c r="B96" s="356" t="s">
        <v>341</v>
      </c>
      <c r="C96" s="387" t="s">
        <v>1057</v>
      </c>
      <c r="D96" s="354" t="s">
        <v>1073</v>
      </c>
      <c r="E96" s="354">
        <v>80010</v>
      </c>
      <c r="F96" s="375">
        <v>350024611.01499999</v>
      </c>
      <c r="G96" s="354" t="s">
        <v>1050</v>
      </c>
      <c r="H96" s="354">
        <v>1</v>
      </c>
      <c r="I96" s="450">
        <v>0.214</v>
      </c>
      <c r="J96" s="41">
        <f>I96*F96/Settings!$D$17</f>
        <v>200.8157176370558</v>
      </c>
      <c r="K96" s="174" t="s">
        <v>721</v>
      </c>
    </row>
    <row r="97" spans="2:11" x14ac:dyDescent="0.25">
      <c r="B97" s="356" t="s">
        <v>341</v>
      </c>
      <c r="C97" s="387" t="s">
        <v>1058</v>
      </c>
      <c r="D97" s="354" t="s">
        <v>1075</v>
      </c>
      <c r="E97" s="354">
        <v>81990</v>
      </c>
      <c r="F97" s="375">
        <v>0</v>
      </c>
      <c r="G97" s="354" t="s">
        <v>1050</v>
      </c>
      <c r="H97" s="354">
        <v>1</v>
      </c>
      <c r="I97" s="450">
        <v>0.111</v>
      </c>
      <c r="J97" s="41">
        <f>I97*F97/Settings!$D$17</f>
        <v>0</v>
      </c>
      <c r="K97" s="174" t="s">
        <v>721</v>
      </c>
    </row>
    <row r="98" spans="2:11" x14ac:dyDescent="0.25">
      <c r="B98" s="356" t="s">
        <v>341</v>
      </c>
      <c r="C98" s="387"/>
      <c r="D98" s="354"/>
      <c r="E98" s="354"/>
      <c r="F98" s="375"/>
      <c r="G98" s="354"/>
      <c r="H98" s="354"/>
      <c r="I98" s="450"/>
      <c r="J98" s="41">
        <f>I98*F98/Settings!$D$17</f>
        <v>0</v>
      </c>
      <c r="K98" s="385"/>
    </row>
    <row r="99" spans="2:11" x14ac:dyDescent="0.25">
      <c r="B99" s="356" t="s">
        <v>341</v>
      </c>
      <c r="C99" s="387"/>
      <c r="D99" s="354"/>
      <c r="E99" s="354"/>
      <c r="F99" s="375"/>
      <c r="G99" s="354"/>
      <c r="H99" s="354"/>
      <c r="I99" s="450"/>
      <c r="J99" s="41">
        <f>I99*F99/Settings!$D$17</f>
        <v>0</v>
      </c>
      <c r="K99" s="385"/>
    </row>
    <row r="100" spans="2:11" x14ac:dyDescent="0.25">
      <c r="B100" s="356" t="s">
        <v>341</v>
      </c>
      <c r="C100" s="387"/>
      <c r="D100" s="354"/>
      <c r="E100" s="354"/>
      <c r="F100" s="375"/>
      <c r="G100" s="354"/>
      <c r="H100" s="354"/>
      <c r="I100" s="450"/>
      <c r="J100" s="41">
        <f>I100*F100/Settings!$D$17</f>
        <v>0</v>
      </c>
      <c r="K100" s="385"/>
    </row>
    <row r="101" spans="2:11" x14ac:dyDescent="0.25">
      <c r="B101" s="356" t="s">
        <v>341</v>
      </c>
      <c r="C101" s="387"/>
      <c r="D101" s="354"/>
      <c r="E101" s="354"/>
      <c r="F101" s="375"/>
      <c r="G101" s="354"/>
      <c r="H101" s="354"/>
      <c r="I101" s="450"/>
      <c r="J101" s="41">
        <f>I101*F101/Settings!$D$17</f>
        <v>0</v>
      </c>
      <c r="K101" s="385"/>
    </row>
    <row r="102" spans="2:11" x14ac:dyDescent="0.25">
      <c r="B102" s="356" t="s">
        <v>341</v>
      </c>
      <c r="C102" s="387"/>
      <c r="D102" s="354"/>
      <c r="E102" s="354"/>
      <c r="F102" s="375"/>
      <c r="G102" s="354"/>
      <c r="H102" s="354"/>
      <c r="I102" s="450"/>
      <c r="J102" s="41">
        <f>I102*F102/Settings!$D$17</f>
        <v>0</v>
      </c>
      <c r="K102" s="385"/>
    </row>
    <row r="103" spans="2:11" x14ac:dyDescent="0.25">
      <c r="B103" s="356" t="s">
        <v>341</v>
      </c>
      <c r="C103" s="387"/>
      <c r="D103" s="354"/>
      <c r="E103" s="354"/>
      <c r="F103" s="375"/>
      <c r="G103" s="354"/>
      <c r="H103" s="354"/>
      <c r="I103" s="450"/>
      <c r="J103" s="41">
        <f>I103*F103/Settings!$D$17</f>
        <v>0</v>
      </c>
      <c r="K103" s="385"/>
    </row>
    <row r="104" spans="2:11" x14ac:dyDescent="0.25">
      <c r="B104" s="356" t="s">
        <v>341</v>
      </c>
      <c r="C104" s="387"/>
      <c r="D104" s="354"/>
      <c r="E104" s="354"/>
      <c r="F104" s="375"/>
      <c r="G104" s="354"/>
      <c r="H104" s="354"/>
      <c r="I104" s="450"/>
      <c r="J104" s="41">
        <f>I104*F104/Settings!$D$17</f>
        <v>0</v>
      </c>
      <c r="K104" s="385"/>
    </row>
    <row r="105" spans="2:11" x14ac:dyDescent="0.25">
      <c r="B105" s="356" t="s">
        <v>341</v>
      </c>
      <c r="C105" s="387"/>
      <c r="D105" s="354"/>
      <c r="E105" s="354"/>
      <c r="F105" s="375"/>
      <c r="G105" s="354"/>
      <c r="H105" s="354"/>
      <c r="I105" s="450"/>
      <c r="J105" s="41">
        <f>I105*F105/Settings!$D$17</f>
        <v>0</v>
      </c>
      <c r="K105" s="385"/>
    </row>
    <row r="106" spans="2:11" x14ac:dyDescent="0.25">
      <c r="B106" s="356" t="s">
        <v>341</v>
      </c>
      <c r="C106" s="387"/>
      <c r="D106" s="354"/>
      <c r="E106" s="354"/>
      <c r="F106" s="375"/>
      <c r="G106" s="354"/>
      <c r="H106" s="354"/>
      <c r="I106" s="450"/>
      <c r="J106" s="41">
        <f>I106*F106/Settings!$D$17</f>
        <v>0</v>
      </c>
      <c r="K106" s="385"/>
    </row>
    <row r="107" spans="2:11" x14ac:dyDescent="0.25">
      <c r="B107" s="356" t="s">
        <v>341</v>
      </c>
      <c r="C107" s="387"/>
      <c r="D107" s="354"/>
      <c r="E107" s="354"/>
      <c r="F107" s="375"/>
      <c r="G107" s="354"/>
      <c r="H107" s="354"/>
      <c r="I107" s="450"/>
      <c r="J107" s="41">
        <f>I107*F107/Settings!$D$17</f>
        <v>0</v>
      </c>
      <c r="K107" s="385"/>
    </row>
    <row r="108" spans="2:11" ht="30" customHeight="1" x14ac:dyDescent="0.25">
      <c r="B108" s="355" t="s">
        <v>410</v>
      </c>
      <c r="C108" s="378"/>
      <c r="D108" s="355"/>
      <c r="E108" s="378"/>
      <c r="F108" s="448"/>
      <c r="G108" s="448"/>
      <c r="H108" s="448"/>
      <c r="I108" s="448"/>
      <c r="J108" s="448">
        <f>_xlfn.AGGREGATE(9,6,J94:J107)</f>
        <v>357.98294882292464</v>
      </c>
      <c r="K108" s="373"/>
    </row>
    <row r="112" spans="2:11" s="279" customFormat="1" ht="30" customHeight="1" x14ac:dyDescent="0.25">
      <c r="B112" s="370" t="s">
        <v>975</v>
      </c>
      <c r="C112" s="371"/>
      <c r="D112" s="371"/>
      <c r="E112" s="371"/>
      <c r="F112" s="371"/>
      <c r="G112" s="371"/>
      <c r="H112" s="371"/>
      <c r="I112" s="371"/>
      <c r="J112" s="371"/>
      <c r="K112" s="372"/>
    </row>
    <row r="113" spans="2:11" ht="16.8" customHeight="1" x14ac:dyDescent="0.25">
      <c r="B113" s="1014" t="s">
        <v>335</v>
      </c>
      <c r="C113" s="1014" t="s">
        <v>969</v>
      </c>
      <c r="D113" s="1014" t="s">
        <v>1072</v>
      </c>
      <c r="E113" s="1014" t="s">
        <v>400</v>
      </c>
      <c r="F113" s="1014" t="s">
        <v>401</v>
      </c>
      <c r="G113" s="1014" t="s">
        <v>402</v>
      </c>
      <c r="H113" s="1014" t="s">
        <v>442</v>
      </c>
      <c r="I113" s="374" t="s">
        <v>405</v>
      </c>
      <c r="J113" s="374" t="s">
        <v>406</v>
      </c>
      <c r="K113" s="1014" t="s">
        <v>716</v>
      </c>
    </row>
    <row r="114" spans="2:11" ht="16.2" customHeight="1" x14ac:dyDescent="0.25">
      <c r="B114" s="1008"/>
      <c r="C114" s="1008"/>
      <c r="D114" s="1008"/>
      <c r="E114" s="1008"/>
      <c r="F114" s="1008"/>
      <c r="G114" s="1008"/>
      <c r="H114" s="1008"/>
      <c r="I114" s="374" t="s">
        <v>1074</v>
      </c>
      <c r="J114" s="374" t="s">
        <v>222</v>
      </c>
      <c r="K114" s="1008"/>
    </row>
    <row r="115" spans="2:11" x14ac:dyDescent="0.25">
      <c r="B115" s="356" t="s">
        <v>342</v>
      </c>
      <c r="C115" s="387" t="s">
        <v>1053</v>
      </c>
      <c r="D115" s="443" t="s">
        <v>1077</v>
      </c>
      <c r="E115" s="446" t="s">
        <v>1054</v>
      </c>
      <c r="F115" s="386">
        <v>0</v>
      </c>
      <c r="G115" s="354" t="s">
        <v>1050</v>
      </c>
      <c r="H115" s="443">
        <v>1</v>
      </c>
      <c r="I115" s="450">
        <v>0.221</v>
      </c>
      <c r="J115" s="41">
        <f>I115*F115/Settings!$D$17</f>
        <v>0</v>
      </c>
      <c r="K115" s="174" t="s">
        <v>721</v>
      </c>
    </row>
    <row r="116" spans="2:11" x14ac:dyDescent="0.25">
      <c r="B116" s="356" t="s">
        <v>342</v>
      </c>
      <c r="C116" s="387" t="s">
        <v>1055</v>
      </c>
      <c r="D116" s="443" t="s">
        <v>1076</v>
      </c>
      <c r="E116" s="446" t="s">
        <v>1056</v>
      </c>
      <c r="F116" s="386">
        <v>17180739152.118999</v>
      </c>
      <c r="G116" s="354" t="s">
        <v>1050</v>
      </c>
      <c r="H116" s="443">
        <v>1</v>
      </c>
      <c r="I116" s="450">
        <v>0.16200000000000001</v>
      </c>
      <c r="J116" s="41">
        <f>I116*F116/Settings!$D$17</f>
        <v>7461.7759618323562</v>
      </c>
      <c r="K116" s="174" t="s">
        <v>721</v>
      </c>
    </row>
    <row r="117" spans="2:11" x14ac:dyDescent="0.25">
      <c r="B117" s="356" t="s">
        <v>342</v>
      </c>
      <c r="C117" s="387" t="s">
        <v>1057</v>
      </c>
      <c r="D117" s="354" t="s">
        <v>1073</v>
      </c>
      <c r="E117" s="354">
        <v>80010</v>
      </c>
      <c r="F117" s="375">
        <v>0</v>
      </c>
      <c r="G117" s="354" t="s">
        <v>1050</v>
      </c>
      <c r="H117" s="354">
        <v>1</v>
      </c>
      <c r="I117" s="450">
        <v>0.214</v>
      </c>
      <c r="J117" s="41">
        <f>I117*F117/Settings!$D$17</f>
        <v>0</v>
      </c>
      <c r="K117" s="174" t="s">
        <v>721</v>
      </c>
    </row>
    <row r="118" spans="2:11" x14ac:dyDescent="0.25">
      <c r="B118" s="356" t="s">
        <v>342</v>
      </c>
      <c r="C118" s="387" t="s">
        <v>1058</v>
      </c>
      <c r="D118" s="354" t="s">
        <v>1075</v>
      </c>
      <c r="E118" s="354">
        <v>81990</v>
      </c>
      <c r="F118" s="375">
        <v>0</v>
      </c>
      <c r="G118" s="354" t="s">
        <v>1050</v>
      </c>
      <c r="H118" s="354">
        <v>1</v>
      </c>
      <c r="I118" s="450">
        <v>0.111</v>
      </c>
      <c r="J118" s="41">
        <f>I118*F118/Settings!$D$17</f>
        <v>0</v>
      </c>
      <c r="K118" s="174" t="s">
        <v>721</v>
      </c>
    </row>
    <row r="119" spans="2:11" x14ac:dyDescent="0.25">
      <c r="B119" s="356" t="s">
        <v>342</v>
      </c>
      <c r="C119" s="387"/>
      <c r="D119" s="354"/>
      <c r="E119" s="354"/>
      <c r="F119" s="375"/>
      <c r="G119" s="354"/>
      <c r="H119" s="354"/>
      <c r="I119" s="450"/>
      <c r="J119" s="41">
        <f>I119*F119/Settings!$D$17</f>
        <v>0</v>
      </c>
      <c r="K119" s="385"/>
    </row>
    <row r="120" spans="2:11" x14ac:dyDescent="0.25">
      <c r="B120" s="356" t="s">
        <v>342</v>
      </c>
      <c r="C120" s="387"/>
      <c r="D120" s="354"/>
      <c r="E120" s="354"/>
      <c r="F120" s="375"/>
      <c r="G120" s="354"/>
      <c r="H120" s="354"/>
      <c r="I120" s="450"/>
      <c r="J120" s="41">
        <f>I120*F120/Settings!$D$17</f>
        <v>0</v>
      </c>
      <c r="K120" s="385"/>
    </row>
    <row r="121" spans="2:11" x14ac:dyDescent="0.25">
      <c r="B121" s="356" t="s">
        <v>342</v>
      </c>
      <c r="C121" s="387"/>
      <c r="D121" s="354"/>
      <c r="E121" s="354"/>
      <c r="F121" s="375"/>
      <c r="G121" s="354"/>
      <c r="H121" s="354"/>
      <c r="I121" s="450"/>
      <c r="J121" s="41">
        <f>I121*F121/Settings!$D$17</f>
        <v>0</v>
      </c>
      <c r="K121" s="385"/>
    </row>
    <row r="122" spans="2:11" x14ac:dyDescent="0.25">
      <c r="B122" s="356" t="s">
        <v>342</v>
      </c>
      <c r="C122" s="387"/>
      <c r="D122" s="354"/>
      <c r="E122" s="354"/>
      <c r="F122" s="375"/>
      <c r="G122" s="354"/>
      <c r="H122" s="354"/>
      <c r="I122" s="450"/>
      <c r="J122" s="41">
        <f>I122*F122/Settings!$D$17</f>
        <v>0</v>
      </c>
      <c r="K122" s="385"/>
    </row>
    <row r="123" spans="2:11" x14ac:dyDescent="0.25">
      <c r="B123" s="356" t="s">
        <v>342</v>
      </c>
      <c r="C123" s="387"/>
      <c r="D123" s="354"/>
      <c r="E123" s="354"/>
      <c r="F123" s="375"/>
      <c r="G123" s="354"/>
      <c r="H123" s="354"/>
      <c r="I123" s="450"/>
      <c r="J123" s="41">
        <f>I123*F123/Settings!$D$17</f>
        <v>0</v>
      </c>
      <c r="K123" s="385"/>
    </row>
    <row r="124" spans="2:11" x14ac:dyDescent="0.25">
      <c r="B124" s="356" t="s">
        <v>342</v>
      </c>
      <c r="C124" s="387"/>
      <c r="D124" s="354"/>
      <c r="E124" s="354"/>
      <c r="F124" s="375"/>
      <c r="G124" s="354"/>
      <c r="H124" s="354"/>
      <c r="I124" s="450"/>
      <c r="J124" s="41">
        <f>I124*F124/Settings!$D$17</f>
        <v>0</v>
      </c>
      <c r="K124" s="385"/>
    </row>
    <row r="125" spans="2:11" x14ac:dyDescent="0.25">
      <c r="B125" s="356" t="s">
        <v>342</v>
      </c>
      <c r="C125" s="387"/>
      <c r="D125" s="354"/>
      <c r="E125" s="354"/>
      <c r="F125" s="375"/>
      <c r="G125" s="354"/>
      <c r="H125" s="354"/>
      <c r="I125" s="450"/>
      <c r="J125" s="41">
        <f>I125*F125/Settings!$D$17</f>
        <v>0</v>
      </c>
      <c r="K125" s="385"/>
    </row>
    <row r="126" spans="2:11" x14ac:dyDescent="0.25">
      <c r="B126" s="356" t="s">
        <v>342</v>
      </c>
      <c r="C126" s="387"/>
      <c r="D126" s="354"/>
      <c r="E126" s="354"/>
      <c r="F126" s="375"/>
      <c r="G126" s="354"/>
      <c r="H126" s="354"/>
      <c r="I126" s="450"/>
      <c r="J126" s="41">
        <f>I126*F126/Settings!$D$17</f>
        <v>0</v>
      </c>
      <c r="K126" s="385"/>
    </row>
    <row r="127" spans="2:11" x14ac:dyDescent="0.25">
      <c r="B127" s="356" t="s">
        <v>342</v>
      </c>
      <c r="C127" s="387"/>
      <c r="D127" s="354"/>
      <c r="E127" s="354"/>
      <c r="F127" s="375"/>
      <c r="G127" s="354"/>
      <c r="H127" s="354"/>
      <c r="I127" s="450"/>
      <c r="J127" s="41">
        <f>I127*F127/Settings!$D$17</f>
        <v>0</v>
      </c>
      <c r="K127" s="385"/>
    </row>
    <row r="128" spans="2:11" x14ac:dyDescent="0.25">
      <c r="B128" s="356" t="s">
        <v>342</v>
      </c>
      <c r="C128" s="387"/>
      <c r="D128" s="354"/>
      <c r="E128" s="354"/>
      <c r="F128" s="375"/>
      <c r="G128" s="354"/>
      <c r="H128" s="354"/>
      <c r="I128" s="450"/>
      <c r="J128" s="41">
        <f>I128*F128/Settings!$D$17</f>
        <v>0</v>
      </c>
      <c r="K128" s="385"/>
    </row>
    <row r="129" spans="2:11" ht="30" customHeight="1" x14ac:dyDescent="0.25">
      <c r="B129" s="355" t="s">
        <v>410</v>
      </c>
      <c r="C129" s="378"/>
      <c r="D129" s="355"/>
      <c r="E129" s="378"/>
      <c r="F129" s="448"/>
      <c r="G129" s="448"/>
      <c r="H129" s="448"/>
      <c r="I129" s="448"/>
      <c r="J129" s="448">
        <f>_xlfn.AGGREGATE(9,6,J115:J128)</f>
        <v>7461.7759618323562</v>
      </c>
      <c r="K129" s="373"/>
    </row>
    <row r="133" spans="2:11" s="279" customFormat="1" ht="30" customHeight="1" x14ac:dyDescent="0.25">
      <c r="B133" s="370" t="s">
        <v>976</v>
      </c>
      <c r="C133" s="371"/>
      <c r="D133" s="371"/>
      <c r="E133" s="371"/>
      <c r="F133" s="371"/>
      <c r="G133" s="371"/>
      <c r="H133" s="371"/>
      <c r="I133" s="371"/>
      <c r="J133" s="371"/>
      <c r="K133" s="372"/>
    </row>
    <row r="134" spans="2:11" ht="16.8" customHeight="1" x14ac:dyDescent="0.25">
      <c r="B134" s="1014" t="s">
        <v>335</v>
      </c>
      <c r="C134" s="1014" t="s">
        <v>969</v>
      </c>
      <c r="D134" s="1014" t="s">
        <v>1072</v>
      </c>
      <c r="E134" s="1014" t="s">
        <v>400</v>
      </c>
      <c r="F134" s="1014" t="s">
        <v>401</v>
      </c>
      <c r="G134" s="1014" t="s">
        <v>402</v>
      </c>
      <c r="H134" s="1014" t="s">
        <v>442</v>
      </c>
      <c r="I134" s="374" t="s">
        <v>405</v>
      </c>
      <c r="J134" s="374" t="s">
        <v>406</v>
      </c>
      <c r="K134" s="1014" t="s">
        <v>716</v>
      </c>
    </row>
    <row r="135" spans="2:11" ht="16.2" customHeight="1" x14ac:dyDescent="0.25">
      <c r="B135" s="1008"/>
      <c r="C135" s="1008"/>
      <c r="D135" s="1008"/>
      <c r="E135" s="1008"/>
      <c r="F135" s="1008"/>
      <c r="G135" s="1008"/>
      <c r="H135" s="1008"/>
      <c r="I135" s="374" t="s">
        <v>1074</v>
      </c>
      <c r="J135" s="374" t="s">
        <v>222</v>
      </c>
      <c r="K135" s="1008"/>
    </row>
    <row r="136" spans="2:11" x14ac:dyDescent="0.25">
      <c r="B136" s="356" t="s">
        <v>343</v>
      </c>
      <c r="C136" s="387" t="s">
        <v>1053</v>
      </c>
      <c r="D136" s="443" t="s">
        <v>1077</v>
      </c>
      <c r="E136" s="446" t="s">
        <v>1054</v>
      </c>
      <c r="F136" s="386">
        <v>0</v>
      </c>
      <c r="G136" s="354" t="s">
        <v>1050</v>
      </c>
      <c r="H136" s="443">
        <v>1</v>
      </c>
      <c r="I136" s="450">
        <v>0.221</v>
      </c>
      <c r="J136" s="41">
        <f>I136*F136/Settings!$D$17</f>
        <v>0</v>
      </c>
      <c r="K136" s="174" t="s">
        <v>721</v>
      </c>
    </row>
    <row r="137" spans="2:11" x14ac:dyDescent="0.25">
      <c r="B137" s="356" t="s">
        <v>343</v>
      </c>
      <c r="C137" s="387" t="s">
        <v>1055</v>
      </c>
      <c r="D137" s="443" t="s">
        <v>1076</v>
      </c>
      <c r="E137" s="446" t="s">
        <v>1056</v>
      </c>
      <c r="F137" s="386">
        <v>6305795.6619999995</v>
      </c>
      <c r="G137" s="354" t="s">
        <v>1050</v>
      </c>
      <c r="H137" s="443">
        <v>1</v>
      </c>
      <c r="I137" s="450">
        <v>0.16200000000000001</v>
      </c>
      <c r="J137" s="41">
        <f>I137*F137/Settings!$D$17</f>
        <v>2.7386734688382193</v>
      </c>
      <c r="K137" s="174" t="s">
        <v>721</v>
      </c>
    </row>
    <row r="138" spans="2:11" x14ac:dyDescent="0.25">
      <c r="B138" s="356" t="s">
        <v>343</v>
      </c>
      <c r="C138" s="387" t="s">
        <v>1057</v>
      </c>
      <c r="D138" s="354" t="s">
        <v>1073</v>
      </c>
      <c r="E138" s="354">
        <v>80010</v>
      </c>
      <c r="F138" s="375">
        <v>121655468.926</v>
      </c>
      <c r="G138" s="354" t="s">
        <v>1050</v>
      </c>
      <c r="H138" s="354">
        <v>1</v>
      </c>
      <c r="I138" s="450">
        <v>0.214</v>
      </c>
      <c r="J138" s="41">
        <f>I138*F138/Settings!$D$17</f>
        <v>69.796035844463205</v>
      </c>
      <c r="K138" s="174" t="s">
        <v>721</v>
      </c>
    </row>
    <row r="139" spans="2:11" x14ac:dyDescent="0.25">
      <c r="B139" s="356" t="s">
        <v>343</v>
      </c>
      <c r="C139" s="387" t="s">
        <v>1058</v>
      </c>
      <c r="D139" s="354" t="s">
        <v>1075</v>
      </c>
      <c r="E139" s="354">
        <v>81990</v>
      </c>
      <c r="F139" s="375">
        <v>0</v>
      </c>
      <c r="G139" s="354" t="s">
        <v>1050</v>
      </c>
      <c r="H139" s="354">
        <v>1</v>
      </c>
      <c r="I139" s="450">
        <v>0.111</v>
      </c>
      <c r="J139" s="41">
        <f>I139*F139/Settings!$D$17</f>
        <v>0</v>
      </c>
      <c r="K139" s="174" t="s">
        <v>721</v>
      </c>
    </row>
    <row r="140" spans="2:11" x14ac:dyDescent="0.25">
      <c r="B140" s="356" t="s">
        <v>343</v>
      </c>
      <c r="C140" s="387"/>
      <c r="D140" s="354"/>
      <c r="E140" s="354"/>
      <c r="F140" s="375"/>
      <c r="G140" s="354"/>
      <c r="H140" s="354"/>
      <c r="I140" s="450"/>
      <c r="J140" s="41">
        <f>I140*F140/Settings!$D$17</f>
        <v>0</v>
      </c>
      <c r="K140" s="385"/>
    </row>
    <row r="141" spans="2:11" x14ac:dyDescent="0.25">
      <c r="B141" s="356" t="s">
        <v>343</v>
      </c>
      <c r="C141" s="387"/>
      <c r="D141" s="354"/>
      <c r="E141" s="354"/>
      <c r="F141" s="375"/>
      <c r="G141" s="354"/>
      <c r="H141" s="354"/>
      <c r="I141" s="450"/>
      <c r="J141" s="41">
        <f>I141*F141/Settings!$D$17</f>
        <v>0</v>
      </c>
      <c r="K141" s="385"/>
    </row>
    <row r="142" spans="2:11" x14ac:dyDescent="0.25">
      <c r="B142" s="356" t="s">
        <v>343</v>
      </c>
      <c r="C142" s="387"/>
      <c r="D142" s="354"/>
      <c r="E142" s="354"/>
      <c r="F142" s="375"/>
      <c r="G142" s="354"/>
      <c r="H142" s="354"/>
      <c r="I142" s="450"/>
      <c r="J142" s="41">
        <f>I142*F142/Settings!$D$17</f>
        <v>0</v>
      </c>
      <c r="K142" s="385"/>
    </row>
    <row r="143" spans="2:11" x14ac:dyDescent="0.25">
      <c r="B143" s="356" t="s">
        <v>343</v>
      </c>
      <c r="C143" s="387"/>
      <c r="D143" s="354"/>
      <c r="E143" s="354"/>
      <c r="F143" s="375"/>
      <c r="G143" s="354"/>
      <c r="H143" s="354"/>
      <c r="I143" s="450"/>
      <c r="J143" s="41">
        <f>I143*F143/Settings!$D$17</f>
        <v>0</v>
      </c>
      <c r="K143" s="385"/>
    </row>
    <row r="144" spans="2:11" x14ac:dyDescent="0.25">
      <c r="B144" s="356" t="s">
        <v>343</v>
      </c>
      <c r="C144" s="387"/>
      <c r="D144" s="354"/>
      <c r="E144" s="354"/>
      <c r="F144" s="375"/>
      <c r="G144" s="354"/>
      <c r="H144" s="354"/>
      <c r="I144" s="450"/>
      <c r="J144" s="41">
        <f>I144*F144/Settings!$D$17</f>
        <v>0</v>
      </c>
      <c r="K144" s="385"/>
    </row>
    <row r="145" spans="2:11" x14ac:dyDescent="0.25">
      <c r="B145" s="356" t="s">
        <v>343</v>
      </c>
      <c r="C145" s="387"/>
      <c r="D145" s="354"/>
      <c r="E145" s="354"/>
      <c r="F145" s="375"/>
      <c r="G145" s="354"/>
      <c r="H145" s="354"/>
      <c r="I145" s="450"/>
      <c r="J145" s="41">
        <f>I145*F145/Settings!$D$17</f>
        <v>0</v>
      </c>
      <c r="K145" s="385"/>
    </row>
    <row r="146" spans="2:11" x14ac:dyDescent="0.25">
      <c r="B146" s="356" t="s">
        <v>343</v>
      </c>
      <c r="C146" s="387"/>
      <c r="D146" s="354"/>
      <c r="E146" s="354"/>
      <c r="F146" s="375"/>
      <c r="G146" s="354"/>
      <c r="H146" s="354"/>
      <c r="I146" s="450"/>
      <c r="J146" s="41">
        <f>I146*F146/Settings!$D$17</f>
        <v>0</v>
      </c>
      <c r="K146" s="385"/>
    </row>
    <row r="147" spans="2:11" x14ac:dyDescent="0.25">
      <c r="B147" s="356" t="s">
        <v>343</v>
      </c>
      <c r="C147" s="387"/>
      <c r="D147" s="354"/>
      <c r="E147" s="354"/>
      <c r="F147" s="375"/>
      <c r="G147" s="354"/>
      <c r="H147" s="354"/>
      <c r="I147" s="450"/>
      <c r="J147" s="41">
        <f>I147*F147/Settings!$D$17</f>
        <v>0</v>
      </c>
      <c r="K147" s="385"/>
    </row>
    <row r="148" spans="2:11" x14ac:dyDescent="0.25">
      <c r="B148" s="356" t="s">
        <v>343</v>
      </c>
      <c r="C148" s="387"/>
      <c r="D148" s="354"/>
      <c r="E148" s="354"/>
      <c r="F148" s="375"/>
      <c r="G148" s="354"/>
      <c r="H148" s="354"/>
      <c r="I148" s="450"/>
      <c r="J148" s="41">
        <f>I148*F148/Settings!$D$17</f>
        <v>0</v>
      </c>
      <c r="K148" s="385"/>
    </row>
    <row r="149" spans="2:11" x14ac:dyDescent="0.25">
      <c r="B149" s="356" t="s">
        <v>343</v>
      </c>
      <c r="C149" s="387"/>
      <c r="D149" s="354"/>
      <c r="E149" s="354"/>
      <c r="F149" s="375"/>
      <c r="G149" s="354"/>
      <c r="H149" s="354"/>
      <c r="I149" s="450"/>
      <c r="J149" s="41">
        <f>I149*F149/Settings!$D$17</f>
        <v>0</v>
      </c>
      <c r="K149" s="385"/>
    </row>
    <row r="150" spans="2:11" ht="30" customHeight="1" x14ac:dyDescent="0.25">
      <c r="B150" s="355" t="s">
        <v>410</v>
      </c>
      <c r="C150" s="378"/>
      <c r="D150" s="355"/>
      <c r="E150" s="378"/>
      <c r="F150" s="448"/>
      <c r="G150" s="448"/>
      <c r="H150" s="448"/>
      <c r="I150" s="448"/>
      <c r="J150" s="448">
        <f>_xlfn.AGGREGATE(9,6,J136:J149)</f>
        <v>72.53470931330142</v>
      </c>
      <c r="K150" s="373"/>
    </row>
    <row r="154" spans="2:11" s="279" customFormat="1" ht="30" customHeight="1" x14ac:dyDescent="0.25">
      <c r="B154" s="370" t="s">
        <v>977</v>
      </c>
      <c r="C154" s="371"/>
      <c r="D154" s="371"/>
      <c r="E154" s="371"/>
      <c r="F154" s="371"/>
      <c r="G154" s="371"/>
      <c r="H154" s="371"/>
      <c r="I154" s="371"/>
      <c r="J154" s="371"/>
      <c r="K154" s="372"/>
    </row>
    <row r="155" spans="2:11" ht="16.8" customHeight="1" x14ac:dyDescent="0.25">
      <c r="B155" s="1014" t="s">
        <v>335</v>
      </c>
      <c r="C155" s="1014" t="s">
        <v>969</v>
      </c>
      <c r="D155" s="1014" t="s">
        <v>1072</v>
      </c>
      <c r="E155" s="1014" t="s">
        <v>400</v>
      </c>
      <c r="F155" s="1014" t="s">
        <v>401</v>
      </c>
      <c r="G155" s="1014" t="s">
        <v>402</v>
      </c>
      <c r="H155" s="1014" t="s">
        <v>442</v>
      </c>
      <c r="I155" s="374" t="s">
        <v>405</v>
      </c>
      <c r="J155" s="374" t="s">
        <v>406</v>
      </c>
      <c r="K155" s="1014" t="s">
        <v>716</v>
      </c>
    </row>
    <row r="156" spans="2:11" ht="16.2" customHeight="1" x14ac:dyDescent="0.25">
      <c r="B156" s="1008"/>
      <c r="C156" s="1008"/>
      <c r="D156" s="1008"/>
      <c r="E156" s="1008"/>
      <c r="F156" s="1008"/>
      <c r="G156" s="1008"/>
      <c r="H156" s="1008"/>
      <c r="I156" s="374" t="s">
        <v>1074</v>
      </c>
      <c r="J156" s="374" t="s">
        <v>222</v>
      </c>
      <c r="K156" s="1008"/>
    </row>
    <row r="157" spans="2:11" x14ac:dyDescent="0.25">
      <c r="B157" s="356" t="s">
        <v>510</v>
      </c>
      <c r="C157" s="387" t="s">
        <v>1053</v>
      </c>
      <c r="D157" s="443" t="s">
        <v>1077</v>
      </c>
      <c r="E157" s="446" t="s">
        <v>1054</v>
      </c>
      <c r="F157" s="386">
        <v>86164912.906000003</v>
      </c>
      <c r="G157" s="354" t="s">
        <v>1050</v>
      </c>
      <c r="H157" s="443">
        <v>1</v>
      </c>
      <c r="I157" s="450">
        <v>0.221</v>
      </c>
      <c r="J157" s="41">
        <f>I157*F157/Settings!$D$17</f>
        <v>51.051449048205797</v>
      </c>
      <c r="K157" s="174" t="s">
        <v>721</v>
      </c>
    </row>
    <row r="158" spans="2:11" x14ac:dyDescent="0.25">
      <c r="B158" s="356" t="s">
        <v>510</v>
      </c>
      <c r="C158" s="387" t="s">
        <v>1055</v>
      </c>
      <c r="D158" s="443" t="s">
        <v>1076</v>
      </c>
      <c r="E158" s="446" t="s">
        <v>1056</v>
      </c>
      <c r="F158" s="386">
        <v>30225992.389000002</v>
      </c>
      <c r="G158" s="354" t="s">
        <v>1050</v>
      </c>
      <c r="H158" s="443">
        <v>1</v>
      </c>
      <c r="I158" s="450">
        <v>0.16200000000000001</v>
      </c>
      <c r="J158" s="41">
        <f>I158*F158/Settings!$D$17</f>
        <v>13.127466835613465</v>
      </c>
      <c r="K158" s="174" t="s">
        <v>721</v>
      </c>
    </row>
    <row r="159" spans="2:11" x14ac:dyDescent="0.25">
      <c r="B159" s="356" t="s">
        <v>510</v>
      </c>
      <c r="C159" s="387" t="s">
        <v>1057</v>
      </c>
      <c r="D159" s="354" t="s">
        <v>1073</v>
      </c>
      <c r="E159" s="354">
        <v>80010</v>
      </c>
      <c r="F159" s="375">
        <v>0</v>
      </c>
      <c r="G159" s="354" t="s">
        <v>1050</v>
      </c>
      <c r="H159" s="354">
        <v>1</v>
      </c>
      <c r="I159" s="450">
        <v>0.214</v>
      </c>
      <c r="J159" s="41">
        <f>I159*F159/Settings!$D$17</f>
        <v>0</v>
      </c>
      <c r="K159" s="174" t="s">
        <v>721</v>
      </c>
    </row>
    <row r="160" spans="2:11" x14ac:dyDescent="0.25">
      <c r="B160" s="356" t="s">
        <v>510</v>
      </c>
      <c r="C160" s="387" t="s">
        <v>1058</v>
      </c>
      <c r="D160" s="354" t="s">
        <v>1075</v>
      </c>
      <c r="E160" s="354">
        <v>81990</v>
      </c>
      <c r="F160" s="375">
        <v>140245030.977</v>
      </c>
      <c r="G160" s="354" t="s">
        <v>1050</v>
      </c>
      <c r="H160" s="354">
        <v>1</v>
      </c>
      <c r="I160" s="450">
        <v>0.111</v>
      </c>
      <c r="J160" s="41">
        <f>I160*F160/Settings!$D$17</f>
        <v>41.734557012498492</v>
      </c>
      <c r="K160" s="174" t="s">
        <v>721</v>
      </c>
    </row>
    <row r="161" spans="2:11" x14ac:dyDescent="0.25">
      <c r="B161" s="356" t="s">
        <v>510</v>
      </c>
      <c r="C161" s="387"/>
      <c r="D161" s="354"/>
      <c r="E161" s="354"/>
      <c r="F161" s="375"/>
      <c r="G161" s="354"/>
      <c r="H161" s="354"/>
      <c r="I161" s="450"/>
      <c r="J161" s="41">
        <f>I161*F161/Settings!$D$17</f>
        <v>0</v>
      </c>
      <c r="K161" s="385"/>
    </row>
    <row r="162" spans="2:11" x14ac:dyDescent="0.25">
      <c r="B162" s="356" t="s">
        <v>510</v>
      </c>
      <c r="C162" s="387"/>
      <c r="D162" s="354"/>
      <c r="E162" s="354"/>
      <c r="F162" s="375"/>
      <c r="G162" s="354"/>
      <c r="H162" s="354"/>
      <c r="I162" s="450"/>
      <c r="J162" s="41">
        <f>I162*F162/Settings!$D$17</f>
        <v>0</v>
      </c>
      <c r="K162" s="385"/>
    </row>
    <row r="163" spans="2:11" x14ac:dyDescent="0.25">
      <c r="B163" s="356" t="s">
        <v>510</v>
      </c>
      <c r="C163" s="387"/>
      <c r="D163" s="354"/>
      <c r="E163" s="354"/>
      <c r="F163" s="375"/>
      <c r="G163" s="354"/>
      <c r="H163" s="354"/>
      <c r="I163" s="450"/>
      <c r="J163" s="41">
        <f>I163*F163/Settings!$D$17</f>
        <v>0</v>
      </c>
      <c r="K163" s="385"/>
    </row>
    <row r="164" spans="2:11" x14ac:dyDescent="0.25">
      <c r="B164" s="356" t="s">
        <v>510</v>
      </c>
      <c r="C164" s="387"/>
      <c r="D164" s="354"/>
      <c r="E164" s="354"/>
      <c r="F164" s="375"/>
      <c r="G164" s="354"/>
      <c r="H164" s="354"/>
      <c r="I164" s="450"/>
      <c r="J164" s="41">
        <f>I164*F164/Settings!$D$17</f>
        <v>0</v>
      </c>
      <c r="K164" s="385"/>
    </row>
    <row r="165" spans="2:11" x14ac:dyDescent="0.25">
      <c r="B165" s="356" t="s">
        <v>510</v>
      </c>
      <c r="C165" s="387"/>
      <c r="D165" s="354"/>
      <c r="E165" s="354"/>
      <c r="F165" s="375"/>
      <c r="G165" s="354"/>
      <c r="H165" s="354"/>
      <c r="I165" s="450"/>
      <c r="J165" s="41">
        <f>I165*F165/Settings!$D$17</f>
        <v>0</v>
      </c>
      <c r="K165" s="385"/>
    </row>
    <row r="166" spans="2:11" x14ac:dyDescent="0.25">
      <c r="B166" s="356" t="s">
        <v>510</v>
      </c>
      <c r="C166" s="387"/>
      <c r="D166" s="354"/>
      <c r="E166" s="354"/>
      <c r="F166" s="375"/>
      <c r="G166" s="354"/>
      <c r="H166" s="354"/>
      <c r="I166" s="450"/>
      <c r="J166" s="41">
        <f>I166*F166/Settings!$D$17</f>
        <v>0</v>
      </c>
      <c r="K166" s="385"/>
    </row>
    <row r="167" spans="2:11" x14ac:dyDescent="0.25">
      <c r="B167" s="356" t="s">
        <v>510</v>
      </c>
      <c r="C167" s="387"/>
      <c r="D167" s="354"/>
      <c r="E167" s="354"/>
      <c r="F167" s="375"/>
      <c r="G167" s="354"/>
      <c r="H167" s="354"/>
      <c r="I167" s="450"/>
      <c r="J167" s="41">
        <f>I167*F167/Settings!$D$17</f>
        <v>0</v>
      </c>
      <c r="K167" s="385"/>
    </row>
    <row r="168" spans="2:11" x14ac:dyDescent="0.25">
      <c r="B168" s="356" t="s">
        <v>510</v>
      </c>
      <c r="C168" s="387"/>
      <c r="D168" s="354"/>
      <c r="E168" s="354"/>
      <c r="F168" s="375"/>
      <c r="G168" s="354"/>
      <c r="H168" s="354"/>
      <c r="I168" s="450"/>
      <c r="J168" s="41">
        <f>I168*F168/Settings!$D$17</f>
        <v>0</v>
      </c>
      <c r="K168" s="385"/>
    </row>
    <row r="169" spans="2:11" x14ac:dyDescent="0.25">
      <c r="B169" s="356" t="s">
        <v>510</v>
      </c>
      <c r="C169" s="387"/>
      <c r="D169" s="354"/>
      <c r="E169" s="354"/>
      <c r="F169" s="375"/>
      <c r="G169" s="354"/>
      <c r="H169" s="354"/>
      <c r="I169" s="450"/>
      <c r="J169" s="41">
        <f>I169*F169/Settings!$D$17</f>
        <v>0</v>
      </c>
      <c r="K169" s="385"/>
    </row>
    <row r="170" spans="2:11" x14ac:dyDescent="0.25">
      <c r="B170" s="356" t="s">
        <v>510</v>
      </c>
      <c r="C170" s="387"/>
      <c r="D170" s="354"/>
      <c r="E170" s="354"/>
      <c r="F170" s="375"/>
      <c r="G170" s="354"/>
      <c r="H170" s="354"/>
      <c r="I170" s="450"/>
      <c r="J170" s="41">
        <f>I170*F170/Settings!$D$17</f>
        <v>0</v>
      </c>
      <c r="K170" s="385"/>
    </row>
    <row r="171" spans="2:11" ht="30" customHeight="1" x14ac:dyDescent="0.25">
      <c r="B171" s="355" t="s">
        <v>410</v>
      </c>
      <c r="C171" s="378"/>
      <c r="D171" s="355"/>
      <c r="E171" s="378"/>
      <c r="F171" s="448"/>
      <c r="G171" s="448"/>
      <c r="H171" s="448"/>
      <c r="I171" s="448"/>
      <c r="J171" s="448">
        <f>_xlfn.AGGREGATE(9,6,J157:J170)</f>
        <v>105.91347289631776</v>
      </c>
      <c r="K171" s="373"/>
    </row>
    <row r="175" spans="2:11" ht="30" customHeight="1" x14ac:dyDescent="0.25">
      <c r="B175" s="328"/>
      <c r="C175" s="235"/>
      <c r="D175" s="243"/>
      <c r="E175" s="251" t="s">
        <v>699</v>
      </c>
      <c r="H175" s="381" t="s">
        <v>1311</v>
      </c>
      <c r="I175" s="381"/>
      <c r="J175" s="381"/>
    </row>
    <row r="176" spans="2:11" ht="16.2" customHeight="1" x14ac:dyDescent="0.25">
      <c r="B176" s="236"/>
      <c r="C176" s="238"/>
      <c r="D176" s="239" t="s">
        <v>1066</v>
      </c>
      <c r="E176" s="240" t="s">
        <v>279</v>
      </c>
      <c r="H176" s="1014" t="s">
        <v>329</v>
      </c>
      <c r="I176" s="1015" t="s">
        <v>335</v>
      </c>
      <c r="J176" s="374" t="s">
        <v>406</v>
      </c>
    </row>
    <row r="177" spans="1:10" x14ac:dyDescent="0.25">
      <c r="B177" s="236"/>
      <c r="C177" s="238"/>
      <c r="D177" s="239"/>
      <c r="E177" s="240" t="s">
        <v>280</v>
      </c>
      <c r="H177" s="1008"/>
      <c r="I177" s="1016"/>
      <c r="J177" s="374" t="s">
        <v>222</v>
      </c>
    </row>
    <row r="178" spans="1:10" ht="16.2" customHeight="1" x14ac:dyDescent="0.25">
      <c r="B178" s="236"/>
      <c r="C178" s="238"/>
      <c r="D178" s="239"/>
      <c r="E178" s="240" t="s">
        <v>281</v>
      </c>
      <c r="H178" s="353" t="s">
        <v>1868</v>
      </c>
      <c r="I178" s="91" t="s">
        <v>337</v>
      </c>
      <c r="J178" s="21">
        <f>J24</f>
        <v>1884.7867137278188</v>
      </c>
    </row>
    <row r="179" spans="1:10" s="24" customFormat="1" x14ac:dyDescent="0.25">
      <c r="B179" s="236"/>
      <c r="C179" s="238"/>
      <c r="D179" s="239"/>
      <c r="E179" s="240" t="s">
        <v>283</v>
      </c>
      <c r="F179" s="3"/>
      <c r="G179" s="3"/>
      <c r="H179" s="353" t="s">
        <v>1869</v>
      </c>
      <c r="I179" s="91" t="s">
        <v>338</v>
      </c>
      <c r="J179" s="21">
        <f>J45</f>
        <v>3881.4481644172224</v>
      </c>
    </row>
    <row r="180" spans="1:10" s="24" customFormat="1" x14ac:dyDescent="0.25">
      <c r="B180" s="244"/>
      <c r="C180" s="242"/>
      <c r="D180" s="246"/>
      <c r="E180" s="247"/>
      <c r="F180" s="3"/>
      <c r="G180" s="3"/>
      <c r="H180" s="353" t="s">
        <v>1870</v>
      </c>
      <c r="I180" s="91" t="s">
        <v>339</v>
      </c>
      <c r="J180" s="21">
        <f>J66</f>
        <v>512.41088864838275</v>
      </c>
    </row>
    <row r="181" spans="1:10" s="24" customFormat="1" x14ac:dyDescent="0.25">
      <c r="A181" s="3"/>
      <c r="C181" s="3"/>
      <c r="D181" s="3"/>
      <c r="E181" s="3"/>
      <c r="F181" s="3"/>
      <c r="G181" s="3"/>
      <c r="H181" s="353" t="s">
        <v>1871</v>
      </c>
      <c r="I181" s="91" t="s">
        <v>340</v>
      </c>
      <c r="J181" s="21">
        <f>J87</f>
        <v>706.48785841488984</v>
      </c>
    </row>
    <row r="182" spans="1:10" s="24" customFormat="1" x14ac:dyDescent="0.25">
      <c r="A182" s="3"/>
      <c r="C182" s="3"/>
      <c r="D182" s="3"/>
      <c r="E182" s="3"/>
      <c r="F182" s="3"/>
      <c r="G182" s="3"/>
      <c r="H182" s="353" t="s">
        <v>1872</v>
      </c>
      <c r="I182" s="91" t="s">
        <v>341</v>
      </c>
      <c r="J182" s="21">
        <f>J108</f>
        <v>357.98294882292464</v>
      </c>
    </row>
    <row r="183" spans="1:10" s="24" customFormat="1" x14ac:dyDescent="0.25">
      <c r="A183" s="3"/>
      <c r="C183" s="3"/>
      <c r="D183" s="3"/>
      <c r="E183" s="3"/>
      <c r="F183" s="3"/>
      <c r="G183" s="3"/>
      <c r="H183" s="353" t="s">
        <v>1873</v>
      </c>
      <c r="I183" s="91" t="s">
        <v>342</v>
      </c>
      <c r="J183" s="21">
        <f>J129</f>
        <v>7461.7759618323562</v>
      </c>
    </row>
    <row r="184" spans="1:10" s="24" customFormat="1" x14ac:dyDescent="0.25">
      <c r="A184" s="3"/>
      <c r="C184" s="3"/>
      <c r="D184" s="3"/>
      <c r="E184" s="3"/>
      <c r="F184" s="3"/>
      <c r="G184" s="3"/>
      <c r="H184" s="353" t="s">
        <v>1874</v>
      </c>
      <c r="I184" s="91" t="s">
        <v>343</v>
      </c>
      <c r="J184" s="21">
        <f>J150</f>
        <v>72.53470931330142</v>
      </c>
    </row>
    <row r="185" spans="1:10" s="24" customFormat="1" x14ac:dyDescent="0.25">
      <c r="A185" s="3"/>
      <c r="C185" s="3"/>
      <c r="D185" s="3"/>
      <c r="E185" s="3"/>
      <c r="F185" s="3"/>
      <c r="G185" s="3"/>
      <c r="H185" s="353" t="s">
        <v>1875</v>
      </c>
      <c r="I185" s="91" t="s">
        <v>510</v>
      </c>
      <c r="J185" s="21">
        <f>J171</f>
        <v>105.91347289631776</v>
      </c>
    </row>
    <row r="186" spans="1:10" s="24" customFormat="1" ht="30" customHeight="1" x14ac:dyDescent="0.25">
      <c r="A186" s="3"/>
      <c r="C186" s="3"/>
      <c r="D186" s="3"/>
      <c r="E186" s="3"/>
      <c r="F186" s="3"/>
      <c r="G186" s="3"/>
      <c r="H186" s="355" t="s">
        <v>410</v>
      </c>
      <c r="I186" s="378"/>
      <c r="J186" s="135">
        <f>_xlfn.AGGREGATE(9,6,J178:J185)</f>
        <v>14983.340718073214</v>
      </c>
    </row>
    <row r="187" spans="1:10" s="24" customFormat="1" ht="32.4" customHeight="1" x14ac:dyDescent="0.25">
      <c r="A187" s="3"/>
      <c r="C187" s="3"/>
      <c r="D187" s="3"/>
      <c r="E187" s="3"/>
      <c r="F187" s="3"/>
      <c r="G187" s="3"/>
      <c r="I187" s="3"/>
      <c r="J187" s="3"/>
    </row>
    <row r="189" spans="1:10" s="24" customFormat="1" x14ac:dyDescent="0.25">
      <c r="C189" s="3"/>
      <c r="E189" s="3"/>
      <c r="F189" s="79"/>
      <c r="G189" s="3"/>
      <c r="I189" s="3"/>
      <c r="J189" s="3"/>
    </row>
    <row r="190" spans="1:10" s="24" customFormat="1" x14ac:dyDescent="0.25">
      <c r="C190" s="3"/>
      <c r="E190" s="3"/>
      <c r="F190" s="79"/>
      <c r="G190" s="3"/>
      <c r="I190" s="3"/>
      <c r="J190" s="3"/>
    </row>
    <row r="191" spans="1:10" s="24" customFormat="1" x14ac:dyDescent="0.25">
      <c r="C191" s="3"/>
      <c r="E191" s="3"/>
      <c r="F191" s="79"/>
      <c r="G191" s="3"/>
      <c r="I191" s="3"/>
      <c r="J191" s="3"/>
    </row>
    <row r="192" spans="1:10" s="24" customFormat="1" x14ac:dyDescent="0.25">
      <c r="C192" s="3"/>
      <c r="E192" s="3"/>
      <c r="F192" s="79"/>
      <c r="G192" s="3"/>
      <c r="I192" s="3"/>
      <c r="J192" s="3"/>
    </row>
    <row r="193" spans="3:10" s="24" customFormat="1" x14ac:dyDescent="0.25">
      <c r="C193" s="3"/>
      <c r="E193" s="3"/>
      <c r="F193" s="79"/>
      <c r="G193" s="3"/>
      <c r="I193" s="3"/>
      <c r="J193" s="3"/>
    </row>
    <row r="194" spans="3:10" s="24" customFormat="1" x14ac:dyDescent="0.25">
      <c r="C194" s="3"/>
      <c r="E194" s="3"/>
      <c r="F194" s="79"/>
      <c r="G194" s="3"/>
      <c r="I194" s="3"/>
      <c r="J194" s="3"/>
    </row>
    <row r="195" spans="3:10" s="24" customFormat="1" x14ac:dyDescent="0.25">
      <c r="C195" s="3"/>
      <c r="E195" s="3"/>
      <c r="F195" s="79"/>
      <c r="G195" s="3"/>
      <c r="I195" s="3"/>
      <c r="J195" s="3"/>
    </row>
    <row r="196" spans="3:10" s="24" customFormat="1" x14ac:dyDescent="0.25">
      <c r="C196" s="3"/>
      <c r="E196" s="3"/>
      <c r="F196" s="79"/>
      <c r="G196" s="3"/>
      <c r="I196" s="3"/>
      <c r="J196" s="3"/>
    </row>
    <row r="197" spans="3:10" s="24" customFormat="1" ht="16.8" customHeight="1" x14ac:dyDescent="0.25">
      <c r="C197" s="3"/>
      <c r="E197" s="3"/>
      <c r="F197" s="79"/>
      <c r="G197" s="3"/>
      <c r="I197" s="3"/>
      <c r="J197" s="3"/>
    </row>
    <row r="200" spans="3:10" ht="16.2" customHeight="1" x14ac:dyDescent="0.25"/>
  </sheetData>
  <protectedRanges>
    <protectedRange sqref="D15 F94:F107 I94:I107 K94:K107 F115:F128 I115:I128 K115:K128 F136:F149 I137:I144 I136:I149 K136:K149 F157:F170 I157:I170 K157:K170" name="Range5"/>
    <protectedRange sqref="D15 F73:F86 I73:I86 K73:K86" name="Range4"/>
    <protectedRange sqref="D15 F52:F65 I52:I64 K52:K65" name="Range3"/>
    <protectedRange sqref="D15 F31:F44 I31:I44 K31:K44" name="Range2"/>
    <protectedRange sqref="F10:F23 I10:I23 K10:K23" name="Range1"/>
  </protectedRanges>
  <mergeCells count="66">
    <mergeCell ref="G8:G9"/>
    <mergeCell ref="H8:H9"/>
    <mergeCell ref="K8:K9"/>
    <mergeCell ref="B29:B30"/>
    <mergeCell ref="C29:C30"/>
    <mergeCell ref="D29:D30"/>
    <mergeCell ref="E29:E30"/>
    <mergeCell ref="F29:F30"/>
    <mergeCell ref="G29:G30"/>
    <mergeCell ref="H29:H30"/>
    <mergeCell ref="K29:K30"/>
    <mergeCell ref="B8:B9"/>
    <mergeCell ref="C8:C9"/>
    <mergeCell ref="D8:D9"/>
    <mergeCell ref="E8:E9"/>
    <mergeCell ref="F8:F9"/>
    <mergeCell ref="G50:G51"/>
    <mergeCell ref="H50:H51"/>
    <mergeCell ref="K50:K51"/>
    <mergeCell ref="B71:B72"/>
    <mergeCell ref="C71:C72"/>
    <mergeCell ref="D71:D72"/>
    <mergeCell ref="E71:E72"/>
    <mergeCell ref="B50:B51"/>
    <mergeCell ref="C50:C51"/>
    <mergeCell ref="D50:D51"/>
    <mergeCell ref="E50:E51"/>
    <mergeCell ref="F50:F51"/>
    <mergeCell ref="K92:K93"/>
    <mergeCell ref="F71:F72"/>
    <mergeCell ref="G71:G72"/>
    <mergeCell ref="H71:H72"/>
    <mergeCell ref="K71:K72"/>
    <mergeCell ref="F92:F93"/>
    <mergeCell ref="G92:G93"/>
    <mergeCell ref="H92:H93"/>
    <mergeCell ref="B92:B93"/>
    <mergeCell ref="C92:C93"/>
    <mergeCell ref="D92:D93"/>
    <mergeCell ref="E113:E114"/>
    <mergeCell ref="E92:E93"/>
    <mergeCell ref="F113:F114"/>
    <mergeCell ref="G113:G114"/>
    <mergeCell ref="H113:H114"/>
    <mergeCell ref="K113:K114"/>
    <mergeCell ref="B134:B135"/>
    <mergeCell ref="C134:C135"/>
    <mergeCell ref="D134:D135"/>
    <mergeCell ref="B113:B114"/>
    <mergeCell ref="C113:C114"/>
    <mergeCell ref="D113:D114"/>
    <mergeCell ref="E134:E135"/>
    <mergeCell ref="F134:F135"/>
    <mergeCell ref="G134:G135"/>
    <mergeCell ref="H134:H135"/>
    <mergeCell ref="K134:K135"/>
    <mergeCell ref="K155:K156"/>
    <mergeCell ref="H176:H177"/>
    <mergeCell ref="I176:I177"/>
    <mergeCell ref="B155:B156"/>
    <mergeCell ref="C155:C156"/>
    <mergeCell ref="D155:D156"/>
    <mergeCell ref="E155:E156"/>
    <mergeCell ref="F155:F156"/>
    <mergeCell ref="G155:G156"/>
    <mergeCell ref="H155:H156"/>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6F8530BD-C0F8-4266-A644-7700CEBD5A2E}">
          <x14:formula1>
            <xm:f>Settings!$B$341:$B$348</xm:f>
          </x14:formula1>
          <xm:sqref>B31:B44 B157:B170 B10:B23 B73:B86 B52:B65 B94:B107 B115:B128 I178:I185 B136:B149</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A5228-745B-4FD5-9186-9B7C2DC0851A}">
  <dimension ref="B4:S113"/>
  <sheetViews>
    <sheetView rightToLeft="1" zoomScale="70" zoomScaleNormal="70" workbookViewId="0">
      <selection activeCell="G109" sqref="G109"/>
    </sheetView>
  </sheetViews>
  <sheetFormatPr defaultColWidth="9.09765625" defaultRowHeight="16.2" x14ac:dyDescent="0.25"/>
  <cols>
    <col min="1" max="1" width="12.09765625" style="3" customWidth="1"/>
    <col min="2" max="2" width="16" style="24" customWidth="1"/>
    <col min="3" max="3" width="28" style="3" customWidth="1"/>
    <col min="4" max="5" width="12.59765625" style="3" customWidth="1"/>
    <col min="6" max="6" width="28.59765625" style="3" bestFit="1" customWidth="1"/>
    <col min="7" max="7" width="14.19921875" style="3" customWidth="1"/>
    <col min="8" max="8" width="15.69921875" style="3" customWidth="1"/>
    <col min="9" max="9" width="9.09765625" style="3" customWidth="1"/>
    <col min="10" max="13" width="10.8984375" style="3" customWidth="1"/>
    <col min="14" max="14" width="12.8984375" style="3" customWidth="1"/>
    <col min="15" max="15" width="13.09765625" style="3" customWidth="1"/>
    <col min="16" max="16" width="14" style="3" customWidth="1"/>
    <col min="17" max="18" width="17.3984375" style="3" customWidth="1"/>
    <col min="19" max="19" width="17.296875" style="3" customWidth="1"/>
    <col min="20" max="16384" width="9.09765625" style="3"/>
  </cols>
  <sheetData>
    <row r="4" spans="2:19" ht="16.2" customHeight="1" x14ac:dyDescent="0.25"/>
    <row r="5" spans="2:19" ht="16.2" customHeight="1" x14ac:dyDescent="0.25"/>
    <row r="6" spans="2:19" ht="16.2" customHeight="1" x14ac:dyDescent="0.25"/>
    <row r="7" spans="2:19" s="279" customFormat="1" ht="30" customHeight="1" x14ac:dyDescent="0.25">
      <c r="B7" s="370" t="s">
        <v>53</v>
      </c>
      <c r="C7" s="371"/>
      <c r="D7" s="371"/>
      <c r="E7" s="371"/>
      <c r="F7" s="371"/>
      <c r="G7" s="371"/>
      <c r="H7" s="371"/>
      <c r="I7" s="371"/>
      <c r="J7" s="371"/>
      <c r="K7" s="371"/>
      <c r="L7" s="371"/>
      <c r="M7" s="371"/>
      <c r="N7" s="371"/>
      <c r="O7" s="371"/>
      <c r="P7" s="371"/>
      <c r="Q7" s="371"/>
      <c r="R7" s="371"/>
      <c r="S7" s="372"/>
    </row>
    <row r="8" spans="2:19" ht="17.25" customHeight="1" x14ac:dyDescent="0.25">
      <c r="B8" s="976" t="s">
        <v>335</v>
      </c>
      <c r="C8" s="1013" t="s">
        <v>411</v>
      </c>
      <c r="D8" s="1014" t="s">
        <v>398</v>
      </c>
      <c r="E8" s="1014" t="s">
        <v>400</v>
      </c>
      <c r="F8" s="976" t="s">
        <v>434</v>
      </c>
      <c r="G8" s="976" t="s">
        <v>426</v>
      </c>
      <c r="H8" s="1013" t="s">
        <v>435</v>
      </c>
      <c r="I8" s="1015" t="s">
        <v>402</v>
      </c>
      <c r="J8" s="956" t="s">
        <v>436</v>
      </c>
      <c r="K8" s="1025"/>
      <c r="L8" s="1025"/>
      <c r="M8" s="1025"/>
      <c r="N8" s="976" t="s">
        <v>437</v>
      </c>
      <c r="O8" s="976"/>
      <c r="P8" s="976"/>
      <c r="Q8" s="374" t="s">
        <v>1425</v>
      </c>
      <c r="R8" s="374" t="s">
        <v>1426</v>
      </c>
      <c r="S8" s="1014" t="s">
        <v>786</v>
      </c>
    </row>
    <row r="9" spans="2:19" s="4" customFormat="1" ht="17.25" customHeight="1" x14ac:dyDescent="0.25">
      <c r="B9" s="976"/>
      <c r="C9" s="1013"/>
      <c r="D9" s="1008"/>
      <c r="E9" s="1008"/>
      <c r="F9" s="976"/>
      <c r="G9" s="976"/>
      <c r="H9" s="1013"/>
      <c r="I9" s="1016"/>
      <c r="J9" s="355" t="s">
        <v>441</v>
      </c>
      <c r="K9" s="355" t="s">
        <v>440</v>
      </c>
      <c r="L9" s="355" t="s">
        <v>439</v>
      </c>
      <c r="M9" s="355" t="s">
        <v>438</v>
      </c>
      <c r="N9" s="355" t="s">
        <v>441</v>
      </c>
      <c r="O9" s="355" t="s">
        <v>439</v>
      </c>
      <c r="P9" s="355" t="s">
        <v>438</v>
      </c>
      <c r="Q9" s="355" t="s">
        <v>222</v>
      </c>
      <c r="R9" s="355" t="s">
        <v>222</v>
      </c>
      <c r="S9" s="1008"/>
    </row>
    <row r="10" spans="2:19" x14ac:dyDescent="0.25">
      <c r="B10" s="356" t="str">
        <f>VLOOKUP(D10,'Unit List'!$B$9:$E$241,4,0)</f>
        <v>Iron Making</v>
      </c>
      <c r="C10" s="356" t="str">
        <f>VLOOKUP(D10,'Unit List'!$B$9:$D$241,3,0)</f>
        <v>Lime Making</v>
      </c>
      <c r="D10" s="376">
        <v>1120</v>
      </c>
      <c r="E10" s="376" t="s">
        <v>2034</v>
      </c>
      <c r="F10" s="389" t="s">
        <v>2051</v>
      </c>
      <c r="G10" s="376" t="s">
        <v>538</v>
      </c>
      <c r="H10" s="646">
        <v>138403.179</v>
      </c>
      <c r="I10" s="115" t="s">
        <v>299</v>
      </c>
      <c r="J10" s="646">
        <f>H10</f>
        <v>138403.179</v>
      </c>
      <c r="K10" s="646">
        <v>0</v>
      </c>
      <c r="L10" s="646">
        <v>0</v>
      </c>
      <c r="M10" s="646">
        <v>0</v>
      </c>
      <c r="N10" s="454">
        <f>VLOOKUP(G10,Settings!$B$98:D133,3,FALSE)</f>
        <v>1.9517260000000002E-2</v>
      </c>
      <c r="O10" s="454">
        <f>VLOOKUP(G10,Settings!$B$98:D150,2,FALSE)</f>
        <v>9.8485E-4</v>
      </c>
      <c r="P10" s="455">
        <f>VLOOKUP(G10,Settings!$B$98:D150,3,FALSE)</f>
        <v>1.9517260000000002E-2</v>
      </c>
      <c r="Q10" s="41">
        <f t="shared" ref="Q10:Q96" si="0">J10*N10</f>
        <v>2701.2508293695405</v>
      </c>
      <c r="R10" s="41">
        <f t="shared" ref="R10:R96" si="1">L10*O10+M10*P10</f>
        <v>0</v>
      </c>
      <c r="S10" s="385" t="s">
        <v>719</v>
      </c>
    </row>
    <row r="11" spans="2:19" x14ac:dyDescent="0.25">
      <c r="B11" s="356" t="str">
        <f>VLOOKUP(D11,'Unit List'!$B$9:$E$241,4,0)</f>
        <v>Iron Making</v>
      </c>
      <c r="C11" s="356" t="str">
        <f>VLOOKUP(D11,'Unit List'!$B$9:$D$241,3,0)</f>
        <v>Lime Hydration</v>
      </c>
      <c r="D11" s="376">
        <v>1130</v>
      </c>
      <c r="E11" s="376" t="s">
        <v>2034</v>
      </c>
      <c r="F11" s="389" t="s">
        <v>2051</v>
      </c>
      <c r="G11" s="376" t="s">
        <v>538</v>
      </c>
      <c r="H11" s="652">
        <v>15319.6</v>
      </c>
      <c r="I11" s="115" t="s">
        <v>299</v>
      </c>
      <c r="J11" s="652">
        <f t="shared" ref="J11:J12" si="2">H11</f>
        <v>15319.6</v>
      </c>
      <c r="K11" s="652">
        <v>0</v>
      </c>
      <c r="L11" s="652">
        <v>0</v>
      </c>
      <c r="M11" s="652">
        <v>0</v>
      </c>
      <c r="N11" s="454">
        <f>VLOOKUP(G11,Settings!$B$98:D134,3,FALSE)</f>
        <v>1.9517260000000002E-2</v>
      </c>
      <c r="O11" s="454">
        <f>VLOOKUP(G11,Settings!$B$98:D151,2,FALSE)</f>
        <v>9.8485E-4</v>
      </c>
      <c r="P11" s="455">
        <f>VLOOKUP(G11,Settings!$B$98:D151,3,FALSE)</f>
        <v>1.9517260000000002E-2</v>
      </c>
      <c r="Q11" s="41">
        <f t="shared" si="0"/>
        <v>298.99661629600001</v>
      </c>
      <c r="R11" s="41">
        <f t="shared" si="1"/>
        <v>0</v>
      </c>
      <c r="S11" s="385" t="s">
        <v>719</v>
      </c>
    </row>
    <row r="12" spans="2:19" x14ac:dyDescent="0.25">
      <c r="B12" s="356" t="str">
        <f>VLOOKUP(D12,'Unit List'!$B$9:$E$241,4,0)</f>
        <v>Iron Making</v>
      </c>
      <c r="C12" s="356" t="str">
        <f>VLOOKUP(D12,'Unit List'!$B$9:$D$241,3,0)</f>
        <v>Pelletizing</v>
      </c>
      <c r="D12" s="376">
        <v>1210</v>
      </c>
      <c r="E12" s="376" t="s">
        <v>2034</v>
      </c>
      <c r="F12" s="389" t="s">
        <v>2051</v>
      </c>
      <c r="G12" s="376" t="s">
        <v>538</v>
      </c>
      <c r="H12" s="652">
        <v>724116.07799999998</v>
      </c>
      <c r="I12" s="115" t="s">
        <v>299</v>
      </c>
      <c r="J12" s="652">
        <f t="shared" si="2"/>
        <v>724116.07799999998</v>
      </c>
      <c r="K12" s="652">
        <v>0</v>
      </c>
      <c r="L12" s="652">
        <v>0</v>
      </c>
      <c r="M12" s="652">
        <v>0</v>
      </c>
      <c r="N12" s="454">
        <f>VLOOKUP(G12,Settings!$B$98:D135,3,FALSE)</f>
        <v>1.9517260000000002E-2</v>
      </c>
      <c r="O12" s="454">
        <f>VLOOKUP(G12,Settings!$B$98:D152,2,FALSE)</f>
        <v>9.8485E-4</v>
      </c>
      <c r="P12" s="455">
        <f>VLOOKUP(G12,Settings!$B$98:D152,3,FALSE)</f>
        <v>1.9517260000000002E-2</v>
      </c>
      <c r="Q12" s="41">
        <f t="shared" si="0"/>
        <v>14132.76176450628</v>
      </c>
      <c r="R12" s="41">
        <f t="shared" si="1"/>
        <v>0</v>
      </c>
      <c r="S12" s="385" t="s">
        <v>719</v>
      </c>
    </row>
    <row r="13" spans="2:19" x14ac:dyDescent="0.25">
      <c r="B13" s="356" t="str">
        <f>VLOOKUP(D13,'Unit List'!$B$9:$E$241,4,0)</f>
        <v>Iron Making</v>
      </c>
      <c r="C13" s="356" t="str">
        <f>VLOOKUP(D13,'Unit List'!$B$9:$D$241,3,0)</f>
        <v>Direct Reduction</v>
      </c>
      <c r="D13" s="376">
        <v>1310</v>
      </c>
      <c r="E13" s="376" t="s">
        <v>2035</v>
      </c>
      <c r="F13" s="389" t="s">
        <v>2052</v>
      </c>
      <c r="G13" s="376" t="s">
        <v>538</v>
      </c>
      <c r="H13" s="652">
        <v>141721.07800000004</v>
      </c>
      <c r="I13" s="115" t="s">
        <v>299</v>
      </c>
      <c r="J13" s="652">
        <f>H13</f>
        <v>141721.07800000004</v>
      </c>
      <c r="K13" s="652">
        <v>0</v>
      </c>
      <c r="L13" s="652">
        <v>0</v>
      </c>
      <c r="M13" s="652">
        <v>0</v>
      </c>
      <c r="N13" s="454">
        <f>VLOOKUP(G13,Settings!$B$98:D136,3,FALSE)</f>
        <v>1.9517260000000002E-2</v>
      </c>
      <c r="O13" s="454">
        <f>VLOOKUP(G13,Settings!$B$98:D153,2,FALSE)</f>
        <v>9.8485E-4</v>
      </c>
      <c r="P13" s="455">
        <f>VLOOKUP(G13,Settings!$B$98:D153,3,FALSE)</f>
        <v>1.9517260000000002E-2</v>
      </c>
      <c r="Q13" s="41">
        <f t="shared" si="0"/>
        <v>2766.0071268062811</v>
      </c>
      <c r="R13" s="41">
        <f t="shared" si="1"/>
        <v>0</v>
      </c>
      <c r="S13" s="385" t="s">
        <v>719</v>
      </c>
    </row>
    <row r="14" spans="2:19" x14ac:dyDescent="0.25">
      <c r="B14" s="356" t="str">
        <f>VLOOKUP(D14,'Unit List'!$B$9:$E$241,4,0)</f>
        <v>Iron Making</v>
      </c>
      <c r="C14" s="356" t="str">
        <f>VLOOKUP(D14,'Unit List'!$B$9:$D$241,3,0)</f>
        <v>Direct Reduction</v>
      </c>
      <c r="D14" s="376">
        <v>1310</v>
      </c>
      <c r="E14" s="376" t="s">
        <v>2034</v>
      </c>
      <c r="F14" s="389" t="s">
        <v>2051</v>
      </c>
      <c r="G14" s="376" t="s">
        <v>538</v>
      </c>
      <c r="H14" s="652">
        <v>1223538.4279999998</v>
      </c>
      <c r="I14" s="115" t="s">
        <v>299</v>
      </c>
      <c r="J14" s="652">
        <f>H14</f>
        <v>1223538.4279999998</v>
      </c>
      <c r="K14" s="652">
        <v>0</v>
      </c>
      <c r="L14" s="652">
        <v>0</v>
      </c>
      <c r="M14" s="652">
        <v>0</v>
      </c>
      <c r="N14" s="454">
        <f>VLOOKUP(G14,Settings!$B$98:D137,3,FALSE)</f>
        <v>1.9517260000000002E-2</v>
      </c>
      <c r="O14" s="454">
        <f>VLOOKUP(G14,Settings!$B$98:D154,2,FALSE)</f>
        <v>9.8485E-4</v>
      </c>
      <c r="P14" s="455">
        <f>VLOOKUP(G14,Settings!$B$98:D154,3,FALSE)</f>
        <v>1.9517260000000002E-2</v>
      </c>
      <c r="Q14" s="41">
        <f t="shared" si="0"/>
        <v>23880.117619267279</v>
      </c>
      <c r="R14" s="41">
        <f t="shared" si="1"/>
        <v>0</v>
      </c>
      <c r="S14" s="385" t="s">
        <v>719</v>
      </c>
    </row>
    <row r="15" spans="2:19" x14ac:dyDescent="0.25">
      <c r="B15" s="356" t="str">
        <f>VLOOKUP(D15,'Unit List'!$B$9:$E$241,4,0)</f>
        <v>Iron Making</v>
      </c>
      <c r="C15" s="356" t="str">
        <f>VLOOKUP(D15,'Unit List'!$B$9:$D$241,3,0)</f>
        <v>Direct Reduction</v>
      </c>
      <c r="D15" s="376">
        <v>1315</v>
      </c>
      <c r="E15" s="376" t="s">
        <v>2035</v>
      </c>
      <c r="F15" s="389" t="s">
        <v>2052</v>
      </c>
      <c r="G15" s="376" t="s">
        <v>538</v>
      </c>
      <c r="H15" s="652">
        <v>99985.055999999997</v>
      </c>
      <c r="I15" s="115" t="s">
        <v>299</v>
      </c>
      <c r="J15" s="652">
        <f t="shared" ref="J15:J18" si="3">H15</f>
        <v>99985.055999999997</v>
      </c>
      <c r="K15" s="652">
        <v>0</v>
      </c>
      <c r="L15" s="652">
        <v>0</v>
      </c>
      <c r="M15" s="652">
        <v>0</v>
      </c>
      <c r="N15" s="454">
        <f>VLOOKUP(G15,Settings!$B$98:D138,3,FALSE)</f>
        <v>1.9517260000000002E-2</v>
      </c>
      <c r="O15" s="454">
        <f>VLOOKUP(G15,Settings!$B$98:D155,2,FALSE)</f>
        <v>9.8485E-4</v>
      </c>
      <c r="P15" s="455">
        <f>VLOOKUP(G15,Settings!$B$98:D155,3,FALSE)</f>
        <v>1.9517260000000002E-2</v>
      </c>
      <c r="Q15" s="41">
        <f t="shared" si="0"/>
        <v>1951.43433406656</v>
      </c>
      <c r="R15" s="41">
        <f t="shared" si="1"/>
        <v>0</v>
      </c>
      <c r="S15" s="385" t="s">
        <v>719</v>
      </c>
    </row>
    <row r="16" spans="2:19" x14ac:dyDescent="0.25">
      <c r="B16" s="356" t="str">
        <f>VLOOKUP(D16,'Unit List'!$B$9:$E$241,4,0)</f>
        <v>Iron Making</v>
      </c>
      <c r="C16" s="356" t="str">
        <f>VLOOKUP(D16,'Unit List'!$B$9:$D$241,3,0)</f>
        <v>Direct Reduction</v>
      </c>
      <c r="D16" s="376">
        <v>1315</v>
      </c>
      <c r="E16" s="376" t="s">
        <v>2034</v>
      </c>
      <c r="F16" s="389" t="s">
        <v>2051</v>
      </c>
      <c r="G16" s="376" t="s">
        <v>538</v>
      </c>
      <c r="H16" s="652">
        <v>636292.9439999999</v>
      </c>
      <c r="I16" s="115" t="s">
        <v>299</v>
      </c>
      <c r="J16" s="652">
        <f t="shared" si="3"/>
        <v>636292.9439999999</v>
      </c>
      <c r="K16" s="652">
        <v>0</v>
      </c>
      <c r="L16" s="652">
        <v>0</v>
      </c>
      <c r="M16" s="652">
        <v>0</v>
      </c>
      <c r="N16" s="454">
        <f>VLOOKUP(G16,Settings!$B$98:D139,3,FALSE)</f>
        <v>1.9517260000000002E-2</v>
      </c>
      <c r="O16" s="454">
        <f>VLOOKUP(G16,Settings!$B$98:D156,2,FALSE)</f>
        <v>9.8485E-4</v>
      </c>
      <c r="P16" s="455">
        <f>VLOOKUP(G16,Settings!$B$98:D156,3,FALSE)</f>
        <v>1.9517260000000002E-2</v>
      </c>
      <c r="Q16" s="41">
        <f t="shared" si="0"/>
        <v>12418.694824213439</v>
      </c>
      <c r="R16" s="41">
        <f t="shared" si="1"/>
        <v>0</v>
      </c>
      <c r="S16" s="385" t="s">
        <v>719</v>
      </c>
    </row>
    <row r="17" spans="2:19" x14ac:dyDescent="0.25">
      <c r="B17" s="356" t="str">
        <f>VLOOKUP(D17,'Unit List'!$B$9:$E$241,4,0)</f>
        <v>Iron Making</v>
      </c>
      <c r="C17" s="356" t="str">
        <f>VLOOKUP(D17,'Unit List'!$B$9:$D$241,3,0)</f>
        <v>Briquetting</v>
      </c>
      <c r="D17" s="376">
        <v>1330</v>
      </c>
      <c r="E17" s="376" t="s">
        <v>2034</v>
      </c>
      <c r="F17" s="389" t="s">
        <v>2051</v>
      </c>
      <c r="G17" s="376" t="s">
        <v>538</v>
      </c>
      <c r="H17" s="652">
        <v>61.192000000000007</v>
      </c>
      <c r="I17" s="115" t="s">
        <v>299</v>
      </c>
      <c r="J17" s="652">
        <f t="shared" si="3"/>
        <v>61.192000000000007</v>
      </c>
      <c r="K17" s="652">
        <v>0</v>
      </c>
      <c r="L17" s="652">
        <v>0</v>
      </c>
      <c r="M17" s="652">
        <v>0</v>
      </c>
      <c r="N17" s="454">
        <f>VLOOKUP(G17,Settings!$B$98:D140,3,FALSE)</f>
        <v>1.9517260000000002E-2</v>
      </c>
      <c r="O17" s="454">
        <f>VLOOKUP(G17,Settings!$B$98:D157,2,FALSE)</f>
        <v>9.8485E-4</v>
      </c>
      <c r="P17" s="455">
        <f>VLOOKUP(G17,Settings!$B$98:D157,3,FALSE)</f>
        <v>1.9517260000000002E-2</v>
      </c>
      <c r="Q17" s="41">
        <f t="shared" si="0"/>
        <v>1.1943001739200003</v>
      </c>
      <c r="R17" s="41">
        <f t="shared" si="1"/>
        <v>0</v>
      </c>
      <c r="S17" s="385" t="s">
        <v>719</v>
      </c>
    </row>
    <row r="18" spans="2:19" x14ac:dyDescent="0.25">
      <c r="B18" s="356" t="str">
        <f>VLOOKUP(D18,'Unit List'!$B$9:$E$241,4,0)</f>
        <v>Iron Making</v>
      </c>
      <c r="C18" s="356" t="str">
        <f>VLOOKUP(D18,'Unit List'!$B$9:$D$241,3,0)</f>
        <v>Briquetting</v>
      </c>
      <c r="D18" s="376">
        <v>1335</v>
      </c>
      <c r="E18" s="376" t="s">
        <v>2034</v>
      </c>
      <c r="F18" s="389" t="s">
        <v>2051</v>
      </c>
      <c r="G18" s="376" t="s">
        <v>538</v>
      </c>
      <c r="H18" s="652">
        <v>766</v>
      </c>
      <c r="I18" s="115" t="s">
        <v>299</v>
      </c>
      <c r="J18" s="652">
        <f t="shared" si="3"/>
        <v>766</v>
      </c>
      <c r="K18" s="652">
        <v>0</v>
      </c>
      <c r="L18" s="652">
        <v>0</v>
      </c>
      <c r="M18" s="652">
        <v>0</v>
      </c>
      <c r="N18" s="454">
        <f>VLOOKUP(G18,Settings!$B$98:D141,3,FALSE)</f>
        <v>1.9517260000000002E-2</v>
      </c>
      <c r="O18" s="454">
        <f>VLOOKUP(G18,Settings!$B$98:D158,2,FALSE)</f>
        <v>9.8485E-4</v>
      </c>
      <c r="P18" s="455">
        <f>VLOOKUP(G18,Settings!$B$98:D158,3,FALSE)</f>
        <v>1.9517260000000002E-2</v>
      </c>
      <c r="Q18" s="41">
        <f t="shared" si="0"/>
        <v>14.950221160000002</v>
      </c>
      <c r="R18" s="41">
        <f t="shared" si="1"/>
        <v>0</v>
      </c>
      <c r="S18" s="385" t="s">
        <v>719</v>
      </c>
    </row>
    <row r="19" spans="2:19" x14ac:dyDescent="0.25">
      <c r="B19" s="356" t="str">
        <f>VLOOKUP(D19,'Unit List'!$B$9:$E$241,4,0)</f>
        <v>Steel Making</v>
      </c>
      <c r="C19" s="356" t="str">
        <f>VLOOKUP(D19,'Unit List'!$B$9:$D$241,3,0)</f>
        <v>EAFs</v>
      </c>
      <c r="D19" s="376">
        <v>2210</v>
      </c>
      <c r="E19" s="376" t="s">
        <v>889</v>
      </c>
      <c r="F19" s="389" t="s">
        <v>2053</v>
      </c>
      <c r="G19" s="376" t="s">
        <v>538</v>
      </c>
      <c r="H19" s="652">
        <v>143108.76999999999</v>
      </c>
      <c r="I19" s="115" t="s">
        <v>299</v>
      </c>
      <c r="J19" s="652">
        <v>0</v>
      </c>
      <c r="K19" s="652">
        <v>0</v>
      </c>
      <c r="L19" s="652">
        <v>0</v>
      </c>
      <c r="M19" s="652">
        <f>H19</f>
        <v>143108.76999999999</v>
      </c>
      <c r="N19" s="454">
        <f>VLOOKUP(G19,Settings!$B$98:D142,3,FALSE)</f>
        <v>1.9517260000000002E-2</v>
      </c>
      <c r="O19" s="454">
        <f>VLOOKUP(G19,Settings!$B$98:D159,2,FALSE)</f>
        <v>9.8485E-4</v>
      </c>
      <c r="P19" s="455">
        <f>VLOOKUP(G19,Settings!$B$98:D159,3,FALSE)</f>
        <v>1.9517260000000002E-2</v>
      </c>
      <c r="Q19" s="41">
        <f t="shared" si="0"/>
        <v>0</v>
      </c>
      <c r="R19" s="41">
        <f t="shared" si="1"/>
        <v>2793.0910723702</v>
      </c>
      <c r="S19" s="385" t="s">
        <v>719</v>
      </c>
    </row>
    <row r="20" spans="2:19" x14ac:dyDescent="0.25">
      <c r="B20" s="356" t="str">
        <f>VLOOKUP(D20,'Unit List'!$B$9:$E$241,4,0)</f>
        <v>Steel Making</v>
      </c>
      <c r="C20" s="356" t="str">
        <f>VLOOKUP(D20,'Unit List'!$B$9:$D$241,3,0)</f>
        <v>EAFs</v>
      </c>
      <c r="D20" s="376">
        <v>2210</v>
      </c>
      <c r="E20" s="376" t="s">
        <v>2036</v>
      </c>
      <c r="F20" s="389" t="s">
        <v>2054</v>
      </c>
      <c r="G20" s="376" t="s">
        <v>537</v>
      </c>
      <c r="H20" s="652">
        <v>64778.28</v>
      </c>
      <c r="I20" s="115" t="s">
        <v>299</v>
      </c>
      <c r="J20" s="652">
        <f>H20</f>
        <v>64778.28</v>
      </c>
      <c r="K20" s="652">
        <v>0</v>
      </c>
      <c r="L20" s="652">
        <v>0</v>
      </c>
      <c r="M20" s="652">
        <v>0</v>
      </c>
      <c r="N20" s="454">
        <f>VLOOKUP(G20,Settings!$B$98:D143,3,FALSE)</f>
        <v>8.8838600000000004E-3</v>
      </c>
      <c r="O20" s="454">
        <f>VLOOKUP(G20,Settings!$B$98:D160,2,FALSE)</f>
        <v>6.4106099999999997E-3</v>
      </c>
      <c r="P20" s="455">
        <f>VLOOKUP(G20,Settings!$B$98:D160,3,FALSE)</f>
        <v>8.8838600000000004E-3</v>
      </c>
      <c r="Q20" s="41">
        <f t="shared" si="0"/>
        <v>575.48117056080002</v>
      </c>
      <c r="R20" s="41">
        <f t="shared" si="1"/>
        <v>0</v>
      </c>
      <c r="S20" s="385" t="s">
        <v>719</v>
      </c>
    </row>
    <row r="21" spans="2:19" x14ac:dyDescent="0.25">
      <c r="B21" s="356" t="str">
        <f>VLOOKUP(D21,'Unit List'!$B$9:$E$241,4,0)</f>
        <v>Steel Making</v>
      </c>
      <c r="C21" s="356" t="str">
        <f>VLOOKUP(D21,'Unit List'!$B$9:$D$241,3,0)</f>
        <v>EAFs</v>
      </c>
      <c r="D21" s="376">
        <v>2210</v>
      </c>
      <c r="E21" s="376" t="s">
        <v>888</v>
      </c>
      <c r="F21" s="389" t="s">
        <v>2055</v>
      </c>
      <c r="G21" s="376" t="s">
        <v>537</v>
      </c>
      <c r="H21" s="652">
        <v>424751.755</v>
      </c>
      <c r="I21" s="115" t="s">
        <v>299</v>
      </c>
      <c r="J21" s="652">
        <f>H21</f>
        <v>424751.755</v>
      </c>
      <c r="K21" s="652">
        <v>0</v>
      </c>
      <c r="L21" s="652">
        <v>0</v>
      </c>
      <c r="M21" s="652">
        <v>0</v>
      </c>
      <c r="N21" s="454">
        <f>VLOOKUP(G21,Settings!$B$98:D144,3,FALSE)</f>
        <v>8.8838600000000004E-3</v>
      </c>
      <c r="O21" s="454">
        <f>VLOOKUP(G21,Settings!$B$98:D161,2,FALSE)</f>
        <v>6.4106099999999997E-3</v>
      </c>
      <c r="P21" s="455">
        <f>VLOOKUP(G21,Settings!$B$98:D161,3,FALSE)</f>
        <v>8.8838600000000004E-3</v>
      </c>
      <c r="Q21" s="41">
        <f t="shared" si="0"/>
        <v>3773.4351261743004</v>
      </c>
      <c r="R21" s="41">
        <f t="shared" si="1"/>
        <v>0</v>
      </c>
      <c r="S21" s="385" t="s">
        <v>719</v>
      </c>
    </row>
    <row r="22" spans="2:19" x14ac:dyDescent="0.25">
      <c r="B22" s="356" t="str">
        <f>VLOOKUP(D22,'Unit List'!$B$9:$E$241,4,0)</f>
        <v>Steel Making</v>
      </c>
      <c r="C22" s="356" t="str">
        <f>VLOOKUP(D22,'Unit List'!$B$9:$D$241,3,0)</f>
        <v>EAFs</v>
      </c>
      <c r="D22" s="376">
        <v>2210</v>
      </c>
      <c r="E22" s="376" t="s">
        <v>887</v>
      </c>
      <c r="F22" s="389" t="s">
        <v>2056</v>
      </c>
      <c r="G22" s="376" t="s">
        <v>538</v>
      </c>
      <c r="H22" s="652">
        <v>1768966.7519999999</v>
      </c>
      <c r="I22" s="115" t="s">
        <v>299</v>
      </c>
      <c r="J22" s="652">
        <f>H22-L22</f>
        <v>1415445.7519999999</v>
      </c>
      <c r="K22" s="652">
        <v>0</v>
      </c>
      <c r="L22" s="652">
        <v>353521</v>
      </c>
      <c r="M22" s="652">
        <v>0</v>
      </c>
      <c r="N22" s="454">
        <f>VLOOKUP(G22,Settings!$B$98:D145,3,FALSE)</f>
        <v>1.9517260000000002E-2</v>
      </c>
      <c r="O22" s="454">
        <f>VLOOKUP(G22,Settings!$B$98:D162,2,FALSE)</f>
        <v>9.8485E-4</v>
      </c>
      <c r="P22" s="455">
        <f>VLOOKUP(G22,Settings!$B$98:D162,3,FALSE)</f>
        <v>1.9517260000000002E-2</v>
      </c>
      <c r="Q22" s="41">
        <f t="shared" si="0"/>
        <v>27625.622757679521</v>
      </c>
      <c r="R22" s="41">
        <f t="shared" si="1"/>
        <v>348.16515685000002</v>
      </c>
      <c r="S22" s="385" t="s">
        <v>719</v>
      </c>
    </row>
    <row r="23" spans="2:19" x14ac:dyDescent="0.25">
      <c r="B23" s="356" t="str">
        <f>VLOOKUP(D23,'Unit List'!$B$9:$E$241,4,0)</f>
        <v>Steel Making</v>
      </c>
      <c r="C23" s="356" t="str">
        <f>VLOOKUP(D23,'Unit List'!$B$9:$D$241,3,0)</f>
        <v>De-gassing</v>
      </c>
      <c r="D23" s="376">
        <v>2220</v>
      </c>
      <c r="E23" s="376" t="s">
        <v>887</v>
      </c>
      <c r="F23" s="389" t="s">
        <v>2056</v>
      </c>
      <c r="G23" s="376" t="s">
        <v>538</v>
      </c>
      <c r="H23" s="652">
        <v>356.01400000000001</v>
      </c>
      <c r="I23" s="115" t="s">
        <v>299</v>
      </c>
      <c r="J23" s="652">
        <f>H23</f>
        <v>356.01400000000001</v>
      </c>
      <c r="K23" s="652">
        <v>0</v>
      </c>
      <c r="L23" s="652">
        <v>0</v>
      </c>
      <c r="M23" s="652">
        <v>0</v>
      </c>
      <c r="N23" s="454">
        <f>VLOOKUP(G23,Settings!$B$98:D146,3,FALSE)</f>
        <v>1.9517260000000002E-2</v>
      </c>
      <c r="O23" s="454">
        <f>VLOOKUP(G23,Settings!$B$98:D163,2,FALSE)</f>
        <v>9.8485E-4</v>
      </c>
      <c r="P23" s="455">
        <f>VLOOKUP(G23,Settings!$B$98:D163,3,FALSE)</f>
        <v>1.9517260000000002E-2</v>
      </c>
      <c r="Q23" s="41">
        <f t="shared" si="0"/>
        <v>6.9484178016400007</v>
      </c>
      <c r="R23" s="41">
        <f t="shared" si="1"/>
        <v>0</v>
      </c>
      <c r="S23" s="385" t="s">
        <v>719</v>
      </c>
    </row>
    <row r="24" spans="2:19" x14ac:dyDescent="0.25">
      <c r="B24" s="356" t="str">
        <f>VLOOKUP(D24,'Unit List'!$B$9:$E$241,4,0)</f>
        <v>Steel Making</v>
      </c>
      <c r="C24" s="356" t="str">
        <f>VLOOKUP(D24,'Unit List'!$B$9:$D$241,3,0)</f>
        <v>Laddle Furnaces</v>
      </c>
      <c r="D24" s="376">
        <v>2240</v>
      </c>
      <c r="E24" s="376" t="s">
        <v>887</v>
      </c>
      <c r="F24" s="389" t="s">
        <v>2056</v>
      </c>
      <c r="G24" s="376" t="s">
        <v>538</v>
      </c>
      <c r="H24" s="652">
        <v>31046.127000000008</v>
      </c>
      <c r="I24" s="115" t="s">
        <v>299</v>
      </c>
      <c r="J24" s="652">
        <v>0</v>
      </c>
      <c r="K24" s="652">
        <v>0</v>
      </c>
      <c r="L24" s="652">
        <v>0</v>
      </c>
      <c r="M24" s="652">
        <f>H24</f>
        <v>31046.127000000008</v>
      </c>
      <c r="N24" s="454">
        <f>VLOOKUP(G24,Settings!$B$98:D147,3,FALSE)</f>
        <v>1.9517260000000002E-2</v>
      </c>
      <c r="O24" s="454">
        <f>VLOOKUP(G24,Settings!$B$98:D164,2,FALSE)</f>
        <v>9.8485E-4</v>
      </c>
      <c r="P24" s="455">
        <f>VLOOKUP(G24,Settings!$B$98:D164,3,FALSE)</f>
        <v>1.9517260000000002E-2</v>
      </c>
      <c r="Q24" s="41">
        <f t="shared" si="0"/>
        <v>0</v>
      </c>
      <c r="R24" s="41">
        <f t="shared" si="1"/>
        <v>605.93533265202018</v>
      </c>
      <c r="S24" s="385" t="s">
        <v>719</v>
      </c>
    </row>
    <row r="25" spans="2:19" x14ac:dyDescent="0.25">
      <c r="B25" s="356" t="str">
        <f>VLOOKUP(D25,'Unit List'!$B$9:$E$241,4,0)</f>
        <v>Steel Making</v>
      </c>
      <c r="C25" s="356" t="str">
        <f>VLOOKUP(D25,'Unit List'!$B$9:$D$241,3,0)</f>
        <v>Casting Machines</v>
      </c>
      <c r="D25" s="376">
        <v>2410</v>
      </c>
      <c r="E25" s="376" t="s">
        <v>895</v>
      </c>
      <c r="F25" s="389" t="s">
        <v>897</v>
      </c>
      <c r="G25" s="376" t="s">
        <v>538</v>
      </c>
      <c r="H25" s="652">
        <v>14806.051000000001</v>
      </c>
      <c r="I25" s="115" t="s">
        <v>299</v>
      </c>
      <c r="J25" s="652">
        <f>H25</f>
        <v>14806.051000000001</v>
      </c>
      <c r="K25" s="652">
        <v>0</v>
      </c>
      <c r="L25" s="652">
        <v>0</v>
      </c>
      <c r="M25" s="652">
        <v>0</v>
      </c>
      <c r="N25" s="454">
        <f>VLOOKUP(G25,Settings!$B$98:D148,3,FALSE)</f>
        <v>1.9517260000000002E-2</v>
      </c>
      <c r="O25" s="454">
        <f>VLOOKUP(G25,Settings!$B$98:D165,2,FALSE)</f>
        <v>9.8485E-4</v>
      </c>
      <c r="P25" s="455">
        <f>VLOOKUP(G25,Settings!$B$98:D165,3,FALSE)</f>
        <v>1.9517260000000002E-2</v>
      </c>
      <c r="Q25" s="41">
        <f t="shared" si="0"/>
        <v>288.97354694026006</v>
      </c>
      <c r="R25" s="41">
        <f t="shared" si="1"/>
        <v>0</v>
      </c>
      <c r="S25" s="385" t="s">
        <v>719</v>
      </c>
    </row>
    <row r="26" spans="2:19" x14ac:dyDescent="0.25">
      <c r="B26" s="356" t="str">
        <f>VLOOKUP(D26,'Unit List'!$B$9:$E$241,4,0)</f>
        <v>Steel Making</v>
      </c>
      <c r="C26" s="356" t="str">
        <f>VLOOKUP(D26,'Unit List'!$B$9:$D$241,3,0)</f>
        <v>Casting Machines</v>
      </c>
      <c r="D26" s="376">
        <v>2410</v>
      </c>
      <c r="E26" s="376" t="s">
        <v>1092</v>
      </c>
      <c r="F26" s="389" t="s">
        <v>1091</v>
      </c>
      <c r="G26" s="376" t="s">
        <v>537</v>
      </c>
      <c r="H26" s="652">
        <v>7546.9520000000011</v>
      </c>
      <c r="I26" s="115" t="s">
        <v>299</v>
      </c>
      <c r="J26" s="652">
        <f>H26</f>
        <v>7546.9520000000011</v>
      </c>
      <c r="K26" s="652">
        <v>0</v>
      </c>
      <c r="L26" s="652">
        <v>0</v>
      </c>
      <c r="M26" s="652">
        <v>0</v>
      </c>
      <c r="N26" s="454">
        <f>VLOOKUP(G26,Settings!$B$98:D149,3,FALSE)</f>
        <v>8.8838600000000004E-3</v>
      </c>
      <c r="O26" s="454">
        <f>VLOOKUP(G26,Settings!$B$98:D166,2,FALSE)</f>
        <v>6.4106099999999997E-3</v>
      </c>
      <c r="P26" s="455">
        <f>VLOOKUP(G26,Settings!$B$98:D166,3,FALSE)</f>
        <v>8.8838600000000004E-3</v>
      </c>
      <c r="Q26" s="41">
        <f t="shared" si="0"/>
        <v>67.046064994720012</v>
      </c>
      <c r="R26" s="41">
        <f t="shared" si="1"/>
        <v>0</v>
      </c>
      <c r="S26" s="385" t="s">
        <v>719</v>
      </c>
    </row>
    <row r="27" spans="2:19" x14ac:dyDescent="0.25">
      <c r="B27" s="356" t="str">
        <f>VLOOKUP(D27,'Unit List'!$B$9:$E$241,4,0)</f>
        <v>Steel Making</v>
      </c>
      <c r="C27" s="356" t="str">
        <f>VLOOKUP(D27,'Unit List'!$B$9:$D$241,3,0)</f>
        <v>Casting Machines</v>
      </c>
      <c r="D27" s="376">
        <v>2410</v>
      </c>
      <c r="E27" s="376" t="s">
        <v>2037</v>
      </c>
      <c r="F27" s="389" t="s">
        <v>2057</v>
      </c>
      <c r="G27" s="376" t="s">
        <v>537</v>
      </c>
      <c r="H27" s="652">
        <v>266.78000000000003</v>
      </c>
      <c r="I27" s="115" t="s">
        <v>299</v>
      </c>
      <c r="J27" s="652">
        <v>0</v>
      </c>
      <c r="K27" s="652">
        <f>H27</f>
        <v>266.78000000000003</v>
      </c>
      <c r="L27" s="652">
        <v>0</v>
      </c>
      <c r="M27" s="652">
        <v>0</v>
      </c>
      <c r="N27" s="454">
        <f>VLOOKUP(G27,Settings!$B$98:D150,3,FALSE)</f>
        <v>8.8838600000000004E-3</v>
      </c>
      <c r="O27" s="454">
        <f>VLOOKUP(G27,Settings!$B$98:D167,2,FALSE)</f>
        <v>6.4106099999999997E-3</v>
      </c>
      <c r="P27" s="455">
        <f>VLOOKUP(G27,Settings!$B$98:D167,3,FALSE)</f>
        <v>8.8838600000000004E-3</v>
      </c>
      <c r="Q27" s="41">
        <f t="shared" si="0"/>
        <v>0</v>
      </c>
      <c r="R27" s="41">
        <f t="shared" si="1"/>
        <v>0</v>
      </c>
      <c r="S27" s="385" t="s">
        <v>719</v>
      </c>
    </row>
    <row r="28" spans="2:19" x14ac:dyDescent="0.25">
      <c r="B28" s="356" t="str">
        <f>VLOOKUP(D28,'Unit List'!$B$9:$E$241,4,0)</f>
        <v>Steel Making</v>
      </c>
      <c r="C28" s="356" t="str">
        <f>VLOOKUP(D28,'Unit List'!$B$9:$D$241,3,0)</f>
        <v>Casting Machines</v>
      </c>
      <c r="D28" s="376">
        <v>2410</v>
      </c>
      <c r="E28" s="376" t="s">
        <v>2038</v>
      </c>
      <c r="F28" s="389" t="s">
        <v>893</v>
      </c>
      <c r="G28" s="376" t="s">
        <v>537</v>
      </c>
      <c r="H28" s="646">
        <v>43183.231</v>
      </c>
      <c r="I28" s="115" t="s">
        <v>299</v>
      </c>
      <c r="J28" s="646">
        <v>0</v>
      </c>
      <c r="K28" s="646">
        <f>H28</f>
        <v>43183.231</v>
      </c>
      <c r="L28" s="646">
        <v>0</v>
      </c>
      <c r="M28" s="646">
        <v>0</v>
      </c>
      <c r="N28" s="454">
        <f>VLOOKUP(G28,Settings!$B$98:D134,3,FALSE)</f>
        <v>8.8838600000000004E-3</v>
      </c>
      <c r="O28" s="454">
        <f>VLOOKUP(G28,Settings!$B$98:D151,2,FALSE)</f>
        <v>6.4106099999999997E-3</v>
      </c>
      <c r="P28" s="455">
        <f>VLOOKUP(G28,Settings!$B$98:D151,3,FALSE)</f>
        <v>8.8838600000000004E-3</v>
      </c>
      <c r="Q28" s="41">
        <f t="shared" si="0"/>
        <v>0</v>
      </c>
      <c r="R28" s="41">
        <f t="shared" si="1"/>
        <v>0</v>
      </c>
      <c r="S28" s="385" t="s">
        <v>719</v>
      </c>
    </row>
    <row r="29" spans="2:19" x14ac:dyDescent="0.25">
      <c r="B29" s="356" t="str">
        <f>VLOOKUP(D29,'Unit List'!$B$9:$E$241,4,0)</f>
        <v>Steel Making</v>
      </c>
      <c r="C29" s="356" t="str">
        <f>VLOOKUP(D29,'Unit List'!$B$9:$D$241,3,0)</f>
        <v>Casting Machines</v>
      </c>
      <c r="D29" s="376">
        <v>2410</v>
      </c>
      <c r="E29" s="376" t="s">
        <v>2039</v>
      </c>
      <c r="F29" s="389" t="s">
        <v>2058</v>
      </c>
      <c r="G29" s="376" t="s">
        <v>537</v>
      </c>
      <c r="H29" s="646">
        <v>62293.883000000009</v>
      </c>
      <c r="I29" s="115" t="s">
        <v>299</v>
      </c>
      <c r="J29" s="646">
        <v>0</v>
      </c>
      <c r="K29" s="646">
        <f>H29</f>
        <v>62293.883000000009</v>
      </c>
      <c r="L29" s="646">
        <v>0</v>
      </c>
      <c r="M29" s="646">
        <v>0</v>
      </c>
      <c r="N29" s="454">
        <f>VLOOKUP(G29,Settings!$B$98:D135,3,FALSE)</f>
        <v>8.8838600000000004E-3</v>
      </c>
      <c r="O29" s="454">
        <f>VLOOKUP(G29,Settings!$B$98:D152,2,FALSE)</f>
        <v>6.4106099999999997E-3</v>
      </c>
      <c r="P29" s="455">
        <f>VLOOKUP(G29,Settings!$B$98:D152,3,FALSE)</f>
        <v>8.8838600000000004E-3</v>
      </c>
      <c r="Q29" s="41">
        <f t="shared" si="0"/>
        <v>0</v>
      </c>
      <c r="R29" s="41">
        <f t="shared" si="1"/>
        <v>0</v>
      </c>
      <c r="S29" s="385" t="s">
        <v>719</v>
      </c>
    </row>
    <row r="30" spans="2:19" x14ac:dyDescent="0.25">
      <c r="B30" s="356" t="str">
        <f>VLOOKUP(D30,'Unit List'!$B$9:$E$241,4,0)</f>
        <v>Steel Making</v>
      </c>
      <c r="C30" s="356" t="str">
        <f>VLOOKUP(D30,'Unit List'!$B$9:$D$241,3,0)</f>
        <v>Casting Machines</v>
      </c>
      <c r="D30" s="376">
        <v>2410</v>
      </c>
      <c r="E30" s="376" t="s">
        <v>901</v>
      </c>
      <c r="F30" s="389" t="s">
        <v>892</v>
      </c>
      <c r="G30" s="376" t="s">
        <v>537</v>
      </c>
      <c r="H30" s="646">
        <v>19.238</v>
      </c>
      <c r="I30" s="115" t="s">
        <v>299</v>
      </c>
      <c r="J30" s="646">
        <v>0</v>
      </c>
      <c r="K30" s="646">
        <f>H30</f>
        <v>19.238</v>
      </c>
      <c r="L30" s="646">
        <v>0</v>
      </c>
      <c r="M30" s="646">
        <v>0</v>
      </c>
      <c r="N30" s="454">
        <f>VLOOKUP(G30,Settings!$B$98:D136,3,FALSE)</f>
        <v>8.8838600000000004E-3</v>
      </c>
      <c r="O30" s="454">
        <f>VLOOKUP(G30,Settings!$B$98:D153,2,FALSE)</f>
        <v>6.4106099999999997E-3</v>
      </c>
      <c r="P30" s="455">
        <f>VLOOKUP(G30,Settings!$B$98:D153,3,FALSE)</f>
        <v>8.8838600000000004E-3</v>
      </c>
      <c r="Q30" s="41">
        <f t="shared" si="0"/>
        <v>0</v>
      </c>
      <c r="R30" s="41">
        <f t="shared" si="1"/>
        <v>0</v>
      </c>
      <c r="S30" s="385" t="s">
        <v>719</v>
      </c>
    </row>
    <row r="31" spans="2:19" x14ac:dyDescent="0.25">
      <c r="B31" s="356" t="str">
        <f>VLOOKUP(D31,'Unit List'!$B$9:$E$241,4,0)</f>
        <v>Steel Making</v>
      </c>
      <c r="C31" s="356" t="str">
        <f>VLOOKUP(D31,'Unit List'!$B$9:$D$241,3,0)</f>
        <v>Casting Machines</v>
      </c>
      <c r="D31" s="376">
        <v>2410</v>
      </c>
      <c r="E31" s="376" t="s">
        <v>890</v>
      </c>
      <c r="F31" s="389" t="s">
        <v>891</v>
      </c>
      <c r="G31" s="376" t="s">
        <v>537</v>
      </c>
      <c r="H31" s="646">
        <v>151.67100000000002</v>
      </c>
      <c r="I31" s="115" t="s">
        <v>299</v>
      </c>
      <c r="J31" s="646">
        <v>0</v>
      </c>
      <c r="K31" s="646">
        <f>H31</f>
        <v>151.67100000000002</v>
      </c>
      <c r="L31" s="646">
        <v>0</v>
      </c>
      <c r="M31" s="646">
        <v>0</v>
      </c>
      <c r="N31" s="454">
        <f>VLOOKUP(G31,Settings!$B$98:D137,3,FALSE)</f>
        <v>8.8838600000000004E-3</v>
      </c>
      <c r="O31" s="454">
        <f>VLOOKUP(G31,Settings!$B$98:D154,2,FALSE)</f>
        <v>6.4106099999999997E-3</v>
      </c>
      <c r="P31" s="455">
        <f>VLOOKUP(G31,Settings!$B$98:D154,3,FALSE)</f>
        <v>8.8838600000000004E-3</v>
      </c>
      <c r="Q31" s="41">
        <f t="shared" si="0"/>
        <v>0</v>
      </c>
      <c r="R31" s="41">
        <f t="shared" si="1"/>
        <v>0</v>
      </c>
      <c r="S31" s="385" t="s">
        <v>719</v>
      </c>
    </row>
    <row r="32" spans="2:19" x14ac:dyDescent="0.25">
      <c r="B32" s="356" t="str">
        <f>VLOOKUP(D32,'Unit List'!$B$9:$E$241,4,0)</f>
        <v>Steel Making</v>
      </c>
      <c r="C32" s="356" t="str">
        <f>VLOOKUP(D32,'Unit List'!$B$9:$D$241,3,0)</f>
        <v>Slab Cooling</v>
      </c>
      <c r="D32" s="376">
        <v>2510</v>
      </c>
      <c r="E32" s="376" t="s">
        <v>895</v>
      </c>
      <c r="F32" s="389" t="s">
        <v>897</v>
      </c>
      <c r="G32" s="376" t="s">
        <v>538</v>
      </c>
      <c r="H32" s="652">
        <v>54.191999999999993</v>
      </c>
      <c r="I32" s="115" t="s">
        <v>299</v>
      </c>
      <c r="J32" s="652">
        <f>H32</f>
        <v>54.191999999999993</v>
      </c>
      <c r="K32" s="652">
        <v>0</v>
      </c>
      <c r="L32" s="652">
        <v>0</v>
      </c>
      <c r="M32" s="652">
        <v>0</v>
      </c>
      <c r="N32" s="454">
        <f>VLOOKUP(G32,Settings!$B$98:D138,3,FALSE)</f>
        <v>1.9517260000000002E-2</v>
      </c>
      <c r="O32" s="454">
        <f>VLOOKUP(G32,Settings!$B$98:D155,2,FALSE)</f>
        <v>9.8485E-4</v>
      </c>
      <c r="P32" s="455">
        <f>VLOOKUP(G32,Settings!$B$98:D155,3,FALSE)</f>
        <v>1.9517260000000002E-2</v>
      </c>
      <c r="Q32" s="41">
        <f t="shared" si="0"/>
        <v>1.05767935392</v>
      </c>
      <c r="R32" s="41">
        <f t="shared" si="1"/>
        <v>0</v>
      </c>
      <c r="S32" s="385" t="s">
        <v>719</v>
      </c>
    </row>
    <row r="33" spans="2:19" x14ac:dyDescent="0.25">
      <c r="B33" s="356" t="str">
        <f>VLOOKUP(D33,'Unit List'!$B$9:$E$241,4,0)</f>
        <v>Steel Making</v>
      </c>
      <c r="C33" s="356" t="str">
        <f>VLOOKUP(D33,'Unit List'!$B$9:$D$241,3,0)</f>
        <v>Slab Cooling</v>
      </c>
      <c r="D33" s="376">
        <v>2510</v>
      </c>
      <c r="E33" s="376" t="s">
        <v>1092</v>
      </c>
      <c r="F33" s="389" t="s">
        <v>1091</v>
      </c>
      <c r="G33" s="376" t="s">
        <v>537</v>
      </c>
      <c r="H33" s="652">
        <v>1462.3160000000003</v>
      </c>
      <c r="I33" s="115" t="s">
        <v>299</v>
      </c>
      <c r="J33" s="652">
        <f>H33</f>
        <v>1462.3160000000003</v>
      </c>
      <c r="K33" s="652">
        <v>0</v>
      </c>
      <c r="L33" s="652">
        <v>0</v>
      </c>
      <c r="M33" s="652">
        <v>0</v>
      </c>
      <c r="N33" s="454">
        <f>VLOOKUP(G33,Settings!$B$98:D139,3,FALSE)</f>
        <v>8.8838600000000004E-3</v>
      </c>
      <c r="O33" s="454">
        <f>VLOOKUP(G33,Settings!$B$98:D156,2,FALSE)</f>
        <v>6.4106099999999997E-3</v>
      </c>
      <c r="P33" s="455">
        <f>VLOOKUP(G33,Settings!$B$98:D156,3,FALSE)</f>
        <v>8.8838600000000004E-3</v>
      </c>
      <c r="Q33" s="41">
        <f t="shared" si="0"/>
        <v>12.991010619760003</v>
      </c>
      <c r="R33" s="41">
        <f t="shared" si="1"/>
        <v>0</v>
      </c>
      <c r="S33" s="385" t="s">
        <v>719</v>
      </c>
    </row>
    <row r="34" spans="2:19" x14ac:dyDescent="0.25">
      <c r="B34" s="356" t="str">
        <f>VLOOKUP(D34,'Unit List'!$B$9:$E$241,4,0)</f>
        <v>Steel Making</v>
      </c>
      <c r="C34" s="356" t="str">
        <f>VLOOKUP(D34,'Unit List'!$B$9:$D$241,3,0)</f>
        <v>Slab Cooling</v>
      </c>
      <c r="D34" s="376">
        <v>2510</v>
      </c>
      <c r="E34" s="376" t="s">
        <v>901</v>
      </c>
      <c r="F34" s="389" t="s">
        <v>892</v>
      </c>
      <c r="G34" s="376" t="s">
        <v>537</v>
      </c>
      <c r="H34" s="652">
        <v>10673.684000000001</v>
      </c>
      <c r="I34" s="115" t="s">
        <v>299</v>
      </c>
      <c r="J34" s="652">
        <v>0</v>
      </c>
      <c r="K34" s="652">
        <f>H34</f>
        <v>10673.684000000001</v>
      </c>
      <c r="L34" s="652">
        <v>0</v>
      </c>
      <c r="M34" s="652">
        <v>0</v>
      </c>
      <c r="N34" s="454">
        <f>VLOOKUP(G34,Settings!$B$98:D140,3,FALSE)</f>
        <v>8.8838600000000004E-3</v>
      </c>
      <c r="O34" s="454">
        <f>VLOOKUP(G34,Settings!$B$98:D157,2,FALSE)</f>
        <v>6.4106099999999997E-3</v>
      </c>
      <c r="P34" s="455">
        <f>VLOOKUP(G34,Settings!$B$98:D157,3,FALSE)</f>
        <v>8.8838600000000004E-3</v>
      </c>
      <c r="Q34" s="41">
        <f t="shared" si="0"/>
        <v>0</v>
      </c>
      <c r="R34" s="41">
        <f t="shared" si="1"/>
        <v>0</v>
      </c>
      <c r="S34" s="385" t="s">
        <v>719</v>
      </c>
    </row>
    <row r="35" spans="2:19" x14ac:dyDescent="0.25">
      <c r="B35" s="356" t="str">
        <f>VLOOKUP(D35,'Unit List'!$B$9:$E$241,4,0)</f>
        <v>Steel Making</v>
      </c>
      <c r="C35" s="356" t="str">
        <f>VLOOKUP(D35,'Unit List'!$B$9:$D$241,3,0)</f>
        <v>Slab Cooling</v>
      </c>
      <c r="D35" s="376">
        <v>2510</v>
      </c>
      <c r="E35" s="376" t="s">
        <v>890</v>
      </c>
      <c r="F35" s="389" t="s">
        <v>891</v>
      </c>
      <c r="G35" s="376" t="s">
        <v>537</v>
      </c>
      <c r="H35" s="652">
        <v>57865.350000000006</v>
      </c>
      <c r="I35" s="115" t="s">
        <v>299</v>
      </c>
      <c r="J35" s="652">
        <v>0</v>
      </c>
      <c r="K35" s="652">
        <f>H35</f>
        <v>57865.350000000006</v>
      </c>
      <c r="L35" s="652">
        <v>0</v>
      </c>
      <c r="M35" s="652">
        <v>0</v>
      </c>
      <c r="N35" s="454">
        <f>VLOOKUP(G35,Settings!$B$98:D141,3,FALSE)</f>
        <v>8.8838600000000004E-3</v>
      </c>
      <c r="O35" s="454">
        <f>VLOOKUP(G35,Settings!$B$98:D158,2,FALSE)</f>
        <v>6.4106099999999997E-3</v>
      </c>
      <c r="P35" s="455">
        <f>VLOOKUP(G35,Settings!$B$98:D158,3,FALSE)</f>
        <v>8.8838600000000004E-3</v>
      </c>
      <c r="Q35" s="41">
        <f t="shared" si="0"/>
        <v>0</v>
      </c>
      <c r="R35" s="41">
        <f t="shared" si="1"/>
        <v>0</v>
      </c>
      <c r="S35" s="385" t="s">
        <v>719</v>
      </c>
    </row>
    <row r="36" spans="2:19" x14ac:dyDescent="0.25">
      <c r="B36" s="356" t="str">
        <f>VLOOKUP(D36,'Unit List'!$B$9:$E$241,4,0)</f>
        <v>Steel Making</v>
      </c>
      <c r="C36" s="356" t="str">
        <f>VLOOKUP(D36,'Unit List'!$B$9:$D$241,3,0)</f>
        <v>Slab Cooling</v>
      </c>
      <c r="D36" s="376">
        <v>2510</v>
      </c>
      <c r="E36" s="376" t="s">
        <v>2040</v>
      </c>
      <c r="F36" s="389" t="s">
        <v>2059</v>
      </c>
      <c r="G36" s="376" t="s">
        <v>537</v>
      </c>
      <c r="H36" s="652">
        <v>991.04300000000001</v>
      </c>
      <c r="I36" s="115" t="s">
        <v>299</v>
      </c>
      <c r="J36" s="652">
        <v>0</v>
      </c>
      <c r="K36" s="652">
        <f>H36</f>
        <v>991.04300000000001</v>
      </c>
      <c r="L36" s="652">
        <v>0</v>
      </c>
      <c r="M36" s="652">
        <v>0</v>
      </c>
      <c r="N36" s="454">
        <f>VLOOKUP(G36,Settings!$B$98:D142,3,FALSE)</f>
        <v>8.8838600000000004E-3</v>
      </c>
      <c r="O36" s="454">
        <f>VLOOKUP(G36,Settings!$B$98:D159,2,FALSE)</f>
        <v>6.4106099999999997E-3</v>
      </c>
      <c r="P36" s="455">
        <f>VLOOKUP(G36,Settings!$B$98:D159,3,FALSE)</f>
        <v>8.8838600000000004E-3</v>
      </c>
      <c r="Q36" s="41">
        <f t="shared" si="0"/>
        <v>0</v>
      </c>
      <c r="R36" s="41">
        <f t="shared" si="1"/>
        <v>0</v>
      </c>
      <c r="S36" s="385" t="s">
        <v>719</v>
      </c>
    </row>
    <row r="37" spans="2:19" x14ac:dyDescent="0.25">
      <c r="B37" s="356" t="str">
        <f>VLOOKUP(D37,'Unit List'!$B$9:$E$241,4,0)</f>
        <v>Hot Rolling</v>
      </c>
      <c r="C37" s="356" t="str">
        <f>VLOOKUP(D37,'Unit List'!$B$9:$D$241,3,0)</f>
        <v>Hot Rolling Mill</v>
      </c>
      <c r="D37" s="376">
        <v>3310</v>
      </c>
      <c r="E37" s="376" t="s">
        <v>896</v>
      </c>
      <c r="F37" s="389" t="s">
        <v>2060</v>
      </c>
      <c r="G37" s="376" t="s">
        <v>538</v>
      </c>
      <c r="H37" s="652">
        <v>88674.346999999994</v>
      </c>
      <c r="I37" s="115" t="s">
        <v>299</v>
      </c>
      <c r="J37" s="652"/>
      <c r="K37" s="652">
        <v>0</v>
      </c>
      <c r="L37" s="652">
        <f>H37</f>
        <v>88674.346999999994</v>
      </c>
      <c r="M37" s="652">
        <v>0</v>
      </c>
      <c r="N37" s="454">
        <f>VLOOKUP(G37,Settings!$B$98:D143,3,FALSE)</f>
        <v>1.9517260000000002E-2</v>
      </c>
      <c r="O37" s="454">
        <f>VLOOKUP(G37,Settings!$B$98:D160,2,FALSE)</f>
        <v>9.8485E-4</v>
      </c>
      <c r="P37" s="455">
        <f>VLOOKUP(G37,Settings!$B$98:D160,3,FALSE)</f>
        <v>1.9517260000000002E-2</v>
      </c>
      <c r="Q37" s="41">
        <f t="shared" si="0"/>
        <v>0</v>
      </c>
      <c r="R37" s="41">
        <f t="shared" si="1"/>
        <v>87.330930642949994</v>
      </c>
      <c r="S37" s="385" t="s">
        <v>719</v>
      </c>
    </row>
    <row r="38" spans="2:19" x14ac:dyDescent="0.25">
      <c r="B38" s="356" t="str">
        <f>VLOOKUP(D38,'Unit List'!$B$9:$E$241,4,0)</f>
        <v>Hot Rolling</v>
      </c>
      <c r="C38" s="356" t="str">
        <f>VLOOKUP(D38,'Unit List'!$B$9:$D$241,3,0)</f>
        <v>Hot Rolling Mill</v>
      </c>
      <c r="D38" s="376">
        <v>3310</v>
      </c>
      <c r="E38" s="376" t="s">
        <v>2041</v>
      </c>
      <c r="F38" s="389" t="s">
        <v>2061</v>
      </c>
      <c r="G38" s="376" t="s">
        <v>537</v>
      </c>
      <c r="H38" s="652">
        <v>2919.4850000000006</v>
      </c>
      <c r="I38" s="115" t="s">
        <v>299</v>
      </c>
      <c r="J38" s="652">
        <v>0</v>
      </c>
      <c r="K38" s="652">
        <f t="shared" ref="K38:K47" si="4">H38</f>
        <v>2919.4850000000006</v>
      </c>
      <c r="L38" s="652">
        <v>0</v>
      </c>
      <c r="M38" s="652">
        <v>0</v>
      </c>
      <c r="N38" s="454">
        <f>VLOOKUP(G38,Settings!$B$98:D144,3,FALSE)</f>
        <v>8.8838600000000004E-3</v>
      </c>
      <c r="O38" s="454">
        <f>VLOOKUP(G38,Settings!$B$98:D161,2,FALSE)</f>
        <v>6.4106099999999997E-3</v>
      </c>
      <c r="P38" s="455">
        <f>VLOOKUP(G38,Settings!$B$98:D161,3,FALSE)</f>
        <v>8.8838600000000004E-3</v>
      </c>
      <c r="Q38" s="41">
        <f t="shared" si="0"/>
        <v>0</v>
      </c>
      <c r="R38" s="41">
        <f t="shared" si="1"/>
        <v>0</v>
      </c>
      <c r="S38" s="385" t="s">
        <v>719</v>
      </c>
    </row>
    <row r="39" spans="2:19" x14ac:dyDescent="0.25">
      <c r="B39" s="356" t="str">
        <f>VLOOKUP(D39,'Unit List'!$B$9:$E$241,4,0)</f>
        <v>Hot Rolling</v>
      </c>
      <c r="C39" s="356" t="str">
        <f>VLOOKUP(D39,'Unit List'!$B$9:$D$241,3,0)</f>
        <v>Hot Rolling Mill</v>
      </c>
      <c r="D39" s="376">
        <v>3310</v>
      </c>
      <c r="E39" s="376" t="s">
        <v>2042</v>
      </c>
      <c r="F39" s="389" t="s">
        <v>2062</v>
      </c>
      <c r="G39" s="376" t="s">
        <v>537</v>
      </c>
      <c r="H39" s="652">
        <v>624.58600000000013</v>
      </c>
      <c r="I39" s="115" t="s">
        <v>299</v>
      </c>
      <c r="J39" s="652">
        <v>0</v>
      </c>
      <c r="K39" s="652">
        <f t="shared" si="4"/>
        <v>624.58600000000013</v>
      </c>
      <c r="L39" s="652">
        <v>0</v>
      </c>
      <c r="M39" s="652">
        <v>0</v>
      </c>
      <c r="N39" s="454">
        <f>VLOOKUP(G39,Settings!$B$98:D145,3,FALSE)</f>
        <v>8.8838600000000004E-3</v>
      </c>
      <c r="O39" s="454">
        <f>VLOOKUP(G39,Settings!$B$98:D162,2,FALSE)</f>
        <v>6.4106099999999997E-3</v>
      </c>
      <c r="P39" s="455">
        <f>VLOOKUP(G39,Settings!$B$98:D162,3,FALSE)</f>
        <v>8.8838600000000004E-3</v>
      </c>
      <c r="Q39" s="41">
        <f t="shared" si="0"/>
        <v>0</v>
      </c>
      <c r="R39" s="41">
        <f t="shared" si="1"/>
        <v>0</v>
      </c>
      <c r="S39" s="385" t="s">
        <v>719</v>
      </c>
    </row>
    <row r="40" spans="2:19" x14ac:dyDescent="0.25">
      <c r="B40" s="356" t="str">
        <f>VLOOKUP(D40,'Unit List'!$B$9:$E$241,4,0)</f>
        <v>Hot Rolling</v>
      </c>
      <c r="C40" s="356" t="str">
        <f>VLOOKUP(D40,'Unit List'!$B$9:$D$241,3,0)</f>
        <v>Hot Rolling Mill</v>
      </c>
      <c r="D40" s="376">
        <v>3310</v>
      </c>
      <c r="E40" s="376" t="s">
        <v>2043</v>
      </c>
      <c r="F40" s="389" t="s">
        <v>2063</v>
      </c>
      <c r="G40" s="376" t="s">
        <v>537</v>
      </c>
      <c r="H40" s="652">
        <v>41723.186000000009</v>
      </c>
      <c r="I40" s="115" t="s">
        <v>299</v>
      </c>
      <c r="J40" s="652">
        <v>0</v>
      </c>
      <c r="K40" s="652">
        <f t="shared" si="4"/>
        <v>41723.186000000009</v>
      </c>
      <c r="L40" s="652">
        <v>0</v>
      </c>
      <c r="M40" s="652">
        <v>0</v>
      </c>
      <c r="N40" s="454">
        <f>VLOOKUP(G40,Settings!$B$98:D146,3,FALSE)</f>
        <v>8.8838600000000004E-3</v>
      </c>
      <c r="O40" s="454">
        <f>VLOOKUP(G40,Settings!$B$98:D163,2,FALSE)</f>
        <v>6.4106099999999997E-3</v>
      </c>
      <c r="P40" s="455">
        <f>VLOOKUP(G40,Settings!$B$98:D163,3,FALSE)</f>
        <v>8.8838600000000004E-3</v>
      </c>
      <c r="Q40" s="41">
        <f t="shared" si="0"/>
        <v>0</v>
      </c>
      <c r="R40" s="41">
        <f t="shared" si="1"/>
        <v>0</v>
      </c>
      <c r="S40" s="385" t="s">
        <v>719</v>
      </c>
    </row>
    <row r="41" spans="2:19" x14ac:dyDescent="0.25">
      <c r="B41" s="356" t="str">
        <f>VLOOKUP(D41,'Unit List'!$B$9:$E$241,4,0)</f>
        <v>Hot Rolling</v>
      </c>
      <c r="C41" s="356" t="str">
        <f>VLOOKUP(D41,'Unit List'!$B$9:$D$241,3,0)</f>
        <v>Hot Rolling Mill</v>
      </c>
      <c r="D41" s="376">
        <v>3310</v>
      </c>
      <c r="E41" s="376" t="s">
        <v>2044</v>
      </c>
      <c r="F41" s="389" t="s">
        <v>2064</v>
      </c>
      <c r="G41" s="376" t="s">
        <v>537</v>
      </c>
      <c r="H41" s="652">
        <v>12569.472</v>
      </c>
      <c r="I41" s="115" t="s">
        <v>299</v>
      </c>
      <c r="J41" s="652">
        <v>0</v>
      </c>
      <c r="K41" s="652">
        <f t="shared" si="4"/>
        <v>12569.472</v>
      </c>
      <c r="L41" s="652">
        <v>0</v>
      </c>
      <c r="M41" s="652">
        <v>0</v>
      </c>
      <c r="N41" s="454">
        <f>VLOOKUP(G41,Settings!$B$98:D147,3,FALSE)</f>
        <v>8.8838600000000004E-3</v>
      </c>
      <c r="O41" s="454">
        <f>VLOOKUP(G41,Settings!$B$98:D164,2,FALSE)</f>
        <v>6.4106099999999997E-3</v>
      </c>
      <c r="P41" s="455">
        <f>VLOOKUP(G41,Settings!$B$98:D164,3,FALSE)</f>
        <v>8.8838600000000004E-3</v>
      </c>
      <c r="Q41" s="41">
        <f t="shared" si="0"/>
        <v>0</v>
      </c>
      <c r="R41" s="41">
        <f t="shared" si="1"/>
        <v>0</v>
      </c>
      <c r="S41" s="385" t="s">
        <v>719</v>
      </c>
    </row>
    <row r="42" spans="2:19" x14ac:dyDescent="0.25">
      <c r="B42" s="356" t="str">
        <f>VLOOKUP(D42,'Unit List'!$B$9:$E$241,4,0)</f>
        <v>Hot Rolling</v>
      </c>
      <c r="C42" s="356" t="str">
        <f>VLOOKUP(D42,'Unit List'!$B$9:$D$241,3,0)</f>
        <v>Shearing Line 1</v>
      </c>
      <c r="D42" s="376">
        <v>3420</v>
      </c>
      <c r="E42" s="376" t="s">
        <v>2041</v>
      </c>
      <c r="F42" s="389" t="s">
        <v>2061</v>
      </c>
      <c r="G42" s="376" t="s">
        <v>537</v>
      </c>
      <c r="H42" s="652">
        <v>3317.4349999999999</v>
      </c>
      <c r="I42" s="115" t="s">
        <v>299</v>
      </c>
      <c r="J42" s="652">
        <v>0</v>
      </c>
      <c r="K42" s="652">
        <f t="shared" si="4"/>
        <v>3317.4349999999999</v>
      </c>
      <c r="L42" s="652">
        <v>0</v>
      </c>
      <c r="M42" s="652">
        <v>0</v>
      </c>
      <c r="N42" s="454">
        <f>VLOOKUP(G42,Settings!$B$98:D148,3,FALSE)</f>
        <v>8.8838600000000004E-3</v>
      </c>
      <c r="O42" s="454">
        <f>VLOOKUP(G42,Settings!$B$98:D165,2,FALSE)</f>
        <v>6.4106099999999997E-3</v>
      </c>
      <c r="P42" s="455">
        <f>VLOOKUP(G42,Settings!$B$98:D165,3,FALSE)</f>
        <v>8.8838600000000004E-3</v>
      </c>
      <c r="Q42" s="41">
        <f t="shared" si="0"/>
        <v>0</v>
      </c>
      <c r="R42" s="41">
        <f t="shared" si="1"/>
        <v>0</v>
      </c>
      <c r="S42" s="385" t="s">
        <v>719</v>
      </c>
    </row>
    <row r="43" spans="2:19" x14ac:dyDescent="0.25">
      <c r="B43" s="356" t="str">
        <f>VLOOKUP(D43,'Unit List'!$B$9:$E$241,4,0)</f>
        <v>Hot Rolling</v>
      </c>
      <c r="C43" s="356" t="str">
        <f>VLOOKUP(D43,'Unit List'!$B$9:$D$241,3,0)</f>
        <v>Shearing Line 2</v>
      </c>
      <c r="D43" s="376">
        <v>3430</v>
      </c>
      <c r="E43" s="376" t="s">
        <v>2041</v>
      </c>
      <c r="F43" s="389" t="s">
        <v>2061</v>
      </c>
      <c r="G43" s="376" t="s">
        <v>537</v>
      </c>
      <c r="H43" s="652">
        <v>1759.3230000000001</v>
      </c>
      <c r="I43" s="115" t="s">
        <v>299</v>
      </c>
      <c r="J43" s="652">
        <v>0</v>
      </c>
      <c r="K43" s="652">
        <f t="shared" si="4"/>
        <v>1759.3230000000001</v>
      </c>
      <c r="L43" s="652">
        <v>0</v>
      </c>
      <c r="M43" s="652">
        <v>0</v>
      </c>
      <c r="N43" s="454">
        <f>VLOOKUP(G43,Settings!$B$98:D149,3,FALSE)</f>
        <v>8.8838600000000004E-3</v>
      </c>
      <c r="O43" s="454">
        <f>VLOOKUP(G43,Settings!$B$98:D166,2,FALSE)</f>
        <v>6.4106099999999997E-3</v>
      </c>
      <c r="P43" s="455">
        <f>VLOOKUP(G43,Settings!$B$98:D166,3,FALSE)</f>
        <v>8.8838600000000004E-3</v>
      </c>
      <c r="Q43" s="41">
        <f t="shared" si="0"/>
        <v>0</v>
      </c>
      <c r="R43" s="41">
        <f t="shared" si="1"/>
        <v>0</v>
      </c>
      <c r="S43" s="385" t="s">
        <v>719</v>
      </c>
    </row>
    <row r="44" spans="2:19" x14ac:dyDescent="0.25">
      <c r="B44" s="356" t="str">
        <f>VLOOKUP(D44,'Unit List'!$B$9:$E$241,4,0)</f>
        <v>Hot Rolling</v>
      </c>
      <c r="C44" s="356" t="str">
        <f>VLOOKUP(D44,'Unit List'!$B$9:$D$241,3,0)</f>
        <v>Heavy Shearing Line</v>
      </c>
      <c r="D44" s="376">
        <v>3440</v>
      </c>
      <c r="E44" s="376" t="s">
        <v>2041</v>
      </c>
      <c r="F44" s="389" t="s">
        <v>2061</v>
      </c>
      <c r="G44" s="376" t="s">
        <v>537</v>
      </c>
      <c r="H44" s="652">
        <v>5839.6260000000002</v>
      </c>
      <c r="I44" s="115" t="s">
        <v>299</v>
      </c>
      <c r="J44" s="652">
        <v>0</v>
      </c>
      <c r="K44" s="652">
        <f t="shared" si="4"/>
        <v>5839.6260000000002</v>
      </c>
      <c r="L44" s="652">
        <v>0</v>
      </c>
      <c r="M44" s="652">
        <v>0</v>
      </c>
      <c r="N44" s="454">
        <f>VLOOKUP(G44,Settings!$B$98:D150,3,FALSE)</f>
        <v>8.8838600000000004E-3</v>
      </c>
      <c r="O44" s="454">
        <f>VLOOKUP(G44,Settings!$B$98:D167,2,FALSE)</f>
        <v>6.4106099999999997E-3</v>
      </c>
      <c r="P44" s="455">
        <f>VLOOKUP(G44,Settings!$B$98:D167,3,FALSE)</f>
        <v>8.8838600000000004E-3</v>
      </c>
      <c r="Q44" s="41">
        <f t="shared" si="0"/>
        <v>0</v>
      </c>
      <c r="R44" s="41">
        <f t="shared" si="1"/>
        <v>0</v>
      </c>
      <c r="S44" s="385" t="s">
        <v>719</v>
      </c>
    </row>
    <row r="45" spans="2:19" x14ac:dyDescent="0.25">
      <c r="B45" s="356" t="str">
        <f>VLOOKUP(D45,'Unit List'!$B$9:$E$241,4,0)</f>
        <v>Hot Rolling</v>
      </c>
      <c r="C45" s="356" t="str">
        <f>VLOOKUP(D45,'Unit List'!$B$9:$D$241,3,0)</f>
        <v>Skin Pass Mill</v>
      </c>
      <c r="D45" s="376">
        <v>3450</v>
      </c>
      <c r="E45" s="376" t="s">
        <v>2041</v>
      </c>
      <c r="F45" s="389" t="s">
        <v>2061</v>
      </c>
      <c r="G45" s="376" t="s">
        <v>537</v>
      </c>
      <c r="H45" s="652">
        <v>8496.4869999999992</v>
      </c>
      <c r="I45" s="115" t="s">
        <v>299</v>
      </c>
      <c r="J45" s="652">
        <v>0</v>
      </c>
      <c r="K45" s="652">
        <f t="shared" si="4"/>
        <v>8496.4869999999992</v>
      </c>
      <c r="L45" s="652">
        <v>0</v>
      </c>
      <c r="M45" s="652">
        <v>0</v>
      </c>
      <c r="N45" s="454">
        <f>VLOOKUP(G45,Settings!$B$98:D151,3,FALSE)</f>
        <v>8.8838600000000004E-3</v>
      </c>
      <c r="O45" s="454">
        <f>VLOOKUP(G45,Settings!$B$98:D168,2,FALSE)</f>
        <v>6.4106099999999997E-3</v>
      </c>
      <c r="P45" s="455">
        <f>VLOOKUP(G45,Settings!$B$98:D168,3,FALSE)</f>
        <v>8.8838600000000004E-3</v>
      </c>
      <c r="Q45" s="41">
        <f t="shared" si="0"/>
        <v>0</v>
      </c>
      <c r="R45" s="41">
        <f t="shared" si="1"/>
        <v>0</v>
      </c>
      <c r="S45" s="385" t="s">
        <v>719</v>
      </c>
    </row>
    <row r="46" spans="2:19" x14ac:dyDescent="0.25">
      <c r="B46" s="356" t="str">
        <f>VLOOKUP(D46,'Unit List'!$B$9:$E$241,4,0)</f>
        <v>Cold Rolling</v>
      </c>
      <c r="C46" s="356" t="str">
        <f>VLOOKUP(D46,'Unit List'!$B$9:$D$241,3,0)</f>
        <v>Pickling Line 1,2</v>
      </c>
      <c r="D46" s="376">
        <v>4220</v>
      </c>
      <c r="E46" s="376" t="s">
        <v>2045</v>
      </c>
      <c r="F46" s="389" t="s">
        <v>2065</v>
      </c>
      <c r="G46" s="376" t="s">
        <v>537</v>
      </c>
      <c r="H46" s="652">
        <v>24640.07</v>
      </c>
      <c r="I46" s="115" t="s">
        <v>299</v>
      </c>
      <c r="J46" s="652">
        <v>0</v>
      </c>
      <c r="K46" s="652">
        <f t="shared" si="4"/>
        <v>24640.07</v>
      </c>
      <c r="L46" s="652">
        <v>0</v>
      </c>
      <c r="M46" s="652">
        <v>0</v>
      </c>
      <c r="N46" s="454">
        <f>VLOOKUP(G46,Settings!$B$98:D152,3,FALSE)</f>
        <v>8.8838600000000004E-3</v>
      </c>
      <c r="O46" s="454">
        <f>VLOOKUP(G46,Settings!$B$98:D169,2,FALSE)</f>
        <v>6.4106099999999997E-3</v>
      </c>
      <c r="P46" s="455">
        <f>VLOOKUP(G46,Settings!$B$98:D169,3,FALSE)</f>
        <v>8.8838600000000004E-3</v>
      </c>
      <c r="Q46" s="41">
        <f t="shared" si="0"/>
        <v>0</v>
      </c>
      <c r="R46" s="41">
        <f t="shared" si="1"/>
        <v>0</v>
      </c>
      <c r="S46" s="385" t="s">
        <v>719</v>
      </c>
    </row>
    <row r="47" spans="2:19" x14ac:dyDescent="0.25">
      <c r="B47" s="356" t="str">
        <f>VLOOKUP(D47,'Unit List'!$B$9:$E$241,4,0)</f>
        <v>Cold Rolling</v>
      </c>
      <c r="C47" s="356" t="str">
        <f>VLOOKUP(D47,'Unit List'!$B$9:$D$241,3,0)</f>
        <v>Pickling Line 1,2</v>
      </c>
      <c r="D47" s="376">
        <v>4220</v>
      </c>
      <c r="E47" s="376" t="s">
        <v>2046</v>
      </c>
      <c r="F47" s="389" t="s">
        <v>2066</v>
      </c>
      <c r="G47" s="376" t="s">
        <v>537</v>
      </c>
      <c r="H47" s="652">
        <v>17124.837</v>
      </c>
      <c r="I47" s="115" t="s">
        <v>299</v>
      </c>
      <c r="J47" s="652">
        <v>0</v>
      </c>
      <c r="K47" s="652">
        <f t="shared" si="4"/>
        <v>17124.837</v>
      </c>
      <c r="L47" s="652">
        <v>0</v>
      </c>
      <c r="M47" s="652">
        <v>0</v>
      </c>
      <c r="N47" s="454">
        <f>VLOOKUP(G47,Settings!$B$98:D153,3,FALSE)</f>
        <v>8.8838600000000004E-3</v>
      </c>
      <c r="O47" s="454">
        <f>VLOOKUP(G47,Settings!$B$98:D170,2,FALSE)</f>
        <v>6.4106099999999997E-3</v>
      </c>
      <c r="P47" s="455">
        <f>VLOOKUP(G47,Settings!$B$98:D170,3,FALSE)</f>
        <v>8.8838600000000004E-3</v>
      </c>
      <c r="Q47" s="41">
        <f t="shared" si="0"/>
        <v>0</v>
      </c>
      <c r="R47" s="41">
        <f t="shared" si="1"/>
        <v>0</v>
      </c>
      <c r="S47" s="385" t="s">
        <v>719</v>
      </c>
    </row>
    <row r="48" spans="2:19" x14ac:dyDescent="0.25">
      <c r="B48" s="356" t="str">
        <f>VLOOKUP(D48,'Unit List'!$B$9:$E$241,4,0)</f>
        <v>Cold Rolling</v>
      </c>
      <c r="C48" s="356" t="str">
        <f>VLOOKUP(D48,'Unit List'!$B$9:$D$241,3,0)</f>
        <v>Pickling Line 1,2</v>
      </c>
      <c r="D48" s="376">
        <v>4220</v>
      </c>
      <c r="E48" s="376" t="s">
        <v>894</v>
      </c>
      <c r="F48" s="389" t="s">
        <v>2067</v>
      </c>
      <c r="G48" s="376" t="s">
        <v>538</v>
      </c>
      <c r="H48" s="652">
        <v>4175.353000000001</v>
      </c>
      <c r="I48" s="115" t="s">
        <v>299</v>
      </c>
      <c r="J48" s="652">
        <v>0</v>
      </c>
      <c r="K48" s="652">
        <v>0</v>
      </c>
      <c r="L48" s="652">
        <f>H48</f>
        <v>4175.353000000001</v>
      </c>
      <c r="M48" s="652">
        <v>0</v>
      </c>
      <c r="N48" s="454">
        <f>VLOOKUP(G48,Settings!$B$98:D154,3,FALSE)</f>
        <v>1.9517260000000002E-2</v>
      </c>
      <c r="O48" s="454">
        <f>VLOOKUP(G48,Settings!$B$98:D171,2,FALSE)</f>
        <v>9.8485E-4</v>
      </c>
      <c r="P48" s="455">
        <f>VLOOKUP(G48,Settings!$B$98:D171,3,FALSE)</f>
        <v>1.9517260000000002E-2</v>
      </c>
      <c r="Q48" s="41">
        <f t="shared" si="0"/>
        <v>0</v>
      </c>
      <c r="R48" s="41">
        <f t="shared" si="1"/>
        <v>4.1120964020500006</v>
      </c>
      <c r="S48" s="385" t="s">
        <v>719</v>
      </c>
    </row>
    <row r="49" spans="2:19" x14ac:dyDescent="0.25">
      <c r="B49" s="356" t="str">
        <f>VLOOKUP(D49,'Unit List'!$B$9:$E$241,4,0)</f>
        <v>Cold Rolling</v>
      </c>
      <c r="C49" s="356" t="str">
        <f>VLOOKUP(D49,'Unit List'!$B$9:$D$241,3,0)</f>
        <v>Pickling Line 1,2</v>
      </c>
      <c r="D49" s="376">
        <v>4225</v>
      </c>
      <c r="E49" s="376" t="s">
        <v>2045</v>
      </c>
      <c r="F49" s="389" t="s">
        <v>2065</v>
      </c>
      <c r="G49" s="376" t="s">
        <v>537</v>
      </c>
      <c r="H49" s="652">
        <v>16957.790000000005</v>
      </c>
      <c r="I49" s="115" t="s">
        <v>299</v>
      </c>
      <c r="J49" s="652">
        <v>0</v>
      </c>
      <c r="K49" s="652">
        <f>H49</f>
        <v>16957.790000000005</v>
      </c>
      <c r="L49" s="652">
        <v>0</v>
      </c>
      <c r="M49" s="652">
        <v>0</v>
      </c>
      <c r="N49" s="454">
        <f>VLOOKUP(G49,Settings!$B$98:D155,3,FALSE)</f>
        <v>8.8838600000000004E-3</v>
      </c>
      <c r="O49" s="454">
        <f>VLOOKUP(G49,Settings!$B$98:D172,2,FALSE)</f>
        <v>6.4106099999999997E-3</v>
      </c>
      <c r="P49" s="455">
        <f>VLOOKUP(G49,Settings!$B$98:D172,3,FALSE)</f>
        <v>8.8838600000000004E-3</v>
      </c>
      <c r="Q49" s="41">
        <f t="shared" si="0"/>
        <v>0</v>
      </c>
      <c r="R49" s="41">
        <f t="shared" si="1"/>
        <v>0</v>
      </c>
      <c r="S49" s="385" t="s">
        <v>719</v>
      </c>
    </row>
    <row r="50" spans="2:19" x14ac:dyDescent="0.25">
      <c r="B50" s="356" t="str">
        <f>VLOOKUP(D50,'Unit List'!$B$9:$E$241,4,0)</f>
        <v>Cold Rolling</v>
      </c>
      <c r="C50" s="356" t="str">
        <f>VLOOKUP(D50,'Unit List'!$B$9:$D$241,3,0)</f>
        <v>Pickling Line 1,2</v>
      </c>
      <c r="D50" s="376">
        <v>4225</v>
      </c>
      <c r="E50" s="376" t="s">
        <v>2046</v>
      </c>
      <c r="F50" s="389" t="s">
        <v>2066</v>
      </c>
      <c r="G50" s="376" t="s">
        <v>537</v>
      </c>
      <c r="H50" s="652">
        <v>10784.358</v>
      </c>
      <c r="I50" s="115" t="s">
        <v>299</v>
      </c>
      <c r="J50" s="652">
        <v>0</v>
      </c>
      <c r="K50" s="652">
        <f>H50</f>
        <v>10784.358</v>
      </c>
      <c r="L50" s="652">
        <v>0</v>
      </c>
      <c r="M50" s="652">
        <v>0</v>
      </c>
      <c r="N50" s="454">
        <f>VLOOKUP(G50,Settings!$B$98:D156,3,FALSE)</f>
        <v>8.8838600000000004E-3</v>
      </c>
      <c r="O50" s="454">
        <f>VLOOKUP(G50,Settings!$B$98:D173,2,FALSE)</f>
        <v>6.4106099999999997E-3</v>
      </c>
      <c r="P50" s="455">
        <f>VLOOKUP(G50,Settings!$B$98:D173,3,FALSE)</f>
        <v>8.8838600000000004E-3</v>
      </c>
      <c r="Q50" s="41">
        <f t="shared" si="0"/>
        <v>0</v>
      </c>
      <c r="R50" s="41">
        <f t="shared" si="1"/>
        <v>0</v>
      </c>
      <c r="S50" s="385" t="s">
        <v>719</v>
      </c>
    </row>
    <row r="51" spans="2:19" x14ac:dyDescent="0.25">
      <c r="B51" s="356" t="str">
        <f>VLOOKUP(D51,'Unit List'!$B$9:$E$241,4,0)</f>
        <v>Cold Rolling</v>
      </c>
      <c r="C51" s="356" t="str">
        <f>VLOOKUP(D51,'Unit List'!$B$9:$D$241,3,0)</f>
        <v>Pickling Line 1,2</v>
      </c>
      <c r="D51" s="376">
        <v>4225</v>
      </c>
      <c r="E51" s="376" t="s">
        <v>894</v>
      </c>
      <c r="F51" s="389" t="s">
        <v>2067</v>
      </c>
      <c r="G51" s="376" t="s">
        <v>538</v>
      </c>
      <c r="H51" s="652">
        <v>3816.4050000000007</v>
      </c>
      <c r="I51" s="115" t="s">
        <v>299</v>
      </c>
      <c r="J51" s="652">
        <v>0</v>
      </c>
      <c r="K51" s="652">
        <v>0</v>
      </c>
      <c r="L51" s="652">
        <f>H51</f>
        <v>3816.4050000000007</v>
      </c>
      <c r="M51" s="652">
        <v>0</v>
      </c>
      <c r="N51" s="454">
        <f>VLOOKUP(G51,Settings!$B$98:D157,3,FALSE)</f>
        <v>1.9517260000000002E-2</v>
      </c>
      <c r="O51" s="454">
        <f>VLOOKUP(G51,Settings!$B$98:D174,2,FALSE)</f>
        <v>9.8485E-4</v>
      </c>
      <c r="P51" s="455">
        <f>VLOOKUP(G51,Settings!$B$98:D174,3,FALSE)</f>
        <v>1.9517260000000002E-2</v>
      </c>
      <c r="Q51" s="41">
        <f t="shared" si="0"/>
        <v>0</v>
      </c>
      <c r="R51" s="41">
        <f t="shared" si="1"/>
        <v>3.7585864642500009</v>
      </c>
      <c r="S51" s="385" t="s">
        <v>719</v>
      </c>
    </row>
    <row r="52" spans="2:19" x14ac:dyDescent="0.25">
      <c r="B52" s="356" t="str">
        <f>VLOOKUP(D52,'Unit List'!$B$9:$E$241,4,0)</f>
        <v>Cold Rolling</v>
      </c>
      <c r="C52" s="356" t="str">
        <f>VLOOKUP(D52,'Unit List'!$B$9:$D$241,3,0)</f>
        <v>Tandem Mill</v>
      </c>
      <c r="D52" s="376">
        <v>4310</v>
      </c>
      <c r="E52" s="376" t="s">
        <v>2046</v>
      </c>
      <c r="F52" s="389" t="s">
        <v>2066</v>
      </c>
      <c r="G52" s="376" t="s">
        <v>537</v>
      </c>
      <c r="H52" s="652">
        <v>14765.896000000002</v>
      </c>
      <c r="I52" s="115" t="s">
        <v>299</v>
      </c>
      <c r="J52" s="652">
        <v>0</v>
      </c>
      <c r="K52" s="652">
        <f>H52</f>
        <v>14765.896000000002</v>
      </c>
      <c r="L52" s="652">
        <v>0</v>
      </c>
      <c r="M52" s="652">
        <v>0</v>
      </c>
      <c r="N52" s="454">
        <f>VLOOKUP(G52,Settings!$B$98:D158,3,FALSE)</f>
        <v>8.8838600000000004E-3</v>
      </c>
      <c r="O52" s="454">
        <f>VLOOKUP(G52,Settings!$B$98:D175,2,FALSE)</f>
        <v>6.4106099999999997E-3</v>
      </c>
      <c r="P52" s="455">
        <f>VLOOKUP(G52,Settings!$B$98:D175,3,FALSE)</f>
        <v>8.8838600000000004E-3</v>
      </c>
      <c r="Q52" s="41">
        <f t="shared" si="0"/>
        <v>0</v>
      </c>
      <c r="R52" s="41">
        <f t="shared" si="1"/>
        <v>0</v>
      </c>
      <c r="S52" s="385" t="s">
        <v>719</v>
      </c>
    </row>
    <row r="53" spans="2:19" x14ac:dyDescent="0.25">
      <c r="B53" s="356" t="str">
        <f>VLOOKUP(D53,'Unit List'!$B$9:$E$241,4,0)</f>
        <v>Cold Rolling</v>
      </c>
      <c r="C53" s="356" t="str">
        <f>VLOOKUP(D53,'Unit List'!$B$9:$D$241,3,0)</f>
        <v>Two Stand Reversible Mill</v>
      </c>
      <c r="D53" s="376">
        <v>4315</v>
      </c>
      <c r="E53" s="376" t="s">
        <v>2046</v>
      </c>
      <c r="F53" s="389" t="s">
        <v>2066</v>
      </c>
      <c r="G53" s="376" t="s">
        <v>537</v>
      </c>
      <c r="H53" s="652">
        <v>3398.8469999999998</v>
      </c>
      <c r="I53" s="115" t="s">
        <v>299</v>
      </c>
      <c r="J53" s="652">
        <v>0</v>
      </c>
      <c r="K53" s="652">
        <f t="shared" ref="K53:K70" si="5">H53</f>
        <v>3398.8469999999998</v>
      </c>
      <c r="L53" s="652">
        <v>0</v>
      </c>
      <c r="M53" s="652">
        <v>0</v>
      </c>
      <c r="N53" s="454">
        <f>VLOOKUP(G53,Settings!$B$98:D159,3,FALSE)</f>
        <v>8.8838600000000004E-3</v>
      </c>
      <c r="O53" s="454">
        <f>VLOOKUP(G53,Settings!$B$98:D176,2,FALSE)</f>
        <v>6.4106099999999997E-3</v>
      </c>
      <c r="P53" s="455">
        <f>VLOOKUP(G53,Settings!$B$98:D176,3,FALSE)</f>
        <v>8.8838600000000004E-3</v>
      </c>
      <c r="Q53" s="41">
        <f t="shared" si="0"/>
        <v>0</v>
      </c>
      <c r="R53" s="41">
        <f t="shared" si="1"/>
        <v>0</v>
      </c>
      <c r="S53" s="385" t="s">
        <v>719</v>
      </c>
    </row>
    <row r="54" spans="2:19" x14ac:dyDescent="0.25">
      <c r="B54" s="356" t="str">
        <f>VLOOKUP(D54,'Unit List'!$B$9:$E$241,4,0)</f>
        <v>Cold Rolling</v>
      </c>
      <c r="C54" s="356" t="str">
        <f>VLOOKUP(D54,'Unit List'!$B$9:$D$241,3,0)</f>
        <v>Electrolytic Cleaning Line</v>
      </c>
      <c r="D54" s="376">
        <v>4405</v>
      </c>
      <c r="E54" s="376" t="s">
        <v>2046</v>
      </c>
      <c r="F54" s="389" t="s">
        <v>2066</v>
      </c>
      <c r="G54" s="376" t="s">
        <v>537</v>
      </c>
      <c r="H54" s="652">
        <v>5771.6380000000008</v>
      </c>
      <c r="I54" s="115" t="s">
        <v>299</v>
      </c>
      <c r="J54" s="652">
        <v>0</v>
      </c>
      <c r="K54" s="652">
        <f t="shared" si="5"/>
        <v>5771.6380000000008</v>
      </c>
      <c r="L54" s="652">
        <v>0</v>
      </c>
      <c r="M54" s="652">
        <v>0</v>
      </c>
      <c r="N54" s="454">
        <f>VLOOKUP(G54,Settings!$B$98:D160,3,FALSE)</f>
        <v>8.8838600000000004E-3</v>
      </c>
      <c r="O54" s="454">
        <f>VLOOKUP(G54,Settings!$B$98:D177,2,FALSE)</f>
        <v>6.4106099999999997E-3</v>
      </c>
      <c r="P54" s="455">
        <f>VLOOKUP(G54,Settings!$B$98:D177,3,FALSE)</f>
        <v>8.8838600000000004E-3</v>
      </c>
      <c r="Q54" s="41">
        <f t="shared" si="0"/>
        <v>0</v>
      </c>
      <c r="R54" s="41">
        <f t="shared" si="1"/>
        <v>0</v>
      </c>
      <c r="S54" s="385" t="s">
        <v>719</v>
      </c>
    </row>
    <row r="55" spans="2:19" x14ac:dyDescent="0.25">
      <c r="B55" s="356" t="str">
        <f>VLOOKUP(D55,'Unit List'!$B$9:$E$241,4,0)</f>
        <v>Cold Rolling</v>
      </c>
      <c r="C55" s="356" t="str">
        <f>VLOOKUP(D55,'Unit List'!$B$9:$D$241,3,0)</f>
        <v>Skin Pass Line 1,2</v>
      </c>
      <c r="D55" s="376">
        <v>4510</v>
      </c>
      <c r="E55" s="376" t="s">
        <v>2046</v>
      </c>
      <c r="F55" s="389" t="s">
        <v>2066</v>
      </c>
      <c r="G55" s="376" t="s">
        <v>537</v>
      </c>
      <c r="H55" s="652">
        <v>6535.3850000000011</v>
      </c>
      <c r="I55" s="115" t="s">
        <v>299</v>
      </c>
      <c r="J55" s="652">
        <v>0</v>
      </c>
      <c r="K55" s="652">
        <f t="shared" si="5"/>
        <v>6535.3850000000011</v>
      </c>
      <c r="L55" s="652">
        <v>0</v>
      </c>
      <c r="M55" s="652">
        <v>0</v>
      </c>
      <c r="N55" s="454">
        <f>VLOOKUP(G55,Settings!$B$98:D161,3,FALSE)</f>
        <v>8.8838600000000004E-3</v>
      </c>
      <c r="O55" s="454">
        <f>VLOOKUP(G55,Settings!$B$98:D178,2,FALSE)</f>
        <v>6.4106099999999997E-3</v>
      </c>
      <c r="P55" s="455">
        <f>VLOOKUP(G55,Settings!$B$98:D178,3,FALSE)</f>
        <v>8.8838600000000004E-3</v>
      </c>
      <c r="Q55" s="41">
        <f t="shared" si="0"/>
        <v>0</v>
      </c>
      <c r="R55" s="41">
        <f t="shared" si="1"/>
        <v>0</v>
      </c>
      <c r="S55" s="385" t="s">
        <v>719</v>
      </c>
    </row>
    <row r="56" spans="2:19" x14ac:dyDescent="0.25">
      <c r="B56" s="356" t="str">
        <f>VLOOKUP(D56,'Unit List'!$B$9:$E$241,4,0)</f>
        <v>Cold Rolling</v>
      </c>
      <c r="C56" s="356" t="str">
        <f>VLOOKUP(D56,'Unit List'!$B$9:$D$241,3,0)</f>
        <v>Skin Pass Line 1,2</v>
      </c>
      <c r="D56" s="376">
        <v>4515</v>
      </c>
      <c r="E56" s="376" t="s">
        <v>2046</v>
      </c>
      <c r="F56" s="389" t="s">
        <v>2066</v>
      </c>
      <c r="G56" s="376" t="s">
        <v>537</v>
      </c>
      <c r="H56" s="652">
        <v>5550.7150000000001</v>
      </c>
      <c r="I56" s="115" t="s">
        <v>299</v>
      </c>
      <c r="J56" s="652">
        <v>0</v>
      </c>
      <c r="K56" s="652">
        <f t="shared" si="5"/>
        <v>5550.7150000000001</v>
      </c>
      <c r="L56" s="652">
        <v>0</v>
      </c>
      <c r="M56" s="652">
        <v>0</v>
      </c>
      <c r="N56" s="454">
        <f>VLOOKUP(G56,Settings!$B$98:D162,3,FALSE)</f>
        <v>8.8838600000000004E-3</v>
      </c>
      <c r="O56" s="454">
        <f>VLOOKUP(G56,Settings!$B$98:D179,2,FALSE)</f>
        <v>6.4106099999999997E-3</v>
      </c>
      <c r="P56" s="455">
        <f>VLOOKUP(G56,Settings!$B$98:D179,3,FALSE)</f>
        <v>8.8838600000000004E-3</v>
      </c>
      <c r="Q56" s="41">
        <f t="shared" si="0"/>
        <v>0</v>
      </c>
      <c r="R56" s="41">
        <f t="shared" si="1"/>
        <v>0</v>
      </c>
      <c r="S56" s="385" t="s">
        <v>719</v>
      </c>
    </row>
    <row r="57" spans="2:19" x14ac:dyDescent="0.25">
      <c r="B57" s="356" t="str">
        <f>VLOOKUP(D57,'Unit List'!$B$9:$E$241,4,0)</f>
        <v>Cold Rolling</v>
      </c>
      <c r="C57" s="356" t="str">
        <f>VLOOKUP(D57,'Unit List'!$B$9:$D$241,3,0)</f>
        <v>Temper Mill</v>
      </c>
      <c r="D57" s="376">
        <v>4520</v>
      </c>
      <c r="E57" s="376" t="s">
        <v>2046</v>
      </c>
      <c r="F57" s="389" t="s">
        <v>2066</v>
      </c>
      <c r="G57" s="376" t="s">
        <v>537</v>
      </c>
      <c r="H57" s="652">
        <v>2823.8489999999997</v>
      </c>
      <c r="I57" s="115" t="s">
        <v>299</v>
      </c>
      <c r="J57" s="652">
        <v>0</v>
      </c>
      <c r="K57" s="652">
        <f t="shared" si="5"/>
        <v>2823.8489999999997</v>
      </c>
      <c r="L57" s="652">
        <v>0</v>
      </c>
      <c r="M57" s="652">
        <v>0</v>
      </c>
      <c r="N57" s="454">
        <f>VLOOKUP(G57,Settings!$B$98:D163,3,FALSE)</f>
        <v>8.8838600000000004E-3</v>
      </c>
      <c r="O57" s="454">
        <f>VLOOKUP(G57,Settings!$B$98:D180,2,FALSE)</f>
        <v>6.4106099999999997E-3</v>
      </c>
      <c r="P57" s="455">
        <f>VLOOKUP(G57,Settings!$B$98:D180,3,FALSE)</f>
        <v>8.8838600000000004E-3</v>
      </c>
      <c r="Q57" s="41">
        <f t="shared" si="0"/>
        <v>0</v>
      </c>
      <c r="R57" s="41">
        <f t="shared" si="1"/>
        <v>0</v>
      </c>
      <c r="S57" s="385" t="s">
        <v>719</v>
      </c>
    </row>
    <row r="58" spans="2:19" x14ac:dyDescent="0.25">
      <c r="B58" s="356" t="str">
        <f>VLOOKUP(D58,'Unit List'!$B$9:$E$241,4,0)</f>
        <v>Cold Rolling</v>
      </c>
      <c r="C58" s="356" t="str">
        <f>VLOOKUP(D58,'Unit List'!$B$9:$D$241,3,0)</f>
        <v>Corrective Line 1-4</v>
      </c>
      <c r="D58" s="376">
        <v>4610</v>
      </c>
      <c r="E58" s="376" t="s">
        <v>2045</v>
      </c>
      <c r="F58" s="389" t="s">
        <v>2065</v>
      </c>
      <c r="G58" s="376" t="s">
        <v>537</v>
      </c>
      <c r="H58" s="652">
        <v>3299.087</v>
      </c>
      <c r="I58" s="115" t="s">
        <v>299</v>
      </c>
      <c r="J58" s="652">
        <v>0</v>
      </c>
      <c r="K58" s="652">
        <f t="shared" si="5"/>
        <v>3299.087</v>
      </c>
      <c r="L58" s="652">
        <v>0</v>
      </c>
      <c r="M58" s="652">
        <v>0</v>
      </c>
      <c r="N58" s="454">
        <f>VLOOKUP(G58,Settings!$B$98:D164,3,FALSE)</f>
        <v>8.8838600000000004E-3</v>
      </c>
      <c r="O58" s="454">
        <f>VLOOKUP(G58,Settings!$B$98:D181,2,FALSE)</f>
        <v>6.4106099999999997E-3</v>
      </c>
      <c r="P58" s="455">
        <f>VLOOKUP(G58,Settings!$B$98:D181,3,FALSE)</f>
        <v>8.8838600000000004E-3</v>
      </c>
      <c r="Q58" s="41">
        <f t="shared" si="0"/>
        <v>0</v>
      </c>
      <c r="R58" s="41">
        <f t="shared" si="1"/>
        <v>0</v>
      </c>
      <c r="S58" s="385" t="s">
        <v>719</v>
      </c>
    </row>
    <row r="59" spans="2:19" x14ac:dyDescent="0.25">
      <c r="B59" s="356" t="str">
        <f>VLOOKUP(D59,'Unit List'!$B$9:$E$241,4,0)</f>
        <v>Cold Rolling</v>
      </c>
      <c r="C59" s="356" t="str">
        <f>VLOOKUP(D59,'Unit List'!$B$9:$D$241,3,0)</f>
        <v>Corrective Line 1-4</v>
      </c>
      <c r="D59" s="376">
        <v>4610</v>
      </c>
      <c r="E59" s="376" t="s">
        <v>2046</v>
      </c>
      <c r="F59" s="389" t="s">
        <v>2066</v>
      </c>
      <c r="G59" s="376" t="s">
        <v>537</v>
      </c>
      <c r="H59" s="652">
        <v>2032.1630000000002</v>
      </c>
      <c r="I59" s="115" t="s">
        <v>299</v>
      </c>
      <c r="J59" s="652">
        <v>0</v>
      </c>
      <c r="K59" s="652">
        <f t="shared" si="5"/>
        <v>2032.1630000000002</v>
      </c>
      <c r="L59" s="652">
        <v>0</v>
      </c>
      <c r="M59" s="652">
        <v>0</v>
      </c>
      <c r="N59" s="454">
        <f>VLOOKUP(G59,Settings!$B$98:D165,3,FALSE)</f>
        <v>8.8838600000000004E-3</v>
      </c>
      <c r="O59" s="454">
        <f>VLOOKUP(G59,Settings!$B$98:D182,2,FALSE)</f>
        <v>6.4106099999999997E-3</v>
      </c>
      <c r="P59" s="455">
        <f>VLOOKUP(G59,Settings!$B$98:D182,3,FALSE)</f>
        <v>8.8838600000000004E-3</v>
      </c>
      <c r="Q59" s="41">
        <f t="shared" si="0"/>
        <v>0</v>
      </c>
      <c r="R59" s="41">
        <f t="shared" si="1"/>
        <v>0</v>
      </c>
      <c r="S59" s="385" t="s">
        <v>719</v>
      </c>
    </row>
    <row r="60" spans="2:19" x14ac:dyDescent="0.25">
      <c r="B60" s="356" t="str">
        <f>VLOOKUP(D60,'Unit List'!$B$9:$E$241,4,0)</f>
        <v>Cold Rolling</v>
      </c>
      <c r="C60" s="356" t="str">
        <f>VLOOKUP(D60,'Unit List'!$B$9:$D$241,3,0)</f>
        <v>Corrective Line 1-4</v>
      </c>
      <c r="D60" s="376">
        <v>4615</v>
      </c>
      <c r="E60" s="376" t="s">
        <v>2045</v>
      </c>
      <c r="F60" s="389" t="s">
        <v>2065</v>
      </c>
      <c r="G60" s="376" t="s">
        <v>537</v>
      </c>
      <c r="H60" s="652">
        <v>2930.1459999999997</v>
      </c>
      <c r="I60" s="115" t="s">
        <v>299</v>
      </c>
      <c r="J60" s="652">
        <v>0</v>
      </c>
      <c r="K60" s="652">
        <f t="shared" si="5"/>
        <v>2930.1459999999997</v>
      </c>
      <c r="L60" s="652">
        <v>0</v>
      </c>
      <c r="M60" s="652">
        <v>0</v>
      </c>
      <c r="N60" s="454">
        <f>VLOOKUP(G60,Settings!$B$98:D166,3,FALSE)</f>
        <v>8.8838600000000004E-3</v>
      </c>
      <c r="O60" s="454">
        <f>VLOOKUP(G60,Settings!$B$98:D183,2,FALSE)</f>
        <v>6.4106099999999997E-3</v>
      </c>
      <c r="P60" s="455">
        <f>VLOOKUP(G60,Settings!$B$98:D183,3,FALSE)</f>
        <v>8.8838600000000004E-3</v>
      </c>
      <c r="Q60" s="41">
        <f t="shared" si="0"/>
        <v>0</v>
      </c>
      <c r="R60" s="41">
        <f t="shared" si="1"/>
        <v>0</v>
      </c>
      <c r="S60" s="385" t="s">
        <v>719</v>
      </c>
    </row>
    <row r="61" spans="2:19" x14ac:dyDescent="0.25">
      <c r="B61" s="356" t="str">
        <f>VLOOKUP(D61,'Unit List'!$B$9:$E$241,4,0)</f>
        <v>Cold Rolling</v>
      </c>
      <c r="C61" s="356" t="str">
        <f>VLOOKUP(D61,'Unit List'!$B$9:$D$241,3,0)</f>
        <v>Corrective Line 1-4</v>
      </c>
      <c r="D61" s="376">
        <v>4615</v>
      </c>
      <c r="E61" s="376" t="s">
        <v>2046</v>
      </c>
      <c r="F61" s="389" t="s">
        <v>2066</v>
      </c>
      <c r="G61" s="376" t="s">
        <v>537</v>
      </c>
      <c r="H61" s="652">
        <v>2735.8750000000005</v>
      </c>
      <c r="I61" s="115" t="s">
        <v>299</v>
      </c>
      <c r="J61" s="652">
        <v>0</v>
      </c>
      <c r="K61" s="652">
        <f t="shared" si="5"/>
        <v>2735.8750000000005</v>
      </c>
      <c r="L61" s="652">
        <v>0</v>
      </c>
      <c r="M61" s="652">
        <v>0</v>
      </c>
      <c r="N61" s="454">
        <f>VLOOKUP(G61,Settings!$B$98:D167,3,FALSE)</f>
        <v>8.8838600000000004E-3</v>
      </c>
      <c r="O61" s="454">
        <f>VLOOKUP(G61,Settings!$B$98:D184,2,FALSE)</f>
        <v>6.4106099999999997E-3</v>
      </c>
      <c r="P61" s="455">
        <f>VLOOKUP(G61,Settings!$B$98:D184,3,FALSE)</f>
        <v>8.8838600000000004E-3</v>
      </c>
      <c r="Q61" s="41">
        <f t="shared" si="0"/>
        <v>0</v>
      </c>
      <c r="R61" s="41">
        <f t="shared" si="1"/>
        <v>0</v>
      </c>
      <c r="S61" s="385" t="s">
        <v>719</v>
      </c>
    </row>
    <row r="62" spans="2:19" x14ac:dyDescent="0.25">
      <c r="B62" s="356" t="str">
        <f>VLOOKUP(D62,'Unit List'!$B$9:$E$241,4,0)</f>
        <v>Cold Rolling</v>
      </c>
      <c r="C62" s="356" t="str">
        <f>VLOOKUP(D62,'Unit List'!$B$9:$D$241,3,0)</f>
        <v>Corrective Line 1-4</v>
      </c>
      <c r="D62" s="376">
        <v>4616</v>
      </c>
      <c r="E62" s="376" t="s">
        <v>2045</v>
      </c>
      <c r="F62" s="389" t="s">
        <v>2065</v>
      </c>
      <c r="G62" s="376" t="s">
        <v>537</v>
      </c>
      <c r="H62" s="652">
        <v>3656.268</v>
      </c>
      <c r="I62" s="115" t="s">
        <v>299</v>
      </c>
      <c r="J62" s="652">
        <v>0</v>
      </c>
      <c r="K62" s="652">
        <f t="shared" si="5"/>
        <v>3656.268</v>
      </c>
      <c r="L62" s="652">
        <v>0</v>
      </c>
      <c r="M62" s="652">
        <v>0</v>
      </c>
      <c r="N62" s="454">
        <f>VLOOKUP(G62,Settings!$B$98:D168,3,FALSE)</f>
        <v>8.8838600000000004E-3</v>
      </c>
      <c r="O62" s="454">
        <f>VLOOKUP(G62,Settings!$B$98:D185,2,FALSE)</f>
        <v>6.4106099999999997E-3</v>
      </c>
      <c r="P62" s="455">
        <f>VLOOKUP(G62,Settings!$B$98:D185,3,FALSE)</f>
        <v>8.8838600000000004E-3</v>
      </c>
      <c r="Q62" s="41">
        <f t="shared" si="0"/>
        <v>0</v>
      </c>
      <c r="R62" s="41">
        <f t="shared" si="1"/>
        <v>0</v>
      </c>
      <c r="S62" s="385" t="s">
        <v>719</v>
      </c>
    </row>
    <row r="63" spans="2:19" x14ac:dyDescent="0.25">
      <c r="B63" s="356" t="str">
        <f>VLOOKUP(D63,'Unit List'!$B$9:$E$241,4,0)</f>
        <v>Cold Rolling</v>
      </c>
      <c r="C63" s="356" t="str">
        <f>VLOOKUP(D63,'Unit List'!$B$9:$D$241,3,0)</f>
        <v>Corrective Line 1-4</v>
      </c>
      <c r="D63" s="376">
        <v>4616</v>
      </c>
      <c r="E63" s="376" t="s">
        <v>2046</v>
      </c>
      <c r="F63" s="389" t="s">
        <v>2066</v>
      </c>
      <c r="G63" s="376" t="s">
        <v>537</v>
      </c>
      <c r="H63" s="646">
        <v>1666.0690000000002</v>
      </c>
      <c r="I63" s="115" t="s">
        <v>299</v>
      </c>
      <c r="J63" s="646">
        <v>0</v>
      </c>
      <c r="K63" s="652">
        <f t="shared" si="5"/>
        <v>1666.0690000000002</v>
      </c>
      <c r="L63" s="646">
        <v>0</v>
      </c>
      <c r="M63" s="646">
        <v>0</v>
      </c>
      <c r="N63" s="454">
        <f>VLOOKUP(G63,Settings!$B$98:D138,3,FALSE)</f>
        <v>8.8838600000000004E-3</v>
      </c>
      <c r="O63" s="454">
        <f>VLOOKUP(G63,Settings!$B$98:D155,2,FALSE)</f>
        <v>6.4106099999999997E-3</v>
      </c>
      <c r="P63" s="455">
        <f>VLOOKUP(G63,Settings!$B$98:D155,3,FALSE)</f>
        <v>8.8838600000000004E-3</v>
      </c>
      <c r="Q63" s="41">
        <f t="shared" si="0"/>
        <v>0</v>
      </c>
      <c r="R63" s="41">
        <f t="shared" si="1"/>
        <v>0</v>
      </c>
      <c r="S63" s="385" t="s">
        <v>719</v>
      </c>
    </row>
    <row r="64" spans="2:19" x14ac:dyDescent="0.25">
      <c r="B64" s="356" t="str">
        <f>VLOOKUP(D64,'Unit List'!$B$9:$E$241,4,0)</f>
        <v>Cold Rolling</v>
      </c>
      <c r="C64" s="356" t="str">
        <f>VLOOKUP(D64,'Unit List'!$B$9:$D$241,3,0)</f>
        <v>Corrective Line 1-4</v>
      </c>
      <c r="D64" s="376">
        <v>4618</v>
      </c>
      <c r="E64" s="376" t="s">
        <v>2045</v>
      </c>
      <c r="F64" s="389" t="s">
        <v>2065</v>
      </c>
      <c r="G64" s="376" t="s">
        <v>537</v>
      </c>
      <c r="H64" s="646">
        <v>4793.7939999999999</v>
      </c>
      <c r="I64" s="115" t="s">
        <v>299</v>
      </c>
      <c r="J64" s="646">
        <v>0</v>
      </c>
      <c r="K64" s="652">
        <f t="shared" si="5"/>
        <v>4793.7939999999999</v>
      </c>
      <c r="L64" s="646">
        <v>0</v>
      </c>
      <c r="M64" s="646">
        <v>0</v>
      </c>
      <c r="N64" s="454">
        <f>VLOOKUP(G64,Settings!$B$98:D139,3,FALSE)</f>
        <v>8.8838600000000004E-3</v>
      </c>
      <c r="O64" s="454">
        <f>VLOOKUP(G64,Settings!$B$98:D156,2,FALSE)</f>
        <v>6.4106099999999997E-3</v>
      </c>
      <c r="P64" s="455">
        <f>VLOOKUP(G64,Settings!$B$98:D156,3,FALSE)</f>
        <v>8.8838600000000004E-3</v>
      </c>
      <c r="Q64" s="41">
        <f t="shared" si="0"/>
        <v>0</v>
      </c>
      <c r="R64" s="41">
        <f t="shared" si="1"/>
        <v>0</v>
      </c>
      <c r="S64" s="385" t="s">
        <v>719</v>
      </c>
    </row>
    <row r="65" spans="2:19" x14ac:dyDescent="0.25">
      <c r="B65" s="356" t="str">
        <f>VLOOKUP(D65,'Unit List'!$B$9:$E$241,4,0)</f>
        <v>Cold Rolling</v>
      </c>
      <c r="C65" s="356" t="str">
        <f>VLOOKUP(D65,'Unit List'!$B$9:$D$241,3,0)</f>
        <v>Corrective Line 1-4</v>
      </c>
      <c r="D65" s="376">
        <v>4618</v>
      </c>
      <c r="E65" s="376" t="s">
        <v>2046</v>
      </c>
      <c r="F65" s="389" t="s">
        <v>2066</v>
      </c>
      <c r="G65" s="376" t="s">
        <v>537</v>
      </c>
      <c r="H65" s="646">
        <v>2498.0990000000002</v>
      </c>
      <c r="I65" s="115" t="s">
        <v>299</v>
      </c>
      <c r="J65" s="646">
        <v>0</v>
      </c>
      <c r="K65" s="652">
        <f t="shared" si="5"/>
        <v>2498.0990000000002</v>
      </c>
      <c r="L65" s="646">
        <v>0</v>
      </c>
      <c r="M65" s="646">
        <v>0</v>
      </c>
      <c r="N65" s="454">
        <f>VLOOKUP(G65,Settings!$B$98:D140,3,FALSE)</f>
        <v>8.8838600000000004E-3</v>
      </c>
      <c r="O65" s="454">
        <f>VLOOKUP(G65,Settings!$B$98:D157,2,FALSE)</f>
        <v>6.4106099999999997E-3</v>
      </c>
      <c r="P65" s="455">
        <f>VLOOKUP(G65,Settings!$B$98:D157,3,FALSE)</f>
        <v>8.8838600000000004E-3</v>
      </c>
      <c r="Q65" s="41">
        <f t="shared" si="0"/>
        <v>0</v>
      </c>
      <c r="R65" s="41">
        <f t="shared" si="1"/>
        <v>0</v>
      </c>
      <c r="S65" s="385" t="s">
        <v>719</v>
      </c>
    </row>
    <row r="66" spans="2:19" x14ac:dyDescent="0.25">
      <c r="B66" s="356" t="str">
        <f>VLOOKUP(D66,'Unit List'!$B$9:$E$241,4,0)</f>
        <v>Cold Rolling</v>
      </c>
      <c r="C66" s="356" t="str">
        <f>VLOOKUP(D66,'Unit List'!$B$9:$D$241,3,0)</f>
        <v>Slitting Line</v>
      </c>
      <c r="D66" s="376">
        <v>4620</v>
      </c>
      <c r="E66" s="376" t="s">
        <v>2045</v>
      </c>
      <c r="F66" s="389" t="s">
        <v>2065</v>
      </c>
      <c r="G66" s="376" t="s">
        <v>537</v>
      </c>
      <c r="H66" s="646">
        <v>75.964000000000027</v>
      </c>
      <c r="I66" s="115" t="s">
        <v>299</v>
      </c>
      <c r="J66" s="646">
        <v>0</v>
      </c>
      <c r="K66" s="652">
        <f t="shared" si="5"/>
        <v>75.964000000000027</v>
      </c>
      <c r="L66" s="646">
        <v>0</v>
      </c>
      <c r="M66" s="646">
        <v>0</v>
      </c>
      <c r="N66" s="454">
        <f>VLOOKUP(G66,Settings!$B$98:D141,3,FALSE)</f>
        <v>8.8838600000000004E-3</v>
      </c>
      <c r="O66" s="454">
        <f>VLOOKUP(G66,Settings!$B$98:D158,2,FALSE)</f>
        <v>6.4106099999999997E-3</v>
      </c>
      <c r="P66" s="455">
        <f>VLOOKUP(G66,Settings!$B$98:D158,3,FALSE)</f>
        <v>8.8838600000000004E-3</v>
      </c>
      <c r="Q66" s="41">
        <f t="shared" si="0"/>
        <v>0</v>
      </c>
      <c r="R66" s="41">
        <f t="shared" si="1"/>
        <v>0</v>
      </c>
      <c r="S66" s="385" t="s">
        <v>719</v>
      </c>
    </row>
    <row r="67" spans="2:19" x14ac:dyDescent="0.25">
      <c r="B67" s="356" t="str">
        <f>VLOOKUP(D67,'Unit List'!$B$9:$E$241,4,0)</f>
        <v>Cold Rolling</v>
      </c>
      <c r="C67" s="356" t="str">
        <f>VLOOKUP(D67,'Unit List'!$B$9:$D$241,3,0)</f>
        <v>Slitting Line</v>
      </c>
      <c r="D67" s="376">
        <v>4620</v>
      </c>
      <c r="E67" s="376" t="s">
        <v>2046</v>
      </c>
      <c r="F67" s="389" t="s">
        <v>2066</v>
      </c>
      <c r="G67" s="376" t="s">
        <v>537</v>
      </c>
      <c r="H67" s="646">
        <v>2.5110000000000001</v>
      </c>
      <c r="I67" s="115" t="s">
        <v>299</v>
      </c>
      <c r="J67" s="646">
        <v>0</v>
      </c>
      <c r="K67" s="652">
        <f t="shared" si="5"/>
        <v>2.5110000000000001</v>
      </c>
      <c r="L67" s="646">
        <v>0</v>
      </c>
      <c r="M67" s="646">
        <v>0</v>
      </c>
      <c r="N67" s="454">
        <f>VLOOKUP(G67,Settings!$B$98:D142,3,FALSE)</f>
        <v>8.8838600000000004E-3</v>
      </c>
      <c r="O67" s="454">
        <f>VLOOKUP(G67,Settings!$B$98:D159,2,FALSE)</f>
        <v>6.4106099999999997E-3</v>
      </c>
      <c r="P67" s="455">
        <f>VLOOKUP(G67,Settings!$B$98:D159,3,FALSE)</f>
        <v>8.8838600000000004E-3</v>
      </c>
      <c r="Q67" s="41">
        <f t="shared" si="0"/>
        <v>0</v>
      </c>
      <c r="R67" s="41">
        <f t="shared" si="1"/>
        <v>0</v>
      </c>
      <c r="S67" s="385" t="s">
        <v>719</v>
      </c>
    </row>
    <row r="68" spans="2:19" x14ac:dyDescent="0.25">
      <c r="B68" s="356" t="str">
        <f>VLOOKUP(D68,'Unit List'!$B$9:$E$241,4,0)</f>
        <v>Cold Rolling</v>
      </c>
      <c r="C68" s="356" t="str">
        <f>VLOOKUP(D68,'Unit List'!$B$9:$D$241,3,0)</f>
        <v>Light Shearing Line (CRM)</v>
      </c>
      <c r="D68" s="376">
        <v>4630</v>
      </c>
      <c r="E68" s="376" t="s">
        <v>2045</v>
      </c>
      <c r="F68" s="389" t="s">
        <v>2065</v>
      </c>
      <c r="G68" s="376" t="s">
        <v>537</v>
      </c>
      <c r="H68" s="646">
        <v>148.51900000000001</v>
      </c>
      <c r="I68" s="115" t="s">
        <v>299</v>
      </c>
      <c r="J68" s="646">
        <v>0</v>
      </c>
      <c r="K68" s="652">
        <f t="shared" si="5"/>
        <v>148.51900000000001</v>
      </c>
      <c r="L68" s="646">
        <v>0</v>
      </c>
      <c r="M68" s="646">
        <v>0</v>
      </c>
      <c r="N68" s="454">
        <f>VLOOKUP(G68,Settings!$B$98:D143,3,FALSE)</f>
        <v>8.8838600000000004E-3</v>
      </c>
      <c r="O68" s="454">
        <f>VLOOKUP(G68,Settings!$B$98:D160,2,FALSE)</f>
        <v>6.4106099999999997E-3</v>
      </c>
      <c r="P68" s="455">
        <f>VLOOKUP(G68,Settings!$B$98:D160,3,FALSE)</f>
        <v>8.8838600000000004E-3</v>
      </c>
      <c r="Q68" s="41">
        <f t="shared" si="0"/>
        <v>0</v>
      </c>
      <c r="R68" s="41">
        <f t="shared" si="1"/>
        <v>0</v>
      </c>
      <c r="S68" s="385" t="s">
        <v>719</v>
      </c>
    </row>
    <row r="69" spans="2:19" x14ac:dyDescent="0.25">
      <c r="B69" s="356" t="str">
        <f>VLOOKUP(D69,'Unit List'!$B$9:$E$241,4,0)</f>
        <v>Cold Rolling</v>
      </c>
      <c r="C69" s="356" t="str">
        <f>VLOOKUP(D69,'Unit List'!$B$9:$D$241,3,0)</f>
        <v>Light Shearing Line (CRM)</v>
      </c>
      <c r="D69" s="376">
        <v>4630</v>
      </c>
      <c r="E69" s="376" t="s">
        <v>2046</v>
      </c>
      <c r="F69" s="389" t="s">
        <v>2066</v>
      </c>
      <c r="G69" s="376" t="s">
        <v>537</v>
      </c>
      <c r="H69" s="646">
        <v>1287.21</v>
      </c>
      <c r="I69" s="115" t="s">
        <v>299</v>
      </c>
      <c r="J69" s="646">
        <v>0</v>
      </c>
      <c r="K69" s="652">
        <f t="shared" si="5"/>
        <v>1287.21</v>
      </c>
      <c r="L69" s="646">
        <v>0</v>
      </c>
      <c r="M69" s="646">
        <v>0</v>
      </c>
      <c r="N69" s="454">
        <f>VLOOKUP(G69,Settings!$B$98:D144,3,FALSE)</f>
        <v>8.8838600000000004E-3</v>
      </c>
      <c r="O69" s="454">
        <f>VLOOKUP(G69,Settings!$B$98:D161,2,FALSE)</f>
        <v>6.4106099999999997E-3</v>
      </c>
      <c r="P69" s="455">
        <f>VLOOKUP(G69,Settings!$B$98:D161,3,FALSE)</f>
        <v>8.8838600000000004E-3</v>
      </c>
      <c r="Q69" s="41">
        <f t="shared" si="0"/>
        <v>0</v>
      </c>
      <c r="R69" s="41">
        <f t="shared" si="1"/>
        <v>0</v>
      </c>
      <c r="S69" s="385" t="s">
        <v>719</v>
      </c>
    </row>
    <row r="70" spans="2:19" x14ac:dyDescent="0.25">
      <c r="B70" s="356" t="str">
        <f>VLOOKUP(D70,'Unit List'!$B$9:$E$241,4,0)</f>
        <v>Cold Rolling</v>
      </c>
      <c r="C70" s="356" t="str">
        <f>VLOOKUP(D70,'Unit List'!$B$9:$D$241,3,0)</f>
        <v>Heavy Shearing Line (CRM)</v>
      </c>
      <c r="D70" s="376">
        <v>4640</v>
      </c>
      <c r="E70" s="376" t="s">
        <v>2045</v>
      </c>
      <c r="F70" s="389" t="s">
        <v>2065</v>
      </c>
      <c r="G70" s="376" t="s">
        <v>537</v>
      </c>
      <c r="H70" s="646">
        <v>33.422000000000004</v>
      </c>
      <c r="I70" s="115" t="s">
        <v>299</v>
      </c>
      <c r="J70" s="646">
        <v>0</v>
      </c>
      <c r="K70" s="652">
        <f t="shared" si="5"/>
        <v>33.422000000000004</v>
      </c>
      <c r="L70" s="646">
        <v>0</v>
      </c>
      <c r="M70" s="646">
        <v>0</v>
      </c>
      <c r="N70" s="454">
        <f>VLOOKUP(G70,Settings!$B$98:D145,3,FALSE)</f>
        <v>8.8838600000000004E-3</v>
      </c>
      <c r="O70" s="454">
        <f>VLOOKUP(G70,Settings!$B$98:D162,2,FALSE)</f>
        <v>6.4106099999999997E-3</v>
      </c>
      <c r="P70" s="455">
        <f>VLOOKUP(G70,Settings!$B$98:D162,3,FALSE)</f>
        <v>8.8838600000000004E-3</v>
      </c>
      <c r="Q70" s="41">
        <f t="shared" si="0"/>
        <v>0</v>
      </c>
      <c r="R70" s="41">
        <f t="shared" si="1"/>
        <v>0</v>
      </c>
      <c r="S70" s="385" t="s">
        <v>719</v>
      </c>
    </row>
    <row r="71" spans="2:19" x14ac:dyDescent="0.25">
      <c r="B71" s="356" t="str">
        <f>VLOOKUP(D71,'Unit List'!$B$9:$E$241,4,0)</f>
        <v>Cold Rolling</v>
      </c>
      <c r="C71" s="356" t="str">
        <f>VLOOKUP(D71,'Unit List'!$B$9:$D$241,3,0)</f>
        <v>Heavy Shearing Line (CRM)</v>
      </c>
      <c r="D71" s="376">
        <v>4640</v>
      </c>
      <c r="E71" s="376" t="s">
        <v>2046</v>
      </c>
      <c r="F71" s="389" t="s">
        <v>2066</v>
      </c>
      <c r="G71" s="376" t="s">
        <v>537</v>
      </c>
      <c r="H71" s="646">
        <v>608.87099999999998</v>
      </c>
      <c r="I71" s="115" t="s">
        <v>299</v>
      </c>
      <c r="J71" s="646">
        <v>0</v>
      </c>
      <c r="K71" s="646">
        <f>H71</f>
        <v>608.87099999999998</v>
      </c>
      <c r="L71" s="646">
        <v>0</v>
      </c>
      <c r="M71" s="646">
        <v>0</v>
      </c>
      <c r="N71" s="454">
        <f>VLOOKUP(G71,Settings!$B$98:D146,3,FALSE)</f>
        <v>8.8838600000000004E-3</v>
      </c>
      <c r="O71" s="454">
        <f>VLOOKUP(G71,Settings!$B$98:D163,2,FALSE)</f>
        <v>6.4106099999999997E-3</v>
      </c>
      <c r="P71" s="455">
        <f>VLOOKUP(G71,Settings!$B$98:D163,3,FALSE)</f>
        <v>8.8838600000000004E-3</v>
      </c>
      <c r="Q71" s="41">
        <f t="shared" si="0"/>
        <v>0</v>
      </c>
      <c r="R71" s="41">
        <f t="shared" si="1"/>
        <v>0</v>
      </c>
      <c r="S71" s="385" t="s">
        <v>719</v>
      </c>
    </row>
    <row r="72" spans="2:19" x14ac:dyDescent="0.25">
      <c r="B72" s="356" t="str">
        <f>VLOOKUP(D72,'Unit List'!$B$9:$E$241,4,0)</f>
        <v>Cold Rolling</v>
      </c>
      <c r="C72" s="356" t="str">
        <f>VLOOKUP(D72,'Unit List'!$B$9:$D$241,3,0)</f>
        <v>Tinning Line</v>
      </c>
      <c r="D72" s="376">
        <v>4710</v>
      </c>
      <c r="E72" s="376" t="s">
        <v>2047</v>
      </c>
      <c r="F72" s="389" t="s">
        <v>2068</v>
      </c>
      <c r="G72" s="376" t="s">
        <v>537</v>
      </c>
      <c r="H72" s="646">
        <v>2865.2630000000004</v>
      </c>
      <c r="I72" s="115" t="s">
        <v>299</v>
      </c>
      <c r="J72" s="646">
        <v>0</v>
      </c>
      <c r="K72" s="646">
        <f>H72</f>
        <v>2865.2630000000004</v>
      </c>
      <c r="L72" s="646">
        <v>0</v>
      </c>
      <c r="M72" s="646">
        <v>0</v>
      </c>
      <c r="N72" s="454">
        <f>VLOOKUP(G72,Settings!$B$98:D147,3,FALSE)</f>
        <v>8.8838600000000004E-3</v>
      </c>
      <c r="O72" s="454">
        <f>VLOOKUP(G72,Settings!$B$98:D164,2,FALSE)</f>
        <v>6.4106099999999997E-3</v>
      </c>
      <c r="P72" s="455">
        <f>VLOOKUP(G72,Settings!$B$98:D164,3,FALSE)</f>
        <v>8.8838600000000004E-3</v>
      </c>
      <c r="Q72" s="41">
        <f t="shared" si="0"/>
        <v>0</v>
      </c>
      <c r="R72" s="41">
        <f t="shared" si="1"/>
        <v>0</v>
      </c>
      <c r="S72" s="385" t="s">
        <v>719</v>
      </c>
    </row>
    <row r="73" spans="2:19" x14ac:dyDescent="0.25">
      <c r="B73" s="356" t="str">
        <f>VLOOKUP(D73,'Unit List'!$B$9:$E$241,4,0)</f>
        <v>Cold Rolling</v>
      </c>
      <c r="C73" s="356" t="str">
        <f>VLOOKUP(D73,'Unit List'!$B$9:$D$241,3,0)</f>
        <v>Tinning Line</v>
      </c>
      <c r="D73" s="376">
        <v>4710</v>
      </c>
      <c r="E73" s="376" t="s">
        <v>2048</v>
      </c>
      <c r="F73" s="389" t="s">
        <v>2070</v>
      </c>
      <c r="G73" s="376" t="s">
        <v>538</v>
      </c>
      <c r="H73" s="646">
        <v>17.868000000000006</v>
      </c>
      <c r="I73" s="115" t="s">
        <v>299</v>
      </c>
      <c r="J73" s="646">
        <v>0</v>
      </c>
      <c r="K73" s="646">
        <v>0</v>
      </c>
      <c r="L73" s="646">
        <f>H73</f>
        <v>17.868000000000006</v>
      </c>
      <c r="M73" s="646">
        <v>0</v>
      </c>
      <c r="N73" s="454">
        <f>VLOOKUP(G73,Settings!$B$98:D148,3,FALSE)</f>
        <v>1.9517260000000002E-2</v>
      </c>
      <c r="O73" s="454">
        <f>VLOOKUP(G73,Settings!$B$98:D165,2,FALSE)</f>
        <v>9.8485E-4</v>
      </c>
      <c r="P73" s="455">
        <f>VLOOKUP(G73,Settings!$B$98:D165,3,FALSE)</f>
        <v>1.9517260000000002E-2</v>
      </c>
      <c r="Q73" s="41">
        <f t="shared" si="0"/>
        <v>0</v>
      </c>
      <c r="R73" s="41">
        <f t="shared" si="1"/>
        <v>1.7597299800000004E-2</v>
      </c>
      <c r="S73" s="385" t="s">
        <v>719</v>
      </c>
    </row>
    <row r="74" spans="2:19" x14ac:dyDescent="0.25">
      <c r="B74" s="356" t="str">
        <f>VLOOKUP(D74,'Unit List'!$B$9:$E$241,4,0)</f>
        <v>Cold Rolling</v>
      </c>
      <c r="C74" s="356" t="str">
        <f>VLOOKUP(D74,'Unit List'!$B$9:$D$241,3,0)</f>
        <v>Tinning Line</v>
      </c>
      <c r="D74" s="376">
        <v>4710</v>
      </c>
      <c r="E74" s="376" t="s">
        <v>2046</v>
      </c>
      <c r="F74" s="389" t="s">
        <v>2066</v>
      </c>
      <c r="G74" s="376" t="s">
        <v>537</v>
      </c>
      <c r="H74" s="646">
        <v>2295.1409999999996</v>
      </c>
      <c r="I74" s="115" t="s">
        <v>299</v>
      </c>
      <c r="J74" s="646">
        <v>0</v>
      </c>
      <c r="K74" s="646">
        <f>H74</f>
        <v>2295.1409999999996</v>
      </c>
      <c r="L74" s="646">
        <v>0</v>
      </c>
      <c r="M74" s="646">
        <v>0</v>
      </c>
      <c r="N74" s="454">
        <f>VLOOKUP(G74,Settings!$B$98:D149,3,FALSE)</f>
        <v>8.8838600000000004E-3</v>
      </c>
      <c r="O74" s="454">
        <f>VLOOKUP(G74,Settings!$B$98:D166,2,FALSE)</f>
        <v>6.4106099999999997E-3</v>
      </c>
      <c r="P74" s="455">
        <f>VLOOKUP(G74,Settings!$B$98:D166,3,FALSE)</f>
        <v>8.8838600000000004E-3</v>
      </c>
      <c r="Q74" s="41">
        <f t="shared" si="0"/>
        <v>0</v>
      </c>
      <c r="R74" s="41">
        <f t="shared" si="1"/>
        <v>0</v>
      </c>
      <c r="S74" s="385" t="s">
        <v>719</v>
      </c>
    </row>
    <row r="75" spans="2:19" x14ac:dyDescent="0.25">
      <c r="B75" s="356" t="str">
        <f>VLOOKUP(D75,'Unit List'!$B$9:$E$241,4,0)</f>
        <v>Cold Rolling</v>
      </c>
      <c r="C75" s="356" t="str">
        <f>VLOOKUP(D75,'Unit List'!$B$9:$D$241,3,0)</f>
        <v>Shearing Line of Tinning 1,2</v>
      </c>
      <c r="D75" s="376">
        <v>4720</v>
      </c>
      <c r="E75" s="376" t="s">
        <v>2046</v>
      </c>
      <c r="F75" s="389" t="s">
        <v>2066</v>
      </c>
      <c r="G75" s="376" t="s">
        <v>537</v>
      </c>
      <c r="H75" s="646">
        <v>1152.45</v>
      </c>
      <c r="I75" s="115" t="s">
        <v>299</v>
      </c>
      <c r="J75" s="646">
        <v>0</v>
      </c>
      <c r="K75" s="646">
        <f>H75</f>
        <v>1152.45</v>
      </c>
      <c r="L75" s="646">
        <v>0</v>
      </c>
      <c r="M75" s="646">
        <v>0</v>
      </c>
      <c r="N75" s="454">
        <f>VLOOKUP(G75,Settings!$B$98:D150,3,FALSE)</f>
        <v>8.8838600000000004E-3</v>
      </c>
      <c r="O75" s="454">
        <f>VLOOKUP(G75,Settings!$B$98:D167,2,FALSE)</f>
        <v>6.4106099999999997E-3</v>
      </c>
      <c r="P75" s="455">
        <f>VLOOKUP(G75,Settings!$B$98:D167,3,FALSE)</f>
        <v>8.8838600000000004E-3</v>
      </c>
      <c r="Q75" s="41">
        <f t="shared" si="0"/>
        <v>0</v>
      </c>
      <c r="R75" s="41">
        <f t="shared" si="1"/>
        <v>0</v>
      </c>
      <c r="S75" s="385" t="s">
        <v>719</v>
      </c>
    </row>
    <row r="76" spans="2:19" x14ac:dyDescent="0.25">
      <c r="B76" s="356" t="str">
        <f>VLOOKUP(D76,'Unit List'!$B$9:$E$241,4,0)</f>
        <v>Cold Rolling</v>
      </c>
      <c r="C76" s="356" t="str">
        <f>VLOOKUP(D76,'Unit List'!$B$9:$D$241,3,0)</f>
        <v>Shearing Line of Tinning 1,2</v>
      </c>
      <c r="D76" s="376">
        <v>4730</v>
      </c>
      <c r="E76" s="376" t="s">
        <v>2046</v>
      </c>
      <c r="F76" s="389" t="s">
        <v>2066</v>
      </c>
      <c r="G76" s="376" t="s">
        <v>537</v>
      </c>
      <c r="H76" s="646">
        <v>1132.55</v>
      </c>
      <c r="I76" s="115" t="s">
        <v>299</v>
      </c>
      <c r="J76" s="646">
        <v>0</v>
      </c>
      <c r="K76" s="646">
        <f>H76</f>
        <v>1132.55</v>
      </c>
      <c r="L76" s="646">
        <v>0</v>
      </c>
      <c r="M76" s="646">
        <v>0</v>
      </c>
      <c r="N76" s="454">
        <f>VLOOKUP(G76,Settings!$B$98:D151,3,FALSE)</f>
        <v>8.8838600000000004E-3</v>
      </c>
      <c r="O76" s="454">
        <f>VLOOKUP(G76,Settings!$B$98:D168,2,FALSE)</f>
        <v>6.4106099999999997E-3</v>
      </c>
      <c r="P76" s="455">
        <f>VLOOKUP(G76,Settings!$B$98:D168,3,FALSE)</f>
        <v>8.8838600000000004E-3</v>
      </c>
      <c r="Q76" s="41">
        <f t="shared" si="0"/>
        <v>0</v>
      </c>
      <c r="R76" s="41">
        <f t="shared" si="1"/>
        <v>0</v>
      </c>
      <c r="S76" s="385" t="s">
        <v>719</v>
      </c>
    </row>
    <row r="77" spans="2:19" x14ac:dyDescent="0.25">
      <c r="B77" s="356" t="str">
        <f>VLOOKUP(D77,'Unit List'!$B$9:$E$241,4,0)</f>
        <v>Cold Rolling</v>
      </c>
      <c r="C77" s="356" t="str">
        <f>VLOOKUP(D77,'Unit List'!$B$9:$D$241,3,0)</f>
        <v>Galvanizing Line</v>
      </c>
      <c r="D77" s="376">
        <v>4810</v>
      </c>
      <c r="E77" s="376" t="s">
        <v>2049</v>
      </c>
      <c r="F77" s="389" t="s">
        <v>1137</v>
      </c>
      <c r="G77" s="376" t="s">
        <v>538</v>
      </c>
      <c r="H77" s="646">
        <v>587.30500000000006</v>
      </c>
      <c r="I77" s="115" t="s">
        <v>299</v>
      </c>
      <c r="J77" s="646">
        <v>0</v>
      </c>
      <c r="K77" s="646">
        <v>0</v>
      </c>
      <c r="L77" s="646">
        <f>H77</f>
        <v>587.30500000000006</v>
      </c>
      <c r="M77" s="646">
        <v>0</v>
      </c>
      <c r="N77" s="454">
        <f>VLOOKUP(G77,Settings!$B$98:D152,3,FALSE)</f>
        <v>1.9517260000000002E-2</v>
      </c>
      <c r="O77" s="454">
        <f>VLOOKUP(G77,Settings!$B$98:D169,2,FALSE)</f>
        <v>9.8485E-4</v>
      </c>
      <c r="P77" s="455">
        <f>VLOOKUP(G77,Settings!$B$98:D169,3,FALSE)</f>
        <v>1.9517260000000002E-2</v>
      </c>
      <c r="Q77" s="41">
        <f t="shared" si="0"/>
        <v>0</v>
      </c>
      <c r="R77" s="41">
        <f t="shared" si="1"/>
        <v>0.57840732925000005</v>
      </c>
      <c r="S77" s="385" t="s">
        <v>719</v>
      </c>
    </row>
    <row r="78" spans="2:19" x14ac:dyDescent="0.25">
      <c r="B78" s="356" t="str">
        <f>VLOOKUP(D78,'Unit List'!$B$9:$E$241,4,0)</f>
        <v>Cold Rolling</v>
      </c>
      <c r="C78" s="356" t="str">
        <f>VLOOKUP(D78,'Unit List'!$B$9:$D$241,3,0)</f>
        <v>Galvanizing Line</v>
      </c>
      <c r="D78" s="376">
        <v>4810</v>
      </c>
      <c r="E78" s="376" t="s">
        <v>2046</v>
      </c>
      <c r="F78" s="389" t="s">
        <v>2066</v>
      </c>
      <c r="G78" s="376" t="s">
        <v>537</v>
      </c>
      <c r="H78" s="646">
        <v>4563.6219999999994</v>
      </c>
      <c r="I78" s="115" t="s">
        <v>299</v>
      </c>
      <c r="J78" s="646">
        <v>0</v>
      </c>
      <c r="K78" s="646">
        <f>H78</f>
        <v>4563.6219999999994</v>
      </c>
      <c r="L78" s="646">
        <v>0</v>
      </c>
      <c r="M78" s="646">
        <v>0</v>
      </c>
      <c r="N78" s="454">
        <f>VLOOKUP(G78,Settings!$B$98:D153,3,FALSE)</f>
        <v>8.8838600000000004E-3</v>
      </c>
      <c r="O78" s="454">
        <f>VLOOKUP(G78,Settings!$B$98:D170,2,FALSE)</f>
        <v>6.4106099999999997E-3</v>
      </c>
      <c r="P78" s="455">
        <f>VLOOKUP(G78,Settings!$B$98:D170,3,FALSE)</f>
        <v>8.8838600000000004E-3</v>
      </c>
      <c r="Q78" s="41">
        <f t="shared" si="0"/>
        <v>0</v>
      </c>
      <c r="R78" s="41">
        <f t="shared" si="1"/>
        <v>0</v>
      </c>
      <c r="S78" s="385" t="s">
        <v>719</v>
      </c>
    </row>
    <row r="79" spans="2:19" x14ac:dyDescent="0.25">
      <c r="B79" s="356" t="str">
        <f>VLOOKUP(D79,'Unit List'!$B$9:$E$241,4,0)</f>
        <v>Cold Rolling</v>
      </c>
      <c r="C79" s="356" t="str">
        <f>VLOOKUP(D79,'Unit List'!$B$9:$D$241,3,0)</f>
        <v>Coating Line</v>
      </c>
      <c r="D79" s="376">
        <v>4820</v>
      </c>
      <c r="E79" s="376" t="s">
        <v>2050</v>
      </c>
      <c r="F79" s="389" t="s">
        <v>2069</v>
      </c>
      <c r="G79" s="376" t="s">
        <v>538</v>
      </c>
      <c r="H79" s="646">
        <v>692.42000000000007</v>
      </c>
      <c r="I79" s="115" t="s">
        <v>299</v>
      </c>
      <c r="J79" s="646">
        <v>0</v>
      </c>
      <c r="K79" s="646">
        <v>0</v>
      </c>
      <c r="L79" s="646">
        <f>H79</f>
        <v>692.42000000000007</v>
      </c>
      <c r="M79" s="646">
        <v>0</v>
      </c>
      <c r="N79" s="454">
        <f>VLOOKUP(G79,Settings!$B$98:D154,3,FALSE)</f>
        <v>1.9517260000000002E-2</v>
      </c>
      <c r="O79" s="454">
        <f>VLOOKUP(G79,Settings!$B$98:D171,2,FALSE)</f>
        <v>9.8485E-4</v>
      </c>
      <c r="P79" s="455">
        <f>VLOOKUP(G79,Settings!$B$98:D171,3,FALSE)</f>
        <v>1.9517260000000002E-2</v>
      </c>
      <c r="Q79" s="41">
        <f t="shared" si="0"/>
        <v>0</v>
      </c>
      <c r="R79" s="41">
        <f t="shared" si="1"/>
        <v>0.68192983700000009</v>
      </c>
      <c r="S79" s="385" t="s">
        <v>719</v>
      </c>
    </row>
    <row r="80" spans="2:19" x14ac:dyDescent="0.25">
      <c r="B80" s="356" t="str">
        <f>VLOOKUP(D80,'Unit List'!$B$9:$E$241,4,0)</f>
        <v>Cold Rolling</v>
      </c>
      <c r="C80" s="356" t="str">
        <f>VLOOKUP(D80,'Unit List'!$B$9:$D$241,3,0)</f>
        <v>Coating Line</v>
      </c>
      <c r="D80" s="376">
        <v>4820</v>
      </c>
      <c r="E80" s="376" t="s">
        <v>2046</v>
      </c>
      <c r="F80" s="389" t="s">
        <v>2066</v>
      </c>
      <c r="G80" s="376" t="s">
        <v>537</v>
      </c>
      <c r="H80" s="646">
        <v>1626.0110000000002</v>
      </c>
      <c r="I80" s="115" t="s">
        <v>299</v>
      </c>
      <c r="J80" s="646">
        <v>0</v>
      </c>
      <c r="K80" s="646">
        <f>H80</f>
        <v>1626.0110000000002</v>
      </c>
      <c r="L80" s="646">
        <v>0</v>
      </c>
      <c r="M80" s="646">
        <v>0</v>
      </c>
      <c r="N80" s="454">
        <f>VLOOKUP(G80,Settings!$B$98:D155,3,FALSE)</f>
        <v>8.8838600000000004E-3</v>
      </c>
      <c r="O80" s="454">
        <f>VLOOKUP(G80,Settings!$B$98:D172,2,FALSE)</f>
        <v>6.4106099999999997E-3</v>
      </c>
      <c r="P80" s="455">
        <f>VLOOKUP(G80,Settings!$B$98:D172,3,FALSE)</f>
        <v>8.8838600000000004E-3</v>
      </c>
      <c r="Q80" s="41">
        <f t="shared" si="0"/>
        <v>0</v>
      </c>
      <c r="R80" s="41">
        <f t="shared" si="1"/>
        <v>0</v>
      </c>
      <c r="S80" s="385" t="s">
        <v>719</v>
      </c>
    </row>
    <row r="81" spans="2:19" x14ac:dyDescent="0.25">
      <c r="B81" s="356" t="e">
        <f>VLOOKUP(D81,'Unit List'!$B$9:$E$241,4,0)</f>
        <v>#N/A</v>
      </c>
      <c r="C81" s="356" t="e">
        <f>VLOOKUP(D81,'Unit List'!$B$9:$D$241,3,0)</f>
        <v>#N/A</v>
      </c>
      <c r="D81" s="376"/>
      <c r="E81" s="376"/>
      <c r="F81" s="389"/>
      <c r="G81" s="376"/>
      <c r="H81" s="646"/>
      <c r="I81" s="115" t="s">
        <v>299</v>
      </c>
      <c r="J81" s="646">
        <v>0</v>
      </c>
      <c r="K81" s="646">
        <v>0</v>
      </c>
      <c r="L81" s="646">
        <v>0</v>
      </c>
      <c r="M81" s="646">
        <v>0</v>
      </c>
      <c r="N81" s="454" t="e">
        <f>VLOOKUP(G81,Settings!$B$98:D156,3,FALSE)</f>
        <v>#N/A</v>
      </c>
      <c r="O81" s="454" t="e">
        <f>VLOOKUP(G81,Settings!$B$98:D173,2,FALSE)</f>
        <v>#N/A</v>
      </c>
      <c r="P81" s="455" t="e">
        <f>VLOOKUP(G81,Settings!$B$98:D173,3,FALSE)</f>
        <v>#N/A</v>
      </c>
      <c r="Q81" s="41" t="e">
        <f t="shared" si="0"/>
        <v>#N/A</v>
      </c>
      <c r="R81" s="41" t="e">
        <f t="shared" si="1"/>
        <v>#N/A</v>
      </c>
      <c r="S81" s="385" t="s">
        <v>719</v>
      </c>
    </row>
    <row r="82" spans="2:19" x14ac:dyDescent="0.25">
      <c r="B82" s="356" t="e">
        <f>VLOOKUP(D82,'Unit List'!$B$9:$E$241,4,0)</f>
        <v>#N/A</v>
      </c>
      <c r="C82" s="356" t="e">
        <f>VLOOKUP(D82,'Unit List'!$B$9:$D$241,3,0)</f>
        <v>#N/A</v>
      </c>
      <c r="D82" s="376"/>
      <c r="E82" s="376"/>
      <c r="F82" s="389"/>
      <c r="G82" s="376"/>
      <c r="H82" s="646"/>
      <c r="I82" s="115" t="s">
        <v>299</v>
      </c>
      <c r="J82" s="646">
        <v>0</v>
      </c>
      <c r="K82" s="646">
        <v>0</v>
      </c>
      <c r="L82" s="646">
        <v>0</v>
      </c>
      <c r="M82" s="646">
        <v>0</v>
      </c>
      <c r="N82" s="454" t="e">
        <f>VLOOKUP(G82,Settings!$B$98:D157,3,FALSE)</f>
        <v>#N/A</v>
      </c>
      <c r="O82" s="454" t="e">
        <f>VLOOKUP(G82,Settings!$B$98:D174,2,FALSE)</f>
        <v>#N/A</v>
      </c>
      <c r="P82" s="455" t="e">
        <f>VLOOKUP(G82,Settings!$B$98:D174,3,FALSE)</f>
        <v>#N/A</v>
      </c>
      <c r="Q82" s="41" t="e">
        <f t="shared" si="0"/>
        <v>#N/A</v>
      </c>
      <c r="R82" s="41" t="e">
        <f t="shared" si="1"/>
        <v>#N/A</v>
      </c>
      <c r="S82" s="385" t="s">
        <v>719</v>
      </c>
    </row>
    <row r="83" spans="2:19" x14ac:dyDescent="0.25">
      <c r="B83" s="356" t="e">
        <f>VLOOKUP(D83,'Unit List'!$B$9:$E$241,4,0)</f>
        <v>#N/A</v>
      </c>
      <c r="C83" s="356" t="e">
        <f>VLOOKUP(D83,'Unit List'!$B$9:$D$241,3,0)</f>
        <v>#N/A</v>
      </c>
      <c r="D83" s="376"/>
      <c r="E83" s="376"/>
      <c r="F83" s="389"/>
      <c r="G83" s="376"/>
      <c r="H83" s="646"/>
      <c r="I83" s="115" t="s">
        <v>299</v>
      </c>
      <c r="J83" s="646">
        <v>0</v>
      </c>
      <c r="K83" s="646">
        <v>0</v>
      </c>
      <c r="L83" s="646">
        <v>0</v>
      </c>
      <c r="M83" s="646">
        <v>0</v>
      </c>
      <c r="N83" s="454" t="e">
        <f>VLOOKUP(G83,Settings!$B$98:D158,3,FALSE)</f>
        <v>#N/A</v>
      </c>
      <c r="O83" s="454" t="e">
        <f>VLOOKUP(G83,Settings!$B$98:D175,2,FALSE)</f>
        <v>#N/A</v>
      </c>
      <c r="P83" s="455" t="e">
        <f>VLOOKUP(G83,Settings!$B$98:D175,3,FALSE)</f>
        <v>#N/A</v>
      </c>
      <c r="Q83" s="41" t="e">
        <f t="shared" si="0"/>
        <v>#N/A</v>
      </c>
      <c r="R83" s="41" t="e">
        <f t="shared" si="1"/>
        <v>#N/A</v>
      </c>
      <c r="S83" s="385" t="s">
        <v>719</v>
      </c>
    </row>
    <row r="84" spans="2:19" x14ac:dyDescent="0.25">
      <c r="B84" s="356" t="e">
        <f>VLOOKUP(D84,'Unit List'!$B$9:$E$241,4,0)</f>
        <v>#N/A</v>
      </c>
      <c r="C84" s="356" t="e">
        <f>VLOOKUP(D84,'Unit List'!$B$9:$D$241,3,0)</f>
        <v>#N/A</v>
      </c>
      <c r="D84" s="376"/>
      <c r="E84" s="376"/>
      <c r="F84" s="389"/>
      <c r="G84" s="376"/>
      <c r="H84" s="646"/>
      <c r="I84" s="115" t="s">
        <v>299</v>
      </c>
      <c r="J84" s="646">
        <v>0</v>
      </c>
      <c r="K84" s="646">
        <v>0</v>
      </c>
      <c r="L84" s="646">
        <v>0</v>
      </c>
      <c r="M84" s="646">
        <v>0</v>
      </c>
      <c r="N84" s="454" t="e">
        <f>VLOOKUP(G84,Settings!$B$98:D159,3,FALSE)</f>
        <v>#N/A</v>
      </c>
      <c r="O84" s="454" t="e">
        <f>VLOOKUP(G84,Settings!$B$98:D176,2,FALSE)</f>
        <v>#N/A</v>
      </c>
      <c r="P84" s="455" t="e">
        <f>VLOOKUP(G84,Settings!$B$98:D176,3,FALSE)</f>
        <v>#N/A</v>
      </c>
      <c r="Q84" s="41" t="e">
        <f t="shared" si="0"/>
        <v>#N/A</v>
      </c>
      <c r="R84" s="41" t="e">
        <f t="shared" si="1"/>
        <v>#N/A</v>
      </c>
      <c r="S84" s="385" t="s">
        <v>719</v>
      </c>
    </row>
    <row r="85" spans="2:19" x14ac:dyDescent="0.25">
      <c r="B85" s="356" t="e">
        <f>VLOOKUP(D85,'Unit List'!$B$9:$E$241,4,0)</f>
        <v>#N/A</v>
      </c>
      <c r="C85" s="356" t="e">
        <f>VLOOKUP(D85,'Unit List'!$B$9:$D$241,3,0)</f>
        <v>#N/A</v>
      </c>
      <c r="D85" s="376"/>
      <c r="E85" s="376"/>
      <c r="F85" s="389"/>
      <c r="G85" s="376"/>
      <c r="H85" s="646"/>
      <c r="I85" s="115" t="s">
        <v>299</v>
      </c>
      <c r="J85" s="646">
        <v>0</v>
      </c>
      <c r="K85" s="646">
        <v>0</v>
      </c>
      <c r="L85" s="646">
        <v>0</v>
      </c>
      <c r="M85" s="646">
        <v>0</v>
      </c>
      <c r="N85" s="454" t="e">
        <f>VLOOKUP(G85,Settings!$B$98:D160,3,FALSE)</f>
        <v>#N/A</v>
      </c>
      <c r="O85" s="454" t="e">
        <f>VLOOKUP(G85,Settings!$B$98:D177,2,FALSE)</f>
        <v>#N/A</v>
      </c>
      <c r="P85" s="455" t="e">
        <f>VLOOKUP(G85,Settings!$B$98:D177,3,FALSE)</f>
        <v>#N/A</v>
      </c>
      <c r="Q85" s="41" t="e">
        <f t="shared" si="0"/>
        <v>#N/A</v>
      </c>
      <c r="R85" s="41" t="e">
        <f t="shared" si="1"/>
        <v>#N/A</v>
      </c>
      <c r="S85" s="385" t="s">
        <v>719</v>
      </c>
    </row>
    <row r="86" spans="2:19" x14ac:dyDescent="0.25">
      <c r="B86" s="356" t="e">
        <f>VLOOKUP(D86,'Unit List'!$B$9:$E$241,4,0)</f>
        <v>#N/A</v>
      </c>
      <c r="C86" s="356" t="e">
        <f>VLOOKUP(D86,'Unit List'!$B$9:$D$241,3,0)</f>
        <v>#N/A</v>
      </c>
      <c r="D86" s="376"/>
      <c r="E86" s="376"/>
      <c r="F86" s="389"/>
      <c r="G86" s="376"/>
      <c r="H86" s="646"/>
      <c r="I86" s="115" t="s">
        <v>299</v>
      </c>
      <c r="J86" s="646">
        <v>0</v>
      </c>
      <c r="K86" s="646">
        <v>0</v>
      </c>
      <c r="L86" s="646">
        <v>0</v>
      </c>
      <c r="M86" s="646">
        <v>0</v>
      </c>
      <c r="N86" s="454" t="e">
        <f>VLOOKUP(G86,Settings!$B$98:D161,3,FALSE)</f>
        <v>#N/A</v>
      </c>
      <c r="O86" s="454" t="e">
        <f>VLOOKUP(G86,Settings!$B$98:D178,2,FALSE)</f>
        <v>#N/A</v>
      </c>
      <c r="P86" s="455" t="e">
        <f>VLOOKUP(G86,Settings!$B$98:D178,3,FALSE)</f>
        <v>#N/A</v>
      </c>
      <c r="Q86" s="41" t="e">
        <f t="shared" si="0"/>
        <v>#N/A</v>
      </c>
      <c r="R86" s="41" t="e">
        <f t="shared" si="1"/>
        <v>#N/A</v>
      </c>
      <c r="S86" s="385" t="s">
        <v>719</v>
      </c>
    </row>
    <row r="87" spans="2:19" x14ac:dyDescent="0.25">
      <c r="B87" s="356" t="e">
        <f>VLOOKUP(D87,'Unit List'!$B$9:$E$241,4,0)</f>
        <v>#N/A</v>
      </c>
      <c r="C87" s="356" t="e">
        <f>VLOOKUP(D87,'Unit List'!$B$9:$D$241,3,0)</f>
        <v>#N/A</v>
      </c>
      <c r="D87" s="376"/>
      <c r="E87" s="376"/>
      <c r="F87" s="389"/>
      <c r="G87" s="376"/>
      <c r="H87" s="646"/>
      <c r="I87" s="115" t="s">
        <v>299</v>
      </c>
      <c r="J87" s="646">
        <v>0</v>
      </c>
      <c r="K87" s="646">
        <v>0</v>
      </c>
      <c r="L87" s="646">
        <v>0</v>
      </c>
      <c r="M87" s="646">
        <v>0</v>
      </c>
      <c r="N87" s="454" t="e">
        <f>VLOOKUP(G87,Settings!$B$98:D162,3,FALSE)</f>
        <v>#N/A</v>
      </c>
      <c r="O87" s="454" t="e">
        <f>VLOOKUP(G87,Settings!$B$98:D179,2,FALSE)</f>
        <v>#N/A</v>
      </c>
      <c r="P87" s="455" t="e">
        <f>VLOOKUP(G87,Settings!$B$98:D179,3,FALSE)</f>
        <v>#N/A</v>
      </c>
      <c r="Q87" s="41" t="e">
        <f t="shared" si="0"/>
        <v>#N/A</v>
      </c>
      <c r="R87" s="41" t="e">
        <f t="shared" si="1"/>
        <v>#N/A</v>
      </c>
      <c r="S87" s="385" t="s">
        <v>719</v>
      </c>
    </row>
    <row r="88" spans="2:19" x14ac:dyDescent="0.25">
      <c r="B88" s="356" t="e">
        <f>VLOOKUP(D88,'Unit List'!$B$9:$E$241,4,0)</f>
        <v>#N/A</v>
      </c>
      <c r="C88" s="356" t="e">
        <f>VLOOKUP(D88,'Unit List'!$B$9:$D$241,3,0)</f>
        <v>#N/A</v>
      </c>
      <c r="D88" s="376"/>
      <c r="E88" s="376"/>
      <c r="F88" s="389"/>
      <c r="G88" s="376"/>
      <c r="H88" s="646"/>
      <c r="I88" s="115" t="s">
        <v>299</v>
      </c>
      <c r="J88" s="646">
        <v>0</v>
      </c>
      <c r="K88" s="646">
        <v>0</v>
      </c>
      <c r="L88" s="646">
        <v>0</v>
      </c>
      <c r="M88" s="646">
        <v>0</v>
      </c>
      <c r="N88" s="454" t="e">
        <f>VLOOKUP(G88,Settings!$B$98:D163,3,FALSE)</f>
        <v>#N/A</v>
      </c>
      <c r="O88" s="454" t="e">
        <f>VLOOKUP(G88,Settings!$B$98:D180,2,FALSE)</f>
        <v>#N/A</v>
      </c>
      <c r="P88" s="455" t="e">
        <f>VLOOKUP(G88,Settings!$B$98:D180,3,FALSE)</f>
        <v>#N/A</v>
      </c>
      <c r="Q88" s="41" t="e">
        <f t="shared" si="0"/>
        <v>#N/A</v>
      </c>
      <c r="R88" s="41" t="e">
        <f t="shared" si="1"/>
        <v>#N/A</v>
      </c>
      <c r="S88" s="385" t="s">
        <v>719</v>
      </c>
    </row>
    <row r="89" spans="2:19" x14ac:dyDescent="0.25">
      <c r="B89" s="356" t="e">
        <f>VLOOKUP(D89,'Unit List'!$B$9:$E$241,4,0)</f>
        <v>#N/A</v>
      </c>
      <c r="C89" s="356" t="e">
        <f>VLOOKUP(D89,'Unit List'!$B$9:$D$241,3,0)</f>
        <v>#N/A</v>
      </c>
      <c r="D89" s="376"/>
      <c r="E89" s="376"/>
      <c r="F89" s="389"/>
      <c r="G89" s="376"/>
      <c r="H89" s="646"/>
      <c r="I89" s="115" t="s">
        <v>299</v>
      </c>
      <c r="J89" s="646">
        <v>0</v>
      </c>
      <c r="K89" s="646">
        <v>0</v>
      </c>
      <c r="L89" s="646">
        <v>0</v>
      </c>
      <c r="M89" s="646">
        <v>0</v>
      </c>
      <c r="N89" s="454" t="e">
        <f>VLOOKUP(G89,Settings!$B$98:D164,3,FALSE)</f>
        <v>#N/A</v>
      </c>
      <c r="O89" s="454" t="e">
        <f>VLOOKUP(G89,Settings!$B$98:D181,2,FALSE)</f>
        <v>#N/A</v>
      </c>
      <c r="P89" s="455" t="e">
        <f>VLOOKUP(G89,Settings!$B$98:D181,3,FALSE)</f>
        <v>#N/A</v>
      </c>
      <c r="Q89" s="41" t="e">
        <f t="shared" si="0"/>
        <v>#N/A</v>
      </c>
      <c r="R89" s="41" t="e">
        <f t="shared" si="1"/>
        <v>#N/A</v>
      </c>
      <c r="S89" s="385" t="s">
        <v>719</v>
      </c>
    </row>
    <row r="90" spans="2:19" x14ac:dyDescent="0.25">
      <c r="B90" s="356" t="e">
        <f>VLOOKUP(D90,'Unit List'!$B$9:$E$241,4,0)</f>
        <v>#N/A</v>
      </c>
      <c r="C90" s="356" t="e">
        <f>VLOOKUP(D90,'Unit List'!$B$9:$D$241,3,0)</f>
        <v>#N/A</v>
      </c>
      <c r="D90" s="376"/>
      <c r="E90" s="376"/>
      <c r="F90" s="389"/>
      <c r="G90" s="376"/>
      <c r="H90" s="646"/>
      <c r="I90" s="115" t="s">
        <v>299</v>
      </c>
      <c r="J90" s="646">
        <v>0</v>
      </c>
      <c r="K90" s="646">
        <v>0</v>
      </c>
      <c r="L90" s="646">
        <v>0</v>
      </c>
      <c r="M90" s="646">
        <v>0</v>
      </c>
      <c r="N90" s="454" t="e">
        <f>VLOOKUP(G90,Settings!$B$98:D165,3,FALSE)</f>
        <v>#N/A</v>
      </c>
      <c r="O90" s="454" t="e">
        <f>VLOOKUP(G90,Settings!$B$98:D182,2,FALSE)</f>
        <v>#N/A</v>
      </c>
      <c r="P90" s="455" t="e">
        <f>VLOOKUP(G90,Settings!$B$98:D182,3,FALSE)</f>
        <v>#N/A</v>
      </c>
      <c r="Q90" s="41" t="e">
        <f t="shared" si="0"/>
        <v>#N/A</v>
      </c>
      <c r="R90" s="41" t="e">
        <f t="shared" si="1"/>
        <v>#N/A</v>
      </c>
      <c r="S90" s="385" t="s">
        <v>719</v>
      </c>
    </row>
    <row r="91" spans="2:19" x14ac:dyDescent="0.25">
      <c r="B91" s="356" t="e">
        <f>VLOOKUP(D91,'Unit List'!$B$9:$E$241,4,0)</f>
        <v>#N/A</v>
      </c>
      <c r="C91" s="356" t="e">
        <f>VLOOKUP(D91,'Unit List'!$B$9:$D$241,3,0)</f>
        <v>#N/A</v>
      </c>
      <c r="D91" s="376"/>
      <c r="E91" s="376"/>
      <c r="F91" s="389"/>
      <c r="G91" s="376"/>
      <c r="H91" s="646"/>
      <c r="I91" s="115" t="s">
        <v>299</v>
      </c>
      <c r="J91" s="646">
        <v>0</v>
      </c>
      <c r="K91" s="646">
        <v>0</v>
      </c>
      <c r="L91" s="646">
        <v>0</v>
      </c>
      <c r="M91" s="646">
        <v>0</v>
      </c>
      <c r="N91" s="454" t="e">
        <f>VLOOKUP(G91,Settings!$B$98:D166,3,FALSE)</f>
        <v>#N/A</v>
      </c>
      <c r="O91" s="454" t="e">
        <f>VLOOKUP(G91,Settings!$B$98:D183,2,FALSE)</f>
        <v>#N/A</v>
      </c>
      <c r="P91" s="455" t="e">
        <f>VLOOKUP(G91,Settings!$B$98:D183,3,FALSE)</f>
        <v>#N/A</v>
      </c>
      <c r="Q91" s="41" t="e">
        <f t="shared" si="0"/>
        <v>#N/A</v>
      </c>
      <c r="R91" s="41" t="e">
        <f t="shared" si="1"/>
        <v>#N/A</v>
      </c>
      <c r="S91" s="385" t="s">
        <v>719</v>
      </c>
    </row>
    <row r="92" spans="2:19" x14ac:dyDescent="0.25">
      <c r="B92" s="356" t="e">
        <f>VLOOKUP(D92,'Unit List'!$B$9:$E$241,4,0)</f>
        <v>#N/A</v>
      </c>
      <c r="C92" s="356" t="e">
        <f>VLOOKUP(D92,'Unit List'!$B$9:$D$241,3,0)</f>
        <v>#N/A</v>
      </c>
      <c r="D92" s="376"/>
      <c r="E92" s="376"/>
      <c r="F92" s="389"/>
      <c r="G92" s="376"/>
      <c r="H92" s="646"/>
      <c r="I92" s="115" t="s">
        <v>299</v>
      </c>
      <c r="J92" s="646">
        <v>0</v>
      </c>
      <c r="K92" s="646">
        <v>0</v>
      </c>
      <c r="L92" s="646">
        <v>0</v>
      </c>
      <c r="M92" s="646">
        <v>0</v>
      </c>
      <c r="N92" s="454" t="e">
        <f>VLOOKUP(G92,Settings!$B$98:D167,3,FALSE)</f>
        <v>#N/A</v>
      </c>
      <c r="O92" s="454" t="e">
        <f>VLOOKUP(G92,Settings!$B$98:D184,2,FALSE)</f>
        <v>#N/A</v>
      </c>
      <c r="P92" s="455" t="e">
        <f>VLOOKUP(G92,Settings!$B$98:D184,3,FALSE)</f>
        <v>#N/A</v>
      </c>
      <c r="Q92" s="41" t="e">
        <f t="shared" si="0"/>
        <v>#N/A</v>
      </c>
      <c r="R92" s="41" t="e">
        <f t="shared" si="1"/>
        <v>#N/A</v>
      </c>
      <c r="S92" s="385" t="s">
        <v>719</v>
      </c>
    </row>
    <row r="93" spans="2:19" x14ac:dyDescent="0.25">
      <c r="B93" s="356" t="e">
        <f>VLOOKUP(D93,'Unit List'!$B$9:$E$241,4,0)</f>
        <v>#N/A</v>
      </c>
      <c r="C93" s="356" t="e">
        <f>VLOOKUP(D93,'Unit List'!$B$9:$D$241,3,0)</f>
        <v>#N/A</v>
      </c>
      <c r="D93" s="376"/>
      <c r="E93" s="376"/>
      <c r="F93" s="389"/>
      <c r="G93" s="376"/>
      <c r="H93" s="133"/>
      <c r="I93" s="115" t="s">
        <v>299</v>
      </c>
      <c r="J93" s="133">
        <v>0</v>
      </c>
      <c r="K93" s="133">
        <v>0</v>
      </c>
      <c r="L93" s="133">
        <v>0</v>
      </c>
      <c r="M93" s="133">
        <v>0</v>
      </c>
      <c r="N93" s="454" t="e">
        <f>VLOOKUP(G93,Settings!$B$98:D130,3,FALSE)</f>
        <v>#N/A</v>
      </c>
      <c r="O93" s="454" t="e">
        <f>VLOOKUP(G93,Settings!$B$98:D140,2,FALSE)</f>
        <v>#N/A</v>
      </c>
      <c r="P93" s="455" t="e">
        <f>VLOOKUP(G93,Settings!$B$98:D140,3,FALSE)</f>
        <v>#N/A</v>
      </c>
      <c r="Q93" s="41" t="e">
        <f t="shared" si="0"/>
        <v>#N/A</v>
      </c>
      <c r="R93" s="41" t="e">
        <f t="shared" si="1"/>
        <v>#N/A</v>
      </c>
      <c r="S93" s="385" t="s">
        <v>719</v>
      </c>
    </row>
    <row r="94" spans="2:19" x14ac:dyDescent="0.25">
      <c r="B94" s="356" t="e">
        <f>VLOOKUP(D94,'Unit List'!$B$9:$E$241,4,0)</f>
        <v>#N/A</v>
      </c>
      <c r="C94" s="356" t="e">
        <f>VLOOKUP(D94,'Unit List'!$B$9:$D$241,3,0)</f>
        <v>#N/A</v>
      </c>
      <c r="D94" s="376"/>
      <c r="E94" s="376"/>
      <c r="F94" s="389"/>
      <c r="G94" s="376"/>
      <c r="H94" s="133"/>
      <c r="I94" s="115" t="s">
        <v>299</v>
      </c>
      <c r="J94" s="133">
        <v>0</v>
      </c>
      <c r="K94" s="133">
        <v>0</v>
      </c>
      <c r="L94" s="133">
        <v>0</v>
      </c>
      <c r="M94" s="133">
        <v>0</v>
      </c>
      <c r="N94" s="454" t="e">
        <f>VLOOKUP(G94,Settings!$B$98:D131,3,FALSE)</f>
        <v>#N/A</v>
      </c>
      <c r="O94" s="454" t="e">
        <f>VLOOKUP(G94,Settings!$B$98:D141,2,FALSE)</f>
        <v>#N/A</v>
      </c>
      <c r="P94" s="455" t="e">
        <f>VLOOKUP(G94,Settings!$B$98:D141,3,FALSE)</f>
        <v>#N/A</v>
      </c>
      <c r="Q94" s="41" t="e">
        <f t="shared" si="0"/>
        <v>#N/A</v>
      </c>
      <c r="R94" s="41" t="e">
        <f t="shared" si="1"/>
        <v>#N/A</v>
      </c>
      <c r="S94" s="385" t="s">
        <v>719</v>
      </c>
    </row>
    <row r="95" spans="2:19" x14ac:dyDescent="0.25">
      <c r="B95" s="356" t="e">
        <f>VLOOKUP(D95,'Unit List'!$B$9:$E$241,4,0)</f>
        <v>#N/A</v>
      </c>
      <c r="C95" s="356" t="e">
        <f>VLOOKUP(D95,'Unit List'!$B$9:$D$241,3,0)</f>
        <v>#N/A</v>
      </c>
      <c r="D95" s="376"/>
      <c r="E95" s="376"/>
      <c r="F95" s="389"/>
      <c r="G95" s="376"/>
      <c r="H95" s="133"/>
      <c r="I95" s="115" t="s">
        <v>299</v>
      </c>
      <c r="J95" s="133">
        <v>0</v>
      </c>
      <c r="K95" s="133">
        <v>0</v>
      </c>
      <c r="L95" s="133">
        <v>0</v>
      </c>
      <c r="M95" s="133">
        <v>0</v>
      </c>
      <c r="N95" s="454" t="e">
        <f>VLOOKUP(G95,Settings!$B$98:D132,3,FALSE)</f>
        <v>#N/A</v>
      </c>
      <c r="O95" s="454" t="e">
        <f>VLOOKUP(G95,Settings!$B$98:D142,2,FALSE)</f>
        <v>#N/A</v>
      </c>
      <c r="P95" s="455" t="e">
        <f>VLOOKUP(G95,Settings!$B$98:D142,3,FALSE)</f>
        <v>#N/A</v>
      </c>
      <c r="Q95" s="41" t="e">
        <f t="shared" si="0"/>
        <v>#N/A</v>
      </c>
      <c r="R95" s="41" t="e">
        <f t="shared" si="1"/>
        <v>#N/A</v>
      </c>
      <c r="S95" s="385" t="s">
        <v>719</v>
      </c>
    </row>
    <row r="96" spans="2:19" x14ac:dyDescent="0.25">
      <c r="B96" s="356" t="e">
        <f>VLOOKUP(D96,'Unit List'!$B$9:$E$241,4,0)</f>
        <v>#N/A</v>
      </c>
      <c r="C96" s="356" t="e">
        <f>VLOOKUP(D96,'Unit List'!$B$9:$D$241,3,0)</f>
        <v>#N/A</v>
      </c>
      <c r="D96" s="376"/>
      <c r="E96" s="376"/>
      <c r="F96" s="389"/>
      <c r="G96" s="376"/>
      <c r="H96" s="133"/>
      <c r="I96" s="115" t="s">
        <v>299</v>
      </c>
      <c r="J96" s="133">
        <v>0</v>
      </c>
      <c r="K96" s="133">
        <v>0</v>
      </c>
      <c r="L96" s="133">
        <v>0</v>
      </c>
      <c r="M96" s="133">
        <v>0</v>
      </c>
      <c r="N96" s="454" t="e">
        <f>VLOOKUP(G96,Settings!$B$98:D133,3,FALSE)</f>
        <v>#N/A</v>
      </c>
      <c r="O96" s="454" t="e">
        <f>VLOOKUP(G96,Settings!$B$98:D143,2,FALSE)</f>
        <v>#N/A</v>
      </c>
      <c r="P96" s="455" t="e">
        <f>VLOOKUP(G96,Settings!$B$98:D143,3,FALSE)</f>
        <v>#N/A</v>
      </c>
      <c r="Q96" s="41" t="e">
        <f t="shared" si="0"/>
        <v>#N/A</v>
      </c>
      <c r="R96" s="41" t="e">
        <f t="shared" si="1"/>
        <v>#N/A</v>
      </c>
      <c r="S96" s="385" t="s">
        <v>719</v>
      </c>
    </row>
    <row r="97" spans="2:19" ht="30" customHeight="1" x14ac:dyDescent="0.25">
      <c r="B97" s="355" t="s">
        <v>410</v>
      </c>
      <c r="C97" s="355"/>
      <c r="D97" s="355"/>
      <c r="E97" s="355"/>
      <c r="F97" s="355"/>
      <c r="G97" s="355"/>
      <c r="H97" s="135">
        <f>_xlfn.AGGREGATE(9,6,H10:H96)</f>
        <v>5935495.3620000007</v>
      </c>
      <c r="I97" s="135"/>
      <c r="J97" s="135">
        <f t="shared" ref="J97:M97" si="6">_xlfn.AGGREGATE(9,6,J10:J96)</f>
        <v>4909404.8669999987</v>
      </c>
      <c r="K97" s="135">
        <f t="shared" si="6"/>
        <v>400450.89999999991</v>
      </c>
      <c r="L97" s="135">
        <f t="shared" si="6"/>
        <v>451484.69800000003</v>
      </c>
      <c r="M97" s="135">
        <f t="shared" si="6"/>
        <v>174154.897</v>
      </c>
      <c r="N97" s="355"/>
      <c r="O97" s="355"/>
      <c r="P97" s="355"/>
      <c r="Q97" s="448">
        <f>_xlfn.AGGREGATE(9,6,Q10:Q96)</f>
        <v>90516.963409984222</v>
      </c>
      <c r="R97" s="448">
        <f>_xlfn.AGGREGATE(9,6,R10:R96)</f>
        <v>3843.6711098475207</v>
      </c>
      <c r="S97" s="373"/>
    </row>
    <row r="101" spans="2:19" ht="30" customHeight="1" x14ac:dyDescent="0.25">
      <c r="B101" s="3"/>
      <c r="J101" s="43"/>
      <c r="K101" s="43"/>
      <c r="L101" s="43"/>
      <c r="N101" s="381" t="s">
        <v>857</v>
      </c>
      <c r="O101" s="381"/>
      <c r="P101" s="381"/>
      <c r="Q101" s="381"/>
      <c r="R101" s="381"/>
    </row>
    <row r="102" spans="2:19" ht="16.2" customHeight="1" x14ac:dyDescent="0.25">
      <c r="B102" s="3"/>
      <c r="J102" s="43"/>
      <c r="K102" s="43"/>
      <c r="L102" s="43"/>
      <c r="M102" s="43"/>
      <c r="N102" s="1014" t="s">
        <v>1427</v>
      </c>
      <c r="O102" s="1014" t="s">
        <v>1428</v>
      </c>
      <c r="P102" s="1015" t="s">
        <v>335</v>
      </c>
      <c r="Q102" s="374" t="s">
        <v>1425</v>
      </c>
      <c r="R102" s="374" t="s">
        <v>1426</v>
      </c>
    </row>
    <row r="103" spans="2:19" ht="16.8" x14ac:dyDescent="0.25">
      <c r="B103" s="3"/>
      <c r="J103" s="1042"/>
      <c r="K103" s="1042"/>
      <c r="L103" s="78"/>
      <c r="M103" s="1042"/>
      <c r="N103" s="1008"/>
      <c r="O103" s="1008"/>
      <c r="P103" s="1016"/>
      <c r="Q103" s="355" t="s">
        <v>222</v>
      </c>
      <c r="R103" s="355" t="s">
        <v>222</v>
      </c>
    </row>
    <row r="104" spans="2:19" ht="16.8" x14ac:dyDescent="0.25">
      <c r="B104" s="3"/>
      <c r="J104" s="1042"/>
      <c r="K104" s="1042"/>
      <c r="L104" s="78"/>
      <c r="M104" s="1042"/>
      <c r="N104" s="353" t="s">
        <v>1876</v>
      </c>
      <c r="O104" s="354" t="s">
        <v>1884</v>
      </c>
      <c r="P104" s="91" t="s">
        <v>337</v>
      </c>
      <c r="Q104" s="19">
        <f t="shared" ref="Q104:Q111" si="7">SUMIF($B$10:$B$96,P104,$Q$10:$Q$96)</f>
        <v>58165.407635859294</v>
      </c>
      <c r="R104" s="19">
        <f t="shared" ref="R104:R111" si="8">SUMIF($B$10:$B$96,P104,$R$10:$R$96)</f>
        <v>0</v>
      </c>
    </row>
    <row r="105" spans="2:19" x14ac:dyDescent="0.25">
      <c r="B105" s="3"/>
      <c r="J105" s="34"/>
      <c r="K105" s="34"/>
      <c r="L105" s="34"/>
      <c r="M105" s="81"/>
      <c r="N105" s="353" t="s">
        <v>1877</v>
      </c>
      <c r="O105" s="354" t="s">
        <v>1885</v>
      </c>
      <c r="P105" s="91" t="s">
        <v>338</v>
      </c>
      <c r="Q105" s="19">
        <f t="shared" si="7"/>
        <v>32351.555774124918</v>
      </c>
      <c r="R105" s="19">
        <f t="shared" si="8"/>
        <v>3747.1915618722205</v>
      </c>
    </row>
    <row r="106" spans="2:19" x14ac:dyDescent="0.25">
      <c r="B106" s="3"/>
      <c r="J106" s="34"/>
      <c r="K106" s="34"/>
      <c r="L106" s="34"/>
      <c r="M106" s="81"/>
      <c r="N106" s="353" t="s">
        <v>1878</v>
      </c>
      <c r="O106" s="354" t="s">
        <v>1886</v>
      </c>
      <c r="P106" s="91" t="s">
        <v>339</v>
      </c>
      <c r="Q106" s="19">
        <f t="shared" si="7"/>
        <v>0</v>
      </c>
      <c r="R106" s="19">
        <f t="shared" si="8"/>
        <v>87.330930642949994</v>
      </c>
    </row>
    <row r="107" spans="2:19" x14ac:dyDescent="0.25">
      <c r="B107" s="3"/>
      <c r="J107" s="34"/>
      <c r="K107" s="34"/>
      <c r="L107" s="34"/>
      <c r="M107" s="81"/>
      <c r="N107" s="353" t="s">
        <v>1879</v>
      </c>
      <c r="O107" s="354" t="s">
        <v>1887</v>
      </c>
      <c r="P107" s="91" t="s">
        <v>340</v>
      </c>
      <c r="Q107" s="19">
        <f t="shared" si="7"/>
        <v>0</v>
      </c>
      <c r="R107" s="19">
        <f t="shared" si="8"/>
        <v>9.1486173323500015</v>
      </c>
    </row>
    <row r="108" spans="2:19" x14ac:dyDescent="0.25">
      <c r="J108" s="34"/>
      <c r="K108" s="34"/>
      <c r="L108" s="34"/>
      <c r="M108" s="81"/>
      <c r="N108" s="353" t="s">
        <v>1880</v>
      </c>
      <c r="O108" s="354" t="s">
        <v>1888</v>
      </c>
      <c r="P108" s="91" t="s">
        <v>341</v>
      </c>
      <c r="Q108" s="19">
        <f t="shared" si="7"/>
        <v>0</v>
      </c>
      <c r="R108" s="19">
        <f t="shared" si="8"/>
        <v>0</v>
      </c>
    </row>
    <row r="109" spans="2:19" x14ac:dyDescent="0.25">
      <c r="J109" s="34"/>
      <c r="K109" s="34"/>
      <c r="L109" s="34"/>
      <c r="M109" s="81"/>
      <c r="N109" s="353" t="s">
        <v>1881</v>
      </c>
      <c r="O109" s="354" t="s">
        <v>1889</v>
      </c>
      <c r="P109" s="91" t="s">
        <v>342</v>
      </c>
      <c r="Q109" s="19">
        <f t="shared" si="7"/>
        <v>0</v>
      </c>
      <c r="R109" s="19">
        <f t="shared" si="8"/>
        <v>0</v>
      </c>
    </row>
    <row r="110" spans="2:19" x14ac:dyDescent="0.25">
      <c r="J110" s="34"/>
      <c r="K110" s="34"/>
      <c r="L110" s="34"/>
      <c r="M110" s="81"/>
      <c r="N110" s="353" t="s">
        <v>1882</v>
      </c>
      <c r="O110" s="354" t="s">
        <v>1890</v>
      </c>
      <c r="P110" s="91" t="s">
        <v>343</v>
      </c>
      <c r="Q110" s="19">
        <f t="shared" si="7"/>
        <v>0</v>
      </c>
      <c r="R110" s="19">
        <f t="shared" si="8"/>
        <v>0</v>
      </c>
    </row>
    <row r="111" spans="2:19" x14ac:dyDescent="0.25">
      <c r="J111" s="34"/>
      <c r="K111" s="34"/>
      <c r="L111" s="34"/>
      <c r="M111" s="81"/>
      <c r="N111" s="353" t="s">
        <v>1883</v>
      </c>
      <c r="O111" s="354" t="s">
        <v>1891</v>
      </c>
      <c r="P111" s="91" t="s">
        <v>510</v>
      </c>
      <c r="Q111" s="19">
        <f t="shared" si="7"/>
        <v>0</v>
      </c>
      <c r="R111" s="19">
        <f t="shared" si="8"/>
        <v>0</v>
      </c>
    </row>
    <row r="112" spans="2:19" ht="30" customHeight="1" x14ac:dyDescent="0.25">
      <c r="J112" s="34"/>
      <c r="K112" s="34"/>
      <c r="L112" s="34"/>
      <c r="M112" s="81"/>
      <c r="N112" s="396" t="s">
        <v>410</v>
      </c>
      <c r="O112" s="396"/>
      <c r="P112" s="438"/>
      <c r="Q112" s="42">
        <f>_xlfn.AGGREGATE(9,6,Q104:Q111)</f>
        <v>90516.963409984208</v>
      </c>
      <c r="R112" s="42">
        <f>_xlfn.AGGREGATE(9,6,R104:R111)</f>
        <v>3843.6711098475207</v>
      </c>
    </row>
    <row r="113" spans="10:13" ht="32.4" customHeight="1" x14ac:dyDescent="0.25">
      <c r="J113" s="36"/>
      <c r="K113" s="36"/>
      <c r="L113" s="36"/>
      <c r="M113" s="36"/>
    </row>
  </sheetData>
  <protectedRanges>
    <protectedRange sqref="S10:S96" name="Range3"/>
    <protectedRange sqref="J10:M96" name="Range2"/>
    <protectedRange sqref="D10:H96" name="Range1"/>
  </protectedRanges>
  <mergeCells count="17">
    <mergeCell ref="J103:J104"/>
    <mergeCell ref="P102:P103"/>
    <mergeCell ref="I8:I9"/>
    <mergeCell ref="J8:M8"/>
    <mergeCell ref="K103:K104"/>
    <mergeCell ref="M103:M104"/>
    <mergeCell ref="O102:O103"/>
    <mergeCell ref="N8:P8"/>
    <mergeCell ref="N102:N103"/>
    <mergeCell ref="S8:S9"/>
    <mergeCell ref="B8:B9"/>
    <mergeCell ref="C8:C9"/>
    <mergeCell ref="G8:G9"/>
    <mergeCell ref="H8:H9"/>
    <mergeCell ref="D8:D9"/>
    <mergeCell ref="E8:E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2DA98DD0-1F45-46C6-927B-D47117708534}">
          <x14:formula1>
            <xm:f>Settings!$B$341:$B$348</xm:f>
          </x14:formula1>
          <xm:sqref>P104:P111</xm:sqref>
        </x14:dataValidation>
        <x14:dataValidation type="list" allowBlank="1" showInputMessage="1" showErrorMessage="1" xr:uid="{0D371BCF-F067-48E4-B1AB-279FD8441E99}">
          <x14:formula1>
            <xm:f>Settings!$B$98:$B$104</xm:f>
          </x14:formula1>
          <xm:sqref>G10:G96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420B7-D4C9-4130-B671-3DA8A1BDA692}">
  <dimension ref="B7:J133"/>
  <sheetViews>
    <sheetView rightToLeft="1" zoomScale="85" zoomScaleNormal="85" workbookViewId="0">
      <selection activeCell="K107" sqref="K107"/>
    </sheetView>
  </sheetViews>
  <sheetFormatPr defaultColWidth="9.09765625" defaultRowHeight="13.8" x14ac:dyDescent="0.25"/>
  <cols>
    <col min="1" max="1" width="12.09765625" style="259" customWidth="1"/>
    <col min="2" max="2" width="21.09765625" style="259" customWidth="1"/>
    <col min="3" max="3" width="23.296875" style="259" customWidth="1"/>
    <col min="4" max="4" width="23.3984375" style="259" customWidth="1"/>
    <col min="5" max="5" width="21.69921875" style="259" customWidth="1"/>
    <col min="6" max="6" width="20.69921875" style="259" customWidth="1"/>
    <col min="7" max="7" width="16.19921875" style="259" customWidth="1"/>
    <col min="8" max="10" width="19.59765625" style="259" customWidth="1"/>
    <col min="11" max="11" width="21.09765625" style="259" customWidth="1"/>
    <col min="12" max="24" width="12.796875" style="259" customWidth="1"/>
    <col min="25" max="16384" width="9.09765625" style="259"/>
  </cols>
  <sheetData>
    <row r="7" spans="2:10" s="282" customFormat="1" ht="30" customHeight="1" x14ac:dyDescent="0.25">
      <c r="B7" s="457" t="s">
        <v>1124</v>
      </c>
      <c r="C7" s="458"/>
      <c r="D7" s="458"/>
      <c r="E7" s="458"/>
      <c r="F7" s="458"/>
      <c r="G7" s="458"/>
      <c r="H7" s="458"/>
      <c r="I7" s="458"/>
      <c r="J7" s="459"/>
    </row>
    <row r="8" spans="2:10" ht="13.8" customHeight="1" x14ac:dyDescent="0.25">
      <c r="B8" s="1060" t="s">
        <v>1112</v>
      </c>
      <c r="C8" s="460" t="s">
        <v>1108</v>
      </c>
      <c r="D8" s="460" t="s">
        <v>1110</v>
      </c>
      <c r="E8" s="460" t="s">
        <v>1111</v>
      </c>
      <c r="F8" s="1058" t="s">
        <v>1113</v>
      </c>
      <c r="G8" s="460" t="s">
        <v>1108</v>
      </c>
      <c r="H8" s="460" t="s">
        <v>1110</v>
      </c>
      <c r="I8" s="460" t="s">
        <v>1150</v>
      </c>
      <c r="J8" s="1014" t="s">
        <v>786</v>
      </c>
    </row>
    <row r="9" spans="2:10" ht="16.8" x14ac:dyDescent="0.25">
      <c r="B9" s="1061"/>
      <c r="C9" s="460" t="s">
        <v>1119</v>
      </c>
      <c r="D9" s="460" t="s">
        <v>1109</v>
      </c>
      <c r="E9" s="460" t="s">
        <v>1120</v>
      </c>
      <c r="F9" s="1059"/>
      <c r="G9" s="460" t="s">
        <v>1119</v>
      </c>
      <c r="H9" s="460" t="s">
        <v>1109</v>
      </c>
      <c r="I9" s="460" t="s">
        <v>1120</v>
      </c>
      <c r="J9" s="1008"/>
    </row>
    <row r="10" spans="2:10" x14ac:dyDescent="0.25">
      <c r="B10" s="612" t="s">
        <v>1103</v>
      </c>
      <c r="C10" s="463">
        <v>3304131</v>
      </c>
      <c r="D10" s="464">
        <v>7.8770967741935496E-2</v>
      </c>
      <c r="E10" s="465">
        <f>C10*D10</f>
        <v>260269.59641612906</v>
      </c>
      <c r="F10" s="744" t="s">
        <v>1132</v>
      </c>
      <c r="G10" s="463">
        <v>0</v>
      </c>
      <c r="H10" s="464">
        <v>0</v>
      </c>
      <c r="I10" s="466">
        <f>H10*G10</f>
        <v>0</v>
      </c>
      <c r="J10" s="385" t="s">
        <v>1158</v>
      </c>
    </row>
    <row r="11" spans="2:10" x14ac:dyDescent="0.25">
      <c r="B11" s="612" t="s">
        <v>1104</v>
      </c>
      <c r="C11" s="463">
        <v>491137</v>
      </c>
      <c r="D11" s="464">
        <v>7.5346666666666659E-2</v>
      </c>
      <c r="E11" s="465">
        <f t="shared" ref="E11:E18" si="0">C11*D11</f>
        <v>37005.535826666666</v>
      </c>
      <c r="F11" s="744" t="s">
        <v>1114</v>
      </c>
      <c r="G11" s="463">
        <v>0</v>
      </c>
      <c r="H11" s="464">
        <v>0</v>
      </c>
      <c r="I11" s="466">
        <f t="shared" ref="I11:I18" si="1">H11*G11</f>
        <v>0</v>
      </c>
      <c r="J11" s="385" t="s">
        <v>1158</v>
      </c>
    </row>
    <row r="12" spans="2:10" x14ac:dyDescent="0.25">
      <c r="B12" s="612" t="s">
        <v>1105</v>
      </c>
      <c r="C12" s="463">
        <v>548201</v>
      </c>
      <c r="D12" s="464">
        <v>8.1200000000000008E-2</v>
      </c>
      <c r="E12" s="465">
        <f t="shared" si="0"/>
        <v>44513.921200000004</v>
      </c>
      <c r="F12" s="744"/>
      <c r="G12" s="463"/>
      <c r="H12" s="464"/>
      <c r="I12" s="466">
        <f t="shared" si="1"/>
        <v>0</v>
      </c>
      <c r="J12" s="385" t="s">
        <v>1158</v>
      </c>
    </row>
    <row r="13" spans="2:10" x14ac:dyDescent="0.25">
      <c r="B13" s="612" t="s">
        <v>1106</v>
      </c>
      <c r="C13" s="463">
        <v>2452734</v>
      </c>
      <c r="D13" s="464">
        <v>0.10893548387096774</v>
      </c>
      <c r="E13" s="465">
        <f t="shared" si="0"/>
        <v>267189.76509677421</v>
      </c>
      <c r="F13" s="744"/>
      <c r="G13" s="463"/>
      <c r="H13" s="464"/>
      <c r="I13" s="466">
        <f t="shared" si="1"/>
        <v>0</v>
      </c>
      <c r="J13" s="385" t="s">
        <v>1158</v>
      </c>
    </row>
    <row r="14" spans="2:10" x14ac:dyDescent="0.25">
      <c r="B14" s="612" t="s">
        <v>1107</v>
      </c>
      <c r="C14" s="463">
        <v>476046</v>
      </c>
      <c r="D14" s="464">
        <v>0.57999999999999996</v>
      </c>
      <c r="E14" s="465">
        <f t="shared" si="0"/>
        <v>276106.68</v>
      </c>
      <c r="F14" s="744"/>
      <c r="G14" s="463"/>
      <c r="H14" s="464"/>
      <c r="I14" s="466">
        <f t="shared" si="1"/>
        <v>0</v>
      </c>
      <c r="J14" s="385" t="s">
        <v>1158</v>
      </c>
    </row>
    <row r="15" spans="2:10" x14ac:dyDescent="0.25">
      <c r="B15" s="612"/>
      <c r="C15" s="463"/>
      <c r="D15" s="464"/>
      <c r="E15" s="465">
        <f t="shared" si="0"/>
        <v>0</v>
      </c>
      <c r="F15" s="744"/>
      <c r="G15" s="463"/>
      <c r="H15" s="464"/>
      <c r="I15" s="466">
        <f t="shared" si="1"/>
        <v>0</v>
      </c>
      <c r="J15" s="385" t="s">
        <v>1158</v>
      </c>
    </row>
    <row r="16" spans="2:10" x14ac:dyDescent="0.25">
      <c r="B16" s="612"/>
      <c r="C16" s="463"/>
      <c r="D16" s="464"/>
      <c r="E16" s="465">
        <f t="shared" si="0"/>
        <v>0</v>
      </c>
      <c r="F16" s="744"/>
      <c r="G16" s="463"/>
      <c r="H16" s="464"/>
      <c r="I16" s="466">
        <f t="shared" si="1"/>
        <v>0</v>
      </c>
      <c r="J16" s="385"/>
    </row>
    <row r="17" spans="2:10" x14ac:dyDescent="0.25">
      <c r="B17" s="612"/>
      <c r="C17" s="463"/>
      <c r="D17" s="464"/>
      <c r="E17" s="465">
        <f t="shared" si="0"/>
        <v>0</v>
      </c>
      <c r="F17" s="744"/>
      <c r="G17" s="463"/>
      <c r="H17" s="464"/>
      <c r="I17" s="466">
        <f t="shared" si="1"/>
        <v>0</v>
      </c>
      <c r="J17" s="467"/>
    </row>
    <row r="18" spans="2:10" x14ac:dyDescent="0.25">
      <c r="B18" s="612"/>
      <c r="C18" s="463"/>
      <c r="D18" s="464"/>
      <c r="E18" s="465">
        <f t="shared" si="0"/>
        <v>0</v>
      </c>
      <c r="F18" s="744"/>
      <c r="G18" s="463"/>
      <c r="H18" s="464"/>
      <c r="I18" s="466">
        <f t="shared" si="1"/>
        <v>0</v>
      </c>
      <c r="J18" s="467"/>
    </row>
    <row r="19" spans="2:10" s="260" customFormat="1" ht="30" customHeight="1" x14ac:dyDescent="0.25">
      <c r="B19" s="460" t="s">
        <v>410</v>
      </c>
      <c r="C19" s="639">
        <f>_xlfn.AGGREGATE(9,6,C10:C18)</f>
        <v>7272249</v>
      </c>
      <c r="D19" s="460"/>
      <c r="E19" s="468">
        <f>_xlfn.AGGREGATE(9,6,E10:E18)</f>
        <v>885085.49853956979</v>
      </c>
      <c r="F19" s="743" t="s">
        <v>410</v>
      </c>
      <c r="G19" s="468">
        <f>_xlfn.AGGREGATE(9,6,G10:G18)</f>
        <v>0</v>
      </c>
      <c r="H19" s="460"/>
      <c r="I19" s="468">
        <f>_xlfn.AGGREGATE(9,6,I10:I18)</f>
        <v>0</v>
      </c>
      <c r="J19" s="460"/>
    </row>
    <row r="20" spans="2:10" x14ac:dyDescent="0.25">
      <c r="B20" s="640"/>
      <c r="C20" s="469"/>
      <c r="D20" s="469"/>
      <c r="E20" s="469"/>
      <c r="F20" s="469"/>
      <c r="G20" s="469"/>
      <c r="H20" s="469"/>
      <c r="I20" s="469"/>
      <c r="J20" s="470"/>
    </row>
    <row r="21" spans="2:10" ht="16.8" customHeight="1" x14ac:dyDescent="0.25">
      <c r="B21" s="460" t="s">
        <v>1151</v>
      </c>
      <c r="C21" s="1065" t="s">
        <v>1115</v>
      </c>
      <c r="D21" s="1066"/>
      <c r="E21" s="743" t="s">
        <v>1116</v>
      </c>
      <c r="F21" s="1060" t="s">
        <v>442</v>
      </c>
      <c r="G21" s="471" t="s">
        <v>1117</v>
      </c>
      <c r="H21" s="460" t="s">
        <v>1117</v>
      </c>
      <c r="I21" s="374" t="s">
        <v>1125</v>
      </c>
      <c r="J21" s="1062" t="s">
        <v>1157</v>
      </c>
    </row>
    <row r="22" spans="2:10" ht="16.8" customHeight="1" x14ac:dyDescent="0.25">
      <c r="B22" s="460" t="s">
        <v>1120</v>
      </c>
      <c r="C22" s="1065" t="s">
        <v>1118</v>
      </c>
      <c r="D22" s="1066"/>
      <c r="E22" s="743" t="s">
        <v>228</v>
      </c>
      <c r="F22" s="1061"/>
      <c r="G22" s="460" t="s">
        <v>1121</v>
      </c>
      <c r="H22" s="460" t="s">
        <v>1122</v>
      </c>
      <c r="I22" s="355" t="s">
        <v>1160</v>
      </c>
      <c r="J22" s="1063"/>
    </row>
    <row r="23" spans="2:10" ht="16.8" customHeight="1" x14ac:dyDescent="0.25">
      <c r="B23" s="641">
        <f>E19-I19</f>
        <v>885085.49853956979</v>
      </c>
      <c r="C23" s="1067">
        <v>0.25</v>
      </c>
      <c r="D23" s="1068"/>
      <c r="E23" s="745">
        <v>0.1</v>
      </c>
      <c r="F23" s="472">
        <v>1</v>
      </c>
      <c r="G23" s="473">
        <f>B23*C23*E23</f>
        <v>22127.137463489245</v>
      </c>
      <c r="H23" s="474">
        <f>G23/1000</f>
        <v>22.127137463489245</v>
      </c>
      <c r="I23" s="475">
        <f>H23/G111</f>
        <v>7.1985789692359078E-7</v>
      </c>
      <c r="J23" s="1064"/>
    </row>
    <row r="27" spans="2:10" s="282" customFormat="1" ht="30" customHeight="1" x14ac:dyDescent="0.25">
      <c r="B27" s="457" t="s">
        <v>1123</v>
      </c>
      <c r="C27" s="458"/>
      <c r="D27" s="458"/>
      <c r="E27" s="458"/>
      <c r="F27" s="458"/>
      <c r="G27" s="458"/>
      <c r="H27" s="458"/>
      <c r="I27" s="459"/>
    </row>
    <row r="28" spans="2:10" ht="14.4" customHeight="1" x14ac:dyDescent="0.25">
      <c r="B28" s="1013" t="s">
        <v>335</v>
      </c>
      <c r="C28" s="1038" t="s">
        <v>411</v>
      </c>
      <c r="D28" s="1039"/>
      <c r="E28" s="1014" t="s">
        <v>398</v>
      </c>
      <c r="F28" s="1013" t="s">
        <v>400</v>
      </c>
      <c r="G28" s="1014" t="s">
        <v>529</v>
      </c>
      <c r="H28" s="374" t="s">
        <v>406</v>
      </c>
      <c r="I28" s="374" t="s">
        <v>406</v>
      </c>
    </row>
    <row r="29" spans="2:10" ht="16.2" x14ac:dyDescent="0.25">
      <c r="B29" s="1013"/>
      <c r="C29" s="1040"/>
      <c r="D29" s="1041"/>
      <c r="E29" s="1008"/>
      <c r="F29" s="1013"/>
      <c r="G29" s="1008"/>
      <c r="H29" s="460" t="s">
        <v>1122</v>
      </c>
      <c r="I29" s="355" t="s">
        <v>222</v>
      </c>
    </row>
    <row r="30" spans="2:10" x14ac:dyDescent="0.25">
      <c r="B30" s="356" t="str">
        <f>VLOOKUP(E30,'Unit List'!$B$9:$E$241,4,0)</f>
        <v>Iron Making</v>
      </c>
      <c r="C30" s="952" t="str">
        <f>VLOOKUP(E30,'Unit List'!$B$9:$D$241,3,0)</f>
        <v>Lime Hydration</v>
      </c>
      <c r="D30" s="953"/>
      <c r="E30" s="414">
        <v>1130</v>
      </c>
      <c r="F30" s="734" t="s">
        <v>1685</v>
      </c>
      <c r="G30" s="375">
        <v>22078</v>
      </c>
      <c r="H30" s="461">
        <f t="shared" ref="H30:H61" si="2">G30*$I$23</f>
        <v>1.5893022648279038E-2</v>
      </c>
      <c r="I30" s="462">
        <f>H30*Settings!$C$24</f>
        <v>0.429111611503534</v>
      </c>
    </row>
    <row r="31" spans="2:10" x14ac:dyDescent="0.25">
      <c r="B31" s="356" t="str">
        <f>VLOOKUP(E31,'Unit List'!$B$9:$E$241,4,0)</f>
        <v>Iron Making</v>
      </c>
      <c r="C31" s="952" t="str">
        <f>VLOOKUP(E31,'Unit List'!$B$9:$D$241,3,0)</f>
        <v>Dolomite Making</v>
      </c>
      <c r="D31" s="953"/>
      <c r="E31" s="414">
        <v>1140</v>
      </c>
      <c r="F31" s="376" t="s">
        <v>295</v>
      </c>
      <c r="G31" s="375">
        <v>12588</v>
      </c>
      <c r="H31" s="461">
        <f t="shared" si="2"/>
        <v>9.0615712064741616E-3</v>
      </c>
      <c r="I31" s="462">
        <f>H31*Settings!$C$24</f>
        <v>0.24466242257480236</v>
      </c>
    </row>
    <row r="32" spans="2:10" x14ac:dyDescent="0.25">
      <c r="B32" s="356" t="str">
        <f>VLOOKUP(E32,'Unit List'!$B$9:$E$241,4,0)</f>
        <v>Iron Making</v>
      </c>
      <c r="C32" s="952" t="str">
        <f>VLOOKUP(E32,'Unit List'!$B$9:$D$241,3,0)</f>
        <v>Pelletizing</v>
      </c>
      <c r="D32" s="953"/>
      <c r="E32" s="414">
        <v>1210</v>
      </c>
      <c r="F32" s="376" t="s">
        <v>295</v>
      </c>
      <c r="G32" s="375">
        <v>352300</v>
      </c>
      <c r="H32" s="461">
        <f t="shared" si="2"/>
        <v>0.25360593708618101</v>
      </c>
      <c r="I32" s="462">
        <f>H32*Settings!$C$24</f>
        <v>6.8473603013268871</v>
      </c>
    </row>
    <row r="33" spans="2:9" x14ac:dyDescent="0.25">
      <c r="B33" s="356" t="str">
        <f>VLOOKUP(E33,'Unit List'!$B$9:$E$241,4,0)</f>
        <v>Iron Making</v>
      </c>
      <c r="C33" s="952" t="str">
        <f>VLOOKUP(E33,'Unit List'!$B$9:$D$241,3,0)</f>
        <v>Direct Reduction</v>
      </c>
      <c r="D33" s="953"/>
      <c r="E33" s="414">
        <v>1310</v>
      </c>
      <c r="F33" s="376" t="s">
        <v>295</v>
      </c>
      <c r="G33" s="375">
        <v>6873060.3880000003</v>
      </c>
      <c r="H33" s="461">
        <f t="shared" si="2"/>
        <v>4.9476267963345189</v>
      </c>
      <c r="I33" s="462">
        <f>H33*Settings!$C$24</f>
        <v>133.585923501032</v>
      </c>
    </row>
    <row r="34" spans="2:9" x14ac:dyDescent="0.25">
      <c r="B34" s="356" t="str">
        <f>VLOOKUP(E34,'Unit List'!$B$9:$E$241,4,0)</f>
        <v>Iron Making</v>
      </c>
      <c r="C34" s="952" t="str">
        <f>VLOOKUP(E34,'Unit List'!$B$9:$D$241,3,0)</f>
        <v>Direct Reduction</v>
      </c>
      <c r="D34" s="953"/>
      <c r="E34" s="414">
        <v>1315</v>
      </c>
      <c r="F34" s="376" t="s">
        <v>295</v>
      </c>
      <c r="G34" s="375">
        <v>2407062.0330000003</v>
      </c>
      <c r="H34" s="461">
        <f t="shared" si="2"/>
        <v>1.732742612840003</v>
      </c>
      <c r="I34" s="462">
        <f>H34*Settings!$C$24</f>
        <v>46.784050546680078</v>
      </c>
    </row>
    <row r="35" spans="2:9" x14ac:dyDescent="0.25">
      <c r="B35" s="356" t="str">
        <f>VLOOKUP(E35,'Unit List'!$B$9:$E$241,4,0)</f>
        <v>Iron Making</v>
      </c>
      <c r="C35" s="952" t="str">
        <f>VLOOKUP(E35,'Unit List'!$B$9:$D$241,3,0)</f>
        <v>Direct Reduction</v>
      </c>
      <c r="D35" s="953"/>
      <c r="E35" s="414">
        <v>1320</v>
      </c>
      <c r="F35" s="376" t="s">
        <v>295</v>
      </c>
      <c r="G35" s="375">
        <v>312907.99000000005</v>
      </c>
      <c r="H35" s="461">
        <f t="shared" si="2"/>
        <v>0.22524928761198801</v>
      </c>
      <c r="I35" s="462">
        <f>H35*Settings!$C$24</f>
        <v>6.0817307655236759</v>
      </c>
    </row>
    <row r="36" spans="2:9" x14ac:dyDescent="0.25">
      <c r="B36" s="356" t="str">
        <f>VLOOKUP(E36,'Unit List'!$B$9:$E$241,4,0)</f>
        <v>Iron Making</v>
      </c>
      <c r="C36" s="952" t="str">
        <f>VLOOKUP(E36,'Unit List'!$B$9:$D$241,3,0)</f>
        <v>Direct Reduction</v>
      </c>
      <c r="D36" s="953"/>
      <c r="E36" s="414">
        <v>1325</v>
      </c>
      <c r="F36" s="376" t="s">
        <v>295</v>
      </c>
      <c r="G36" s="375">
        <v>109585.67200000002</v>
      </c>
      <c r="H36" s="461">
        <f t="shared" si="2"/>
        <v>7.8886111378878437E-2</v>
      </c>
      <c r="I36" s="462">
        <f>H36*Settings!$C$24</f>
        <v>2.1299250072297178</v>
      </c>
    </row>
    <row r="37" spans="2:9" x14ac:dyDescent="0.25">
      <c r="B37" s="356" t="str">
        <f>VLOOKUP(E37,'Unit List'!$B$9:$E$241,4,0)</f>
        <v>Iron Making</v>
      </c>
      <c r="C37" s="952" t="str">
        <f>VLOOKUP(E37,'Unit List'!$B$9:$D$241,3,0)</f>
        <v>Briquetting</v>
      </c>
      <c r="D37" s="953"/>
      <c r="E37" s="414">
        <v>1330</v>
      </c>
      <c r="F37" s="376" t="s">
        <v>295</v>
      </c>
      <c r="G37" s="375">
        <v>90961.628000000012</v>
      </c>
      <c r="H37" s="461">
        <f t="shared" si="2"/>
        <v>6.5479446232826019E-2</v>
      </c>
      <c r="I37" s="462">
        <f>H37*Settings!$C$24</f>
        <v>1.7679450482863026</v>
      </c>
    </row>
    <row r="38" spans="2:9" x14ac:dyDescent="0.25">
      <c r="B38" s="356" t="str">
        <f>VLOOKUP(E38,'Unit List'!$B$9:$E$241,4,0)</f>
        <v>Iron Making</v>
      </c>
      <c r="C38" s="952" t="str">
        <f>VLOOKUP(E38,'Unit List'!$B$9:$D$241,3,0)</f>
        <v>Briquetting</v>
      </c>
      <c r="D38" s="953"/>
      <c r="E38" s="414">
        <v>1335</v>
      </c>
      <c r="F38" s="376" t="s">
        <v>295</v>
      </c>
      <c r="G38" s="375">
        <v>31856.305</v>
      </c>
      <c r="H38" s="461">
        <f t="shared" si="2"/>
        <v>2.293201272105647E-2</v>
      </c>
      <c r="I38" s="462">
        <f>H38*Settings!$C$24</f>
        <v>0.61916434346852467</v>
      </c>
    </row>
    <row r="39" spans="2:9" x14ac:dyDescent="0.25">
      <c r="B39" s="356" t="str">
        <f>VLOOKUP(E39,'Unit List'!$B$9:$E$241,4,0)</f>
        <v>Steel Making</v>
      </c>
      <c r="C39" s="952" t="str">
        <f>VLOOKUP(E39,'Unit List'!$B$9:$D$241,3,0)</f>
        <v>EAFs</v>
      </c>
      <c r="D39" s="953"/>
      <c r="E39" s="414">
        <v>2130</v>
      </c>
      <c r="F39" s="376" t="s">
        <v>297</v>
      </c>
      <c r="G39" s="375">
        <v>345961.84</v>
      </c>
      <c r="H39" s="461">
        <f t="shared" si="2"/>
        <v>0.24904336255821583</v>
      </c>
      <c r="I39" s="462">
        <f>H39*Settings!$C$24</f>
        <v>6.7241707890718274</v>
      </c>
    </row>
    <row r="40" spans="2:9" x14ac:dyDescent="0.25">
      <c r="B40" s="356" t="str">
        <f>VLOOKUP(E40,'Unit List'!$B$9:$E$241,4,0)</f>
        <v>Steel Making</v>
      </c>
      <c r="C40" s="952" t="str">
        <f>VLOOKUP(E40,'Unit List'!$B$9:$D$241,3,0)</f>
        <v>EAFs</v>
      </c>
      <c r="D40" s="953"/>
      <c r="E40" s="414">
        <v>2130</v>
      </c>
      <c r="F40" s="376" t="s">
        <v>295</v>
      </c>
      <c r="G40" s="375">
        <v>2376647.128</v>
      </c>
      <c r="H40" s="461">
        <f t="shared" si="2"/>
        <v>1.7108482032915722</v>
      </c>
      <c r="I40" s="462">
        <f>H40*Settings!$C$24</f>
        <v>46.192901488872451</v>
      </c>
    </row>
    <row r="41" spans="2:9" x14ac:dyDescent="0.25">
      <c r="B41" s="356" t="str">
        <f>VLOOKUP(E41,'Unit List'!$B$9:$E$241,4,0)</f>
        <v>Steel Making</v>
      </c>
      <c r="C41" s="952" t="str">
        <f>VLOOKUP(E41,'Unit List'!$B$9:$D$241,3,0)</f>
        <v>De-gassing</v>
      </c>
      <c r="D41" s="953"/>
      <c r="E41" s="414">
        <v>2220</v>
      </c>
      <c r="F41" s="376" t="s">
        <v>295</v>
      </c>
      <c r="G41" s="375">
        <v>527920.20600000001</v>
      </c>
      <c r="H41" s="461">
        <f t="shared" si="2"/>
        <v>0.38002752923462879</v>
      </c>
      <c r="I41" s="462">
        <f>H41*Settings!$C$24</f>
        <v>10.260743289334977</v>
      </c>
    </row>
    <row r="42" spans="2:9" x14ac:dyDescent="0.25">
      <c r="B42" s="356" t="str">
        <f>VLOOKUP(E42,'Unit List'!$B$9:$E$241,4,0)</f>
        <v>Steel Making</v>
      </c>
      <c r="C42" s="952" t="str">
        <f>VLOOKUP(E42,'Unit List'!$B$9:$D$241,3,0)</f>
        <v>Laddle Furnaces</v>
      </c>
      <c r="D42" s="953"/>
      <c r="E42" s="414">
        <v>2240</v>
      </c>
      <c r="F42" s="376" t="s">
        <v>297</v>
      </c>
      <c r="G42" s="375">
        <v>76707.167000000016</v>
      </c>
      <c r="H42" s="461">
        <f t="shared" si="2"/>
        <v>5.5218259915586675E-2</v>
      </c>
      <c r="I42" s="462">
        <f>H42*Settings!$C$24</f>
        <v>1.4908930177208402</v>
      </c>
    </row>
    <row r="43" spans="2:9" x14ac:dyDescent="0.25">
      <c r="B43" s="356" t="str">
        <f>VLOOKUP(E43,'Unit List'!$B$9:$E$241,4,0)</f>
        <v>Steel Making</v>
      </c>
      <c r="C43" s="952" t="str">
        <f>VLOOKUP(E43,'Unit List'!$B$9:$D$241,3,0)</f>
        <v>Laddle Furnaces</v>
      </c>
      <c r="D43" s="953"/>
      <c r="E43" s="414">
        <v>2240</v>
      </c>
      <c r="F43" s="376" t="s">
        <v>295</v>
      </c>
      <c r="G43" s="375">
        <v>660067.95799999998</v>
      </c>
      <c r="H43" s="461">
        <f t="shared" si="2"/>
        <v>0.47515513207252902</v>
      </c>
      <c r="I43" s="462">
        <f>H43*Settings!$C$24</f>
        <v>12.829188565958283</v>
      </c>
    </row>
    <row r="44" spans="2:9" x14ac:dyDescent="0.25">
      <c r="B44" s="356" t="str">
        <f>VLOOKUP(E44,'Unit List'!$B$9:$E$241,4,0)</f>
        <v>Steel Making</v>
      </c>
      <c r="C44" s="952" t="str">
        <f>VLOOKUP(E44,'Unit List'!$B$9:$D$241,3,0)</f>
        <v>Casting Machines</v>
      </c>
      <c r="D44" s="953"/>
      <c r="E44" s="414">
        <v>2410</v>
      </c>
      <c r="F44" s="376" t="s">
        <v>298</v>
      </c>
      <c r="G44" s="375">
        <v>452388</v>
      </c>
      <c r="H44" s="461">
        <f t="shared" si="2"/>
        <v>0.3256550742734694</v>
      </c>
      <c r="I44" s="462">
        <f>H44*Settings!$C$24</f>
        <v>8.792687005383673</v>
      </c>
    </row>
    <row r="45" spans="2:9" x14ac:dyDescent="0.25">
      <c r="B45" s="356" t="str">
        <f>VLOOKUP(E45,'Unit List'!$B$9:$E$241,4,0)</f>
        <v>Steel Making</v>
      </c>
      <c r="C45" s="952" t="str">
        <f>VLOOKUP(E45,'Unit List'!$B$9:$D$241,3,0)</f>
        <v>Casting Machines</v>
      </c>
      <c r="D45" s="953"/>
      <c r="E45" s="414">
        <v>2410</v>
      </c>
      <c r="F45" s="376" t="s">
        <v>295</v>
      </c>
      <c r="G45" s="375">
        <v>2323653.8680000002</v>
      </c>
      <c r="H45" s="461">
        <f t="shared" si="2"/>
        <v>1.6727005865968472</v>
      </c>
      <c r="I45" s="462">
        <f>H45*Settings!$C$24</f>
        <v>45.162915838114877</v>
      </c>
    </row>
    <row r="46" spans="2:9" x14ac:dyDescent="0.25">
      <c r="B46" s="356" t="str">
        <f>VLOOKUP(E46,'Unit List'!$B$9:$E$241,4,0)</f>
        <v>Steel Making</v>
      </c>
      <c r="C46" s="952" t="str">
        <f>VLOOKUP(E46,'Unit List'!$B$9:$D$241,3,0)</f>
        <v>Slab Cooling</v>
      </c>
      <c r="D46" s="953"/>
      <c r="E46" s="414">
        <v>2510</v>
      </c>
      <c r="F46" s="376" t="s">
        <v>295</v>
      </c>
      <c r="G46" s="375">
        <v>819718.54100000008</v>
      </c>
      <c r="H46" s="461">
        <f t="shared" si="2"/>
        <v>0.59008086499353429</v>
      </c>
      <c r="I46" s="462">
        <f>H46*Settings!$C$24</f>
        <v>15.932183354825426</v>
      </c>
    </row>
    <row r="47" spans="2:9" x14ac:dyDescent="0.25">
      <c r="B47" s="356" t="str">
        <f>VLOOKUP(E47,'Unit List'!$B$9:$E$241,4,0)</f>
        <v>Hot Rolling</v>
      </c>
      <c r="C47" s="952" t="str">
        <f>VLOOKUP(E47,'Unit List'!$B$9:$D$241,3,0)</f>
        <v>Hot Rolling Mill</v>
      </c>
      <c r="D47" s="953"/>
      <c r="E47" s="414">
        <v>3210</v>
      </c>
      <c r="F47" s="376" t="s">
        <v>298</v>
      </c>
      <c r="G47" s="375">
        <v>52992</v>
      </c>
      <c r="H47" s="461">
        <f t="shared" si="2"/>
        <v>3.8146709673774926E-2</v>
      </c>
      <c r="I47" s="462">
        <f>H47*Settings!$C$24</f>
        <v>1.029961161191923</v>
      </c>
    </row>
    <row r="48" spans="2:9" x14ac:dyDescent="0.25">
      <c r="B48" s="356" t="str">
        <f>VLOOKUP(E48,'Unit List'!$B$9:$E$241,4,0)</f>
        <v>Hot Rolling</v>
      </c>
      <c r="C48" s="952" t="str">
        <f>VLOOKUP(E48,'Unit List'!$B$9:$D$241,3,0)</f>
        <v>Hot Rolling Mill</v>
      </c>
      <c r="D48" s="953"/>
      <c r="E48" s="414">
        <v>3310</v>
      </c>
      <c r="F48" s="376" t="s">
        <v>295</v>
      </c>
      <c r="G48" s="375">
        <v>1132942.075</v>
      </c>
      <c r="H48" s="461">
        <f t="shared" si="2"/>
        <v>0.81555729944574906</v>
      </c>
      <c r="I48" s="462">
        <f>H48*Settings!$C$24</f>
        <v>22.020047085035223</v>
      </c>
    </row>
    <row r="49" spans="2:9" x14ac:dyDescent="0.25">
      <c r="B49" s="356" t="str">
        <f>VLOOKUP(E49,'Unit List'!$B$9:$E$241,4,0)</f>
        <v>Cold Rolling</v>
      </c>
      <c r="C49" s="952" t="str">
        <f>VLOOKUP(E49,'Unit List'!$B$9:$D$241,3,0)</f>
        <v>Pickling Line 1,2</v>
      </c>
      <c r="D49" s="953"/>
      <c r="E49" s="414">
        <v>4220</v>
      </c>
      <c r="F49" s="376" t="s">
        <v>298</v>
      </c>
      <c r="G49" s="375">
        <v>126560.11600000001</v>
      </c>
      <c r="H49" s="461">
        <f t="shared" si="2"/>
        <v>9.1105298938165699E-2</v>
      </c>
      <c r="I49" s="462">
        <f>H49*Settings!$C$24</f>
        <v>2.4598430713304738</v>
      </c>
    </row>
    <row r="50" spans="2:9" x14ac:dyDescent="0.25">
      <c r="B50" s="356" t="str">
        <f>VLOOKUP(E50,'Unit List'!$B$9:$E$241,4,0)</f>
        <v>Cold Rolling</v>
      </c>
      <c r="C50" s="952" t="str">
        <f>VLOOKUP(E50,'Unit List'!$B$9:$D$241,3,0)</f>
        <v>Pickling Line 1,2</v>
      </c>
      <c r="D50" s="953"/>
      <c r="E50" s="414">
        <v>4220</v>
      </c>
      <c r="F50" s="376" t="s">
        <v>295</v>
      </c>
      <c r="G50" s="375">
        <v>126077.046</v>
      </c>
      <c r="H50" s="461">
        <f t="shared" si="2"/>
        <v>9.0757557183898815E-2</v>
      </c>
      <c r="I50" s="462">
        <f>H50*Settings!$C$24</f>
        <v>2.450454043965268</v>
      </c>
    </row>
    <row r="51" spans="2:9" x14ac:dyDescent="0.25">
      <c r="B51" s="356" t="str">
        <f>VLOOKUP(E51,'Unit List'!$B$9:$E$241,4,0)</f>
        <v>Cold Rolling</v>
      </c>
      <c r="C51" s="952" t="str">
        <f>VLOOKUP(E51,'Unit List'!$B$9:$D$241,3,0)</f>
        <v>Pickling Line 1,2</v>
      </c>
      <c r="D51" s="953"/>
      <c r="E51" s="414">
        <v>4225</v>
      </c>
      <c r="F51" s="376" t="s">
        <v>298</v>
      </c>
      <c r="G51" s="375">
        <v>145129.18099999998</v>
      </c>
      <c r="H51" s="461">
        <f t="shared" si="2"/>
        <v>0.10447238701690313</v>
      </c>
      <c r="I51" s="462">
        <f>H51*Settings!$C$24</f>
        <v>2.8207544494563845</v>
      </c>
    </row>
    <row r="52" spans="2:9" x14ac:dyDescent="0.25">
      <c r="B52" s="356" t="str">
        <f>VLOOKUP(E52,'Unit List'!$B$9:$E$241,4,0)</f>
        <v>Cold Rolling</v>
      </c>
      <c r="C52" s="952" t="str">
        <f>VLOOKUP(E52,'Unit List'!$B$9:$D$241,3,0)</f>
        <v>Pickling Line 1,2</v>
      </c>
      <c r="D52" s="953"/>
      <c r="E52" s="414">
        <v>4225</v>
      </c>
      <c r="F52" s="376" t="s">
        <v>295</v>
      </c>
      <c r="G52" s="375">
        <v>132234.97400000002</v>
      </c>
      <c r="H52" s="461">
        <f t="shared" si="2"/>
        <v>9.5190390283385717E-2</v>
      </c>
      <c r="I52" s="462">
        <f>H52*Settings!$C$24</f>
        <v>2.5701405376514144</v>
      </c>
    </row>
    <row r="53" spans="2:9" x14ac:dyDescent="0.25">
      <c r="B53" s="356" t="str">
        <f>VLOOKUP(E53,'Unit List'!$B$9:$E$241,4,0)</f>
        <v>Cold Rolling</v>
      </c>
      <c r="C53" s="952" t="str">
        <f>VLOOKUP(E53,'Unit List'!$B$9:$D$241,3,0)</f>
        <v>Pickling Line 1,2</v>
      </c>
      <c r="D53" s="953"/>
      <c r="E53" s="414">
        <v>4230</v>
      </c>
      <c r="F53" s="376" t="s">
        <v>295</v>
      </c>
      <c r="G53" s="375">
        <v>27268.051000000003</v>
      </c>
      <c r="H53" s="461">
        <f t="shared" si="2"/>
        <v>1.9629121846065217E-2</v>
      </c>
      <c r="I53" s="462">
        <f>H53*Settings!$C$24</f>
        <v>0.52998628984376084</v>
      </c>
    </row>
    <row r="54" spans="2:9" x14ac:dyDescent="0.25">
      <c r="B54" s="356" t="str">
        <f>VLOOKUP(E54,'Unit List'!$B$9:$E$241,4,0)</f>
        <v>Cold Rolling</v>
      </c>
      <c r="C54" s="952" t="str">
        <f>VLOOKUP(E54,'Unit List'!$B$9:$D$241,3,0)</f>
        <v>Pickling Line 1,2</v>
      </c>
      <c r="D54" s="953"/>
      <c r="E54" s="414">
        <v>4235</v>
      </c>
      <c r="F54" s="376" t="s">
        <v>295</v>
      </c>
      <c r="G54" s="375">
        <v>7344.7660000000005</v>
      </c>
      <c r="H54" s="461">
        <f t="shared" si="2"/>
        <v>5.2871878061558943E-3</v>
      </c>
      <c r="I54" s="462">
        <f>H54*Settings!$C$24</f>
        <v>0.14275407076620913</v>
      </c>
    </row>
    <row r="55" spans="2:9" x14ac:dyDescent="0.25">
      <c r="B55" s="356" t="str">
        <f>VLOOKUP(E55,'Unit List'!$B$9:$E$241,4,0)</f>
        <v>Cold Rolling</v>
      </c>
      <c r="C55" s="952" t="str">
        <f>VLOOKUP(E55,'Unit List'!$B$9:$D$241,3,0)</f>
        <v>Tandem Mill</v>
      </c>
      <c r="D55" s="953"/>
      <c r="E55" s="414">
        <v>4310</v>
      </c>
      <c r="F55" s="376" t="s">
        <v>298</v>
      </c>
      <c r="G55" s="375">
        <v>204674.68</v>
      </c>
      <c r="H55" s="461">
        <f t="shared" si="2"/>
        <v>0.14733668469830893</v>
      </c>
      <c r="I55" s="462">
        <f>H55*Settings!$C$24</f>
        <v>3.9780904868543412</v>
      </c>
    </row>
    <row r="56" spans="2:9" x14ac:dyDescent="0.25">
      <c r="B56" s="356" t="str">
        <f>VLOOKUP(E56,'Unit List'!$B$9:$E$241,4,0)</f>
        <v>Cold Rolling</v>
      </c>
      <c r="C56" s="952" t="str">
        <f>VLOOKUP(E56,'Unit List'!$B$9:$D$241,3,0)</f>
        <v>Tandem Mill</v>
      </c>
      <c r="D56" s="953"/>
      <c r="E56" s="414">
        <v>4310</v>
      </c>
      <c r="F56" s="376" t="s">
        <v>295</v>
      </c>
      <c r="G56" s="375">
        <v>144151.97899999999</v>
      </c>
      <c r="H56" s="461">
        <f t="shared" si="2"/>
        <v>0.10376894044031362</v>
      </c>
      <c r="I56" s="462">
        <f>H56*Settings!$C$24</f>
        <v>2.8017613918884678</v>
      </c>
    </row>
    <row r="57" spans="2:9" x14ac:dyDescent="0.25">
      <c r="B57" s="356" t="str">
        <f>VLOOKUP(E57,'Unit List'!$B$9:$E$241,4,0)</f>
        <v>Cold Rolling</v>
      </c>
      <c r="C57" s="952" t="str">
        <f>VLOOKUP(E57,'Unit List'!$B$9:$D$241,3,0)</f>
        <v>Two Stand Reversible Mill</v>
      </c>
      <c r="D57" s="953"/>
      <c r="E57" s="414">
        <v>4315</v>
      </c>
      <c r="F57" s="376" t="s">
        <v>298</v>
      </c>
      <c r="G57" s="375">
        <v>63487.533000000003</v>
      </c>
      <c r="H57" s="461">
        <f t="shared" si="2"/>
        <v>4.5702001986247069E-2</v>
      </c>
      <c r="I57" s="462">
        <f>H57*Settings!$C$24</f>
        <v>1.2339540536286708</v>
      </c>
    </row>
    <row r="58" spans="2:9" x14ac:dyDescent="0.25">
      <c r="B58" s="356" t="str">
        <f>VLOOKUP(E58,'Unit List'!$B$9:$E$241,4,0)</f>
        <v>Cold Rolling</v>
      </c>
      <c r="C58" s="952" t="str">
        <f>VLOOKUP(E58,'Unit List'!$B$9:$D$241,3,0)</f>
        <v>Two Stand Reversible Mill</v>
      </c>
      <c r="D58" s="953"/>
      <c r="E58" s="414">
        <v>4315</v>
      </c>
      <c r="F58" s="376" t="s">
        <v>295</v>
      </c>
      <c r="G58" s="375">
        <v>3618.8780000000002</v>
      </c>
      <c r="H58" s="461">
        <f t="shared" si="2"/>
        <v>2.6050779063030503E-3</v>
      </c>
      <c r="I58" s="462">
        <f>H58*Settings!$C$24</f>
        <v>7.0337103470182363E-2</v>
      </c>
    </row>
    <row r="59" spans="2:9" x14ac:dyDescent="0.25">
      <c r="B59" s="356" t="str">
        <f>VLOOKUP(E59,'Unit List'!$B$9:$E$241,4,0)</f>
        <v>Cold Rolling</v>
      </c>
      <c r="C59" s="952" t="str">
        <f>VLOOKUP(E59,'Unit List'!$B$9:$D$241,3,0)</f>
        <v>Electrolytic Cleaning Line</v>
      </c>
      <c r="D59" s="953"/>
      <c r="E59" s="414">
        <v>4405</v>
      </c>
      <c r="F59" s="376" t="s">
        <v>298</v>
      </c>
      <c r="G59" s="375">
        <v>33196.096000000005</v>
      </c>
      <c r="H59" s="461">
        <f t="shared" si="2"/>
        <v>2.3896471852633629E-2</v>
      </c>
      <c r="I59" s="462">
        <f>H59*Settings!$C$24</f>
        <v>0.64520474002110795</v>
      </c>
    </row>
    <row r="60" spans="2:9" x14ac:dyDescent="0.25">
      <c r="B60" s="356" t="str">
        <f>VLOOKUP(E60,'Unit List'!$B$9:$E$241,4,0)</f>
        <v>Cold Rolling</v>
      </c>
      <c r="C60" s="952" t="str">
        <f>VLOOKUP(E60,'Unit List'!$B$9:$D$241,3,0)</f>
        <v>Electrolytic Cleaning Line</v>
      </c>
      <c r="D60" s="953"/>
      <c r="E60" s="414">
        <v>4405</v>
      </c>
      <c r="F60" s="376" t="s">
        <v>295</v>
      </c>
      <c r="G60" s="375">
        <v>72504.028000000006</v>
      </c>
      <c r="H60" s="461">
        <f t="shared" si="2"/>
        <v>5.2192597114569146E-2</v>
      </c>
      <c r="I60" s="462">
        <f>H60*Settings!$C$24</f>
        <v>1.409200122093367</v>
      </c>
    </row>
    <row r="61" spans="2:9" x14ac:dyDescent="0.25">
      <c r="B61" s="356" t="str">
        <f>VLOOKUP(E61,'Unit List'!$B$9:$E$241,4,0)</f>
        <v>Cold Rolling</v>
      </c>
      <c r="C61" s="952" t="str">
        <f>VLOOKUP(E61,'Unit List'!$B$9:$D$241,3,0)</f>
        <v>Box Annealing 1</v>
      </c>
      <c r="D61" s="953"/>
      <c r="E61" s="414">
        <v>4410</v>
      </c>
      <c r="F61" s="376" t="s">
        <v>295</v>
      </c>
      <c r="G61" s="375">
        <v>85510.588000000003</v>
      </c>
      <c r="H61" s="461">
        <f t="shared" si="2"/>
        <v>6.1555472042379641E-2</v>
      </c>
      <c r="I61" s="462">
        <f>H61*Settings!$C$24</f>
        <v>1.6619977451442502</v>
      </c>
    </row>
    <row r="62" spans="2:9" x14ac:dyDescent="0.25">
      <c r="B62" s="356" t="str">
        <f>VLOOKUP(E62,'Unit List'!$B$9:$E$241,4,0)</f>
        <v>Cold Rolling</v>
      </c>
      <c r="C62" s="952" t="str">
        <f>VLOOKUP(E62,'Unit List'!$B$9:$D$241,3,0)</f>
        <v>Box Annealing 2</v>
      </c>
      <c r="D62" s="953"/>
      <c r="E62" s="414">
        <v>4420</v>
      </c>
      <c r="F62" s="376" t="s">
        <v>298</v>
      </c>
      <c r="G62" s="375">
        <v>12656.011</v>
      </c>
      <c r="H62" s="461">
        <f t="shared" ref="H62:H93" si="3">G62*$I$23</f>
        <v>9.1105294619018319E-3</v>
      </c>
      <c r="I62" s="462">
        <f>H62*Settings!$C$24</f>
        <v>0.24598429547134945</v>
      </c>
    </row>
    <row r="63" spans="2:9" x14ac:dyDescent="0.25">
      <c r="B63" s="356" t="str">
        <f>VLOOKUP(E63,'Unit List'!$B$9:$E$241,4,0)</f>
        <v>Cold Rolling</v>
      </c>
      <c r="C63" s="952" t="str">
        <f>VLOOKUP(E63,'Unit List'!$B$9:$D$241,3,0)</f>
        <v>Box Annealing 2</v>
      </c>
      <c r="D63" s="953"/>
      <c r="E63" s="414">
        <v>4420</v>
      </c>
      <c r="F63" s="376" t="s">
        <v>295</v>
      </c>
      <c r="G63" s="375">
        <v>120862.74800000001</v>
      </c>
      <c r="H63" s="461">
        <f t="shared" si="3"/>
        <v>8.7004003591685933E-2</v>
      </c>
      <c r="I63" s="462">
        <f>H63*Settings!$C$24</f>
        <v>2.3491080969755203</v>
      </c>
    </row>
    <row r="64" spans="2:9" x14ac:dyDescent="0.25">
      <c r="B64" s="356" t="str">
        <f>VLOOKUP(E64,'Unit List'!$B$9:$E$241,4,0)</f>
        <v>Cold Rolling</v>
      </c>
      <c r="C64" s="952" t="str">
        <f>VLOOKUP(E64,'Unit List'!$B$9:$D$241,3,0)</f>
        <v>Skin Pass Line 1,2</v>
      </c>
      <c r="D64" s="953"/>
      <c r="E64" s="414">
        <v>4510</v>
      </c>
      <c r="F64" s="376" t="s">
        <v>298</v>
      </c>
      <c r="G64" s="375">
        <v>3112.134</v>
      </c>
      <c r="H64" s="461">
        <f t="shared" si="3"/>
        <v>2.2402942361844022E-3</v>
      </c>
      <c r="I64" s="462">
        <f>H64*Settings!$C$24</f>
        <v>6.048794437697886E-2</v>
      </c>
    </row>
    <row r="65" spans="2:9" x14ac:dyDescent="0.25">
      <c r="B65" s="356" t="str">
        <f>VLOOKUP(E65,'Unit List'!$B$9:$E$241,4,0)</f>
        <v>Cold Rolling</v>
      </c>
      <c r="C65" s="952" t="str">
        <f>VLOOKUP(E65,'Unit List'!$B$9:$D$241,3,0)</f>
        <v>Skin Pass Line 1,2</v>
      </c>
      <c r="D65" s="953"/>
      <c r="E65" s="414">
        <v>4510</v>
      </c>
      <c r="F65" s="376" t="s">
        <v>295</v>
      </c>
      <c r="G65" s="375">
        <v>2023.4569999999999</v>
      </c>
      <c r="H65" s="461">
        <f t="shared" si="3"/>
        <v>1.4566015005353181E-3</v>
      </c>
      <c r="I65" s="462">
        <f>H65*Settings!$C$24</f>
        <v>3.9328240514453591E-2</v>
      </c>
    </row>
    <row r="66" spans="2:9" x14ac:dyDescent="0.25">
      <c r="B66" s="356" t="str">
        <f>VLOOKUP(E66,'Unit List'!$B$9:$E$241,4,0)</f>
        <v>Cold Rolling</v>
      </c>
      <c r="C66" s="952" t="str">
        <f>VLOOKUP(E66,'Unit List'!$B$9:$D$241,3,0)</f>
        <v>Skin Pass Line 1,2</v>
      </c>
      <c r="D66" s="953"/>
      <c r="E66" s="414">
        <v>4515</v>
      </c>
      <c r="F66" s="376" t="s">
        <v>298</v>
      </c>
      <c r="G66" s="375">
        <v>0</v>
      </c>
      <c r="H66" s="461">
        <f t="shared" si="3"/>
        <v>0</v>
      </c>
      <c r="I66" s="462">
        <f>H66*Settings!$C$24</f>
        <v>0</v>
      </c>
    </row>
    <row r="67" spans="2:9" x14ac:dyDescent="0.25">
      <c r="B67" s="356" t="str">
        <f>VLOOKUP(E67,'Unit List'!$B$9:$E$241,4,0)</f>
        <v>Cold Rolling</v>
      </c>
      <c r="C67" s="952" t="str">
        <f>VLOOKUP(E67,'Unit List'!$B$9:$D$241,3,0)</f>
        <v>Skin Pass Line 1,2</v>
      </c>
      <c r="D67" s="953"/>
      <c r="E67" s="414">
        <v>4515</v>
      </c>
      <c r="F67" s="376" t="s">
        <v>295</v>
      </c>
      <c r="G67" s="375">
        <v>2042.915</v>
      </c>
      <c r="H67" s="461">
        <f t="shared" si="3"/>
        <v>1.4706084954936574E-3</v>
      </c>
      <c r="I67" s="462">
        <f>H67*Settings!$C$24</f>
        <v>3.9706429378328752E-2</v>
      </c>
    </row>
    <row r="68" spans="2:9" x14ac:dyDescent="0.25">
      <c r="B68" s="356" t="str">
        <f>VLOOKUP(E68,'Unit List'!$B$9:$E$241,4,0)</f>
        <v>Cold Rolling</v>
      </c>
      <c r="C68" s="952" t="str">
        <f>VLOOKUP(E68,'Unit List'!$B$9:$D$241,3,0)</f>
        <v>Temper Mill</v>
      </c>
      <c r="D68" s="953"/>
      <c r="E68" s="414">
        <v>4520</v>
      </c>
      <c r="F68" s="376" t="s">
        <v>298</v>
      </c>
      <c r="G68" s="375">
        <v>17842.901000000002</v>
      </c>
      <c r="H68" s="461">
        <f t="shared" si="3"/>
        <v>1.2844353188875836E-2</v>
      </c>
      <c r="I68" s="462">
        <f>H68*Settings!$C$24</f>
        <v>0.34679753609964759</v>
      </c>
    </row>
    <row r="69" spans="2:9" x14ac:dyDescent="0.25">
      <c r="B69" s="356" t="str">
        <f>VLOOKUP(E69,'Unit List'!$B$9:$E$241,4,0)</f>
        <v>Cold Rolling</v>
      </c>
      <c r="C69" s="952" t="str">
        <f>VLOOKUP(E69,'Unit List'!$B$9:$D$241,3,0)</f>
        <v>Temper Mill</v>
      </c>
      <c r="D69" s="953"/>
      <c r="E69" s="414">
        <v>4520</v>
      </c>
      <c r="F69" s="376" t="s">
        <v>295</v>
      </c>
      <c r="G69" s="375">
        <v>2714.1590000000006</v>
      </c>
      <c r="H69" s="461">
        <f t="shared" si="3"/>
        <v>1.9538087896562367E-3</v>
      </c>
      <c r="I69" s="462">
        <f>H69*Settings!$C$24</f>
        <v>5.2752837320718393E-2</v>
      </c>
    </row>
    <row r="70" spans="2:9" x14ac:dyDescent="0.25">
      <c r="B70" s="356" t="str">
        <f>VLOOKUP(E70,'Unit List'!$B$9:$E$241,4,0)</f>
        <v>Cold Rolling</v>
      </c>
      <c r="C70" s="952" t="str">
        <f>VLOOKUP(E70,'Unit List'!$B$9:$D$241,3,0)</f>
        <v>Corrective Line 1-4</v>
      </c>
      <c r="D70" s="953"/>
      <c r="E70" s="414">
        <v>4610</v>
      </c>
      <c r="F70" s="376" t="s">
        <v>295</v>
      </c>
      <c r="G70" s="375">
        <v>739.34100000000001</v>
      </c>
      <c r="H70" s="461">
        <f t="shared" si="3"/>
        <v>5.3222045736938458E-4</v>
      </c>
      <c r="I70" s="462">
        <f>H70*Settings!$C$24</f>
        <v>1.4369952348973383E-2</v>
      </c>
    </row>
    <row r="71" spans="2:9" x14ac:dyDescent="0.25">
      <c r="B71" s="356" t="str">
        <f>VLOOKUP(E71,'Unit List'!$B$9:$E$241,4,0)</f>
        <v>Cold Rolling</v>
      </c>
      <c r="C71" s="952" t="str">
        <f>VLOOKUP(E71,'Unit List'!$B$9:$D$241,3,0)</f>
        <v>Corrective Line 1-4</v>
      </c>
      <c r="D71" s="953"/>
      <c r="E71" s="414">
        <v>4615</v>
      </c>
      <c r="F71" s="376" t="s">
        <v>295</v>
      </c>
      <c r="G71" s="375">
        <v>778.25300000000004</v>
      </c>
      <c r="H71" s="461">
        <f t="shared" si="3"/>
        <v>5.6023156785447537E-4</v>
      </c>
      <c r="I71" s="462">
        <f>H71*Settings!$C$24</f>
        <v>1.5126252332070834E-2</v>
      </c>
    </row>
    <row r="72" spans="2:9" x14ac:dyDescent="0.25">
      <c r="B72" s="356" t="str">
        <f>VLOOKUP(E72,'Unit List'!$B$9:$E$241,4,0)</f>
        <v>Cold Rolling</v>
      </c>
      <c r="C72" s="952" t="str">
        <f>VLOOKUP(E72,'Unit List'!$B$9:$D$241,3,0)</f>
        <v>Corrective Line 1-4</v>
      </c>
      <c r="D72" s="953"/>
      <c r="E72" s="414">
        <v>4616</v>
      </c>
      <c r="F72" s="376" t="s">
        <v>295</v>
      </c>
      <c r="G72" s="375">
        <v>0</v>
      </c>
      <c r="H72" s="461">
        <f t="shared" si="3"/>
        <v>0</v>
      </c>
      <c r="I72" s="462">
        <f>H72*Settings!$C$24</f>
        <v>0</v>
      </c>
    </row>
    <row r="73" spans="2:9" x14ac:dyDescent="0.25">
      <c r="B73" s="356" t="str">
        <f>VLOOKUP(E73,'Unit List'!$B$9:$E$241,4,0)</f>
        <v>Cold Rolling</v>
      </c>
      <c r="C73" s="952" t="str">
        <f>VLOOKUP(E73,'Unit List'!$B$9:$D$241,3,0)</f>
        <v>Corrective Line 1-4</v>
      </c>
      <c r="D73" s="953"/>
      <c r="E73" s="414">
        <v>4618</v>
      </c>
      <c r="F73" s="376" t="s">
        <v>295</v>
      </c>
      <c r="G73" s="375">
        <v>525.32100000000003</v>
      </c>
      <c r="H73" s="461">
        <f t="shared" si="3"/>
        <v>3.7815647026979765E-4</v>
      </c>
      <c r="I73" s="462">
        <f>H73*Settings!$C$24</f>
        <v>1.0210224697284536E-2</v>
      </c>
    </row>
    <row r="74" spans="2:9" x14ac:dyDescent="0.25">
      <c r="B74" s="356" t="str">
        <f>VLOOKUP(E74,'Unit List'!$B$9:$E$241,4,0)</f>
        <v>Cold Rolling</v>
      </c>
      <c r="C74" s="952" t="str">
        <f>VLOOKUP(E74,'Unit List'!$B$9:$D$241,3,0)</f>
        <v>Light Shearing Line (CRM)</v>
      </c>
      <c r="D74" s="953"/>
      <c r="E74" s="414">
        <v>4630</v>
      </c>
      <c r="F74" s="376" t="s">
        <v>295</v>
      </c>
      <c r="G74" s="375">
        <v>1040.914</v>
      </c>
      <c r="H74" s="461">
        <f t="shared" si="3"/>
        <v>7.493101629183226E-4</v>
      </c>
      <c r="I74" s="462">
        <f>H74*Settings!$C$24</f>
        <v>2.0231374398794709E-2</v>
      </c>
    </row>
    <row r="75" spans="2:9" x14ac:dyDescent="0.25">
      <c r="B75" s="356" t="str">
        <f>VLOOKUP(E75,'Unit List'!$B$9:$E$241,4,0)</f>
        <v>Cold Rolling</v>
      </c>
      <c r="C75" s="952" t="str">
        <f>VLOOKUP(E75,'Unit List'!$B$9:$D$241,3,0)</f>
        <v>Heavy Shearing Line (CRM)</v>
      </c>
      <c r="D75" s="953"/>
      <c r="E75" s="414">
        <v>4640</v>
      </c>
      <c r="F75" s="376" t="s">
        <v>295</v>
      </c>
      <c r="G75" s="375">
        <v>1109.0120000000002</v>
      </c>
      <c r="H75" s="461">
        <f t="shared" si="3"/>
        <v>7.9833104598302544E-4</v>
      </c>
      <c r="I75" s="462">
        <f>H75*Settings!$C$24</f>
        <v>2.1554938241541685E-2</v>
      </c>
    </row>
    <row r="76" spans="2:9" x14ac:dyDescent="0.25">
      <c r="B76" s="356" t="str">
        <f>VLOOKUP(E76,'Unit List'!$B$9:$E$241,4,0)</f>
        <v>Cold Rolling</v>
      </c>
      <c r="C76" s="952" t="str">
        <f>VLOOKUP(E76,'Unit List'!$B$9:$D$241,3,0)</f>
        <v>Tinning Line</v>
      </c>
      <c r="D76" s="953"/>
      <c r="E76" s="414">
        <v>4710</v>
      </c>
      <c r="F76" s="376" t="s">
        <v>298</v>
      </c>
      <c r="G76" s="375">
        <v>410179.26</v>
      </c>
      <c r="H76" s="461">
        <f t="shared" si="3"/>
        <v>0.29527077946527475</v>
      </c>
      <c r="I76" s="462">
        <f>H76*Settings!$C$24</f>
        <v>7.9723110455624182</v>
      </c>
    </row>
    <row r="77" spans="2:9" x14ac:dyDescent="0.25">
      <c r="B77" s="356" t="str">
        <f>VLOOKUP(E77,'Unit List'!$B$9:$E$241,4,0)</f>
        <v>Cold Rolling</v>
      </c>
      <c r="C77" s="952" t="str">
        <f>VLOOKUP(E77,'Unit List'!$B$9:$D$241,3,0)</f>
        <v>Galvanizing Line</v>
      </c>
      <c r="D77" s="953"/>
      <c r="E77" s="414">
        <v>4810</v>
      </c>
      <c r="F77" s="376" t="s">
        <v>298</v>
      </c>
      <c r="G77" s="375">
        <v>0</v>
      </c>
      <c r="H77" s="461">
        <f t="shared" si="3"/>
        <v>0</v>
      </c>
      <c r="I77" s="462">
        <f>H77*Settings!$C$24</f>
        <v>0</v>
      </c>
    </row>
    <row r="78" spans="2:9" x14ac:dyDescent="0.25">
      <c r="B78" s="356" t="str">
        <f>VLOOKUP(E78,'Unit List'!$B$9:$E$241,4,0)</f>
        <v>Cold Rolling</v>
      </c>
      <c r="C78" s="952" t="str">
        <f>VLOOKUP(E78,'Unit List'!$B$9:$D$241,3,0)</f>
        <v>Galvanizing Line</v>
      </c>
      <c r="D78" s="953"/>
      <c r="E78" s="414">
        <v>4810</v>
      </c>
      <c r="F78" s="376" t="s">
        <v>295</v>
      </c>
      <c r="G78" s="375">
        <v>160942.79400000002</v>
      </c>
      <c r="H78" s="461">
        <f t="shared" si="3"/>
        <v>0.11585594121384672</v>
      </c>
      <c r="I78" s="462">
        <f>H78*Settings!$C$24</f>
        <v>3.1281104127738617</v>
      </c>
    </row>
    <row r="79" spans="2:9" x14ac:dyDescent="0.25">
      <c r="B79" s="356" t="str">
        <f>VLOOKUP(E79,'Unit List'!$B$9:$E$241,4,0)</f>
        <v>Cold Rolling</v>
      </c>
      <c r="C79" s="952" t="str">
        <f>VLOOKUP(E79,'Unit List'!$B$9:$D$241,3,0)</f>
        <v>Coating Line</v>
      </c>
      <c r="D79" s="953"/>
      <c r="E79" s="414">
        <v>4820</v>
      </c>
      <c r="F79" s="376" t="s">
        <v>298</v>
      </c>
      <c r="G79" s="375">
        <v>20540.084999999999</v>
      </c>
      <c r="H79" s="461">
        <f t="shared" si="3"/>
        <v>1.4785942390731792E-2</v>
      </c>
      <c r="I79" s="462">
        <f>H79*Settings!$C$24</f>
        <v>0.39922044454975841</v>
      </c>
    </row>
    <row r="80" spans="2:9" x14ac:dyDescent="0.25">
      <c r="B80" s="356" t="str">
        <f>VLOOKUP(E80,'Unit List'!$B$9:$E$241,4,0)</f>
        <v>Cold Rolling</v>
      </c>
      <c r="C80" s="952" t="str">
        <f>VLOOKUP(E80,'Unit List'!$B$9:$D$241,3,0)</f>
        <v>Coating Line</v>
      </c>
      <c r="D80" s="953"/>
      <c r="E80" s="414">
        <v>4820</v>
      </c>
      <c r="F80" s="376" t="s">
        <v>295</v>
      </c>
      <c r="G80" s="375">
        <v>81327.476999999999</v>
      </c>
      <c r="H80" s="461">
        <f t="shared" si="3"/>
        <v>5.8544226555321696E-2</v>
      </c>
      <c r="I80" s="462">
        <f>H80*Settings!$C$24</f>
        <v>1.5806941169936859</v>
      </c>
    </row>
    <row r="81" spans="2:9" x14ac:dyDescent="0.25">
      <c r="B81" s="356" t="str">
        <f>VLOOKUP(E81,'Unit List'!$B$9:$E$241,4,0)</f>
        <v>Utility</v>
      </c>
      <c r="C81" s="952" t="str">
        <f>VLOOKUP(E81,'Unit List'!$B$9:$D$241,3,0)</f>
        <v>RO3</v>
      </c>
      <c r="D81" s="953"/>
      <c r="E81" s="414">
        <v>5105</v>
      </c>
      <c r="F81" s="376" t="s">
        <v>295</v>
      </c>
      <c r="G81" s="375">
        <v>1574360</v>
      </c>
      <c r="H81" s="461">
        <f t="shared" si="3"/>
        <v>1.1333154786006243</v>
      </c>
      <c r="I81" s="462">
        <f>H81*Settings!$C$24</f>
        <v>30.599517922216858</v>
      </c>
    </row>
    <row r="82" spans="2:9" x14ac:dyDescent="0.25">
      <c r="B82" s="356" t="str">
        <f>VLOOKUP(E82,'Unit List'!$B$9:$E$241,4,0)</f>
        <v>Utility</v>
      </c>
      <c r="C82" s="952" t="str">
        <f>VLOOKUP(E82,'Unit List'!$B$9:$D$241,3,0)</f>
        <v>Steam Production</v>
      </c>
      <c r="D82" s="953"/>
      <c r="E82" s="414">
        <v>5120</v>
      </c>
      <c r="F82" s="376">
        <v>53040</v>
      </c>
      <c r="G82" s="575">
        <v>141712</v>
      </c>
      <c r="H82" s="461">
        <f t="shared" si="3"/>
        <v>0.10201250228883589</v>
      </c>
      <c r="I82" s="462">
        <f>H82*Settings!$C$24</f>
        <v>2.754337561798569</v>
      </c>
    </row>
    <row r="83" spans="2:9" x14ac:dyDescent="0.25">
      <c r="B83" s="356" t="str">
        <f>VLOOKUP(E83,'Unit List'!$B$9:$E$241,4,0)</f>
        <v>Utility</v>
      </c>
      <c r="C83" s="952" t="str">
        <f>VLOOKUP(E83,'Unit List'!$B$9:$D$241,3,0)</f>
        <v>PowerPlant 1</v>
      </c>
      <c r="D83" s="953"/>
      <c r="E83" s="414">
        <v>5130</v>
      </c>
      <c r="F83" s="376" t="s">
        <v>295</v>
      </c>
      <c r="G83" s="375">
        <v>2954334</v>
      </c>
      <c r="H83" s="461">
        <f t="shared" si="3"/>
        <v>2.1267006600498597</v>
      </c>
      <c r="I83" s="462">
        <f>H83*Settings!$C$24</f>
        <v>57.420917821346208</v>
      </c>
    </row>
    <row r="84" spans="2:9" x14ac:dyDescent="0.25">
      <c r="B84" s="356" t="str">
        <f>VLOOKUP(E84,'Unit List'!$B$9:$E$241,4,0)</f>
        <v>Utility</v>
      </c>
      <c r="C84" s="952" t="str">
        <f>VLOOKUP(E84,'Unit List'!$B$9:$D$241,3,0)</f>
        <v>PowerPlant 2</v>
      </c>
      <c r="D84" s="953"/>
      <c r="E84" s="414">
        <v>5140</v>
      </c>
      <c r="F84" s="376" t="s">
        <v>295</v>
      </c>
      <c r="G84" s="375">
        <v>0</v>
      </c>
      <c r="H84" s="461">
        <f t="shared" si="3"/>
        <v>0</v>
      </c>
      <c r="I84" s="462">
        <f>H84*Settings!$C$24</f>
        <v>0</v>
      </c>
    </row>
    <row r="85" spans="2:9" x14ac:dyDescent="0.25">
      <c r="B85" s="356" t="str">
        <f>VLOOKUP(E85,'Unit List'!$B$9:$E$241,4,0)</f>
        <v>Utility</v>
      </c>
      <c r="C85" s="952" t="str">
        <f>VLOOKUP(E85,'Unit List'!$B$9:$D$241,3,0)</f>
        <v>PowerPlant 3</v>
      </c>
      <c r="D85" s="953"/>
      <c r="E85" s="414">
        <v>5150</v>
      </c>
      <c r="F85" s="376" t="s">
        <v>295</v>
      </c>
      <c r="G85" s="575">
        <v>0</v>
      </c>
      <c r="H85" s="461">
        <f t="shared" si="3"/>
        <v>0</v>
      </c>
      <c r="I85" s="462">
        <f>H85*Settings!$C$24</f>
        <v>0</v>
      </c>
    </row>
    <row r="86" spans="2:9" x14ac:dyDescent="0.25">
      <c r="B86" s="356" t="str">
        <f>VLOOKUP(E86,'Unit List'!$B$9:$E$241,4,0)</f>
        <v>Utility</v>
      </c>
      <c r="C86" s="952" t="str">
        <f>VLOOKUP(E86,'Unit List'!$B$9:$D$241,3,0)</f>
        <v>Compressed Air Production</v>
      </c>
      <c r="D86" s="953"/>
      <c r="E86" s="414">
        <v>5210</v>
      </c>
      <c r="F86" s="376" t="s">
        <v>295</v>
      </c>
      <c r="G86" s="375">
        <v>276897.34100000001</v>
      </c>
      <c r="H86" s="461">
        <f t="shared" si="3"/>
        <v>0.19932673755599437</v>
      </c>
      <c r="I86" s="462">
        <f>H86*Settings!$C$24</f>
        <v>5.381821914011848</v>
      </c>
    </row>
    <row r="87" spans="2:9" x14ac:dyDescent="0.25">
      <c r="B87" s="356" t="str">
        <f>VLOOKUP(E87,'Unit List'!$B$9:$E$241,4,0)</f>
        <v>Utility</v>
      </c>
      <c r="C87" s="952" t="str">
        <f>VLOOKUP(E87,'Unit List'!$B$9:$D$241,3,0)</f>
        <v>Oxygen &amp; Hydrogen</v>
      </c>
      <c r="D87" s="953"/>
      <c r="E87" s="414">
        <v>5220</v>
      </c>
      <c r="F87" s="376" t="s">
        <v>298</v>
      </c>
      <c r="G87" s="375">
        <v>8672</v>
      </c>
      <c r="H87" s="461">
        <f t="shared" si="3"/>
        <v>6.2426076821213792E-3</v>
      </c>
      <c r="I87" s="462">
        <f>H87*Settings!$C$24</f>
        <v>0.16855040741727723</v>
      </c>
    </row>
    <row r="88" spans="2:9" x14ac:dyDescent="0.25">
      <c r="B88" s="356" t="str">
        <f>VLOOKUP(E88,'Unit List'!$B$9:$E$241,4,0)</f>
        <v>Utility</v>
      </c>
      <c r="C88" s="952" t="str">
        <f>VLOOKUP(E88,'Unit List'!$B$9:$D$241,3,0)</f>
        <v>Oxygen &amp; Hydrogen</v>
      </c>
      <c r="D88" s="953"/>
      <c r="E88" s="414">
        <v>5220</v>
      </c>
      <c r="F88" s="376" t="s">
        <v>295</v>
      </c>
      <c r="G88" s="375">
        <v>857462.65899999999</v>
      </c>
      <c r="H88" s="461">
        <f t="shared" si="3"/>
        <v>0.61725126639825001</v>
      </c>
      <c r="I88" s="462">
        <f>H88*Settings!$C$24</f>
        <v>16.665784192752749</v>
      </c>
    </row>
    <row r="89" spans="2:9" x14ac:dyDescent="0.25">
      <c r="B89" s="356" t="str">
        <f>VLOOKUP(E89,'Unit List'!$B$9:$E$241,4,0)</f>
        <v>Utility</v>
      </c>
      <c r="C89" s="952" t="str">
        <f>VLOOKUP(E89,'Unit List'!$B$9:$D$241,3,0)</f>
        <v>Industrial Water Distribution</v>
      </c>
      <c r="D89" s="953"/>
      <c r="E89" s="414">
        <v>5311</v>
      </c>
      <c r="F89" s="376">
        <v>55060</v>
      </c>
      <c r="G89" s="690">
        <v>1566608.5</v>
      </c>
      <c r="H89" s="461">
        <f t="shared" si="3"/>
        <v>1.1277355001126212</v>
      </c>
      <c r="I89" s="462">
        <f>H89*Settings!$C$24</f>
        <v>30.448858503040775</v>
      </c>
    </row>
    <row r="90" spans="2:9" x14ac:dyDescent="0.25">
      <c r="B90" s="356" t="str">
        <f>VLOOKUP(E90,'Unit List'!$B$9:$E$241,4,0)</f>
        <v>Utility</v>
      </c>
      <c r="C90" s="952" t="str">
        <f>VLOOKUP(E90,'Unit List'!$B$9:$D$241,3,0)</f>
        <v>Water Conditioning</v>
      </c>
      <c r="D90" s="953"/>
      <c r="E90" s="414">
        <v>5330</v>
      </c>
      <c r="F90" s="376">
        <v>55060</v>
      </c>
      <c r="G90" s="690">
        <v>19103</v>
      </c>
      <c r="H90" s="461">
        <f t="shared" si="3"/>
        <v>1.3751445404931355E-2</v>
      </c>
      <c r="I90" s="462">
        <f>H90*Settings!$C$24</f>
        <v>0.37128902593314661</v>
      </c>
    </row>
    <row r="91" spans="2:9" x14ac:dyDescent="0.25">
      <c r="B91" s="356" t="str">
        <f>VLOOKUP(E91,'Unit List'!$B$9:$E$241,4,0)</f>
        <v>Utility</v>
      </c>
      <c r="C91" s="952" t="str">
        <f>VLOOKUP(E91,'Unit List'!$B$9:$D$241,3,0)</f>
        <v>Water Conditioning</v>
      </c>
      <c r="D91" s="953"/>
      <c r="E91" s="414">
        <v>5335</v>
      </c>
      <c r="F91" s="376">
        <v>55060</v>
      </c>
      <c r="G91" s="690">
        <v>0</v>
      </c>
      <c r="H91" s="461">
        <f t="shared" si="3"/>
        <v>0</v>
      </c>
      <c r="I91" s="462">
        <f>H91*Settings!$C$24</f>
        <v>0</v>
      </c>
    </row>
    <row r="92" spans="2:9" x14ac:dyDescent="0.25">
      <c r="B92" s="356" t="str">
        <f>VLOOKUP(E92,'Unit List'!$B$9:$E$241,4,0)</f>
        <v>Utility</v>
      </c>
      <c r="C92" s="952" t="str">
        <f>VLOOKUP(E92,'Unit List'!$B$9:$D$241,3,0)</f>
        <v>Hot Strip Mill Treatment</v>
      </c>
      <c r="D92" s="953"/>
      <c r="E92" s="414">
        <v>5340</v>
      </c>
      <c r="F92" s="376" t="s">
        <v>295</v>
      </c>
      <c r="G92" s="375">
        <v>325705.52600000001</v>
      </c>
      <c r="H92" s="461">
        <f t="shared" si="3"/>
        <v>0.23446169496275193</v>
      </c>
      <c r="I92" s="462">
        <f>H92*Settings!$C$24</f>
        <v>6.3304657639943018</v>
      </c>
    </row>
    <row r="93" spans="2:9" x14ac:dyDescent="0.25">
      <c r="B93" s="356" t="str">
        <f>VLOOKUP(E93,'Unit List'!$B$9:$E$241,4,0)</f>
        <v>Utility</v>
      </c>
      <c r="C93" s="952" t="str">
        <f>VLOOKUP(E93,'Unit List'!$B$9:$D$241,3,0)</f>
        <v>Sewage Treatment</v>
      </c>
      <c r="D93" s="953"/>
      <c r="E93" s="414">
        <v>5350</v>
      </c>
      <c r="F93" s="376" t="s">
        <v>295</v>
      </c>
      <c r="G93" s="375">
        <v>112522</v>
      </c>
      <c r="H93" s="461">
        <f t="shared" si="3"/>
        <v>8.0999850277636287E-2</v>
      </c>
      <c r="I93" s="462">
        <f>H93*Settings!$C$24</f>
        <v>2.1869959574961797</v>
      </c>
    </row>
    <row r="94" spans="2:9" x14ac:dyDescent="0.25">
      <c r="B94" s="356" t="str">
        <f>VLOOKUP(E94,'Unit List'!$B$9:$E$241,4,0)</f>
        <v>Utility</v>
      </c>
      <c r="C94" s="952" t="str">
        <f>VLOOKUP(E94,'Unit List'!$B$9:$D$241,3,0)</f>
        <v>Emulsion Breaking System</v>
      </c>
      <c r="D94" s="953"/>
      <c r="E94" s="414">
        <v>5360</v>
      </c>
      <c r="F94" s="376" t="s">
        <v>295</v>
      </c>
      <c r="G94" s="375">
        <v>27659</v>
      </c>
      <c r="H94" s="461">
        <f t="shared" ref="H94:H110" si="4">G94*$I$23</f>
        <v>1.9910549571009597E-2</v>
      </c>
      <c r="I94" s="462">
        <f>H94*Settings!$C$24</f>
        <v>0.53758483841725913</v>
      </c>
    </row>
    <row r="95" spans="2:9" x14ac:dyDescent="0.25">
      <c r="B95" s="356" t="str">
        <f>VLOOKUP(E95,'Unit List'!$B$9:$E$241,4,0)</f>
        <v>Utility</v>
      </c>
      <c r="C95" s="952" t="str">
        <f>VLOOKUP(E95,'Unit List'!$B$9:$D$241,3,0)</f>
        <v>Steam Production (PU:55)</v>
      </c>
      <c r="D95" s="953"/>
      <c r="E95" s="414">
        <v>5362</v>
      </c>
      <c r="F95" s="376" t="s">
        <v>298</v>
      </c>
      <c r="G95" s="375">
        <v>87386</v>
      </c>
      <c r="H95" s="461">
        <f t="shared" si="4"/>
        <v>6.2905502180564898E-2</v>
      </c>
      <c r="I95" s="462">
        <f>H95*Settings!$C$24</f>
        <v>1.6984485588752523</v>
      </c>
    </row>
    <row r="96" spans="2:9" x14ac:dyDescent="0.25">
      <c r="B96" s="356" t="str">
        <f>VLOOKUP(E96,'Unit List'!$B$9:$E$241,4,0)</f>
        <v>Utility</v>
      </c>
      <c r="C96" s="952" t="str">
        <f>VLOOKUP(E96,'Unit List'!$B$9:$D$241,3,0)</f>
        <v>Cold Roll Mill Treatment</v>
      </c>
      <c r="D96" s="953"/>
      <c r="E96" s="414">
        <v>5363</v>
      </c>
      <c r="F96" s="376" t="s">
        <v>295</v>
      </c>
      <c r="G96" s="375">
        <v>182569</v>
      </c>
      <c r="H96" s="461">
        <f t="shared" si="4"/>
        <v>0.13142373638344304</v>
      </c>
      <c r="I96" s="462">
        <f>H96*Settings!$C$24</f>
        <v>3.5484408823529621</v>
      </c>
    </row>
    <row r="97" spans="2:9" x14ac:dyDescent="0.25">
      <c r="B97" s="356" t="str">
        <f>VLOOKUP(E97,'Unit List'!$B$9:$E$241,4,0)</f>
        <v>Utility</v>
      </c>
      <c r="C97" s="952" t="str">
        <f>VLOOKUP(E97,'Unit List'!$B$9:$D$241,3,0)</f>
        <v>RO1</v>
      </c>
      <c r="D97" s="953"/>
      <c r="E97" s="414">
        <v>5364</v>
      </c>
      <c r="F97" s="376" t="s">
        <v>295</v>
      </c>
      <c r="G97" s="375">
        <v>1043403.3999999999</v>
      </c>
      <c r="H97" s="461">
        <f t="shared" si="4"/>
        <v>0.75110217716692407</v>
      </c>
      <c r="I97" s="462">
        <f>H97*Settings!$C$24</f>
        <v>20.279758783506949</v>
      </c>
    </row>
    <row r="98" spans="2:9" x14ac:dyDescent="0.25">
      <c r="B98" s="356" t="str">
        <f>VLOOKUP(E98,'Unit List'!$B$9:$E$241,4,0)</f>
        <v>Utility</v>
      </c>
      <c r="C98" s="952" t="str">
        <f>VLOOKUP(E98,'Unit List'!$B$9:$D$241,3,0)</f>
        <v>RO1</v>
      </c>
      <c r="D98" s="953"/>
      <c r="E98" s="414">
        <v>5364</v>
      </c>
      <c r="F98" s="376" t="s">
        <v>298</v>
      </c>
      <c r="G98" s="375">
        <v>8196</v>
      </c>
      <c r="H98" s="461">
        <f t="shared" si="4"/>
        <v>5.89995532318575E-3</v>
      </c>
      <c r="I98" s="462">
        <f>H98*Settings!$C$24</f>
        <v>0.15929879372601524</v>
      </c>
    </row>
    <row r="99" spans="2:9" x14ac:dyDescent="0.25">
      <c r="B99" s="356" t="str">
        <f>VLOOKUP(E99,'Unit List'!$B$9:$E$241,4,0)</f>
        <v>Utility</v>
      </c>
      <c r="C99" s="952" t="str">
        <f>VLOOKUP(E99,'Unit List'!$B$9:$D$241,3,0)</f>
        <v>RO2</v>
      </c>
      <c r="D99" s="953"/>
      <c r="E99" s="414">
        <v>5365</v>
      </c>
      <c r="F99" s="376" t="s">
        <v>295</v>
      </c>
      <c r="G99" s="375">
        <v>509731.30000000005</v>
      </c>
      <c r="H99" s="461">
        <f t="shared" si="4"/>
        <v>0.36693410161412798</v>
      </c>
      <c r="I99" s="462">
        <f>H99*Settings!$C$24</f>
        <v>9.9072207435814548</v>
      </c>
    </row>
    <row r="100" spans="2:9" x14ac:dyDescent="0.25">
      <c r="B100" s="356" t="str">
        <f>VLOOKUP(E100,'Unit List'!$B$9:$E$241,4,0)</f>
        <v>Utility</v>
      </c>
      <c r="C100" s="952" t="str">
        <f>VLOOKUP(E100,'Unit List'!$B$9:$D$241,3,0)</f>
        <v>RO2</v>
      </c>
      <c r="D100" s="953"/>
      <c r="E100" s="414">
        <v>5365</v>
      </c>
      <c r="F100" s="376" t="s">
        <v>298</v>
      </c>
      <c r="G100" s="375">
        <v>516</v>
      </c>
      <c r="H100" s="461">
        <f t="shared" si="4"/>
        <v>3.7144667481257284E-4</v>
      </c>
      <c r="I100" s="462">
        <f>H100*Settings!$C$24</f>
        <v>1.0029060219939467E-2</v>
      </c>
    </row>
    <row r="101" spans="2:9" x14ac:dyDescent="0.25">
      <c r="B101" s="356" t="str">
        <f>VLOOKUP(E101,'Unit List'!$B$9:$E$241,4,0)</f>
        <v>Utility</v>
      </c>
      <c r="C101" s="952" t="str">
        <f>VLOOKUP(E101,'Unit List'!$B$9:$D$241,3,0)</f>
        <v>Chemical Infusion</v>
      </c>
      <c r="D101" s="953"/>
      <c r="E101" s="414">
        <v>5366</v>
      </c>
      <c r="F101" s="376" t="s">
        <v>295</v>
      </c>
      <c r="G101" s="375">
        <v>21899.8</v>
      </c>
      <c r="H101" s="461">
        <f t="shared" si="4"/>
        <v>1.5764743971047254E-2</v>
      </c>
      <c r="I101" s="462">
        <f>H101*Settings!$C$24</f>
        <v>0.42564808721827585</v>
      </c>
    </row>
    <row r="102" spans="2:9" x14ac:dyDescent="0.25">
      <c r="B102" s="356" t="str">
        <f>VLOOKUP(E102,'Unit List'!$B$9:$E$241,4,0)</f>
        <v>Maintenance</v>
      </c>
      <c r="C102" s="952" t="str">
        <f>VLOOKUP(E102,'Unit List'!$B$9:$D$241,3,0)</f>
        <v>-</v>
      </c>
      <c r="D102" s="953"/>
      <c r="E102" s="414">
        <v>7301</v>
      </c>
      <c r="F102" s="376" t="s">
        <v>295</v>
      </c>
      <c r="G102" s="375">
        <v>20903.25</v>
      </c>
      <c r="H102" s="461">
        <f t="shared" si="4"/>
        <v>1.5047369583868049E-2</v>
      </c>
      <c r="I102" s="462">
        <f>H102*Settings!$C$24</f>
        <v>0.4062789787644373</v>
      </c>
    </row>
    <row r="103" spans="2:9" x14ac:dyDescent="0.25">
      <c r="B103" s="356" t="str">
        <f>VLOOKUP(E103,'Unit List'!$B$9:$E$241,4,0)</f>
        <v>Maintenance</v>
      </c>
      <c r="C103" s="952" t="str">
        <f>VLOOKUP(E103,'Unit List'!$B$9:$D$241,3,0)</f>
        <v>-</v>
      </c>
      <c r="D103" s="953"/>
      <c r="E103" s="414">
        <v>7330</v>
      </c>
      <c r="F103" s="376" t="s">
        <v>295</v>
      </c>
      <c r="G103" s="375">
        <v>5574.2</v>
      </c>
      <c r="H103" s="461">
        <f t="shared" si="4"/>
        <v>4.0126318890314795E-3</v>
      </c>
      <c r="I103" s="462">
        <f>H103*Settings!$C$24</f>
        <v>0.10834106100384995</v>
      </c>
    </row>
    <row r="104" spans="2:9" x14ac:dyDescent="0.25">
      <c r="B104" s="356" t="str">
        <f>VLOOKUP(E104,'Unit List'!$B$9:$E$241,4,0)</f>
        <v>Maintenance</v>
      </c>
      <c r="C104" s="952" t="str">
        <f>VLOOKUP(E104,'Unit List'!$B$9:$D$241,3,0)</f>
        <v>-</v>
      </c>
      <c r="D104" s="953"/>
      <c r="E104" s="414">
        <v>7340</v>
      </c>
      <c r="F104" s="376" t="s">
        <v>295</v>
      </c>
      <c r="G104" s="375">
        <v>1393.55</v>
      </c>
      <c r="H104" s="461">
        <f t="shared" si="4"/>
        <v>1.0031579722578699E-3</v>
      </c>
      <c r="I104" s="462">
        <f>H104*Settings!$C$24</f>
        <v>2.7085265250962488E-2</v>
      </c>
    </row>
    <row r="105" spans="2:9" x14ac:dyDescent="0.25">
      <c r="B105" s="356" t="e">
        <f>VLOOKUP(E105,'Unit List'!$B$9:$E$241,4,0)</f>
        <v>#N/A</v>
      </c>
      <c r="C105" s="952" t="e">
        <f>VLOOKUP(E105,'Unit List'!$B$9:$D$241,3,0)</f>
        <v>#N/A</v>
      </c>
      <c r="D105" s="953"/>
      <c r="E105" s="414"/>
      <c r="F105" s="376"/>
      <c r="G105" s="375"/>
      <c r="H105" s="461">
        <f t="shared" si="4"/>
        <v>0</v>
      </c>
      <c r="I105" s="462">
        <f>H105*Settings!$C$24</f>
        <v>0</v>
      </c>
    </row>
    <row r="106" spans="2:9" x14ac:dyDescent="0.25">
      <c r="B106" s="356" t="e">
        <f>VLOOKUP(E106,'Unit List'!$B$9:$E$241,4,0)</f>
        <v>#N/A</v>
      </c>
      <c r="C106" s="952" t="e">
        <f>VLOOKUP(E106,'Unit List'!$B$9:$D$241,3,0)</f>
        <v>#N/A</v>
      </c>
      <c r="D106" s="953"/>
      <c r="E106" s="414"/>
      <c r="F106" s="376"/>
      <c r="G106" s="375"/>
      <c r="H106" s="461">
        <f t="shared" si="4"/>
        <v>0</v>
      </c>
      <c r="I106" s="462">
        <f>H106*Settings!$C$24</f>
        <v>0</v>
      </c>
    </row>
    <row r="107" spans="2:9" x14ac:dyDescent="0.25">
      <c r="B107" s="356" t="e">
        <f>VLOOKUP(E107,'Unit List'!$B$9:$E$241,4,0)</f>
        <v>#N/A</v>
      </c>
      <c r="C107" s="952" t="e">
        <f>VLOOKUP(E107,'Unit List'!$B$9:$D$241,3,0)</f>
        <v>#N/A</v>
      </c>
      <c r="D107" s="953"/>
      <c r="E107" s="414"/>
      <c r="F107" s="376"/>
      <c r="G107" s="375"/>
      <c r="H107" s="461">
        <f t="shared" si="4"/>
        <v>0</v>
      </c>
      <c r="I107" s="462">
        <f>H107*Settings!$C$24</f>
        <v>0</v>
      </c>
    </row>
    <row r="108" spans="2:9" x14ac:dyDescent="0.25">
      <c r="B108" s="356" t="e">
        <f>VLOOKUP(E108,'Unit List'!$B$9:$E$241,4,0)</f>
        <v>#N/A</v>
      </c>
      <c r="C108" s="952" t="e">
        <f>VLOOKUP(E108,'Unit List'!$B$9:$D$241,3,0)</f>
        <v>#N/A</v>
      </c>
      <c r="D108" s="953"/>
      <c r="E108" s="414"/>
      <c r="F108" s="376"/>
      <c r="G108" s="375"/>
      <c r="H108" s="461">
        <f t="shared" si="4"/>
        <v>0</v>
      </c>
      <c r="I108" s="462">
        <f>H108*Settings!$C$24</f>
        <v>0</v>
      </c>
    </row>
    <row r="109" spans="2:9" x14ac:dyDescent="0.25">
      <c r="B109" s="356" t="e">
        <f>VLOOKUP(E109,'Unit List'!$B$9:$E$241,4,0)</f>
        <v>#N/A</v>
      </c>
      <c r="C109" s="952" t="e">
        <f>VLOOKUP(E109,'Unit List'!$B$9:$D$241,3,0)</f>
        <v>#N/A</v>
      </c>
      <c r="D109" s="953"/>
      <c r="E109" s="414"/>
      <c r="F109" s="376"/>
      <c r="G109" s="375"/>
      <c r="H109" s="461">
        <f t="shared" si="4"/>
        <v>0</v>
      </c>
      <c r="I109" s="462">
        <f>H109*Settings!$C$24</f>
        <v>0</v>
      </c>
    </row>
    <row r="110" spans="2:9" x14ac:dyDescent="0.25">
      <c r="B110" s="356" t="e">
        <f>VLOOKUP(E110,'Unit List'!$B$9:$E$241,4,0)</f>
        <v>#N/A</v>
      </c>
      <c r="C110" s="952" t="e">
        <f>VLOOKUP(E110,'Unit List'!$B$9:$D$241,3,0)</f>
        <v>#N/A</v>
      </c>
      <c r="D110" s="953"/>
      <c r="E110" s="414"/>
      <c r="F110" s="376"/>
      <c r="G110" s="375"/>
      <c r="H110" s="461">
        <f t="shared" si="4"/>
        <v>0</v>
      </c>
      <c r="I110" s="462">
        <f>H110*Settings!$C$24</f>
        <v>0</v>
      </c>
    </row>
    <row r="111" spans="2:9" ht="30" customHeight="1" x14ac:dyDescent="0.25">
      <c r="B111" s="355" t="s">
        <v>410</v>
      </c>
      <c r="C111" s="956"/>
      <c r="D111" s="957"/>
      <c r="E111" s="355"/>
      <c r="F111" s="355"/>
      <c r="G111" s="135">
        <f>_xlfn.AGGREGATE(9,6,G30:G110)</f>
        <v>30738202.023000002</v>
      </c>
      <c r="H111" s="135">
        <f>_xlfn.AGGREGATE(9,6,H30:H110)</f>
        <v>22.127137463489248</v>
      </c>
      <c r="I111" s="135">
        <f>_xlfn.AGGREGATE(9,6,I30:I110)</f>
        <v>597.43271151421004</v>
      </c>
    </row>
    <row r="115" spans="2:9" ht="30" customHeight="1" x14ac:dyDescent="0.25">
      <c r="B115" s="261"/>
      <c r="C115" s="262"/>
      <c r="D115" s="254" t="s">
        <v>1126</v>
      </c>
      <c r="F115" s="381" t="s">
        <v>1131</v>
      </c>
      <c r="G115" s="381"/>
      <c r="H115" s="381"/>
      <c r="I115" s="381"/>
    </row>
    <row r="116" spans="2:9" ht="13.8" customHeight="1" x14ac:dyDescent="0.25">
      <c r="B116" s="264"/>
      <c r="C116" s="265"/>
      <c r="D116" s="233" t="s">
        <v>1127</v>
      </c>
      <c r="F116" s="1014" t="s">
        <v>329</v>
      </c>
      <c r="G116" s="1015" t="s">
        <v>335</v>
      </c>
      <c r="H116" s="374" t="s">
        <v>406</v>
      </c>
      <c r="I116" s="374" t="s">
        <v>406</v>
      </c>
    </row>
    <row r="117" spans="2:9" ht="16.2" x14ac:dyDescent="0.25">
      <c r="B117" s="264"/>
      <c r="C117" s="265"/>
      <c r="D117" s="233" t="s">
        <v>1128</v>
      </c>
      <c r="F117" s="1008"/>
      <c r="G117" s="1016"/>
      <c r="H117" s="355" t="s">
        <v>1122</v>
      </c>
      <c r="I117" s="355" t="s">
        <v>222</v>
      </c>
    </row>
    <row r="118" spans="2:9" x14ac:dyDescent="0.25">
      <c r="B118" s="264"/>
      <c r="C118" s="265"/>
      <c r="D118" s="233" t="s">
        <v>1129</v>
      </c>
      <c r="F118" s="353" t="s">
        <v>1892</v>
      </c>
      <c r="G118" s="91" t="s">
        <v>337</v>
      </c>
      <c r="H118" s="456">
        <f t="shared" ref="H118:H125" si="5">SUMIF($B$30:$B$110,G118,$H$30:$H$110)</f>
        <v>7.3514767980602045</v>
      </c>
      <c r="I118" s="19">
        <f t="shared" ref="I118:I125" si="6">SUMIF($B$30:$B$110,G118,$I$30:$I$110)</f>
        <v>198.48987354762554</v>
      </c>
    </row>
    <row r="119" spans="2:9" x14ac:dyDescent="0.25">
      <c r="B119" s="266"/>
      <c r="C119" s="267"/>
      <c r="D119" s="234"/>
      <c r="F119" s="353" t="s">
        <v>1893</v>
      </c>
      <c r="G119" s="91" t="s">
        <v>338</v>
      </c>
      <c r="H119" s="456">
        <f t="shared" si="5"/>
        <v>5.4587290129363835</v>
      </c>
      <c r="I119" s="19">
        <f t="shared" si="6"/>
        <v>147.38568334928237</v>
      </c>
    </row>
    <row r="120" spans="2:9" x14ac:dyDescent="0.25">
      <c r="F120" s="353" t="s">
        <v>1894</v>
      </c>
      <c r="G120" s="91" t="s">
        <v>339</v>
      </c>
      <c r="H120" s="456">
        <f t="shared" si="5"/>
        <v>0.85370400911952404</v>
      </c>
      <c r="I120" s="19">
        <f t="shared" si="6"/>
        <v>23.050008246227147</v>
      </c>
    </row>
    <row r="121" spans="2:9" x14ac:dyDescent="0.25">
      <c r="F121" s="353" t="s">
        <v>1895</v>
      </c>
      <c r="G121" s="91" t="s">
        <v>340</v>
      </c>
      <c r="H121" s="456">
        <f t="shared" si="5"/>
        <v>1.4470545277092328</v>
      </c>
      <c r="I121" s="19">
        <f t="shared" si="6"/>
        <v>39.070472248149287</v>
      </c>
    </row>
    <row r="122" spans="2:9" x14ac:dyDescent="0.25">
      <c r="B122" s="261"/>
      <c r="C122" s="262"/>
      <c r="D122" s="263"/>
      <c r="F122" s="353" t="s">
        <v>1896</v>
      </c>
      <c r="G122" s="91" t="s">
        <v>341</v>
      </c>
      <c r="H122" s="456">
        <f t="shared" si="5"/>
        <v>6.9961099562187412</v>
      </c>
      <c r="I122" s="19">
        <f t="shared" si="6"/>
        <v>188.89496881790603</v>
      </c>
    </row>
    <row r="123" spans="2:9" x14ac:dyDescent="0.25">
      <c r="B123" s="264"/>
      <c r="C123" s="265"/>
      <c r="D123" s="232" t="s">
        <v>1130</v>
      </c>
      <c r="F123" s="353" t="s">
        <v>1897</v>
      </c>
      <c r="G123" s="91" t="s">
        <v>342</v>
      </c>
      <c r="H123" s="456">
        <f t="shared" si="5"/>
        <v>0</v>
      </c>
      <c r="I123" s="19">
        <f t="shared" si="6"/>
        <v>0</v>
      </c>
    </row>
    <row r="124" spans="2:9" ht="14.4" customHeight="1" x14ac:dyDescent="0.25">
      <c r="B124" s="1052" t="s">
        <v>1161</v>
      </c>
      <c r="C124" s="1053"/>
      <c r="D124" s="1054"/>
      <c r="F124" s="353" t="s">
        <v>1898</v>
      </c>
      <c r="G124" s="91" t="s">
        <v>343</v>
      </c>
      <c r="H124" s="456">
        <f t="shared" si="5"/>
        <v>2.0063159445157398E-2</v>
      </c>
      <c r="I124" s="19">
        <f t="shared" si="6"/>
        <v>0.54170530501924974</v>
      </c>
    </row>
    <row r="125" spans="2:9" x14ac:dyDescent="0.25">
      <c r="B125" s="1055"/>
      <c r="C125" s="1056"/>
      <c r="D125" s="1057"/>
      <c r="F125" s="353" t="s">
        <v>1899</v>
      </c>
      <c r="G125" s="91" t="s">
        <v>510</v>
      </c>
      <c r="H125" s="456">
        <f t="shared" si="5"/>
        <v>0</v>
      </c>
      <c r="I125" s="19">
        <f t="shared" si="6"/>
        <v>0</v>
      </c>
    </row>
    <row r="126" spans="2:9" ht="30" customHeight="1" x14ac:dyDescent="0.25">
      <c r="F126" s="396" t="s">
        <v>410</v>
      </c>
      <c r="G126" s="438"/>
      <c r="H126" s="42">
        <f>_xlfn.AGGREGATE(9,6,H118:H125)</f>
        <v>22.127137463489245</v>
      </c>
      <c r="I126" s="42">
        <f>_xlfn.AGGREGATE(9,6,I118:I125)</f>
        <v>597.4327115142097</v>
      </c>
    </row>
    <row r="127" spans="2:9" x14ac:dyDescent="0.25">
      <c r="B127" s="261"/>
      <c r="C127" s="262"/>
      <c r="D127" s="263"/>
    </row>
    <row r="128" spans="2:9" ht="14.4" customHeight="1" x14ac:dyDescent="0.25">
      <c r="B128" s="1052" t="s">
        <v>1159</v>
      </c>
      <c r="C128" s="1053"/>
      <c r="D128" s="1054"/>
    </row>
    <row r="129" spans="2:4" ht="14.4" customHeight="1" x14ac:dyDescent="0.25">
      <c r="B129" s="1052"/>
      <c r="C129" s="1053"/>
      <c r="D129" s="1054"/>
    </row>
    <row r="130" spans="2:4" ht="14.4" customHeight="1" x14ac:dyDescent="0.25">
      <c r="B130" s="740"/>
      <c r="C130" s="741"/>
      <c r="D130" s="742"/>
    </row>
    <row r="131" spans="2:4" ht="14.4" customHeight="1" x14ac:dyDescent="0.25">
      <c r="B131" s="1052" t="s">
        <v>1314</v>
      </c>
      <c r="C131" s="1053"/>
      <c r="D131" s="1054"/>
    </row>
    <row r="132" spans="2:4" x14ac:dyDescent="0.25">
      <c r="B132" s="1052"/>
      <c r="C132" s="1053"/>
      <c r="D132" s="1054"/>
    </row>
    <row r="133" spans="2:4" x14ac:dyDescent="0.25">
      <c r="B133" s="266"/>
      <c r="C133" s="267"/>
      <c r="D133" s="268"/>
    </row>
  </sheetData>
  <protectedRanges>
    <protectedRange sqref="C10:D18 G10:H18 J10:J18 C23:E23 E30:G110" name="Range1"/>
  </protectedRanges>
  <mergeCells count="100">
    <mergeCell ref="B8:B9"/>
    <mergeCell ref="F116:F117"/>
    <mergeCell ref="G116:G117"/>
    <mergeCell ref="B28:B29"/>
    <mergeCell ref="E28:E29"/>
    <mergeCell ref="C30:D30"/>
    <mergeCell ref="C31:D31"/>
    <mergeCell ref="C32:D32"/>
    <mergeCell ref="C33:D33"/>
    <mergeCell ref="C34:D34"/>
    <mergeCell ref="C36:D36"/>
    <mergeCell ref="C35:D35"/>
    <mergeCell ref="G28:G29"/>
    <mergeCell ref="C42:D42"/>
    <mergeCell ref="C43:D43"/>
    <mergeCell ref="C44:D44"/>
    <mergeCell ref="C40:D40"/>
    <mergeCell ref="C57:D57"/>
    <mergeCell ref="J8:J9"/>
    <mergeCell ref="C28:D29"/>
    <mergeCell ref="F28:F29"/>
    <mergeCell ref="J21:J23"/>
    <mergeCell ref="C21:D21"/>
    <mergeCell ref="C22:D22"/>
    <mergeCell ref="C23:D23"/>
    <mergeCell ref="C45:D45"/>
    <mergeCell ref="C46:D46"/>
    <mergeCell ref="C37:D37"/>
    <mergeCell ref="C38:D38"/>
    <mergeCell ref="C39:D39"/>
    <mergeCell ref="C56:D56"/>
    <mergeCell ref="C47:D47"/>
    <mergeCell ref="C48:D48"/>
    <mergeCell ref="C49:D49"/>
    <mergeCell ref="C50:D50"/>
    <mergeCell ref="C51:D51"/>
    <mergeCell ref="C41:D41"/>
    <mergeCell ref="C52:D52"/>
    <mergeCell ref="C53:D53"/>
    <mergeCell ref="C54:D54"/>
    <mergeCell ref="C55:D55"/>
    <mergeCell ref="C76:D76"/>
    <mergeCell ref="C77:D77"/>
    <mergeCell ref="C58:D58"/>
    <mergeCell ref="C59:D59"/>
    <mergeCell ref="C60:D60"/>
    <mergeCell ref="C61:D61"/>
    <mergeCell ref="C62:D62"/>
    <mergeCell ref="C63:D63"/>
    <mergeCell ref="C64:D64"/>
    <mergeCell ref="C65:D65"/>
    <mergeCell ref="C66:D66"/>
    <mergeCell ref="C91:D91"/>
    <mergeCell ref="C92:D92"/>
    <mergeCell ref="C82:D82"/>
    <mergeCell ref="C67:D67"/>
    <mergeCell ref="C68:D68"/>
    <mergeCell ref="C69:D69"/>
    <mergeCell ref="C70:D70"/>
    <mergeCell ref="C71:D71"/>
    <mergeCell ref="C78:D78"/>
    <mergeCell ref="C79:D79"/>
    <mergeCell ref="C80:D80"/>
    <mergeCell ref="C81:D81"/>
    <mergeCell ref="C72:D72"/>
    <mergeCell ref="C73:D73"/>
    <mergeCell ref="C74:D74"/>
    <mergeCell ref="C75:D75"/>
    <mergeCell ref="C87:D87"/>
    <mergeCell ref="C88:D88"/>
    <mergeCell ref="C85:D85"/>
    <mergeCell ref="C89:D89"/>
    <mergeCell ref="C90:D90"/>
    <mergeCell ref="C95:D95"/>
    <mergeCell ref="C96:D96"/>
    <mergeCell ref="C97:D97"/>
    <mergeCell ref="C98:D98"/>
    <mergeCell ref="C99:D99"/>
    <mergeCell ref="C109:D109"/>
    <mergeCell ref="C100:D100"/>
    <mergeCell ref="C101:D101"/>
    <mergeCell ref="C102:D102"/>
    <mergeCell ref="C103:D103"/>
    <mergeCell ref="C104:D104"/>
    <mergeCell ref="F8:F9"/>
    <mergeCell ref="F21:F22"/>
    <mergeCell ref="B124:D125"/>
    <mergeCell ref="B128:D129"/>
    <mergeCell ref="B131:D132"/>
    <mergeCell ref="C110:D110"/>
    <mergeCell ref="C111:D111"/>
    <mergeCell ref="C105:D105"/>
    <mergeCell ref="C106:D106"/>
    <mergeCell ref="C93:D93"/>
    <mergeCell ref="C94:D94"/>
    <mergeCell ref="C83:D83"/>
    <mergeCell ref="C84:D84"/>
    <mergeCell ref="C86:D86"/>
    <mergeCell ref="C107:D107"/>
    <mergeCell ref="C108:D108"/>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24B4535C-E4E1-4EB2-B218-0F467F492968}">
          <x14:formula1>
            <xm:f>Settings!$B$341:$B$348</xm:f>
          </x14:formula1>
          <xm:sqref>G118:G125</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89B58-E477-42CA-9A86-2BBDF490E111}">
  <dimension ref="B4:J74"/>
  <sheetViews>
    <sheetView rightToLeft="1" zoomScale="85" zoomScaleNormal="85" workbookViewId="0">
      <selection activeCell="O34" sqref="O34"/>
    </sheetView>
  </sheetViews>
  <sheetFormatPr defaultColWidth="9.09765625" defaultRowHeight="16.2" x14ac:dyDescent="0.25"/>
  <cols>
    <col min="1" max="1" width="12.09765625" style="3" customWidth="1"/>
    <col min="2" max="2" width="12.19921875" style="3" customWidth="1"/>
    <col min="3" max="3" width="19" style="3" customWidth="1"/>
    <col min="4" max="4" width="37.69921875" style="3" bestFit="1" customWidth="1"/>
    <col min="5" max="7" width="15" style="3" customWidth="1"/>
    <col min="8" max="8" width="16.3984375" style="3" customWidth="1"/>
    <col min="9" max="9" width="19.796875" style="3" customWidth="1"/>
    <col min="10" max="10" width="19.8984375" style="3" customWidth="1"/>
    <col min="11" max="16384" width="9.09765625" style="3"/>
  </cols>
  <sheetData>
    <row r="4" spans="2:10" ht="16.2" customHeight="1" x14ac:dyDescent="0.25"/>
    <row r="5" spans="2:10" ht="16.2" customHeight="1" x14ac:dyDescent="0.25"/>
    <row r="6" spans="2:10" ht="16.2" customHeight="1" x14ac:dyDescent="0.25"/>
    <row r="7" spans="2:10" s="279" customFormat="1" ht="30" customHeight="1" x14ac:dyDescent="0.25">
      <c r="B7" s="1069" t="s">
        <v>357</v>
      </c>
      <c r="C7" s="1070"/>
      <c r="D7" s="1070"/>
      <c r="E7" s="1070"/>
      <c r="F7" s="1070"/>
      <c r="G7" s="1070"/>
      <c r="H7" s="1070"/>
      <c r="I7" s="1070"/>
      <c r="J7" s="1071"/>
    </row>
    <row r="8" spans="2:10" ht="17.25" customHeight="1" x14ac:dyDescent="0.25">
      <c r="B8" s="1013" t="s">
        <v>329</v>
      </c>
      <c r="C8" s="976" t="s">
        <v>335</v>
      </c>
      <c r="D8" s="976" t="s">
        <v>396</v>
      </c>
      <c r="E8" s="1014" t="s">
        <v>444</v>
      </c>
      <c r="F8" s="976" t="s">
        <v>443</v>
      </c>
      <c r="G8" s="976" t="s">
        <v>402</v>
      </c>
      <c r="H8" s="374" t="s">
        <v>405</v>
      </c>
      <c r="I8" s="374" t="s">
        <v>406</v>
      </c>
      <c r="J8" s="1014" t="s">
        <v>725</v>
      </c>
    </row>
    <row r="9" spans="2:10" ht="17.25" customHeight="1" x14ac:dyDescent="0.25">
      <c r="B9" s="1013"/>
      <c r="C9" s="976"/>
      <c r="D9" s="976"/>
      <c r="E9" s="1008"/>
      <c r="F9" s="976"/>
      <c r="G9" s="976"/>
      <c r="H9" s="374" t="s">
        <v>267</v>
      </c>
      <c r="I9" s="355" t="s">
        <v>222</v>
      </c>
      <c r="J9" s="1008"/>
    </row>
    <row r="10" spans="2:10" ht="17.25" customHeight="1" x14ac:dyDescent="0.25">
      <c r="B10" s="353" t="s">
        <v>1900</v>
      </c>
      <c r="C10" s="356" t="s">
        <v>341</v>
      </c>
      <c r="D10" s="356" t="s">
        <v>525</v>
      </c>
      <c r="E10" s="576" t="s">
        <v>533</v>
      </c>
      <c r="F10" s="477">
        <f>Electricity!D11</f>
        <v>3359544285</v>
      </c>
      <c r="G10" s="354" t="s">
        <v>301</v>
      </c>
      <c r="H10" s="165">
        <f>VLOOKUP(E10,Settings!$B$124:D131,3,FALSE)</f>
        <v>1.395E-4</v>
      </c>
      <c r="I10" s="21">
        <f t="shared" ref="I10:I49" si="0">F10*H10</f>
        <v>468656.42775750003</v>
      </c>
      <c r="J10" s="385" t="s">
        <v>720</v>
      </c>
    </row>
    <row r="11" spans="2:10" ht="17.25" customHeight="1" x14ac:dyDescent="0.25">
      <c r="B11" s="353" t="s">
        <v>1901</v>
      </c>
      <c r="C11" s="356" t="s">
        <v>337</v>
      </c>
      <c r="D11" s="356" t="s">
        <v>827</v>
      </c>
      <c r="E11" s="87" t="s">
        <v>534</v>
      </c>
      <c r="F11" s="477">
        <f>SUMIFS('On-Site Tran.'!$F$10:$F$37,'On-Site Tran.'!$B$10:$B$37,C11,'On-Site Tran.'!$H$10:$H$37,E11)</f>
        <v>3273785</v>
      </c>
      <c r="G11" s="354" t="s">
        <v>492</v>
      </c>
      <c r="H11" s="165">
        <f>VLOOKUP(E11,Settings!$B$124:D132,3,FALSE)</f>
        <v>6.2664999999999997E-4</v>
      </c>
      <c r="I11" s="21">
        <f t="shared" si="0"/>
        <v>2051.5173702500001</v>
      </c>
      <c r="J11" s="174" t="s">
        <v>721</v>
      </c>
    </row>
    <row r="12" spans="2:10" x14ac:dyDescent="0.25">
      <c r="B12" s="353" t="s">
        <v>1902</v>
      </c>
      <c r="C12" s="356" t="s">
        <v>338</v>
      </c>
      <c r="D12" s="356" t="s">
        <v>827</v>
      </c>
      <c r="E12" s="87" t="s">
        <v>534</v>
      </c>
      <c r="F12" s="477">
        <f>SUMIFS('On-Site Tran.'!$F$10:$F$37,'On-Site Tran.'!$B$10:$B$37,C12,'On-Site Tran.'!$H$10:$H$37,E12)</f>
        <v>72100</v>
      </c>
      <c r="G12" s="354" t="s">
        <v>492</v>
      </c>
      <c r="H12" s="165">
        <f>VLOOKUP(E12,Settings!$B$124:D133,3,FALSE)</f>
        <v>6.2664999999999997E-4</v>
      </c>
      <c r="I12" s="21">
        <f t="shared" si="0"/>
        <v>45.181464999999996</v>
      </c>
      <c r="J12" s="174" t="s">
        <v>721</v>
      </c>
    </row>
    <row r="13" spans="2:10" x14ac:dyDescent="0.25">
      <c r="B13" s="353" t="s">
        <v>1903</v>
      </c>
      <c r="C13" s="356" t="s">
        <v>339</v>
      </c>
      <c r="D13" s="356" t="s">
        <v>827</v>
      </c>
      <c r="E13" s="87" t="s">
        <v>534</v>
      </c>
      <c r="F13" s="477">
        <f>SUMIFS('On-Site Tran.'!$F$10:$F$37,'On-Site Tran.'!$B$10:$B$37,C13,'On-Site Tran.'!$H$10:$H$37,E13)</f>
        <v>0</v>
      </c>
      <c r="G13" s="354" t="s">
        <v>492</v>
      </c>
      <c r="H13" s="165">
        <f>VLOOKUP(E13,Settings!$B$124:D134,3,FALSE)</f>
        <v>6.2664999999999997E-4</v>
      </c>
      <c r="I13" s="21">
        <f t="shared" si="0"/>
        <v>0</v>
      </c>
      <c r="J13" s="174" t="s">
        <v>721</v>
      </c>
    </row>
    <row r="14" spans="2:10" x14ac:dyDescent="0.25">
      <c r="B14" s="353" t="s">
        <v>1904</v>
      </c>
      <c r="C14" s="356" t="s">
        <v>340</v>
      </c>
      <c r="D14" s="356" t="s">
        <v>827</v>
      </c>
      <c r="E14" s="87" t="s">
        <v>534</v>
      </c>
      <c r="F14" s="477">
        <f>SUMIFS('On-Site Tran.'!$F$10:$F$37,'On-Site Tran.'!$B$10:$B$37,C14,'On-Site Tran.'!$H$10:$H$37,E14)</f>
        <v>21000</v>
      </c>
      <c r="G14" s="354" t="s">
        <v>492</v>
      </c>
      <c r="H14" s="165">
        <f>VLOOKUP(E14,Settings!$B$124:D135,3,FALSE)</f>
        <v>6.2664999999999997E-4</v>
      </c>
      <c r="I14" s="21">
        <f t="shared" si="0"/>
        <v>13.159649999999999</v>
      </c>
      <c r="J14" s="174" t="s">
        <v>721</v>
      </c>
    </row>
    <row r="15" spans="2:10" x14ac:dyDescent="0.25">
      <c r="B15" s="353" t="s">
        <v>1905</v>
      </c>
      <c r="C15" s="356" t="s">
        <v>341</v>
      </c>
      <c r="D15" s="356" t="s">
        <v>827</v>
      </c>
      <c r="E15" s="87" t="s">
        <v>534</v>
      </c>
      <c r="F15" s="477">
        <f>SUMIFS('On-Site Tran.'!$F$10:$F$37,'On-Site Tran.'!$B$10:$B$37,C15,'On-Site Tran.'!$H$10:$H$37,E15)</f>
        <v>0</v>
      </c>
      <c r="G15" s="354" t="s">
        <v>492</v>
      </c>
      <c r="H15" s="165">
        <f>VLOOKUP(E15,Settings!$B$124:D136,3,FALSE)</f>
        <v>6.2664999999999997E-4</v>
      </c>
      <c r="I15" s="21">
        <f t="shared" si="0"/>
        <v>0</v>
      </c>
      <c r="J15" s="174" t="s">
        <v>721</v>
      </c>
    </row>
    <row r="16" spans="2:10" x14ac:dyDescent="0.25">
      <c r="B16" s="353" t="s">
        <v>1906</v>
      </c>
      <c r="C16" s="356" t="s">
        <v>342</v>
      </c>
      <c r="D16" s="356" t="s">
        <v>827</v>
      </c>
      <c r="E16" s="87" t="s">
        <v>534</v>
      </c>
      <c r="F16" s="477">
        <f>SUMIFS('On-Site Tran.'!$F$10:$F$37,'On-Site Tran.'!$B$10:$B$37,C16,'On-Site Tran.'!$H$10:$H$37,E16)</f>
        <v>2189225</v>
      </c>
      <c r="G16" s="354" t="s">
        <v>492</v>
      </c>
      <c r="H16" s="165">
        <f>VLOOKUP(E16,Settings!$B$124:D137,3,FALSE)</f>
        <v>6.2664999999999997E-4</v>
      </c>
      <c r="I16" s="21">
        <f t="shared" si="0"/>
        <v>1371.8778462499999</v>
      </c>
      <c r="J16" s="174" t="s">
        <v>721</v>
      </c>
    </row>
    <row r="17" spans="2:10" x14ac:dyDescent="0.25">
      <c r="B17" s="353" t="s">
        <v>1907</v>
      </c>
      <c r="C17" s="356" t="s">
        <v>343</v>
      </c>
      <c r="D17" s="356" t="s">
        <v>827</v>
      </c>
      <c r="E17" s="87" t="s">
        <v>534</v>
      </c>
      <c r="F17" s="477">
        <f>SUMIFS('On-Site Tran.'!$F$10:$F$37,'On-Site Tran.'!$B$10:$B$37,C17,'On-Site Tran.'!$H$10:$H$37,E17)</f>
        <v>28500</v>
      </c>
      <c r="G17" s="354" t="s">
        <v>492</v>
      </c>
      <c r="H17" s="165">
        <f>VLOOKUP(E17,Settings!$B$124:D138,3,FALSE)</f>
        <v>6.2664999999999997E-4</v>
      </c>
      <c r="I17" s="21">
        <f t="shared" si="0"/>
        <v>17.859524999999998</v>
      </c>
      <c r="J17" s="174" t="s">
        <v>721</v>
      </c>
    </row>
    <row r="18" spans="2:10" x14ac:dyDescent="0.25">
      <c r="B18" s="353" t="s">
        <v>1908</v>
      </c>
      <c r="C18" s="356" t="s">
        <v>510</v>
      </c>
      <c r="D18" s="356" t="s">
        <v>827</v>
      </c>
      <c r="E18" s="87" t="s">
        <v>534</v>
      </c>
      <c r="F18" s="477">
        <f>SUMIFS('On-Site Tran.'!$F$10:$F$37,'On-Site Tran.'!$B$10:$B$37,C18,'On-Site Tran.'!$H$10:$H$37,E18)</f>
        <v>11431934</v>
      </c>
      <c r="G18" s="354" t="s">
        <v>492</v>
      </c>
      <c r="H18" s="165">
        <f>VLOOKUP(E18,Settings!$B$124:D139,3,FALSE)</f>
        <v>6.2664999999999997E-4</v>
      </c>
      <c r="I18" s="21">
        <f t="shared" si="0"/>
        <v>7163.8214410999999</v>
      </c>
      <c r="J18" s="174" t="s">
        <v>721</v>
      </c>
    </row>
    <row r="19" spans="2:10" x14ac:dyDescent="0.25">
      <c r="B19" s="353" t="s">
        <v>1909</v>
      </c>
      <c r="C19" s="356" t="s">
        <v>510</v>
      </c>
      <c r="D19" s="356" t="s">
        <v>828</v>
      </c>
      <c r="E19" s="87" t="s">
        <v>494</v>
      </c>
      <c r="F19" s="477">
        <f>SUMIFS('On-Site Tran.'!$F$10:$F$37,'On-Site Tran.'!$B$10:$B$37,C19,'On-Site Tran.'!$H$10:$H$37,E19)</f>
        <v>936872</v>
      </c>
      <c r="G19" s="354" t="s">
        <v>492</v>
      </c>
      <c r="H19" s="165">
        <f>VLOOKUP(E19,Settings!$B$124:D140,3,FALSE)</f>
        <v>6.0663999999999998E-4</v>
      </c>
      <c r="I19" s="21">
        <f t="shared" si="0"/>
        <v>568.34403007999992</v>
      </c>
      <c r="J19" s="174" t="s">
        <v>721</v>
      </c>
    </row>
    <row r="20" spans="2:10" x14ac:dyDescent="0.25">
      <c r="B20" s="353" t="s">
        <v>1910</v>
      </c>
      <c r="C20" s="356" t="s">
        <v>337</v>
      </c>
      <c r="D20" s="356" t="s">
        <v>829</v>
      </c>
      <c r="E20" s="87" t="s">
        <v>465</v>
      </c>
      <c r="F20" s="477">
        <f>SUMIFS(Combustion!$F$11:$F$95,Combustion!$B$11:$B$95,C20,Combustion!$H$11:$H$95,E20)</f>
        <v>150164.715</v>
      </c>
      <c r="G20" s="354" t="s">
        <v>490</v>
      </c>
      <c r="H20" s="165">
        <f>VLOOKUP(E20,Settings!$B$124:D141,3,FALSE)</f>
        <v>0.33660000000000001</v>
      </c>
      <c r="I20" s="21">
        <f t="shared" si="0"/>
        <v>50545.443069000001</v>
      </c>
      <c r="J20" s="385" t="s">
        <v>720</v>
      </c>
    </row>
    <row r="21" spans="2:10" x14ac:dyDescent="0.25">
      <c r="B21" s="353" t="s">
        <v>1911</v>
      </c>
      <c r="C21" s="356" t="s">
        <v>338</v>
      </c>
      <c r="D21" s="356" t="s">
        <v>829</v>
      </c>
      <c r="E21" s="87" t="s">
        <v>465</v>
      </c>
      <c r="F21" s="477">
        <f>SUMIFS(Combustion!$F$11:$F$95,Combustion!$B$11:$B$95,C21,Combustion!$H$11:$H$95,E21)</f>
        <v>41243.806000000004</v>
      </c>
      <c r="G21" s="354" t="s">
        <v>490</v>
      </c>
      <c r="H21" s="165">
        <f>VLOOKUP(E21,Settings!$B$124:D142,3,FALSE)</f>
        <v>0.33660000000000001</v>
      </c>
      <c r="I21" s="21">
        <f t="shared" si="0"/>
        <v>13882.665099600003</v>
      </c>
      <c r="J21" s="385" t="s">
        <v>720</v>
      </c>
    </row>
    <row r="22" spans="2:10" x14ac:dyDescent="0.25">
      <c r="B22" s="353" t="s">
        <v>1912</v>
      </c>
      <c r="C22" s="356" t="s">
        <v>339</v>
      </c>
      <c r="D22" s="356" t="s">
        <v>829</v>
      </c>
      <c r="E22" s="87" t="s">
        <v>465</v>
      </c>
      <c r="F22" s="477">
        <f>SUMIFS(Combustion!$F$11:$F$95,Combustion!$B$11:$B$95,C22,Combustion!$H$11:$H$95,E22)</f>
        <v>208338.71599999996</v>
      </c>
      <c r="G22" s="354" t="s">
        <v>490</v>
      </c>
      <c r="H22" s="165">
        <f>VLOOKUP(E22,Settings!$B$124:D143,3,FALSE)</f>
        <v>0.33660000000000001</v>
      </c>
      <c r="I22" s="21">
        <f t="shared" si="0"/>
        <v>70126.811805599995</v>
      </c>
      <c r="J22" s="385" t="s">
        <v>720</v>
      </c>
    </row>
    <row r="23" spans="2:10" x14ac:dyDescent="0.25">
      <c r="B23" s="353" t="s">
        <v>1913</v>
      </c>
      <c r="C23" s="356" t="s">
        <v>340</v>
      </c>
      <c r="D23" s="356" t="s">
        <v>829</v>
      </c>
      <c r="E23" s="87" t="s">
        <v>465</v>
      </c>
      <c r="F23" s="477">
        <f>SUMIFS(Combustion!$F$11:$F$95,Combustion!$B$11:$B$95,C23,Combustion!$H$11:$H$95,E23)</f>
        <v>32601.914000000004</v>
      </c>
      <c r="G23" s="354" t="s">
        <v>490</v>
      </c>
      <c r="H23" s="165">
        <f>VLOOKUP(E23,Settings!$B$124:D144,3,FALSE)</f>
        <v>0.33660000000000001</v>
      </c>
      <c r="I23" s="21">
        <f t="shared" si="0"/>
        <v>10973.804252400001</v>
      </c>
      <c r="J23" s="385" t="s">
        <v>720</v>
      </c>
    </row>
    <row r="24" spans="2:10" x14ac:dyDescent="0.25">
      <c r="B24" s="353" t="s">
        <v>1914</v>
      </c>
      <c r="C24" s="356" t="s">
        <v>341</v>
      </c>
      <c r="D24" s="356" t="s">
        <v>829</v>
      </c>
      <c r="E24" s="87" t="s">
        <v>465</v>
      </c>
      <c r="F24" s="477">
        <f>SUMIFS(Combustion!$F$11:$F$95,Combustion!$B$11:$B$95,C24,Combustion!$H$11:$H$95,E24)</f>
        <v>971979.88799999992</v>
      </c>
      <c r="G24" s="354" t="s">
        <v>490</v>
      </c>
      <c r="H24" s="165">
        <f>VLOOKUP(E24,Settings!$B$124:D144,3,FALSE)</f>
        <v>0.33660000000000001</v>
      </c>
      <c r="I24" s="21">
        <f t="shared" si="0"/>
        <v>327168.43030079996</v>
      </c>
      <c r="J24" s="385" t="s">
        <v>720</v>
      </c>
    </row>
    <row r="25" spans="2:10" x14ac:dyDescent="0.25">
      <c r="B25" s="353" t="s">
        <v>1915</v>
      </c>
      <c r="C25" s="356" t="s">
        <v>342</v>
      </c>
      <c r="D25" s="356" t="s">
        <v>829</v>
      </c>
      <c r="E25" s="87" t="s">
        <v>465</v>
      </c>
      <c r="F25" s="477">
        <f>SUMIFS(Combustion!$F$11:$F$95,Combustion!$B$11:$B$95,C25,Combustion!$H$11:$H$95,E25)</f>
        <v>0</v>
      </c>
      <c r="G25" s="354" t="s">
        <v>490</v>
      </c>
      <c r="H25" s="165">
        <f>VLOOKUP(E25,Settings!$B$124:D145,3,FALSE)</f>
        <v>0.33660000000000001</v>
      </c>
      <c r="I25" s="21">
        <f t="shared" si="0"/>
        <v>0</v>
      </c>
      <c r="J25" s="385" t="s">
        <v>720</v>
      </c>
    </row>
    <row r="26" spans="2:10" x14ac:dyDescent="0.25">
      <c r="B26" s="353" t="s">
        <v>1916</v>
      </c>
      <c r="C26" s="356" t="s">
        <v>343</v>
      </c>
      <c r="D26" s="356" t="s">
        <v>829</v>
      </c>
      <c r="E26" s="87" t="s">
        <v>465</v>
      </c>
      <c r="F26" s="477">
        <f>SUMIFS(Combustion!$F$11:$F$95,Combustion!$B$11:$B$95,C26,Combustion!$H$11:$H$95,E26)</f>
        <v>16491.629000000001</v>
      </c>
      <c r="G26" s="354" t="s">
        <v>490</v>
      </c>
      <c r="H26" s="165">
        <f>VLOOKUP(E26,Settings!$B$124:D146,3,FALSE)</f>
        <v>0.33660000000000001</v>
      </c>
      <c r="I26" s="21">
        <f t="shared" si="0"/>
        <v>5551.0823214000002</v>
      </c>
      <c r="J26" s="385" t="s">
        <v>720</v>
      </c>
    </row>
    <row r="27" spans="2:10" x14ac:dyDescent="0.25">
      <c r="B27" s="353" t="s">
        <v>1917</v>
      </c>
      <c r="C27" s="356" t="s">
        <v>510</v>
      </c>
      <c r="D27" s="356" t="s">
        <v>829</v>
      </c>
      <c r="E27" s="87" t="s">
        <v>465</v>
      </c>
      <c r="F27" s="477">
        <f>SUMIFS(Combustion!$F$11:$F$95,Combustion!$B$11:$B$95,C27,Combustion!$H$11:$H$95,E27)</f>
        <v>106920.732</v>
      </c>
      <c r="G27" s="354" t="s">
        <v>490</v>
      </c>
      <c r="H27" s="165">
        <f>VLOOKUP(E27,Settings!$B$124:D147,3,FALSE)</f>
        <v>0.33660000000000001</v>
      </c>
      <c r="I27" s="21">
        <f t="shared" si="0"/>
        <v>35989.518391199999</v>
      </c>
      <c r="J27" s="385" t="s">
        <v>720</v>
      </c>
    </row>
    <row r="28" spans="2:10" x14ac:dyDescent="0.25">
      <c r="B28" s="353" t="s">
        <v>1918</v>
      </c>
      <c r="C28" s="356" t="s">
        <v>337</v>
      </c>
      <c r="D28" s="356" t="s">
        <v>830</v>
      </c>
      <c r="E28" s="87" t="s">
        <v>771</v>
      </c>
      <c r="F28" s="477">
        <f>SUMIFS(Combustion!$F$11:$F$95,Combustion!$B$11:$B$95,C28,Combustion!$H$11:$H$95,E28)</f>
        <v>2.387</v>
      </c>
      <c r="G28" s="354" t="s">
        <v>299</v>
      </c>
      <c r="H28" s="165">
        <f>VLOOKUP(E28,Settings!$B$124:D157,3,FALSE)</f>
        <v>0.34430947000000001</v>
      </c>
      <c r="I28" s="21">
        <f t="shared" si="0"/>
        <v>0.82186670489000002</v>
      </c>
      <c r="J28" s="174" t="s">
        <v>721</v>
      </c>
    </row>
    <row r="29" spans="2:10" x14ac:dyDescent="0.25">
      <c r="B29" s="353" t="s">
        <v>1919</v>
      </c>
      <c r="C29" s="356" t="s">
        <v>338</v>
      </c>
      <c r="D29" s="356" t="s">
        <v>830</v>
      </c>
      <c r="E29" s="87" t="s">
        <v>771</v>
      </c>
      <c r="F29" s="477">
        <f>SUMIFS(Combustion!$F$11:$F$95,Combustion!$B$11:$B$95,C29,Combustion!$H$11:$H$95,E29)</f>
        <v>6.0229999999999997</v>
      </c>
      <c r="G29" s="354" t="s">
        <v>299</v>
      </c>
      <c r="H29" s="165">
        <f>VLOOKUP(E29,Settings!$B$124:D157,3,FALSE)</f>
        <v>0.34430947000000001</v>
      </c>
      <c r="I29" s="21">
        <f t="shared" si="0"/>
        <v>2.0737759378099998</v>
      </c>
      <c r="J29" s="174" t="s">
        <v>721</v>
      </c>
    </row>
    <row r="30" spans="2:10" x14ac:dyDescent="0.25">
      <c r="B30" s="353" t="s">
        <v>1920</v>
      </c>
      <c r="C30" s="356" t="s">
        <v>339</v>
      </c>
      <c r="D30" s="356" t="s">
        <v>830</v>
      </c>
      <c r="E30" s="87" t="s">
        <v>771</v>
      </c>
      <c r="F30" s="477">
        <f>SUMIFS(Combustion!$F$11:$F$95,Combustion!$B$11:$B$95,C30,Combustion!$H$11:$H$95,E30)</f>
        <v>2.794</v>
      </c>
      <c r="G30" s="354" t="s">
        <v>299</v>
      </c>
      <c r="H30" s="165">
        <f>VLOOKUP(E30,Settings!$B$124:D154,3,FALSE)</f>
        <v>0.34430947000000001</v>
      </c>
      <c r="I30" s="21">
        <f t="shared" si="0"/>
        <v>0.96200065918</v>
      </c>
      <c r="J30" s="174" t="s">
        <v>721</v>
      </c>
    </row>
    <row r="31" spans="2:10" x14ac:dyDescent="0.25">
      <c r="B31" s="353" t="s">
        <v>1921</v>
      </c>
      <c r="C31" s="356" t="s">
        <v>340</v>
      </c>
      <c r="D31" s="356" t="s">
        <v>830</v>
      </c>
      <c r="E31" s="87" t="s">
        <v>771</v>
      </c>
      <c r="F31" s="477">
        <f>SUMIFS(Combustion!$F$11:$F$95,Combustion!$B$11:$B$95,C31,Combustion!$H$11:$H$95,E31)</f>
        <v>14.561999999999999</v>
      </c>
      <c r="G31" s="354" t="s">
        <v>299</v>
      </c>
      <c r="H31" s="165">
        <f>VLOOKUP(E31,Settings!$B$124:D155,3,FALSE)</f>
        <v>0.34430947000000001</v>
      </c>
      <c r="I31" s="21">
        <f t="shared" si="0"/>
        <v>5.0138345021399999</v>
      </c>
      <c r="J31" s="174" t="s">
        <v>721</v>
      </c>
    </row>
    <row r="32" spans="2:10" x14ac:dyDescent="0.25">
      <c r="B32" s="353" t="s">
        <v>1922</v>
      </c>
      <c r="C32" s="356" t="s">
        <v>341</v>
      </c>
      <c r="D32" s="356" t="s">
        <v>830</v>
      </c>
      <c r="E32" s="87" t="s">
        <v>771</v>
      </c>
      <c r="F32" s="477">
        <f>SUMIFS(Combustion!$F$11:$F$95,Combustion!$B$11:$B$95,C32,Combustion!$H$11:$H$95,E32)</f>
        <v>0.59399999999999997</v>
      </c>
      <c r="G32" s="354" t="s">
        <v>299</v>
      </c>
      <c r="H32" s="165">
        <f>VLOOKUP(E32,Settings!$B$124:D156,3,FALSE)</f>
        <v>0.34430947000000001</v>
      </c>
      <c r="I32" s="21">
        <f t="shared" si="0"/>
        <v>0.20451982518</v>
      </c>
      <c r="J32" s="174" t="s">
        <v>721</v>
      </c>
    </row>
    <row r="33" spans="2:10" x14ac:dyDescent="0.25">
      <c r="B33" s="353" t="s">
        <v>1923</v>
      </c>
      <c r="C33" s="356" t="s">
        <v>342</v>
      </c>
      <c r="D33" s="356" t="s">
        <v>830</v>
      </c>
      <c r="E33" s="87" t="s">
        <v>771</v>
      </c>
      <c r="F33" s="477">
        <f>SUMIFS(Combustion!$F$11:$F$95,Combustion!$B$11:$B$95,C33,Combustion!$H$11:$H$95,E33)</f>
        <v>9.9000000000000005E-2</v>
      </c>
      <c r="G33" s="354" t="s">
        <v>299</v>
      </c>
      <c r="H33" s="165">
        <f>VLOOKUP(E33,Settings!$B$124:D156,3,FALSE)</f>
        <v>0.34430947000000001</v>
      </c>
      <c r="I33" s="21">
        <f t="shared" si="0"/>
        <v>3.4086637530000005E-2</v>
      </c>
      <c r="J33" s="174" t="s">
        <v>721</v>
      </c>
    </row>
    <row r="34" spans="2:10" x14ac:dyDescent="0.25">
      <c r="B34" s="353" t="s">
        <v>1924</v>
      </c>
      <c r="C34" s="356" t="s">
        <v>343</v>
      </c>
      <c r="D34" s="356" t="s">
        <v>830</v>
      </c>
      <c r="E34" s="87" t="s">
        <v>771</v>
      </c>
      <c r="F34" s="477">
        <f>SUMIFS(Combustion!$F$11:$F$95,Combustion!$B$11:$B$95,C34,Combustion!$H$11:$H$95,E34)</f>
        <v>0.69199999999999995</v>
      </c>
      <c r="G34" s="354" t="s">
        <v>299</v>
      </c>
      <c r="H34" s="165">
        <f>VLOOKUP(E34,Settings!$B$124:D156,3,FALSE)</f>
        <v>0.34430947000000001</v>
      </c>
      <c r="I34" s="21">
        <f t="shared" si="0"/>
        <v>0.23826215324</v>
      </c>
      <c r="J34" s="174" t="s">
        <v>721</v>
      </c>
    </row>
    <row r="35" spans="2:10" x14ac:dyDescent="0.25">
      <c r="B35" s="353" t="s">
        <v>1925</v>
      </c>
      <c r="C35" s="356" t="s">
        <v>510</v>
      </c>
      <c r="D35" s="356" t="s">
        <v>830</v>
      </c>
      <c r="E35" s="87" t="s">
        <v>771</v>
      </c>
      <c r="F35" s="477">
        <f>SUMIFS(Combustion!$F$11:$F$95,Combustion!$B$11:$B$95,C35,Combustion!$H$11:$H$95,E35)</f>
        <v>4.5590000000000002</v>
      </c>
      <c r="G35" s="354" t="s">
        <v>299</v>
      </c>
      <c r="H35" s="165">
        <f>VLOOKUP(E35,Settings!$B$124:D156,3,FALSE)</f>
        <v>0.34430947000000001</v>
      </c>
      <c r="I35" s="21">
        <f t="shared" si="0"/>
        <v>1.5697068737300002</v>
      </c>
      <c r="J35" s="174" t="s">
        <v>721</v>
      </c>
    </row>
    <row r="36" spans="2:10" x14ac:dyDescent="0.25">
      <c r="B36" s="353" t="s">
        <v>1926</v>
      </c>
      <c r="C36" s="356" t="s">
        <v>510</v>
      </c>
      <c r="D36" s="356" t="s">
        <v>831</v>
      </c>
      <c r="E36" s="87" t="s">
        <v>770</v>
      </c>
      <c r="F36" s="477">
        <f>SUMIFS(Combustion!$F$11:$F$95,Combustion!$B$11:$B$95,C36,Combustion!$H$11:$H$95,E36)</f>
        <v>1.6E-2</v>
      </c>
      <c r="G36" s="354" t="s">
        <v>299</v>
      </c>
      <c r="H36" s="165">
        <f>VLOOKUP(E36,Settings!$B$124:D156,3,FALSE)</f>
        <v>0.42316367999999999</v>
      </c>
      <c r="I36" s="21">
        <f t="shared" si="0"/>
        <v>6.7706188799999999E-3</v>
      </c>
      <c r="J36" s="174" t="s">
        <v>721</v>
      </c>
    </row>
    <row r="37" spans="2:10" x14ac:dyDescent="0.25">
      <c r="B37" s="353" t="s">
        <v>1927</v>
      </c>
      <c r="C37" s="356" t="s">
        <v>341</v>
      </c>
      <c r="D37" s="356" t="s">
        <v>833</v>
      </c>
      <c r="E37" s="87" t="s">
        <v>534</v>
      </c>
      <c r="F37" s="477">
        <f>SUMIFS(Combustion!$F$11:$F$95,Combustion!$B$11:$B$95,C37,Combustion!$H$11:$H$95,E37)</f>
        <v>12300000</v>
      </c>
      <c r="G37" s="354" t="s">
        <v>492</v>
      </c>
      <c r="H37" s="165">
        <f>VLOOKUP(E37,Settings!$B$124:D161,3,FALSE)</f>
        <v>6.2664999999999997E-4</v>
      </c>
      <c r="I37" s="21">
        <f t="shared" si="0"/>
        <v>7707.7950000000001</v>
      </c>
      <c r="J37" s="174" t="s">
        <v>721</v>
      </c>
    </row>
    <row r="38" spans="2:10" x14ac:dyDescent="0.25">
      <c r="B38" s="353" t="s">
        <v>1928</v>
      </c>
      <c r="C38" s="356" t="s">
        <v>337</v>
      </c>
      <c r="D38" s="356" t="s">
        <v>832</v>
      </c>
      <c r="E38" s="576" t="s">
        <v>772</v>
      </c>
      <c r="F38" s="477">
        <f>SUMIFS(Combustion!$F$11:$F$95,Combustion!$B$11:$B$95,C38,Combustion!$H$11:$H$95,E38)</f>
        <v>0</v>
      </c>
      <c r="G38" s="354" t="s">
        <v>299</v>
      </c>
      <c r="H38" s="165">
        <f>VLOOKUP(E38,Settings!$B$124:D162,3,FALSE)</f>
        <v>0.30295197000000001</v>
      </c>
      <c r="I38" s="21">
        <f t="shared" si="0"/>
        <v>0</v>
      </c>
      <c r="J38" s="174" t="s">
        <v>721</v>
      </c>
    </row>
    <row r="39" spans="2:10" x14ac:dyDescent="0.25">
      <c r="B39" s="353" t="s">
        <v>1929</v>
      </c>
      <c r="C39" s="356" t="s">
        <v>338</v>
      </c>
      <c r="D39" s="356" t="s">
        <v>832</v>
      </c>
      <c r="E39" s="576" t="s">
        <v>772</v>
      </c>
      <c r="F39" s="477">
        <f>SUMIFS(Combustion!$F$11:$F$95,Combustion!$B$11:$B$95,C39,Combustion!$H$11:$H$95,E39)</f>
        <v>0</v>
      </c>
      <c r="G39" s="354" t="s">
        <v>299</v>
      </c>
      <c r="H39" s="165">
        <f>VLOOKUP(E39,Settings!$B$124:D163,3,FALSE)</f>
        <v>0.30295197000000001</v>
      </c>
      <c r="I39" s="21">
        <f t="shared" si="0"/>
        <v>0</v>
      </c>
      <c r="J39" s="174" t="s">
        <v>721</v>
      </c>
    </row>
    <row r="40" spans="2:10" x14ac:dyDescent="0.25">
      <c r="B40" s="353" t="s">
        <v>1930</v>
      </c>
      <c r="C40" s="356" t="s">
        <v>339</v>
      </c>
      <c r="D40" s="356" t="s">
        <v>832</v>
      </c>
      <c r="E40" s="576" t="s">
        <v>772</v>
      </c>
      <c r="F40" s="477">
        <f>SUMIFS(Combustion!$F$11:$F$95,Combustion!$B$11:$B$95,C40,Combustion!$H$11:$H$95,E40)</f>
        <v>0</v>
      </c>
      <c r="G40" s="354" t="s">
        <v>299</v>
      </c>
      <c r="H40" s="165">
        <f>VLOOKUP(E40,Settings!$B$124:D164,3,FALSE)</f>
        <v>0.30295197000000001</v>
      </c>
      <c r="I40" s="21">
        <f t="shared" si="0"/>
        <v>0</v>
      </c>
      <c r="J40" s="174" t="s">
        <v>721</v>
      </c>
    </row>
    <row r="41" spans="2:10" x14ac:dyDescent="0.25">
      <c r="B41" s="353" t="s">
        <v>1931</v>
      </c>
      <c r="C41" s="356" t="s">
        <v>340</v>
      </c>
      <c r="D41" s="356" t="s">
        <v>832</v>
      </c>
      <c r="E41" s="576" t="s">
        <v>772</v>
      </c>
      <c r="F41" s="477">
        <f>SUMIFS(Combustion!$F$11:$F$95,Combustion!$B$11:$B$95,C41,Combustion!$H$11:$H$95,E41)</f>
        <v>0</v>
      </c>
      <c r="G41" s="354" t="s">
        <v>299</v>
      </c>
      <c r="H41" s="165">
        <f>VLOOKUP(E41,Settings!$B$124:D165,3,FALSE)</f>
        <v>0.30295197000000001</v>
      </c>
      <c r="I41" s="21">
        <f t="shared" si="0"/>
        <v>0</v>
      </c>
      <c r="J41" s="174" t="s">
        <v>721</v>
      </c>
    </row>
    <row r="42" spans="2:10" x14ac:dyDescent="0.25">
      <c r="B42" s="353" t="s">
        <v>1932</v>
      </c>
      <c r="C42" s="356" t="s">
        <v>341</v>
      </c>
      <c r="D42" s="356" t="s">
        <v>832</v>
      </c>
      <c r="E42" s="576" t="s">
        <v>772</v>
      </c>
      <c r="F42" s="477">
        <f>SUMIFS(Combustion!$F$11:$F$95,Combustion!$B$11:$B$95,C42,Combustion!$H$11:$H$95,E42)</f>
        <v>0</v>
      </c>
      <c r="G42" s="354" t="s">
        <v>299</v>
      </c>
      <c r="H42" s="165">
        <f>VLOOKUP(E42,Settings!$B$124:D166,3,FALSE)</f>
        <v>0.30295197000000001</v>
      </c>
      <c r="I42" s="21">
        <f t="shared" si="0"/>
        <v>0</v>
      </c>
      <c r="J42" s="174" t="s">
        <v>721</v>
      </c>
    </row>
    <row r="43" spans="2:10" x14ac:dyDescent="0.25">
      <c r="B43" s="353" t="s">
        <v>1933</v>
      </c>
      <c r="C43" s="356" t="s">
        <v>342</v>
      </c>
      <c r="D43" s="356" t="s">
        <v>832</v>
      </c>
      <c r="E43" s="576" t="s">
        <v>772</v>
      </c>
      <c r="F43" s="477">
        <f>SUMIFS(Combustion!$F$11:$F$95,Combustion!$B$11:$B$95,C43,Combustion!$H$11:$H$95,E43)</f>
        <v>0</v>
      </c>
      <c r="G43" s="354" t="s">
        <v>299</v>
      </c>
      <c r="H43" s="165">
        <f>VLOOKUP(E43,Settings!$B$124:D167,3,FALSE)</f>
        <v>0.30295197000000001</v>
      </c>
      <c r="I43" s="21">
        <f t="shared" si="0"/>
        <v>0</v>
      </c>
      <c r="J43" s="174" t="s">
        <v>721</v>
      </c>
    </row>
    <row r="44" spans="2:10" x14ac:dyDescent="0.25">
      <c r="B44" s="353" t="s">
        <v>1934</v>
      </c>
      <c r="C44" s="356" t="s">
        <v>343</v>
      </c>
      <c r="D44" s="356" t="s">
        <v>832</v>
      </c>
      <c r="E44" s="576" t="s">
        <v>772</v>
      </c>
      <c r="F44" s="477">
        <f>SUMIFS(Combustion!$F$11:$F$95,Combustion!$B$11:$B$95,C44,Combustion!$H$11:$H$95,E44)</f>
        <v>1.0999999999999999E-2</v>
      </c>
      <c r="G44" s="354" t="s">
        <v>299</v>
      </c>
      <c r="H44" s="165">
        <f>VLOOKUP(E44,Settings!$B$124:D168,3,FALSE)</f>
        <v>0.30295197000000001</v>
      </c>
      <c r="I44" s="21">
        <f t="shared" si="0"/>
        <v>3.33247167E-3</v>
      </c>
      <c r="J44" s="174" t="s">
        <v>721</v>
      </c>
    </row>
    <row r="45" spans="2:10" x14ac:dyDescent="0.25">
      <c r="B45" s="353" t="s">
        <v>1935</v>
      </c>
      <c r="C45" s="356" t="s">
        <v>510</v>
      </c>
      <c r="D45" s="356" t="s">
        <v>832</v>
      </c>
      <c r="E45" s="576" t="s">
        <v>772</v>
      </c>
      <c r="F45" s="477">
        <f>SUMIFS(Combustion!$F$11:$F$95,Combustion!$B$11:$B$95,C45,Combustion!$H$11:$H$95,E45)</f>
        <v>6.3E-2</v>
      </c>
      <c r="G45" s="354" t="s">
        <v>299</v>
      </c>
      <c r="H45" s="165">
        <f>VLOOKUP(E45,Settings!$B$124:D169,3,FALSE)</f>
        <v>0.30295197000000001</v>
      </c>
      <c r="I45" s="21">
        <f t="shared" si="0"/>
        <v>1.9085974110000001E-2</v>
      </c>
      <c r="J45" s="174" t="s">
        <v>721</v>
      </c>
    </row>
    <row r="46" spans="2:10" x14ac:dyDescent="0.25">
      <c r="B46" s="377"/>
      <c r="C46" s="356"/>
      <c r="D46" s="356"/>
      <c r="E46" s="87"/>
      <c r="F46" s="477"/>
      <c r="G46" s="354"/>
      <c r="H46" s="165" t="e">
        <f>VLOOKUP(E46,Settings!$B$124:D157,3,FALSE)</f>
        <v>#N/A</v>
      </c>
      <c r="I46" s="21" t="e">
        <f t="shared" si="0"/>
        <v>#N/A</v>
      </c>
      <c r="J46" s="385"/>
    </row>
    <row r="47" spans="2:10" x14ac:dyDescent="0.25">
      <c r="B47" s="377"/>
      <c r="C47" s="356"/>
      <c r="D47" s="387"/>
      <c r="E47" s="87"/>
      <c r="F47" s="477"/>
      <c r="G47" s="354"/>
      <c r="H47" s="165" t="e">
        <f>VLOOKUP(E47,Settings!$B$124:D154,3,FALSE)</f>
        <v>#N/A</v>
      </c>
      <c r="I47" s="21" t="e">
        <f t="shared" si="0"/>
        <v>#N/A</v>
      </c>
      <c r="J47" s="385"/>
    </row>
    <row r="48" spans="2:10" x14ac:dyDescent="0.25">
      <c r="B48" s="377"/>
      <c r="C48" s="356"/>
      <c r="D48" s="387"/>
      <c r="E48" s="87"/>
      <c r="F48" s="477"/>
      <c r="G48" s="354"/>
      <c r="H48" s="165" t="e">
        <f>VLOOKUP(E48,Settings!$B$124:D155,3,FALSE)</f>
        <v>#N/A</v>
      </c>
      <c r="I48" s="21" t="e">
        <f t="shared" si="0"/>
        <v>#N/A</v>
      </c>
      <c r="J48" s="385"/>
    </row>
    <row r="49" spans="2:10" x14ac:dyDescent="0.25">
      <c r="B49" s="377"/>
      <c r="C49" s="356"/>
      <c r="D49" s="387"/>
      <c r="E49" s="87"/>
      <c r="F49" s="477"/>
      <c r="G49" s="354"/>
      <c r="H49" s="165" t="e">
        <f>VLOOKUP(E49,Settings!$B$124:D156,3,FALSE)</f>
        <v>#N/A</v>
      </c>
      <c r="I49" s="21" t="e">
        <f t="shared" si="0"/>
        <v>#N/A</v>
      </c>
      <c r="J49" s="385"/>
    </row>
    <row r="50" spans="2:10" ht="30" customHeight="1" x14ac:dyDescent="0.25">
      <c r="B50" s="355" t="s">
        <v>410</v>
      </c>
      <c r="C50" s="378"/>
      <c r="D50" s="378"/>
      <c r="E50" s="378"/>
      <c r="F50" s="378"/>
      <c r="G50" s="378"/>
      <c r="H50" s="135"/>
      <c r="I50" s="135">
        <f>_xlfn.AGGREGATE(9,6,I10:I49)</f>
        <v>1001844.6865675382</v>
      </c>
      <c r="J50" s="135"/>
    </row>
    <row r="51" spans="2:10" x14ac:dyDescent="0.25">
      <c r="B51" s="10"/>
      <c r="C51" s="10"/>
    </row>
    <row r="52" spans="2:10" x14ac:dyDescent="0.25">
      <c r="B52" s="10"/>
      <c r="C52" s="10"/>
    </row>
    <row r="53" spans="2:10" ht="16.2" customHeight="1" x14ac:dyDescent="0.25"/>
    <row r="54" spans="2:10" ht="30" customHeight="1" x14ac:dyDescent="0.25">
      <c r="H54" s="381" t="s">
        <v>855</v>
      </c>
      <c r="I54" s="381"/>
    </row>
    <row r="55" spans="2:10" ht="16.2" customHeight="1" x14ac:dyDescent="0.25">
      <c r="H55" s="1015" t="s">
        <v>335</v>
      </c>
      <c r="I55" s="374" t="s">
        <v>406</v>
      </c>
    </row>
    <row r="56" spans="2:10" x14ac:dyDescent="0.25">
      <c r="H56" s="1016"/>
      <c r="I56" s="355" t="s">
        <v>222</v>
      </c>
    </row>
    <row r="57" spans="2:10" x14ac:dyDescent="0.25">
      <c r="H57" s="91" t="s">
        <v>337</v>
      </c>
      <c r="I57" s="65">
        <f t="shared" ref="I57:I64" si="1">SUMIF($C$10:$C$49,H57,$I$10:$I$49)</f>
        <v>52597.782305954897</v>
      </c>
    </row>
    <row r="58" spans="2:10" x14ac:dyDescent="0.25">
      <c r="H58" s="91" t="s">
        <v>338</v>
      </c>
      <c r="I58" s="65">
        <f t="shared" si="1"/>
        <v>13929.920340537812</v>
      </c>
    </row>
    <row r="59" spans="2:10" x14ac:dyDescent="0.25">
      <c r="H59" s="91" t="s">
        <v>339</v>
      </c>
      <c r="I59" s="65">
        <f t="shared" si="1"/>
        <v>70127.773806259182</v>
      </c>
    </row>
    <row r="60" spans="2:10" ht="16.2" customHeight="1" x14ac:dyDescent="0.25">
      <c r="H60" s="91" t="s">
        <v>340</v>
      </c>
      <c r="I60" s="65">
        <f t="shared" si="1"/>
        <v>10991.977736902141</v>
      </c>
    </row>
    <row r="61" spans="2:10" ht="16.2" customHeight="1" x14ac:dyDescent="0.25">
      <c r="H61" s="91" t="s">
        <v>341</v>
      </c>
      <c r="I61" s="65">
        <f t="shared" si="1"/>
        <v>803532.8575781252</v>
      </c>
    </row>
    <row r="62" spans="2:10" x14ac:dyDescent="0.25">
      <c r="H62" s="91" t="s">
        <v>342</v>
      </c>
      <c r="I62" s="65">
        <f t="shared" si="1"/>
        <v>1371.9119328875299</v>
      </c>
    </row>
    <row r="63" spans="2:10" x14ac:dyDescent="0.25">
      <c r="H63" s="91" t="s">
        <v>343</v>
      </c>
      <c r="I63" s="65">
        <f t="shared" si="1"/>
        <v>5569.1834410249094</v>
      </c>
    </row>
    <row r="64" spans="2:10" x14ac:dyDescent="0.25">
      <c r="H64" s="91" t="s">
        <v>510</v>
      </c>
      <c r="I64" s="65">
        <f t="shared" si="1"/>
        <v>43723.279425846718</v>
      </c>
    </row>
    <row r="65" spans="8:9" ht="30" customHeight="1" x14ac:dyDescent="0.25">
      <c r="H65" s="476" t="s">
        <v>410</v>
      </c>
      <c r="I65" s="66">
        <f>_xlfn.AGGREGATE(9,6,I57:I64)</f>
        <v>1001844.6865675384</v>
      </c>
    </row>
    <row r="66" spans="8:9" ht="31.8" customHeight="1" x14ac:dyDescent="0.25"/>
    <row r="73" spans="8:9" ht="16.2" customHeight="1" x14ac:dyDescent="0.25"/>
    <row r="74" spans="8:9" ht="16.2" customHeight="1" x14ac:dyDescent="0.25"/>
  </sheetData>
  <protectedRanges>
    <protectedRange sqref="J10:J49" name="Range1"/>
  </protectedRanges>
  <mergeCells count="9">
    <mergeCell ref="J8:J9"/>
    <mergeCell ref="B7:J7"/>
    <mergeCell ref="H55:H56"/>
    <mergeCell ref="C8:C9"/>
    <mergeCell ref="B8:B9"/>
    <mergeCell ref="D8:D9"/>
    <mergeCell ref="E8:E9"/>
    <mergeCell ref="G8:G9"/>
    <mergeCell ref="F8:F9"/>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EE72185B-5AA3-4C1E-83DC-51AB19041380}">
          <x14:formula1>
            <xm:f>Settings!$B$341:$B$348</xm:f>
          </x14:formula1>
          <xm:sqref>H57:H64 C10:C49</xm:sqref>
        </x14:dataValidation>
        <x14:dataValidation type="list" allowBlank="1" showInputMessage="1" showErrorMessage="1" xr:uid="{71990D25-7CF1-4E24-A0AE-5005DD7E1218}">
          <x14:formula1>
            <xm:f>Settings!$B$124:$B$131</xm:f>
          </x14:formula1>
          <xm:sqref>E10:E49</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E22B2-B728-4572-9CFF-86D1FBFE59C0}">
  <sheetPr>
    <tabColor rgb="FF7030A0"/>
  </sheetPr>
  <dimension ref="B7:C38"/>
  <sheetViews>
    <sheetView rightToLeft="1" zoomScale="85" zoomScaleNormal="85" workbookViewId="0">
      <selection activeCell="B11" sqref="B11"/>
    </sheetView>
  </sheetViews>
  <sheetFormatPr defaultColWidth="8.8984375" defaultRowHeight="13.8" x14ac:dyDescent="0.25"/>
  <cols>
    <col min="1" max="1" width="11.09765625" style="5" customWidth="1"/>
    <col min="2" max="2" width="25.796875" style="5" customWidth="1"/>
    <col min="3" max="3" width="70.796875" style="5" customWidth="1"/>
    <col min="4" max="16384" width="8.8984375" style="5"/>
  </cols>
  <sheetData>
    <row r="7" spans="2:3" ht="30" customHeight="1" x14ac:dyDescent="0.25">
      <c r="B7" s="281" t="s">
        <v>884</v>
      </c>
      <c r="C7" s="281"/>
    </row>
    <row r="8" spans="2:3" s="40" customFormat="1" ht="16.2" x14ac:dyDescent="0.25">
      <c r="B8" s="138" t="s">
        <v>350</v>
      </c>
      <c r="C8" s="138" t="s">
        <v>353</v>
      </c>
    </row>
    <row r="9" spans="2:3" s="40" customFormat="1" ht="16.2" x14ac:dyDescent="0.25">
      <c r="B9" s="204" t="s">
        <v>360</v>
      </c>
      <c r="C9" s="203" t="s">
        <v>874</v>
      </c>
    </row>
    <row r="10" spans="2:3" s="40" customFormat="1" ht="16.2" x14ac:dyDescent="0.25">
      <c r="B10" s="204" t="s">
        <v>361</v>
      </c>
      <c r="C10" s="203" t="s">
        <v>875</v>
      </c>
    </row>
    <row r="11" spans="2:3" s="40" customFormat="1" ht="16.2" x14ac:dyDescent="0.25">
      <c r="B11" s="204" t="s">
        <v>362</v>
      </c>
      <c r="C11" s="203" t="s">
        <v>876</v>
      </c>
    </row>
    <row r="12" spans="2:3" s="40" customFormat="1" ht="16.2" x14ac:dyDescent="0.25">
      <c r="B12" s="204" t="s">
        <v>368</v>
      </c>
      <c r="C12" s="203" t="s">
        <v>882</v>
      </c>
    </row>
    <row r="13" spans="2:3" s="40" customFormat="1" ht="16.2" x14ac:dyDescent="0.25">
      <c r="B13" s="204" t="s">
        <v>51</v>
      </c>
      <c r="C13" s="203" t="s">
        <v>2126</v>
      </c>
    </row>
    <row r="14" spans="2:3" s="40" customFormat="1" ht="16.2" x14ac:dyDescent="0.25">
      <c r="B14" s="204" t="s">
        <v>363</v>
      </c>
      <c r="C14" s="203" t="s">
        <v>877</v>
      </c>
    </row>
    <row r="15" spans="2:3" s="40" customFormat="1" ht="16.2" x14ac:dyDescent="0.25">
      <c r="B15" s="204" t="s">
        <v>364</v>
      </c>
      <c r="C15" s="203" t="s">
        <v>878</v>
      </c>
    </row>
    <row r="16" spans="2:3" s="40" customFormat="1" ht="16.2" x14ac:dyDescent="0.25">
      <c r="B16" s="204" t="s">
        <v>365</v>
      </c>
      <c r="C16" s="203" t="s">
        <v>879</v>
      </c>
    </row>
    <row r="17" spans="2:3" s="40" customFormat="1" ht="16.2" x14ac:dyDescent="0.25">
      <c r="B17" s="204" t="s">
        <v>366</v>
      </c>
      <c r="C17" s="203" t="s">
        <v>880</v>
      </c>
    </row>
    <row r="18" spans="2:3" s="40" customFormat="1" ht="16.2" x14ac:dyDescent="0.25">
      <c r="B18" s="204" t="s">
        <v>367</v>
      </c>
      <c r="C18" s="203" t="s">
        <v>881</v>
      </c>
    </row>
    <row r="19" spans="2:3" s="40" customFormat="1" ht="16.2" x14ac:dyDescent="0.25"/>
    <row r="20" spans="2:3" s="40" customFormat="1" ht="16.2" x14ac:dyDescent="0.25"/>
    <row r="21" spans="2:3" s="40" customFormat="1" ht="16.2" x14ac:dyDescent="0.25"/>
    <row r="22" spans="2:3" s="40" customFormat="1" ht="16.2" x14ac:dyDescent="0.25"/>
    <row r="23" spans="2:3" s="40" customFormat="1" ht="16.2" x14ac:dyDescent="0.25"/>
    <row r="24" spans="2:3" s="40" customFormat="1" ht="16.2" x14ac:dyDescent="0.25"/>
    <row r="25" spans="2:3" s="40" customFormat="1" ht="16.2" x14ac:dyDescent="0.25"/>
    <row r="26" spans="2:3" s="40" customFormat="1" ht="16.2" x14ac:dyDescent="0.25"/>
    <row r="27" spans="2:3" s="40" customFormat="1" ht="16.2" x14ac:dyDescent="0.25"/>
    <row r="28" spans="2:3" s="40" customFormat="1" ht="16.2" x14ac:dyDescent="0.25"/>
    <row r="29" spans="2:3" s="40" customFormat="1" ht="16.2" x14ac:dyDescent="0.25"/>
    <row r="30" spans="2:3" s="40" customFormat="1" ht="16.2" x14ac:dyDescent="0.25"/>
    <row r="31" spans="2:3" s="40" customFormat="1" ht="16.2" x14ac:dyDescent="0.25"/>
    <row r="32" spans="2:3" s="40" customFormat="1" ht="16.2" x14ac:dyDescent="0.25"/>
    <row r="33" s="40" customFormat="1" ht="16.2" x14ac:dyDescent="0.25"/>
    <row r="34" s="40" customFormat="1" ht="16.2" x14ac:dyDescent="0.25"/>
    <row r="35" s="40" customFormat="1" ht="16.2" x14ac:dyDescent="0.25"/>
    <row r="36" s="40" customFormat="1" ht="16.2" x14ac:dyDescent="0.25"/>
    <row r="37" s="40" customFormat="1" ht="16.2" x14ac:dyDescent="0.25"/>
    <row r="38" s="40" customFormat="1" ht="16.2" x14ac:dyDescent="0.25"/>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CA673-7AF0-4D03-92DC-ADE0C0062C68}">
  <dimension ref="B3:H35"/>
  <sheetViews>
    <sheetView rightToLeft="1" zoomScale="85" zoomScaleNormal="85" workbookViewId="0">
      <selection activeCell="I16" sqref="I16"/>
    </sheetView>
  </sheetViews>
  <sheetFormatPr defaultColWidth="9.09765625" defaultRowHeight="16.2" x14ac:dyDescent="0.25"/>
  <cols>
    <col min="1" max="1" width="12.09765625" style="3" customWidth="1"/>
    <col min="2" max="2" width="27.8984375" style="3" customWidth="1"/>
    <col min="3" max="3" width="27.19921875" style="3" customWidth="1"/>
    <col min="4" max="4" width="17.8984375" style="3" customWidth="1"/>
    <col min="5" max="6" width="24.59765625" style="3" customWidth="1"/>
    <col min="7" max="7" width="19.59765625" style="22" customWidth="1"/>
    <col min="8" max="8" width="22.09765625" style="3" customWidth="1"/>
    <col min="9" max="11" width="11.3984375" style="3" customWidth="1"/>
    <col min="12" max="12" width="17.296875" style="3" customWidth="1"/>
    <col min="13" max="16384" width="9.09765625" style="3"/>
  </cols>
  <sheetData>
    <row r="3" spans="2:8" ht="16.2" customHeight="1" x14ac:dyDescent="0.25"/>
    <row r="4" spans="2:8" ht="16.2" customHeight="1" x14ac:dyDescent="0.25"/>
    <row r="5" spans="2:8" ht="16.2" customHeight="1" x14ac:dyDescent="0.25"/>
    <row r="6" spans="2:8" ht="16.2" customHeight="1" x14ac:dyDescent="0.25"/>
    <row r="7" spans="2:8" s="279" customFormat="1" ht="30" customHeight="1" x14ac:dyDescent="0.25">
      <c r="B7" s="381" t="s">
        <v>2084</v>
      </c>
      <c r="C7" s="381"/>
      <c r="D7" s="381"/>
      <c r="E7" s="381"/>
      <c r="F7" s="381"/>
      <c r="G7" s="381"/>
      <c r="H7" s="381"/>
    </row>
    <row r="8" spans="2:8" s="4" customFormat="1" ht="16.8" x14ac:dyDescent="0.25">
      <c r="B8" s="1014" t="s">
        <v>445</v>
      </c>
      <c r="C8" s="1015" t="s">
        <v>509</v>
      </c>
      <c r="D8" s="1015" t="s">
        <v>402</v>
      </c>
      <c r="E8" s="956" t="s">
        <v>1211</v>
      </c>
      <c r="F8" s="1025"/>
      <c r="G8" s="1072" t="s">
        <v>447</v>
      </c>
      <c r="H8" s="1014" t="s">
        <v>448</v>
      </c>
    </row>
    <row r="9" spans="2:8" s="4" customFormat="1" ht="16.8" x14ac:dyDescent="0.25">
      <c r="B9" s="1008"/>
      <c r="C9" s="1016"/>
      <c r="D9" s="1016"/>
      <c r="E9" s="355" t="s">
        <v>1101</v>
      </c>
      <c r="F9" s="355" t="s">
        <v>446</v>
      </c>
      <c r="G9" s="1072"/>
      <c r="H9" s="1016"/>
    </row>
    <row r="10" spans="2:8" x14ac:dyDescent="0.25">
      <c r="B10" s="87" t="s">
        <v>495</v>
      </c>
      <c r="C10" s="87" t="s">
        <v>633</v>
      </c>
      <c r="D10" s="87" t="s">
        <v>301</v>
      </c>
      <c r="E10" s="165">
        <f>Settings!D124</f>
        <v>1.395E-4</v>
      </c>
      <c r="F10" s="165">
        <f>Settings!F112</f>
        <v>1.0658880000000001E-3</v>
      </c>
      <c r="G10" s="257" t="s">
        <v>2090</v>
      </c>
      <c r="H10" s="117">
        <f t="shared" ref="H10:H18" si="0">SUM(E10:F10)</f>
        <v>1.2053880000000002E-3</v>
      </c>
    </row>
    <row r="11" spans="2:8" x14ac:dyDescent="0.25">
      <c r="B11" s="87" t="s">
        <v>1992</v>
      </c>
      <c r="C11" s="87" t="s">
        <v>633</v>
      </c>
      <c r="D11" s="87" t="s">
        <v>301</v>
      </c>
      <c r="E11" s="165">
        <f>Settings!D124</f>
        <v>1.395E-4</v>
      </c>
      <c r="F11" s="165">
        <f>Settings!F113</f>
        <v>9.4428700000000003E-4</v>
      </c>
      <c r="G11" s="257" t="s">
        <v>2090</v>
      </c>
      <c r="H11" s="117">
        <f t="shared" si="0"/>
        <v>1.0837870000000001E-3</v>
      </c>
    </row>
    <row r="12" spans="2:8" x14ac:dyDescent="0.25">
      <c r="B12" s="651" t="s">
        <v>2071</v>
      </c>
      <c r="C12" s="651" t="s">
        <v>633</v>
      </c>
      <c r="D12" s="651" t="s">
        <v>301</v>
      </c>
      <c r="E12" s="165"/>
      <c r="F12" s="165">
        <f>Settings!F114</f>
        <v>8.0315399999999997E-8</v>
      </c>
      <c r="G12" s="257" t="s">
        <v>290</v>
      </c>
      <c r="H12" s="117">
        <f t="shared" si="0"/>
        <v>8.0315399999999997E-8</v>
      </c>
    </row>
    <row r="13" spans="2:8" x14ac:dyDescent="0.25">
      <c r="B13" s="682" t="s">
        <v>465</v>
      </c>
      <c r="C13" s="682" t="s">
        <v>632</v>
      </c>
      <c r="D13" s="354" t="s">
        <v>490</v>
      </c>
      <c r="E13" s="165"/>
      <c r="F13" s="165">
        <f>Settings!D125</f>
        <v>0.33660000000000001</v>
      </c>
      <c r="G13" s="257" t="s">
        <v>282</v>
      </c>
      <c r="H13" s="117">
        <f t="shared" si="0"/>
        <v>0.33660000000000001</v>
      </c>
    </row>
    <row r="14" spans="2:8" x14ac:dyDescent="0.25">
      <c r="B14" s="479" t="s">
        <v>770</v>
      </c>
      <c r="C14" s="87" t="s">
        <v>632</v>
      </c>
      <c r="D14" s="87" t="s">
        <v>299</v>
      </c>
      <c r="E14" s="165"/>
      <c r="F14" s="687">
        <f>Settings!D128</f>
        <v>0.42316367999999999</v>
      </c>
      <c r="G14" s="257" t="s">
        <v>282</v>
      </c>
      <c r="H14" s="117">
        <f t="shared" si="0"/>
        <v>0.42316367999999999</v>
      </c>
    </row>
    <row r="15" spans="2:8" x14ac:dyDescent="0.25">
      <c r="B15" s="479" t="s">
        <v>771</v>
      </c>
      <c r="C15" s="87" t="s">
        <v>632</v>
      </c>
      <c r="D15" s="87" t="s">
        <v>299</v>
      </c>
      <c r="E15" s="165"/>
      <c r="F15" s="165">
        <f>Settings!D129</f>
        <v>0.34430947000000001</v>
      </c>
      <c r="G15" s="257" t="s">
        <v>282</v>
      </c>
      <c r="H15" s="117">
        <f t="shared" si="0"/>
        <v>0.34430947000000001</v>
      </c>
    </row>
    <row r="16" spans="2:8" x14ac:dyDescent="0.25">
      <c r="B16" s="479" t="s">
        <v>772</v>
      </c>
      <c r="C16" s="87" t="s">
        <v>632</v>
      </c>
      <c r="D16" s="87" t="s">
        <v>299</v>
      </c>
      <c r="E16" s="165"/>
      <c r="F16" s="165">
        <f>Settings!D130</f>
        <v>0.30295197000000001</v>
      </c>
      <c r="G16" s="257" t="s">
        <v>282</v>
      </c>
      <c r="H16" s="117">
        <f t="shared" si="0"/>
        <v>0.30295197000000001</v>
      </c>
    </row>
    <row r="17" spans="2:8" x14ac:dyDescent="0.25">
      <c r="B17" s="87" t="s">
        <v>466</v>
      </c>
      <c r="C17" s="87" t="s">
        <v>634</v>
      </c>
      <c r="D17" s="87" t="s">
        <v>492</v>
      </c>
      <c r="E17" s="165"/>
      <c r="F17" s="165">
        <f>Settings!D126</f>
        <v>6.2664999999999997E-4</v>
      </c>
      <c r="G17" s="257" t="s">
        <v>282</v>
      </c>
      <c r="H17" s="117">
        <f t="shared" si="0"/>
        <v>6.2664999999999997E-4</v>
      </c>
    </row>
    <row r="18" spans="2:8" x14ac:dyDescent="0.25">
      <c r="B18" s="87" t="s">
        <v>494</v>
      </c>
      <c r="C18" s="87" t="s">
        <v>634</v>
      </c>
      <c r="D18" s="87" t="s">
        <v>492</v>
      </c>
      <c r="E18" s="165"/>
      <c r="F18" s="165">
        <f>Settings!D127</f>
        <v>6.0663999999999998E-4</v>
      </c>
      <c r="G18" s="257" t="s">
        <v>282</v>
      </c>
      <c r="H18" s="117">
        <f t="shared" si="0"/>
        <v>6.0663999999999998E-4</v>
      </c>
    </row>
    <row r="22" spans="2:8" ht="16.8" x14ac:dyDescent="0.25">
      <c r="B22" s="109"/>
      <c r="C22" s="248"/>
      <c r="D22" s="235"/>
      <c r="E22" s="235"/>
      <c r="F22" s="275" t="s">
        <v>1099</v>
      </c>
    </row>
    <row r="23" spans="2:8" ht="16.8" x14ac:dyDescent="0.25">
      <c r="B23" s="109"/>
      <c r="C23" s="688"/>
      <c r="D23" s="242"/>
      <c r="E23" s="242"/>
      <c r="F23" s="250" t="s">
        <v>1100</v>
      </c>
    </row>
    <row r="24" spans="2:8" ht="16.8" x14ac:dyDescent="0.25">
      <c r="B24" s="109"/>
      <c r="F24" s="171"/>
    </row>
    <row r="25" spans="2:8" ht="16.8" x14ac:dyDescent="0.25">
      <c r="B25" s="109"/>
    </row>
    <row r="26" spans="2:8" x14ac:dyDescent="0.25">
      <c r="B26" s="252"/>
      <c r="C26" s="248"/>
      <c r="D26" s="235"/>
      <c r="E26" s="235"/>
      <c r="F26" s="254" t="s">
        <v>699</v>
      </c>
    </row>
    <row r="27" spans="2:8" x14ac:dyDescent="0.25">
      <c r="C27" s="255"/>
      <c r="D27" s="253"/>
      <c r="E27" s="253"/>
      <c r="F27" s="256" t="s">
        <v>285</v>
      </c>
    </row>
    <row r="28" spans="2:8" x14ac:dyDescent="0.25">
      <c r="C28" s="255"/>
      <c r="D28" s="253"/>
      <c r="E28" s="253"/>
      <c r="F28" s="256" t="s">
        <v>1093</v>
      </c>
    </row>
    <row r="29" spans="2:8" x14ac:dyDescent="0.25">
      <c r="C29" s="255"/>
      <c r="D29" s="253"/>
      <c r="E29" s="253"/>
      <c r="F29" s="256" t="s">
        <v>2089</v>
      </c>
    </row>
    <row r="30" spans="2:8" x14ac:dyDescent="0.25">
      <c r="C30" s="255"/>
      <c r="D30" s="253"/>
      <c r="E30" s="253"/>
      <c r="F30" s="256" t="s">
        <v>2091</v>
      </c>
    </row>
    <row r="31" spans="2:8" x14ac:dyDescent="0.25">
      <c r="C31" s="241"/>
      <c r="D31" s="238"/>
      <c r="E31" s="238"/>
      <c r="F31" s="249">
        <v>6</v>
      </c>
    </row>
    <row r="32" spans="2:8" x14ac:dyDescent="0.25">
      <c r="C32" s="241"/>
      <c r="D32" s="238"/>
      <c r="E32" s="238"/>
      <c r="F32" s="233">
        <v>7</v>
      </c>
    </row>
    <row r="33" spans="3:6" x14ac:dyDescent="0.25">
      <c r="C33" s="688"/>
      <c r="D33" s="242"/>
      <c r="E33" s="242"/>
      <c r="F33" s="234">
        <v>8</v>
      </c>
    </row>
    <row r="34" spans="3:6" x14ac:dyDescent="0.25">
      <c r="C34" s="79"/>
      <c r="D34" s="79"/>
      <c r="E34" s="79"/>
      <c r="F34" s="79"/>
    </row>
    <row r="35" spans="3:6" x14ac:dyDescent="0.25">
      <c r="C35" s="79"/>
      <c r="D35" s="79"/>
      <c r="E35" s="79"/>
      <c r="F35" s="79"/>
    </row>
  </sheetData>
  <mergeCells count="6">
    <mergeCell ref="H8:H9"/>
    <mergeCell ref="B8:B9"/>
    <mergeCell ref="C8:C9"/>
    <mergeCell ref="D8:D9"/>
    <mergeCell ref="E8:F8"/>
    <mergeCell ref="G8:G9"/>
  </mergeCells>
  <phoneticPr fontId="19"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97902-6A93-4998-96CD-F1B228CB9B31}">
  <dimension ref="B3:AF81"/>
  <sheetViews>
    <sheetView rightToLeft="1" zoomScale="70" zoomScaleNormal="70" workbookViewId="0">
      <selection activeCell="J33" sqref="J33"/>
    </sheetView>
  </sheetViews>
  <sheetFormatPr defaultColWidth="9.09765625" defaultRowHeight="16.2" x14ac:dyDescent="0.25"/>
  <cols>
    <col min="1" max="1" width="12.09765625" style="3" customWidth="1"/>
    <col min="2" max="2" width="15.296875" style="3" customWidth="1"/>
    <col min="3" max="3" width="31.59765625" style="3" customWidth="1"/>
    <col min="4" max="4" width="9.8984375" style="3" customWidth="1"/>
    <col min="5" max="5" width="20.69921875" style="3" customWidth="1"/>
    <col min="6" max="6" width="16.19921875" style="3" bestFit="1" customWidth="1"/>
    <col min="7" max="7" width="7.296875" style="3" customWidth="1"/>
    <col min="8" max="8" width="26" style="3" bestFit="1" customWidth="1"/>
    <col min="9" max="9" width="10.8984375" style="3" customWidth="1"/>
    <col min="10" max="10" width="22.59765625" style="3" customWidth="1"/>
    <col min="11" max="24" width="11.09765625" style="3" customWidth="1"/>
    <col min="25" max="26" width="11.8984375" style="3" customWidth="1"/>
    <col min="27" max="29" width="11.09765625" style="3" customWidth="1"/>
    <col min="30" max="30" width="17.296875" style="3" customWidth="1"/>
    <col min="31" max="31" width="20.296875" style="3" customWidth="1"/>
    <col min="32" max="32" width="26.19921875" style="3" customWidth="1"/>
    <col min="33" max="36" width="11.3984375" style="3" customWidth="1"/>
    <col min="37" max="37" width="17.296875" style="3" customWidth="1"/>
    <col min="38" max="16384" width="9.09765625" style="3"/>
  </cols>
  <sheetData>
    <row r="3" spans="2:32" ht="16.2" customHeight="1" x14ac:dyDescent="0.25"/>
    <row r="4" spans="2:32" ht="16.2" customHeight="1" x14ac:dyDescent="0.25"/>
    <row r="5" spans="2:32" ht="16.2" customHeight="1" x14ac:dyDescent="0.25"/>
    <row r="6" spans="2:32" ht="16.2" customHeight="1" x14ac:dyDescent="0.25"/>
    <row r="7" spans="2:32" ht="16.2" customHeight="1" x14ac:dyDescent="0.25"/>
    <row r="8" spans="2:32" s="279" customFormat="1" ht="30" customHeight="1" x14ac:dyDescent="0.25">
      <c r="B8" s="381" t="s">
        <v>393</v>
      </c>
      <c r="C8" s="381"/>
      <c r="D8" s="381"/>
      <c r="E8" s="381"/>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484"/>
    </row>
    <row r="9" spans="2:32" s="4" customFormat="1" ht="50.4" customHeight="1" x14ac:dyDescent="0.25">
      <c r="B9" s="1015" t="s">
        <v>335</v>
      </c>
      <c r="C9" s="1015" t="s">
        <v>411</v>
      </c>
      <c r="D9" s="1014" t="s">
        <v>449</v>
      </c>
      <c r="E9" s="976" t="s">
        <v>450</v>
      </c>
      <c r="F9" s="1015" t="s">
        <v>443</v>
      </c>
      <c r="G9" s="1015" t="s">
        <v>402</v>
      </c>
      <c r="H9" s="1015" t="s">
        <v>386</v>
      </c>
      <c r="I9" s="1014" t="s">
        <v>451</v>
      </c>
      <c r="J9" s="1014" t="s">
        <v>452</v>
      </c>
      <c r="K9" s="486" t="s">
        <v>465</v>
      </c>
      <c r="L9" s="486" t="s">
        <v>466</v>
      </c>
      <c r="M9" s="485" t="s">
        <v>496</v>
      </c>
      <c r="N9" s="486" t="s">
        <v>1992</v>
      </c>
      <c r="O9" s="486" t="s">
        <v>2071</v>
      </c>
      <c r="P9" s="486" t="s">
        <v>966</v>
      </c>
      <c r="Q9" s="486" t="s">
        <v>962</v>
      </c>
      <c r="R9" s="487" t="s">
        <v>47</v>
      </c>
      <c r="S9" s="487" t="s">
        <v>48</v>
      </c>
      <c r="T9" s="487" t="s">
        <v>49</v>
      </c>
      <c r="U9" s="487" t="s">
        <v>1123</v>
      </c>
      <c r="V9" s="374" t="s">
        <v>368</v>
      </c>
      <c r="W9" s="374" t="s">
        <v>458</v>
      </c>
      <c r="X9" s="374" t="s">
        <v>459</v>
      </c>
      <c r="Y9" s="374" t="s">
        <v>463</v>
      </c>
      <c r="Z9" s="649" t="s">
        <v>365</v>
      </c>
      <c r="AA9" s="374" t="s">
        <v>460</v>
      </c>
      <c r="AB9" s="374" t="s">
        <v>461</v>
      </c>
      <c r="AC9" s="374" t="s">
        <v>462</v>
      </c>
      <c r="AD9" s="1014" t="s">
        <v>456</v>
      </c>
      <c r="AE9" s="1014" t="s">
        <v>457</v>
      </c>
      <c r="AF9" s="1014" t="s">
        <v>725</v>
      </c>
    </row>
    <row r="10" spans="2:32" s="4" customFormat="1" ht="16.8" customHeight="1" x14ac:dyDescent="0.25">
      <c r="B10" s="1017"/>
      <c r="C10" s="1017"/>
      <c r="D10" s="1007"/>
      <c r="E10" s="976"/>
      <c r="F10" s="1017"/>
      <c r="G10" s="1017"/>
      <c r="H10" s="1017"/>
      <c r="I10" s="1007"/>
      <c r="J10" s="1007"/>
      <c r="K10" s="488">
        <f>'Upstream CF'!H13</f>
        <v>0.33660000000000001</v>
      </c>
      <c r="L10" s="488">
        <f>'Upstream CF'!H17</f>
        <v>6.2664999999999997E-4</v>
      </c>
      <c r="M10" s="488">
        <f>'Upstream CF'!H10</f>
        <v>1.2053880000000002E-3</v>
      </c>
      <c r="N10" s="488">
        <f>'Upstream CF'!H11</f>
        <v>1.0837870000000001E-3</v>
      </c>
      <c r="O10" s="654">
        <f>'Upstream CF'!H12</f>
        <v>8.0315399999999997E-8</v>
      </c>
      <c r="P10" s="1077" t="s">
        <v>455</v>
      </c>
      <c r="Q10" s="1078"/>
      <c r="R10" s="1081" t="s">
        <v>455</v>
      </c>
      <c r="S10" s="1082"/>
      <c r="T10" s="1082"/>
      <c r="U10" s="1083"/>
      <c r="V10" s="1018" t="s">
        <v>455</v>
      </c>
      <c r="W10" s="1047"/>
      <c r="X10" s="1047"/>
      <c r="Y10" s="1047"/>
      <c r="Z10" s="1047"/>
      <c r="AA10" s="1047"/>
      <c r="AB10" s="1047"/>
      <c r="AC10" s="1047"/>
      <c r="AD10" s="1007"/>
      <c r="AE10" s="1007"/>
      <c r="AF10" s="1007"/>
    </row>
    <row r="11" spans="2:32" s="4" customFormat="1" ht="16.8" x14ac:dyDescent="0.25">
      <c r="B11" s="1017"/>
      <c r="C11" s="1017"/>
      <c r="D11" s="1007"/>
      <c r="E11" s="976"/>
      <c r="F11" s="1017"/>
      <c r="G11" s="1017"/>
      <c r="H11" s="1017"/>
      <c r="I11" s="1007"/>
      <c r="J11" s="1007"/>
      <c r="K11" s="689" t="s">
        <v>2078</v>
      </c>
      <c r="L11" s="689" t="s">
        <v>2079</v>
      </c>
      <c r="M11" s="689" t="s">
        <v>304</v>
      </c>
      <c r="N11" s="689" t="s">
        <v>304</v>
      </c>
      <c r="O11" s="689" t="s">
        <v>304</v>
      </c>
      <c r="P11" s="1079"/>
      <c r="Q11" s="1080"/>
      <c r="R11" s="1084"/>
      <c r="S11" s="1085"/>
      <c r="T11" s="1085"/>
      <c r="U11" s="1086"/>
      <c r="V11" s="1011"/>
      <c r="W11" s="1048"/>
      <c r="X11" s="1048"/>
      <c r="Y11" s="1048"/>
      <c r="Z11" s="1048"/>
      <c r="AA11" s="1048"/>
      <c r="AB11" s="1048"/>
      <c r="AC11" s="1048"/>
      <c r="AD11" s="1007"/>
      <c r="AE11" s="1007"/>
      <c r="AF11" s="1007"/>
    </row>
    <row r="12" spans="2:32" s="4" customFormat="1" ht="34.200000000000003" customHeight="1" x14ac:dyDescent="0.25">
      <c r="B12" s="1016"/>
      <c r="C12" s="1016"/>
      <c r="D12" s="1008"/>
      <c r="E12" s="976"/>
      <c r="F12" s="1016"/>
      <c r="G12" s="1016"/>
      <c r="H12" s="1016"/>
      <c r="I12" s="1008"/>
      <c r="J12" s="1008"/>
      <c r="K12" s="1090" t="s">
        <v>453</v>
      </c>
      <c r="L12" s="1091"/>
      <c r="M12" s="1091"/>
      <c r="N12" s="1091"/>
      <c r="O12" s="1091"/>
      <c r="P12" s="1091"/>
      <c r="Q12" s="1092"/>
      <c r="R12" s="1087" t="s">
        <v>478</v>
      </c>
      <c r="S12" s="1088"/>
      <c r="T12" s="1088"/>
      <c r="U12" s="1089"/>
      <c r="V12" s="956" t="s">
        <v>454</v>
      </c>
      <c r="W12" s="1025"/>
      <c r="X12" s="1025"/>
      <c r="Y12" s="1025"/>
      <c r="Z12" s="1025"/>
      <c r="AA12" s="1025"/>
      <c r="AB12" s="1025"/>
      <c r="AC12" s="1025"/>
      <c r="AD12" s="1008"/>
      <c r="AE12" s="1008"/>
      <c r="AF12" s="1008"/>
    </row>
    <row r="13" spans="2:32" x14ac:dyDescent="0.25">
      <c r="B13" s="489" t="s">
        <v>341</v>
      </c>
      <c r="C13" s="87" t="s">
        <v>1697</v>
      </c>
      <c r="D13" s="87">
        <v>5130</v>
      </c>
      <c r="E13" s="87" t="s">
        <v>498</v>
      </c>
      <c r="F13" s="490">
        <v>1070502976</v>
      </c>
      <c r="G13" s="346" t="s">
        <v>301</v>
      </c>
      <c r="H13" s="87" t="s">
        <v>668</v>
      </c>
      <c r="I13" s="491">
        <v>1</v>
      </c>
      <c r="J13" s="115">
        <v>0</v>
      </c>
      <c r="K13" s="348">
        <f>SUMIFS(Combustion!$F$11:$F$95,Combustion!$C$11:$C$95,C13,Combustion!$H$11:$H$95,$K$9)*$K$10*I13</f>
        <v>0</v>
      </c>
      <c r="L13" s="348">
        <f>SUMIFS(Combustion!$F$11:$F$95,Combustion!$C$11:$C$95,C13,Combustion!$H$11:$H$95,$L$9)*$L$10*I13</f>
        <v>0</v>
      </c>
      <c r="M13" s="348">
        <v>0</v>
      </c>
      <c r="N13" s="348">
        <v>0</v>
      </c>
      <c r="O13" s="655">
        <v>0</v>
      </c>
      <c r="P13" s="348">
        <f>'Ancillary Input'!$L$313/25</f>
        <v>140.87967688592633</v>
      </c>
      <c r="Q13" s="348">
        <f>'Purchased Services'!$J$182/25</f>
        <v>14.319317952916986</v>
      </c>
      <c r="R13" s="348">
        <f>SUMIF(Combustion!$C$11:$C$95,C13,Combustion!$P$11:$P$95)*I13</f>
        <v>0</v>
      </c>
      <c r="S13" s="348">
        <f>SUMIF(Vent!$C$10:$C$16,C13,Vent!$M$10:$M$16)*I13</f>
        <v>0</v>
      </c>
      <c r="T13" s="348">
        <f>(Fugitive!$L$102-Fugitive!$L$49)/25</f>
        <v>30.016412398302126</v>
      </c>
      <c r="U13" s="348">
        <f ca="1">SUMIF(Wastewater!$C$30:$D$110,C13,Wastewater!$I$30:$I$110)*I13</f>
        <v>57.420917821346208</v>
      </c>
      <c r="V13" s="348">
        <f>SUMIF('Mix Electricity'!$D$10:$D$104,C13,'Mix Electricity'!$I$10:$I$104)*I13</f>
        <v>29814.035389505596</v>
      </c>
      <c r="W13" s="348">
        <f>SUMIFS(Steam!$I$10:$I$29,Steam!$D$10:$D$29,C13,Steam!$C$10:$C$29,$W$9)*I13</f>
        <v>693626.66303111438</v>
      </c>
      <c r="X13" s="348">
        <f>SUMIFS(Steam!$I$10:$I$29,Steam!$D$10:$D$29,C13,Steam!$C$10:$C$29,$X$9)*I13</f>
        <v>0</v>
      </c>
      <c r="Y13" s="348">
        <f>SUMIF(Air!$D$10:$D$71,C13,Air!$I$10:$I$71)*I13</f>
        <v>483.69093557456125</v>
      </c>
      <c r="Z13" s="655">
        <f>SUMIF(Nitrogen!$D$10:$D$45,C13,Nitrogen!$I$10:$I$45)*I13</f>
        <v>0</v>
      </c>
      <c r="AA13" s="348">
        <f>SUMIFS(Water!$I$10:$I$92,Water!$D$10:$D$92,C13,Water!$C$10:$C$92,$AA$9)*I13</f>
        <v>2750.9592884945064</v>
      </c>
      <c r="AB13" s="348">
        <f>SUMIFS(Water!$I$10:$I$92,Water!$D$10:$D$92,C13,Water!$C$10:$C$92,$AB$9)*I13</f>
        <v>0</v>
      </c>
      <c r="AC13" s="348">
        <f>SUMIFS(Water!$I$10:$I$92,Water!$D$10:$D$92,C13,Water!$C$10:$C$92,$AC$9)*I13</f>
        <v>0</v>
      </c>
      <c r="AD13" s="115">
        <f t="shared" ref="AD13:AD37" ca="1" si="0">SUM(K13:AC13)+J13</f>
        <v>726917.9849697476</v>
      </c>
      <c r="AE13" s="117">
        <f t="shared" ref="AE13:AE37" ca="1" si="1">AD13/F13</f>
        <v>6.7904340414439693E-4</v>
      </c>
      <c r="AF13" s="385" t="s">
        <v>789</v>
      </c>
    </row>
    <row r="14" spans="2:32" x14ac:dyDescent="0.25">
      <c r="B14" s="489" t="s">
        <v>341</v>
      </c>
      <c r="C14" s="589" t="s">
        <v>1699</v>
      </c>
      <c r="D14" s="87">
        <v>5140</v>
      </c>
      <c r="E14" s="87" t="s">
        <v>499</v>
      </c>
      <c r="F14" s="490">
        <v>549536612</v>
      </c>
      <c r="G14" s="346" t="s">
        <v>301</v>
      </c>
      <c r="H14" s="87" t="s">
        <v>668</v>
      </c>
      <c r="I14" s="491">
        <v>1</v>
      </c>
      <c r="J14" s="115">
        <v>0</v>
      </c>
      <c r="K14" s="655">
        <f>SUMIFS(Combustion!$F$11:$F$95,Combustion!$C$11:$C$95,C14,Combustion!$H$11:$H$95,$K$9)*$K$10*I14</f>
        <v>61349.622463800013</v>
      </c>
      <c r="L14" s="655">
        <f>SUMIFS(Combustion!$F$11:$F$95,Combustion!$C$11:$C$95,C14,Combustion!$H$11:$H$95,$L$9)*$L$10*I14</f>
        <v>0</v>
      </c>
      <c r="M14" s="348">
        <v>0</v>
      </c>
      <c r="N14" s="348">
        <v>0</v>
      </c>
      <c r="O14" s="655">
        <v>0</v>
      </c>
      <c r="P14" s="655">
        <f>'Ancillary Input'!$L$313/25</f>
        <v>140.87967688592633</v>
      </c>
      <c r="Q14" s="655">
        <f>'Purchased Services'!$J$182/25</f>
        <v>14.319317952916986</v>
      </c>
      <c r="R14" s="655">
        <f>SUMIF(Combustion!$C$11:$C$95,C14,Combustion!$P$11:$P$95)*I14</f>
        <v>153522.50912294851</v>
      </c>
      <c r="S14" s="683">
        <f>SUMIF(Vent!$C$10:$C$16,C14,Vent!$M$10:$M$16)*I14</f>
        <v>0</v>
      </c>
      <c r="T14" s="655">
        <f>(Fugitive!$L$102-Fugitive!$L$49)/25</f>
        <v>30.016412398302126</v>
      </c>
      <c r="U14" s="655">
        <f ca="1">SUMIF(Wastewater!$C$30:$D$110,C14,Wastewater!$I$30:$I$110)*I14</f>
        <v>0</v>
      </c>
      <c r="V14" s="655">
        <f>SUMIF('Mix Electricity'!$D$10:$D$104,C14,'Mix Electricity'!$I$10:$I$104)*I14</f>
        <v>1533.0507499845664</v>
      </c>
      <c r="W14" s="655">
        <f>SUMIFS(Steam!$I$10:$I$29,Steam!$D$10:$D$29,C14,Steam!$C$10:$C$29,$W$9)*I14</f>
        <v>0</v>
      </c>
      <c r="X14" s="655">
        <f>SUMIFS(Steam!$I$10:$I$29,Steam!$D$10:$D$29,C14,Steam!$C$10:$C$29,$X$9)*I14</f>
        <v>0</v>
      </c>
      <c r="Y14" s="655">
        <f>SUMIF(Air!$D$10:$D$71,C14,Air!$I$10:$I$71)*I14</f>
        <v>0</v>
      </c>
      <c r="Z14" s="655">
        <f>SUMIF(Nitrogen!$D$10:$D$45,C14,Nitrogen!$I$10:$I$45)*I14</f>
        <v>0</v>
      </c>
      <c r="AA14" s="655">
        <f>SUMIFS(Water!$I$10:$I$92,Water!$D$10:$D$92,C14,Water!$C$10:$C$92,$AA$9)*I14</f>
        <v>0</v>
      </c>
      <c r="AB14" s="655">
        <f>SUMIFS(Water!$I$10:$I$92,Water!$D$10:$D$92,C14,Water!$C$10:$C$92,$AB$9)*I14</f>
        <v>0</v>
      </c>
      <c r="AC14" s="655">
        <f>SUMIFS(Water!$I$10:$I$92,Water!$D$10:$D$92,C14,Water!$C$10:$C$92,$AC$9)*I14</f>
        <v>0</v>
      </c>
      <c r="AD14" s="115">
        <f t="shared" ca="1" si="0"/>
        <v>216590.39774397024</v>
      </c>
      <c r="AE14" s="117">
        <f t="shared" ca="1" si="1"/>
        <v>3.941327893617582E-4</v>
      </c>
      <c r="AF14" s="385" t="s">
        <v>790</v>
      </c>
    </row>
    <row r="15" spans="2:32" x14ac:dyDescent="0.25">
      <c r="B15" s="489" t="s">
        <v>341</v>
      </c>
      <c r="C15" s="589" t="s">
        <v>1698</v>
      </c>
      <c r="D15" s="589">
        <v>5150</v>
      </c>
      <c r="E15" s="589" t="s">
        <v>1701</v>
      </c>
      <c r="F15" s="490">
        <v>1780192400</v>
      </c>
      <c r="G15" s="588" t="s">
        <v>301</v>
      </c>
      <c r="H15" s="589" t="s">
        <v>668</v>
      </c>
      <c r="I15" s="491">
        <v>1</v>
      </c>
      <c r="J15" s="115">
        <v>0</v>
      </c>
      <c r="K15" s="655">
        <f>SUMIFS(Combustion!$F$11:$F$95,Combustion!$C$11:$C$95,C15,Combustion!$H$11:$H$95,$K$9)*$K$10*I15</f>
        <v>165037.1470308</v>
      </c>
      <c r="L15" s="655">
        <f>SUMIFS(Combustion!$F$11:$F$95,Combustion!$C$11:$C$95,C15,Combustion!$H$11:$H$95,$L$9)*$L$10*I15</f>
        <v>0</v>
      </c>
      <c r="M15" s="590"/>
      <c r="N15" s="590"/>
      <c r="O15" s="655">
        <v>0</v>
      </c>
      <c r="P15" s="655">
        <f>'Ancillary Input'!$L$313/25</f>
        <v>140.87967688592633</v>
      </c>
      <c r="Q15" s="655">
        <f>'Purchased Services'!$J$182/25</f>
        <v>14.319317952916986</v>
      </c>
      <c r="R15" s="655">
        <f>SUMIF(Combustion!$C$11:$C$95,C15,Combustion!$P$11:$P$95)*I15</f>
        <v>412992.22217075096</v>
      </c>
      <c r="S15" s="683">
        <f>SUMIF(Vent!$C$10:$C$16,C15,Vent!$M$10:$M$16)*I15</f>
        <v>0</v>
      </c>
      <c r="T15" s="655">
        <f>(Fugitive!$L$102-Fugitive!$L$49)/25</f>
        <v>30.016412398302126</v>
      </c>
      <c r="U15" s="655">
        <f ca="1">SUMIF(Wastewater!$C$30:$D$110,C15,Wastewater!$I$30:$I$110)*I15</f>
        <v>0</v>
      </c>
      <c r="V15" s="655">
        <f>SUMIF('Mix Electricity'!$D$10:$D$104,C15,'Mix Electricity'!$I$10:$I$104)*I15</f>
        <v>0</v>
      </c>
      <c r="W15" s="655">
        <f>SUMIFS(Steam!$I$10:$I$29,Steam!$D$10:$D$29,C15,Steam!$C$10:$C$29,$W$9)*I15</f>
        <v>0</v>
      </c>
      <c r="X15" s="655">
        <f>SUMIFS(Steam!$I$10:$I$29,Steam!$D$10:$D$29,C15,Steam!$C$10:$C$29,$X$9)*I15</f>
        <v>0</v>
      </c>
      <c r="Y15" s="655">
        <f>SUMIF(Air!$D$10:$D$71,C15,Air!$I$10:$I$71)*I15</f>
        <v>0</v>
      </c>
      <c r="Z15" s="655">
        <f>SUMIF(Nitrogen!$D$10:$D$45,C15,Nitrogen!$I$10:$I$45)*I15</f>
        <v>0</v>
      </c>
      <c r="AA15" s="655">
        <f>SUMIFS(Water!$I$10:$I$92,Water!$D$10:$D$92,C15,Water!$C$10:$C$92,$AA$9)*I15</f>
        <v>0</v>
      </c>
      <c r="AB15" s="655">
        <f>SUMIFS(Water!$I$10:$I$92,Water!$D$10:$D$92,C15,Water!$C$10:$C$92,$AB$9)*I15</f>
        <v>0</v>
      </c>
      <c r="AC15" s="655">
        <f>SUMIFS(Water!$I$10:$I$92,Water!$D$10:$D$92,C15,Water!$C$10:$C$92,$AC$9)*I15</f>
        <v>0</v>
      </c>
      <c r="AD15" s="115">
        <f t="shared" ca="1" si="0"/>
        <v>578214.58460878814</v>
      </c>
      <c r="AE15" s="117">
        <f t="shared" ca="1" si="1"/>
        <v>3.2480454618769754E-4</v>
      </c>
      <c r="AF15" s="385"/>
    </row>
    <row r="16" spans="2:32" x14ac:dyDescent="0.25">
      <c r="B16" s="489" t="s">
        <v>341</v>
      </c>
      <c r="C16" s="87" t="s">
        <v>668</v>
      </c>
      <c r="D16" s="87">
        <v>5430</v>
      </c>
      <c r="E16" s="87" t="s">
        <v>368</v>
      </c>
      <c r="F16" s="490">
        <v>7815588073</v>
      </c>
      <c r="G16" s="346" t="s">
        <v>301</v>
      </c>
      <c r="H16" s="87" t="s">
        <v>634</v>
      </c>
      <c r="I16" s="491">
        <v>1</v>
      </c>
      <c r="J16" s="115">
        <f ca="1">AD13+AD14+AD15</f>
        <v>1521722.967322506</v>
      </c>
      <c r="K16" s="655">
        <f>SUMIFS(Combustion!$F$11:$F$95,Combustion!$C$11:$C$95,C16,Combustion!$H$11:$H$95,$K$9)*$K$10*I16</f>
        <v>0</v>
      </c>
      <c r="L16" s="655">
        <f>SUMIFS(Combustion!$F$11:$F$95,Combustion!$C$11:$C$95,C16,Combustion!$H$11:$H$95,$L$9)*$L$10*I16</f>
        <v>0</v>
      </c>
      <c r="M16" s="348">
        <f>Electricity!D11*M10</f>
        <v>4049554.3666075803</v>
      </c>
      <c r="N16" s="348">
        <f>Electricity!D12*N10</f>
        <v>1100260.5624000002</v>
      </c>
      <c r="O16" s="655">
        <f>Electricity!D13*O10</f>
        <v>1.752427413528</v>
      </c>
      <c r="P16" s="655">
        <f>'Ancillary Input'!$L$313/25</f>
        <v>140.87967688592633</v>
      </c>
      <c r="Q16" s="655">
        <f>'Purchased Services'!$J$182/25</f>
        <v>14.319317952916986</v>
      </c>
      <c r="R16" s="655">
        <f>SUMIF(Combustion!$C$11:$C$95,C16,Combustion!$P$11:$P$95)*I16</f>
        <v>0</v>
      </c>
      <c r="S16" s="683">
        <f>SUMIF(Vent!$C$10:$C$16,C16,Vent!$M$10:$M$16)*I16</f>
        <v>0</v>
      </c>
      <c r="T16" s="655">
        <f>(Fugitive!$L$102-Fugitive!$L$49)/25+Fugitive!L49</f>
        <v>9750.0164123983013</v>
      </c>
      <c r="U16" s="655">
        <f ca="1">SUMIF(Wastewater!$C$30:$D$110,C16,Wastewater!$I$30:$I$110)*I16</f>
        <v>0</v>
      </c>
      <c r="V16" s="655">
        <f>SUMIF('Mix Electricity'!$D$10:$D$104,C16,'Mix Electricity'!$I$10:$I$104)*I16</f>
        <v>14136.835958749221</v>
      </c>
      <c r="W16" s="655">
        <f>SUMIFS(Steam!$I$10:$I$29,Steam!$D$10:$D$29,C16,Steam!$C$10:$C$29,$W$9)*I16</f>
        <v>0</v>
      </c>
      <c r="X16" s="655">
        <f>SUMIFS(Steam!$I$10:$I$29,Steam!$D$10:$D$29,C16,Steam!$C$10:$C$29,$X$9)*I16</f>
        <v>0</v>
      </c>
      <c r="Y16" s="655">
        <f>SUMIF(Air!$D$10:$D$71,C16,Air!$I$10:$I$71)*I16</f>
        <v>0</v>
      </c>
      <c r="Z16" s="655">
        <f>SUMIF(Nitrogen!$D$10:$D$45,C16,Nitrogen!$I$10:$I$45)*I16</f>
        <v>0</v>
      </c>
      <c r="AA16" s="655">
        <f>SUMIFS(Water!$I$10:$I$92,Water!$D$10:$D$92,C16,Water!$C$10:$C$92,$AA$9)*I16</f>
        <v>0</v>
      </c>
      <c r="AB16" s="655">
        <f>SUMIFS(Water!$I$10:$I$92,Water!$D$10:$D$92,C16,Water!$C$10:$C$92,$AB$9)*I16</f>
        <v>0</v>
      </c>
      <c r="AC16" s="655">
        <f>SUMIFS(Water!$I$10:$I$92,Water!$D$10:$D$92,C16,Water!$C$10:$C$92,$AC$9)*I16</f>
        <v>0</v>
      </c>
      <c r="AD16" s="115">
        <f t="shared" ca="1" si="0"/>
        <v>6695581.7001234852</v>
      </c>
      <c r="AE16" s="117">
        <f t="shared" ca="1" si="1"/>
        <v>8.5669582859084815E-4</v>
      </c>
      <c r="AF16" s="385" t="s">
        <v>791</v>
      </c>
    </row>
    <row r="17" spans="2:32" x14ac:dyDescent="0.25">
      <c r="B17" s="489" t="s">
        <v>341</v>
      </c>
      <c r="C17" s="87" t="s">
        <v>663</v>
      </c>
      <c r="D17" s="87">
        <v>5210</v>
      </c>
      <c r="E17" s="87" t="s">
        <v>395</v>
      </c>
      <c r="F17" s="490">
        <v>805535000</v>
      </c>
      <c r="G17" s="434" t="s">
        <v>497</v>
      </c>
      <c r="H17" s="87" t="s">
        <v>634</v>
      </c>
      <c r="I17" s="491">
        <v>1</v>
      </c>
      <c r="J17" s="115">
        <v>0</v>
      </c>
      <c r="K17" s="655">
        <f>SUMIFS(Combustion!$F$11:$F$95,Combustion!$C$11:$C$95,C17,Combustion!$H$11:$H$95,$K$9)*$K$10*I17</f>
        <v>0</v>
      </c>
      <c r="L17" s="655">
        <f>SUMIFS(Combustion!$F$11:$F$95,Combustion!$C$11:$C$95,C17,Combustion!$H$11:$H$95,$L$9)*$L$10*I17</f>
        <v>0</v>
      </c>
      <c r="M17" s="348">
        <v>0</v>
      </c>
      <c r="N17" s="348">
        <v>0</v>
      </c>
      <c r="O17" s="655">
        <v>0</v>
      </c>
      <c r="P17" s="655">
        <f>'Ancillary Input'!$L$313/25</f>
        <v>140.87967688592633</v>
      </c>
      <c r="Q17" s="655">
        <f>'Purchased Services'!$J$182/25</f>
        <v>14.319317952916986</v>
      </c>
      <c r="R17" s="655">
        <f>SUMIF(Combustion!$C$11:$C$95,C17,Combustion!$P$11:$P$95)*I17</f>
        <v>0</v>
      </c>
      <c r="S17" s="683">
        <f>SUMIF(Vent!$C$10:$C$16,C17,Vent!$M$10:$M$16)*I17</f>
        <v>0</v>
      </c>
      <c r="T17" s="655">
        <f>(Fugitive!$L$102-Fugitive!$L$49)/25</f>
        <v>30.016412398302126</v>
      </c>
      <c r="U17" s="655">
        <f ca="1">SUMIF(Wastewater!$C$30:$D$110,C17,Wastewater!$I$30:$I$110)*I17</f>
        <v>5.381821914011848</v>
      </c>
      <c r="V17" s="655">
        <f>SUMIF('Mix Electricity'!$D$10:$D$104,C17,'Mix Electricity'!$I$10:$I$104)*I17</f>
        <v>84783.74877903593</v>
      </c>
      <c r="W17" s="655">
        <f>SUMIFS(Steam!$I$10:$I$29,Steam!$D$10:$D$29,C17,Steam!$C$10:$C$29,$W$9)*I17</f>
        <v>0</v>
      </c>
      <c r="X17" s="655">
        <f>SUMIFS(Steam!$I$10:$I$29,Steam!$D$10:$D$29,C17,Steam!$C$10:$C$29,$X$9)*I17</f>
        <v>0</v>
      </c>
      <c r="Y17" s="655">
        <f>SUMIF(Air!$D$10:$D$71,C17,Air!$I$10:$I$71)*I17</f>
        <v>0</v>
      </c>
      <c r="Z17" s="655">
        <f>SUMIF(Nitrogen!$D$10:$D$45,C17,Nitrogen!$I$10:$I$45)*I17</f>
        <v>0</v>
      </c>
      <c r="AA17" s="655">
        <f>SUMIFS(Water!$I$10:$I$92,Water!$D$10:$D$92,C17,Water!$C$10:$C$92,$AA$9)*I17</f>
        <v>257.83588185471945</v>
      </c>
      <c r="AB17" s="655">
        <f>SUMIFS(Water!$I$10:$I$92,Water!$D$10:$D$92,C17,Water!$C$10:$C$92,$AB$9)*I17</f>
        <v>0</v>
      </c>
      <c r="AC17" s="655">
        <f>SUMIFS(Water!$I$10:$I$92,Water!$D$10:$D$92,C17,Water!$C$10:$C$92,$AC$9)*I17</f>
        <v>0</v>
      </c>
      <c r="AD17" s="115">
        <f t="shared" ca="1" si="0"/>
        <v>85232.1818900418</v>
      </c>
      <c r="AE17" s="117">
        <f t="shared" ca="1" si="1"/>
        <v>1.0580816710638495E-4</v>
      </c>
      <c r="AF17" s="385" t="s">
        <v>723</v>
      </c>
    </row>
    <row r="18" spans="2:32" x14ac:dyDescent="0.25">
      <c r="B18" s="1073" t="s">
        <v>341</v>
      </c>
      <c r="C18" s="653" t="s">
        <v>649</v>
      </c>
      <c r="D18" s="1075">
        <v>5220</v>
      </c>
      <c r="E18" s="115" t="s">
        <v>366</v>
      </c>
      <c r="F18" s="490">
        <v>5030221</v>
      </c>
      <c r="G18" s="434" t="s">
        <v>497</v>
      </c>
      <c r="H18" s="87" t="s">
        <v>338</v>
      </c>
      <c r="I18" s="685">
        <f>F18/SUM($F$18:$F$21)</f>
        <v>6.9923476343306257E-3</v>
      </c>
      <c r="J18" s="115">
        <v>0</v>
      </c>
      <c r="K18" s="655">
        <v>0</v>
      </c>
      <c r="L18" s="655">
        <f>SUMIFS(Combustion!$F$11:$F$95,Combustion!$C$11:$C$95,C18,Combustion!$H$11:$H$95,$L$9)*$L$10*I18</f>
        <v>0</v>
      </c>
      <c r="M18" s="118">
        <v>0</v>
      </c>
      <c r="N18" s="118">
        <v>0</v>
      </c>
      <c r="O18" s="655">
        <v>0</v>
      </c>
      <c r="P18" s="655">
        <f>'Ancillary Input'!$L$313/25</f>
        <v>140.87967688592633</v>
      </c>
      <c r="Q18" s="655">
        <f>'Purchased Services'!$J$182/25</f>
        <v>14.319317952916986</v>
      </c>
      <c r="R18" s="655">
        <v>0</v>
      </c>
      <c r="S18" s="683">
        <f>SUMIF(Vent!$C$10:$C$16,C18,Vent!$M$10:$M$16)*I18</f>
        <v>0</v>
      </c>
      <c r="T18" s="655">
        <f>(Fugitive!$L$102-Fugitive!$L$49)/25</f>
        <v>30.016412398302126</v>
      </c>
      <c r="U18" s="655">
        <f ca="1">SUMIF(Wastewater!$C$30:$D$110,C18,Wastewater!$I$30:$I$110)*I18</f>
        <v>0.11771151971702909</v>
      </c>
      <c r="V18" s="655">
        <f>SUMIF('Mix Electricity'!$D$10:$D$104,C18,'Mix Electricity'!$I$10:$I$104)*I18</f>
        <v>2021.0843223066843</v>
      </c>
      <c r="W18" s="655">
        <v>0</v>
      </c>
      <c r="X18" s="655">
        <f>SUMIFS(Steam!$I$10:$I$29,Steam!$D$10:$D$29,C18,Steam!$C$10:$C$29,$X$9)*I18</f>
        <v>0</v>
      </c>
      <c r="Y18" s="655">
        <f>SUMIF(Air!$D$10:$D$71,C18,Air!$I$10:$I$71)*I18</f>
        <v>0</v>
      </c>
      <c r="Z18" s="655">
        <v>0</v>
      </c>
      <c r="AA18" s="655">
        <v>0</v>
      </c>
      <c r="AB18" s="655">
        <v>0</v>
      </c>
      <c r="AC18" s="655">
        <f>SUMIFS(Water!$I$10:$I$92,Water!$D$10:$D$92,C18,Water!$C$10:$C$92,$AC$9)*I18</f>
        <v>0</v>
      </c>
      <c r="AD18" s="115">
        <f t="shared" ca="1" si="0"/>
        <v>2206.4174410635469</v>
      </c>
      <c r="AE18" s="117">
        <f t="shared" ca="1" si="1"/>
        <v>4.3863230682380491E-4</v>
      </c>
      <c r="AF18" s="385" t="s">
        <v>723</v>
      </c>
    </row>
    <row r="19" spans="2:32" x14ac:dyDescent="0.25">
      <c r="B19" s="1093"/>
      <c r="C19" s="653" t="s">
        <v>649</v>
      </c>
      <c r="D19" s="1094"/>
      <c r="E19" s="115" t="s">
        <v>365</v>
      </c>
      <c r="F19" s="490">
        <v>411206750</v>
      </c>
      <c r="G19" s="434" t="s">
        <v>497</v>
      </c>
      <c r="H19" s="87" t="s">
        <v>634</v>
      </c>
      <c r="I19" s="685">
        <f t="shared" ref="I19:I21" si="2">F19/SUM($F$18:$F$21)</f>
        <v>0.57160521288891386</v>
      </c>
      <c r="J19" s="115">
        <v>0</v>
      </c>
      <c r="K19" s="655">
        <v>0</v>
      </c>
      <c r="L19" s="655">
        <f>SUMIFS(Combustion!$F$11:$F$95,Combustion!$C$11:$C$95,C19,Combustion!$H$11:$H$95,$L$9)*$L$10*I19</f>
        <v>0</v>
      </c>
      <c r="M19" s="118">
        <v>0</v>
      </c>
      <c r="N19" s="118">
        <v>0</v>
      </c>
      <c r="O19" s="655">
        <v>0</v>
      </c>
      <c r="P19" s="655">
        <f>'Ancillary Input'!$L$313/25</f>
        <v>140.87967688592633</v>
      </c>
      <c r="Q19" s="655">
        <f>'Purchased Services'!$J$182/25</f>
        <v>14.319317952916986</v>
      </c>
      <c r="R19" s="655">
        <v>0</v>
      </c>
      <c r="S19" s="683">
        <f>SUMIF(Vent!$C$10:$C$16,C19,Vent!$M$10:$M$16)*I19</f>
        <v>0</v>
      </c>
      <c r="T19" s="655">
        <f>(Fugitive!$L$102-Fugitive!$L$49)/25</f>
        <v>30.016412398302126</v>
      </c>
      <c r="U19" s="655">
        <f ca="1">SUMIF(Wastewater!$C$30:$D$110,C19,Wastewater!$I$30:$I$110)*I19</f>
        <v>9.6225934129733979</v>
      </c>
      <c r="V19" s="655">
        <f>SUMIF('Mix Electricity'!$D$10:$D$104,C19,'Mix Electricity'!$I$10:$I$104)*I19</f>
        <v>165218.09193903889</v>
      </c>
      <c r="W19" s="655">
        <v>0</v>
      </c>
      <c r="X19" s="655">
        <f>SUMIFS(Steam!$I$10:$I$29,Steam!$D$10:$D$29,C19,Steam!$C$10:$C$29,$X$9)*I19</f>
        <v>0</v>
      </c>
      <c r="Y19" s="655">
        <f>SUMIF(Air!$D$10:$D$71,C19,Air!$I$10:$I$71)*I19</f>
        <v>0</v>
      </c>
      <c r="Z19" s="655">
        <v>0</v>
      </c>
      <c r="AA19" s="655">
        <v>0</v>
      </c>
      <c r="AB19" s="655">
        <v>0</v>
      </c>
      <c r="AC19" s="655">
        <f>SUMIFS(Water!$I$10:$I$92,Water!$D$10:$D$92,C19,Water!$C$10:$C$92,$AC$9)*I19</f>
        <v>0</v>
      </c>
      <c r="AD19" s="115">
        <f t="shared" ca="1" si="0"/>
        <v>165412.929939689</v>
      </c>
      <c r="AE19" s="117">
        <f t="shared" ca="1" si="1"/>
        <v>4.0226219520883105E-4</v>
      </c>
      <c r="AF19" s="385" t="s">
        <v>723</v>
      </c>
    </row>
    <row r="20" spans="2:32" x14ac:dyDescent="0.25">
      <c r="B20" s="1093"/>
      <c r="C20" s="653" t="s">
        <v>649</v>
      </c>
      <c r="D20" s="1094"/>
      <c r="E20" s="115" t="s">
        <v>364</v>
      </c>
      <c r="F20" s="490">
        <v>301438423</v>
      </c>
      <c r="G20" s="434" t="s">
        <v>497</v>
      </c>
      <c r="H20" s="87" t="s">
        <v>634</v>
      </c>
      <c r="I20" s="685">
        <f t="shared" si="2"/>
        <v>0.4190198092609459</v>
      </c>
      <c r="J20" s="115">
        <v>0</v>
      </c>
      <c r="K20" s="655">
        <v>0</v>
      </c>
      <c r="L20" s="655">
        <f>SUMIFS(Combustion!$F$11:$F$95,Combustion!$C$11:$C$95,C20,Combustion!$H$11:$H$95,$L$9)*$L$10*I20</f>
        <v>0</v>
      </c>
      <c r="M20" s="118">
        <v>0</v>
      </c>
      <c r="N20" s="118">
        <v>0</v>
      </c>
      <c r="O20" s="655">
        <v>0</v>
      </c>
      <c r="P20" s="655">
        <f>'Ancillary Input'!$L$313/25</f>
        <v>140.87967688592633</v>
      </c>
      <c r="Q20" s="655">
        <f>'Purchased Services'!$J$182/25</f>
        <v>14.319317952916986</v>
      </c>
      <c r="R20" s="655">
        <v>0</v>
      </c>
      <c r="S20" s="683">
        <f>SUMIF(Vent!$C$10:$C$16,C20,Vent!$M$10:$M$16)*I20</f>
        <v>0</v>
      </c>
      <c r="T20" s="655">
        <f>(Fugitive!$L$102-Fugitive!$L$49)/25</f>
        <v>30.016412398302126</v>
      </c>
      <c r="U20" s="655">
        <f ca="1">SUMIF(Wastewater!$C$30:$D$110,C20,Wastewater!$I$30:$I$110)*I20</f>
        <v>7.0539196731981866</v>
      </c>
      <c r="V20" s="655">
        <f>SUMIF('Mix Electricity'!$D$10:$D$104,C20,'Mix Electricity'!$I$10:$I$104)*I20</f>
        <v>121114.45418921964</v>
      </c>
      <c r="W20" s="655">
        <v>0</v>
      </c>
      <c r="X20" s="655">
        <f>SUMIFS(Steam!$I$10:$I$29,Steam!$D$10:$D$29,C20,Steam!$C$10:$C$29,$X$9)*I20</f>
        <v>0</v>
      </c>
      <c r="Y20" s="655">
        <f>SUMIF(Air!$D$10:$D$71,C20,Air!$I$10:$I$71)*I20</f>
        <v>0</v>
      </c>
      <c r="Z20" s="655">
        <v>0</v>
      </c>
      <c r="AA20" s="655">
        <v>0</v>
      </c>
      <c r="AB20" s="655">
        <v>0</v>
      </c>
      <c r="AC20" s="655">
        <f>SUMIFS(Water!$I$10:$I$92,Water!$D$10:$D$92,C20,Water!$C$10:$C$92,$AC$9)*I20</f>
        <v>0</v>
      </c>
      <c r="AD20" s="115">
        <f t="shared" ca="1" si="0"/>
        <v>121306.72351612999</v>
      </c>
      <c r="AE20" s="117">
        <f t="shared" ca="1" si="1"/>
        <v>4.02426214643944E-4</v>
      </c>
      <c r="AF20" s="385" t="s">
        <v>723</v>
      </c>
    </row>
    <row r="21" spans="2:32" x14ac:dyDescent="0.25">
      <c r="B21" s="1093"/>
      <c r="C21" s="653" t="s">
        <v>649</v>
      </c>
      <c r="D21" s="1094"/>
      <c r="E21" s="115" t="s">
        <v>500</v>
      </c>
      <c r="F21" s="490">
        <v>1714039</v>
      </c>
      <c r="G21" s="434" t="s">
        <v>497</v>
      </c>
      <c r="H21" s="87" t="s">
        <v>625</v>
      </c>
      <c r="I21" s="685">
        <f t="shared" si="2"/>
        <v>2.3826302158096893E-3</v>
      </c>
      <c r="J21" s="115">
        <v>0</v>
      </c>
      <c r="K21" s="655">
        <f>SUMIFS(Combustion!$F$11:$F$95,Combustion!$C$11:$C$95,C18,Combustion!$H$11:$H$95,$K$9)*$K$10</f>
        <v>111.39406740000001</v>
      </c>
      <c r="L21" s="655">
        <f>SUMIFS(Combustion!$F$11:$F$95,Combustion!$C$11:$C$95,C21,Combustion!$H$11:$H$95,$L$9)*$L$10*I21</f>
        <v>0</v>
      </c>
      <c r="M21" s="118">
        <v>0</v>
      </c>
      <c r="N21" s="118">
        <v>0</v>
      </c>
      <c r="O21" s="655">
        <v>0</v>
      </c>
      <c r="P21" s="655">
        <f>'Ancillary Input'!$L$313/25</f>
        <v>140.87967688592633</v>
      </c>
      <c r="Q21" s="655">
        <f>'Purchased Services'!$J$182/25</f>
        <v>14.319317952916986</v>
      </c>
      <c r="R21" s="655">
        <f>SUMIF(Combustion!$C$11:$C$95,C18,Combustion!$P$11:$P$95)</f>
        <v>278.75471831549999</v>
      </c>
      <c r="S21" s="683">
        <f>SUMIF(Vent!$C$10:$C$16,C21,Vent!$M$10:$M$16)*I21</f>
        <v>0</v>
      </c>
      <c r="T21" s="655">
        <f>(Fugitive!$L$102-Fugitive!$L$49)/25</f>
        <v>30.016412398302126</v>
      </c>
      <c r="U21" s="655">
        <f ca="1">SUMIF(Wastewater!$C$30:$D$110,C21,Wastewater!$I$30:$I$110)*I21</f>
        <v>4.010999428141563E-2</v>
      </c>
      <c r="V21" s="655">
        <f>SUMIF('Mix Electricity'!$D$10:$D$104,C21,'Mix Electricity'!$I$10:$I$104)*I21</f>
        <v>688.68094477801799</v>
      </c>
      <c r="W21" s="655">
        <f>SUMIFS(Steam!$I$10:$I$29,Steam!$D$10:$D$29,C18,Steam!$C$10:$C$29,$W$9)</f>
        <v>6100.1250259834696</v>
      </c>
      <c r="X21" s="655">
        <f>SUMIFS(Steam!$I$10:$I$29,Steam!$D$10:$D$29,C21,Steam!$C$10:$C$29,$X$9)*I21</f>
        <v>0</v>
      </c>
      <c r="Y21" s="655">
        <f>SUMIF(Air!$D$10:$D$71,C21,Air!$I$10:$I$71)*I21</f>
        <v>0</v>
      </c>
      <c r="Z21" s="655">
        <f>SUMIF(Nitrogen!$D$10:$D$45,C18,Nitrogen!$I$10:$I$45)</f>
        <v>537.80443883264093</v>
      </c>
      <c r="AA21" s="655">
        <f>SUMIFS(Water!$I$10:$I$92,Water!$D$10:$D$92,C18,Water!$C$10:$C$92,$AA$9)</f>
        <v>798.43540585229948</v>
      </c>
      <c r="AB21" s="655">
        <f>SUMIFS(Water!$I$10:$I$92,Water!$D$10:$D$92,C18,Water!$C$10:$C$92,$AB$9)*I21</f>
        <v>5.8506725132873243E-2</v>
      </c>
      <c r="AC21" s="655">
        <f>SUMIFS(Water!$I$10:$I$92,Water!$D$10:$D$92,C21,Water!$C$10:$C$92,$AC$9)*I21</f>
        <v>0</v>
      </c>
      <c r="AD21" s="115">
        <f t="shared" ca="1" si="0"/>
        <v>8700.5086251184875</v>
      </c>
      <c r="AE21" s="117">
        <f t="shared" ca="1" si="1"/>
        <v>5.0760272229036143E-3</v>
      </c>
      <c r="AF21" s="385" t="s">
        <v>723</v>
      </c>
    </row>
    <row r="22" spans="2:32" x14ac:dyDescent="0.25">
      <c r="B22" s="1073" t="s">
        <v>341</v>
      </c>
      <c r="C22" s="653" t="s">
        <v>648</v>
      </c>
      <c r="D22" s="1075">
        <v>5120</v>
      </c>
      <c r="E22" s="1075" t="s">
        <v>458</v>
      </c>
      <c r="F22" s="490">
        <v>4400573</v>
      </c>
      <c r="G22" s="87" t="s">
        <v>299</v>
      </c>
      <c r="H22" s="87" t="s">
        <v>652</v>
      </c>
      <c r="I22" s="685">
        <f>F22/SUM($F$22:$F$24)</f>
        <v>0.98209187790795249</v>
      </c>
      <c r="J22" s="115">
        <v>0</v>
      </c>
      <c r="K22" s="655">
        <f>SUMIFS(Combustion!$F$11:$F$95,Combustion!$C$11:$C$95,C22,Combustion!$H$11:$H$95,$K$9)*$K$10*I22</f>
        <v>87590.967672762388</v>
      </c>
      <c r="L22" s="655">
        <f>SUMIFS(Combustion!$F$11:$F$95,Combustion!$C$11:$C$95,C22,Combustion!$H$11:$H$95,$L$9)*$L$10*I22</f>
        <v>7569.7628660795272</v>
      </c>
      <c r="M22" s="118">
        <v>0</v>
      </c>
      <c r="N22" s="118">
        <v>0</v>
      </c>
      <c r="O22" s="655">
        <v>0</v>
      </c>
      <c r="P22" s="655">
        <f>'Ancillary Input'!$L$313/25</f>
        <v>140.87967688592633</v>
      </c>
      <c r="Q22" s="655">
        <f>'Purchased Services'!$J$182/25</f>
        <v>14.319317952916986</v>
      </c>
      <c r="R22" s="655">
        <f>SUMIF(Combustion!$C$11:$C$95,C22,Combustion!$P$11:$P$95)*I22</f>
        <v>228170.02176973521</v>
      </c>
      <c r="S22" s="683">
        <f>SUMIF(Vent!$C$10:$C$16,C22,Vent!$M$10:$M$16)*I22</f>
        <v>0</v>
      </c>
      <c r="T22" s="655">
        <f>(Fugitive!$L$102-Fugitive!$L$49)/25</f>
        <v>30.016412398302126</v>
      </c>
      <c r="U22" s="655">
        <f ca="1">SUMIF(Wastewater!$C$30:$D$110,C22,Wastewater!$I$30:$I$110)*I22</f>
        <v>2.7050125484591678</v>
      </c>
      <c r="V22" s="655">
        <f>SUMIF('Mix Electricity'!$D$10:$D$104,C22,'Mix Electricity'!$I$10:$I$104)*I22</f>
        <v>36285.629655783137</v>
      </c>
      <c r="W22" s="655">
        <f>SUMIFS(Steam!$I$10:$I$29,Steam!$D$10:$D$29,C22,Steam!$C$10:$C$29,$W$9)*I22</f>
        <v>4393.5104566108239</v>
      </c>
      <c r="X22" s="655">
        <f>SUMIFS(Steam!$I$10:$I$29,Steam!$D$10:$D$29,C22,Steam!$C$10:$C$29,$X$9)*I22</f>
        <v>0</v>
      </c>
      <c r="Y22" s="655">
        <f>SUMIF(Air!$D$10:$D$71,C22,Air!$I$10:$I$71)*I22</f>
        <v>317.98826171273851</v>
      </c>
      <c r="Z22" s="655">
        <f>SUMIF(Nitrogen!$D$10:$D$45,C22,Nitrogen!$I$10:$I$45)*I22</f>
        <v>1483.8196483261645</v>
      </c>
      <c r="AA22" s="655">
        <f>SUMIFS(Water!$I$10:$I$92,Water!$D$10:$D$92,C22,Water!$C$10:$C$92,$AA$9)*I22</f>
        <v>0</v>
      </c>
      <c r="AB22" s="655">
        <f>SUMIFS(Water!$I$10:$I$92,Water!$D$10:$D$92,C22,Water!$C$10:$C$92,$AB$9)</f>
        <v>0</v>
      </c>
      <c r="AC22" s="655">
        <f>SUMIFS(Water!$I$10:$I$92,Water!$D$10:$D$92,C22,Water!$C$10:$C$92,$AC$9)*I22</f>
        <v>1469.8733801175504</v>
      </c>
      <c r="AD22" s="115">
        <f t="shared" ca="1" si="0"/>
        <v>367469.49413091311</v>
      </c>
      <c r="AE22" s="117">
        <f t="shared" ca="1" si="1"/>
        <v>8.3504919502735919E-2</v>
      </c>
      <c r="AF22" s="385" t="s">
        <v>723</v>
      </c>
    </row>
    <row r="23" spans="2:32" x14ac:dyDescent="0.25">
      <c r="B23" s="1093"/>
      <c r="C23" s="653" t="s">
        <v>648</v>
      </c>
      <c r="D23" s="1094"/>
      <c r="E23" s="1094"/>
      <c r="F23" s="490">
        <v>41542</v>
      </c>
      <c r="G23" s="87" t="s">
        <v>299</v>
      </c>
      <c r="H23" s="87" t="s">
        <v>622</v>
      </c>
      <c r="I23" s="685">
        <f t="shared" ref="I23:I24" si="3">F23/SUM($F$22:$F$24)</f>
        <v>9.2710791962892468E-3</v>
      </c>
      <c r="J23" s="115">
        <v>0</v>
      </c>
      <c r="K23" s="655">
        <f>SUMIFS(Combustion!$F$11:$F$95,Combustion!$C$11:$C$95,C23,Combustion!$H$11:$H$95,$K$9)*$K$10*I23</f>
        <v>826.87049596993279</v>
      </c>
      <c r="L23" s="655">
        <f>SUMIFS(Combustion!$F$11:$F$95,Combustion!$C$11:$C$95,C23,Combustion!$H$11:$H$95,$L$9)*$L$10*I23</f>
        <v>71.459577873762271</v>
      </c>
      <c r="M23" s="118">
        <v>0</v>
      </c>
      <c r="N23" s="118">
        <v>0</v>
      </c>
      <c r="O23" s="655">
        <v>0</v>
      </c>
      <c r="P23" s="655">
        <f>'Ancillary Input'!$L$313/25</f>
        <v>140.87967688592633</v>
      </c>
      <c r="Q23" s="655">
        <f>'Purchased Services'!$J$182/25</f>
        <v>14.319317952916986</v>
      </c>
      <c r="R23" s="655">
        <f>SUMIF(Combustion!$C$11:$C$95,C23,Combustion!$P$11:$P$95)*I23</f>
        <v>2153.9556426761555</v>
      </c>
      <c r="S23" s="683">
        <f>SUMIF(Vent!$C$10:$C$16,C23,Vent!$M$10:$M$16)*I23</f>
        <v>0</v>
      </c>
      <c r="T23" s="655">
        <f>(Fugitive!$L$102-Fugitive!$L$49)/25</f>
        <v>30.016412398302126</v>
      </c>
      <c r="U23" s="655">
        <f ca="1">SUMIF(Wastewater!$C$30:$D$110,C23,Wastewater!$I$30:$I$110)*I23</f>
        <v>2.5535681668748762E-2</v>
      </c>
      <c r="V23" s="655">
        <f>SUMIF('Mix Electricity'!$D$10:$D$104,C23,'Mix Electricity'!$I$10:$I$104)*I23</f>
        <v>342.54121614629344</v>
      </c>
      <c r="W23" s="655">
        <f>SUMIFS(Steam!$I$10:$I$29,Steam!$D$10:$D$29,C23,Steam!$C$10:$C$29,$W$9)*I23</f>
        <v>41.475328642094297</v>
      </c>
      <c r="X23" s="655">
        <f>SUMIFS(Steam!$I$10:$I$29,Steam!$D$10:$D$29,C23,Steam!$C$10:$C$29,$X$9)*I23</f>
        <v>0</v>
      </c>
      <c r="Y23" s="655">
        <f>SUMIF(Air!$D$10:$D$71,C23,Air!$I$10:$I$71)*I23</f>
        <v>3.0018518879406346</v>
      </c>
      <c r="Z23" s="655">
        <f>SUMIF(Nitrogen!$D$10:$D$45,C23,Nitrogen!$I$10:$I$45)*I23</f>
        <v>14.007456717742331</v>
      </c>
      <c r="AA23" s="655">
        <f>SUMIFS(Water!$I$10:$I$92,Water!$D$10:$D$92,C23,Water!$C$10:$C$92,$AA$9)*I23</f>
        <v>0</v>
      </c>
      <c r="AB23" s="655">
        <f>SUMIFS(Water!$I$10:$I$92,Water!$D$10:$D$92,C23,Water!$C$10:$C$92,$AB$9)</f>
        <v>0</v>
      </c>
      <c r="AC23" s="655">
        <f>SUMIFS(Water!$I$10:$I$92,Water!$D$10:$D$92,C23,Water!$C$10:$C$92,$AC$9)*I23</f>
        <v>13.875802073239841</v>
      </c>
      <c r="AD23" s="115">
        <f t="shared" ca="1" si="0"/>
        <v>3652.4283149059752</v>
      </c>
      <c r="AE23" s="117">
        <f t="shared" ca="1" si="1"/>
        <v>8.792134020764468E-2</v>
      </c>
      <c r="AF23" s="385" t="s">
        <v>723</v>
      </c>
    </row>
    <row r="24" spans="2:32" x14ac:dyDescent="0.25">
      <c r="B24" s="1074"/>
      <c r="C24" s="653" t="s">
        <v>648</v>
      </c>
      <c r="D24" s="1076"/>
      <c r="E24" s="1076"/>
      <c r="F24" s="490">
        <v>38701</v>
      </c>
      <c r="G24" s="87" t="s">
        <v>299</v>
      </c>
      <c r="H24" s="87" t="s">
        <v>649</v>
      </c>
      <c r="I24" s="685">
        <f t="shared" si="3"/>
        <v>8.6370428957582724E-3</v>
      </c>
      <c r="J24" s="115">
        <v>0</v>
      </c>
      <c r="K24" s="655">
        <f>SUMIFS(Combustion!$F$11:$F$95,Combustion!$C$11:$C$95,C24,Combustion!$H$11:$H$95,$K$9)*$K$10*I24</f>
        <v>770.32196486766099</v>
      </c>
      <c r="L24" s="655">
        <f>SUMIFS(Combustion!$F$11:$F$95,Combustion!$C$11:$C$95,C24,Combustion!$H$11:$H$95,$L$9)*$L$10*I24</f>
        <v>66.572556046711128</v>
      </c>
      <c r="M24" s="118">
        <v>0</v>
      </c>
      <c r="N24" s="118">
        <v>0</v>
      </c>
      <c r="O24" s="655">
        <v>0</v>
      </c>
      <c r="P24" s="655">
        <f>'Ancillary Input'!$L$313/25</f>
        <v>140.87967688592633</v>
      </c>
      <c r="Q24" s="655">
        <f>'Purchased Services'!$J$182/25</f>
        <v>14.319317952916986</v>
      </c>
      <c r="R24" s="655">
        <f>SUMIF(Combustion!$C$11:$C$95,C24,Combustion!$P$11:$P$95)*I24</f>
        <v>2006.6495914305981</v>
      </c>
      <c r="S24" s="683">
        <f>SUMIF(Vent!$C$10:$C$16,C24,Vent!$M$10:$M$16)*I24</f>
        <v>0</v>
      </c>
      <c r="T24" s="655">
        <f>(Fugitive!$L$102-Fugitive!$L$49)/25</f>
        <v>30.016412398302126</v>
      </c>
      <c r="U24" s="655">
        <f ca="1">SUMIF(Wastewater!$C$30:$D$110,C24,Wastewater!$I$30:$I$110)*I24</f>
        <v>2.3789331670652492E-2</v>
      </c>
      <c r="V24" s="655">
        <f>SUMIF('Mix Electricity'!$D$10:$D$104,C24,'Mix Electricity'!$I$10:$I$104)*I24</f>
        <v>319.11529551003088</v>
      </c>
      <c r="W24" s="655">
        <f>SUMIFS(Steam!$I$10:$I$29,Steam!$D$10:$D$29,C24,Steam!$C$10:$C$29,$W$9)*I24</f>
        <v>38.638888204171479</v>
      </c>
      <c r="X24" s="655">
        <f>SUMIFS(Steam!$I$10:$I$29,Steam!$D$10:$D$29,C24,Steam!$C$10:$C$29,$X$9)*I24</f>
        <v>0</v>
      </c>
      <c r="Y24" s="655">
        <f>SUMIF(Air!$D$10:$D$71,C24,Air!$I$10:$I$71)*I24</f>
        <v>2.7965593836404246</v>
      </c>
      <c r="Z24" s="655">
        <f>SUMIF(Nitrogen!$D$10:$D$45,C24,Nitrogen!$I$10:$I$45)*I24</f>
        <v>13.049506100653458</v>
      </c>
      <c r="AA24" s="655">
        <f>SUMIFS(Water!$I$10:$I$92,Water!$D$10:$D$92,C24,Water!$C$10:$C$92,$AA$9)*I24</f>
        <v>0</v>
      </c>
      <c r="AB24" s="655">
        <f>SUMIFS(Water!$I$10:$I$92,Water!$D$10:$D$92,C24,Water!$C$10:$C$92,$AB$9)</f>
        <v>0</v>
      </c>
      <c r="AC24" s="655">
        <f>SUMIFS(Water!$I$10:$I$92,Water!$D$10:$D$92,C24,Water!$C$10:$C$92,$AC$9)*I24</f>
        <v>12.92685513544016</v>
      </c>
      <c r="AD24" s="115">
        <f t="shared" ca="1" si="0"/>
        <v>3415.3104132477233</v>
      </c>
      <c r="AE24" s="117">
        <f t="shared" ca="1" si="1"/>
        <v>8.8248634744521409E-2</v>
      </c>
      <c r="AF24" s="385" t="s">
        <v>723</v>
      </c>
    </row>
    <row r="25" spans="2:32" x14ac:dyDescent="0.25">
      <c r="B25" s="489" t="s">
        <v>341</v>
      </c>
      <c r="C25" s="87" t="s">
        <v>650</v>
      </c>
      <c r="D25" s="611">
        <v>5362</v>
      </c>
      <c r="E25" s="87" t="s">
        <v>502</v>
      </c>
      <c r="F25" s="490">
        <v>155139</v>
      </c>
      <c r="G25" s="87" t="s">
        <v>299</v>
      </c>
      <c r="H25" s="87" t="s">
        <v>676</v>
      </c>
      <c r="I25" s="491">
        <v>1</v>
      </c>
      <c r="J25" s="115">
        <v>0</v>
      </c>
      <c r="K25" s="655">
        <f>SUMIFS(Combustion!$F$11:$F$95,Combustion!$C$11:$C$95,C25,Combustion!$H$11:$H$95,$K$9)*$K$10*I25</f>
        <v>4730.3222670000005</v>
      </c>
      <c r="L25" s="655">
        <f>SUMIFS(Combustion!$F$11:$F$95,Combustion!$C$11:$C$95,C25,Combustion!$H$11:$H$95,$L$9)*$L$10*I25</f>
        <v>0</v>
      </c>
      <c r="M25" s="348">
        <v>0</v>
      </c>
      <c r="N25" s="348">
        <v>0</v>
      </c>
      <c r="O25" s="655">
        <v>0</v>
      </c>
      <c r="P25" s="655">
        <f>'Ancillary Input'!$L$313/25</f>
        <v>140.87967688592633</v>
      </c>
      <c r="Q25" s="655">
        <f>'Purchased Services'!$J$182/25</f>
        <v>14.319317952916986</v>
      </c>
      <c r="R25" s="655">
        <f>SUMIF(Combustion!$C$11:$C$95,C25,Combustion!$P$11:$P$95)*I25</f>
        <v>11837.252035552501</v>
      </c>
      <c r="S25" s="683">
        <f>SUMIF(Vent!$C$10:$C$16,C25,Vent!$M$10:$M$16)*I25</f>
        <v>0</v>
      </c>
      <c r="T25" s="655">
        <f>(Fugitive!$L$102-Fugitive!$L$49)/25</f>
        <v>30.016412398302126</v>
      </c>
      <c r="U25" s="655">
        <f ca="1">SUMIF(Wastewater!$C$30:$D$110,C25,Wastewater!$I$30:$I$110)*I25</f>
        <v>1.6984485588752523</v>
      </c>
      <c r="V25" s="655">
        <f>SUMIF('Mix Electricity'!$D$10:$D$104,C25,'Mix Electricity'!$I$10:$I$104)*I25</f>
        <v>6.0180821089070617</v>
      </c>
      <c r="W25" s="655">
        <f>SUMIFS(Steam!$I$10:$I$29,Steam!$D$10:$D$29,C25,Steam!$C$10:$C$29,$W$9)*I25</f>
        <v>0</v>
      </c>
      <c r="X25" s="655">
        <f>SUMIFS(Steam!$I$10:$I$29,Steam!$D$10:$D$29,C25,Steam!$C$10:$C$29,$X$9)*I25</f>
        <v>0</v>
      </c>
      <c r="Y25" s="655">
        <f>SUMIF(Air!$D$10:$D$71,C25,Air!$I$10:$I$71)*I25</f>
        <v>0</v>
      </c>
      <c r="Z25" s="655">
        <f>SUMIF(Nitrogen!$D$10:$D$45,C25,Nitrogen!$I$10:$I$45)*I25</f>
        <v>0</v>
      </c>
      <c r="AA25" s="655">
        <f>SUMIFS(Water!$I$10:$I$92,Water!$D$10:$D$92,C25,Water!$C$10:$C$92,$AA$9)*I25</f>
        <v>0</v>
      </c>
      <c r="AB25" s="655">
        <f>SUMIFS(Water!$I$10:$I$92,Water!$D$10:$D$92,C25,Water!$C$10:$C$92,$AB$9)*I25</f>
        <v>247.44104189537208</v>
      </c>
      <c r="AC25" s="655">
        <f>SUMIFS(Water!$I$10:$I$92,Water!$D$10:$D$92,C25,Water!$C$10:$C$92,$AC$9)*I25</f>
        <v>0</v>
      </c>
      <c r="AD25" s="115">
        <f t="shared" ca="1" si="0"/>
        <v>17007.947282352801</v>
      </c>
      <c r="AE25" s="117">
        <f t="shared" ca="1" si="1"/>
        <v>0.10963037844998873</v>
      </c>
      <c r="AF25" s="385" t="s">
        <v>723</v>
      </c>
    </row>
    <row r="26" spans="2:32" x14ac:dyDescent="0.25">
      <c r="B26" s="1073" t="s">
        <v>341</v>
      </c>
      <c r="C26" s="653" t="s">
        <v>1757</v>
      </c>
      <c r="D26" s="1075">
        <v>5365</v>
      </c>
      <c r="E26" s="87" t="s">
        <v>501</v>
      </c>
      <c r="F26" s="490">
        <v>76440</v>
      </c>
      <c r="G26" s="87" t="s">
        <v>299</v>
      </c>
      <c r="H26" s="87" t="s">
        <v>676</v>
      </c>
      <c r="I26" s="491">
        <v>0.12</v>
      </c>
      <c r="J26" s="115">
        <v>0</v>
      </c>
      <c r="K26" s="655">
        <f>SUMIFS(Combustion!$F$11:$F$95,Combustion!$C$11:$C$95,C26,Combustion!$H$11:$H$95,$K$9)*$K$10</f>
        <v>2076.4079820000002</v>
      </c>
      <c r="L26" s="655">
        <f>SUMIFS(Combustion!$F$11:$F$95,Combustion!$C$11:$C$95,C26,Combustion!$H$11:$H$95,$L$9)*$L$10</f>
        <v>0</v>
      </c>
      <c r="M26" s="655">
        <v>0</v>
      </c>
      <c r="N26" s="655">
        <v>0</v>
      </c>
      <c r="O26" s="655">
        <v>0</v>
      </c>
      <c r="P26" s="655">
        <f>'Ancillary Input'!$L$313/25</f>
        <v>140.87967688592633</v>
      </c>
      <c r="Q26" s="655">
        <f>'Purchased Services'!$J$182/25</f>
        <v>14.319317952916986</v>
      </c>
      <c r="R26" s="655">
        <f>SUMIF(Combustion!$C$11:$C$95,C26,Combustion!$P$11:$P$95)</f>
        <v>5196.044418165</v>
      </c>
      <c r="S26" s="683">
        <f>SUMIF(Vent!$C$10:$C$16,C26,Vent!$M$10:$M$16)*I26</f>
        <v>0</v>
      </c>
      <c r="T26" s="655">
        <f>(Fugitive!$L$102-Fugitive!$L$49)/25</f>
        <v>30.016412398302126</v>
      </c>
      <c r="U26" s="655">
        <f ca="1">SUMIF(Wastewater!$C$30:$D$110,C26,Wastewater!$I$30:$I$110)*I26</f>
        <v>1.1900699764561671</v>
      </c>
      <c r="V26" s="655">
        <f>SUMIF('Mix Electricity'!$D$10:$D$104,C26,'Mix Electricity'!$I$10:$I$104)*I26</f>
        <v>77.200228106754679</v>
      </c>
      <c r="W26" s="655">
        <f>SUMIFS(Steam!$I$10:$I$29,Steam!$D$10:$D$29,C26,Steam!$C$10:$C$29,$W$9)*I26</f>
        <v>0</v>
      </c>
      <c r="X26" s="655">
        <f>SUMIFS(Steam!$I$10:$I$29,Steam!$D$10:$D$29,C26,Steam!$C$10:$C$29,$X$9)*I26</f>
        <v>0</v>
      </c>
      <c r="Y26" s="655">
        <f>SUMIF(Air!$D$10:$D$71,C26,Air!$I$10:$I$71)*I26</f>
        <v>0</v>
      </c>
      <c r="Z26" s="655">
        <f>SUMIF(Nitrogen!$D$10:$D$45,C26,Nitrogen!$I$10:$I$45)*I26</f>
        <v>0</v>
      </c>
      <c r="AA26" s="655">
        <f>SUMIFS(Water!$I$10:$I$92,Water!$D$10:$D$92,C26,Water!$C$10:$C$92,$AA$9)*I26</f>
        <v>56.957001654032879</v>
      </c>
      <c r="AB26" s="655">
        <f>SUMIFS(Water!$I$10:$I$92,Water!$D$10:$D$92,C26,Water!$C$10:$C$92,$AB$9)*I26</f>
        <v>0.17533185309044283</v>
      </c>
      <c r="AC26" s="655">
        <f>SUMIFS(Water!$I$10:$I$92,Water!$D$10:$D$92,C26,Water!$C$10:$C$92,$AC$9)*I26</f>
        <v>0</v>
      </c>
      <c r="AD26" s="115">
        <f t="shared" ca="1" si="0"/>
        <v>7593.1904389924803</v>
      </c>
      <c r="AE26" s="117">
        <f t="shared" ca="1" si="1"/>
        <v>9.9335301399692308E-2</v>
      </c>
      <c r="AF26" s="385" t="s">
        <v>723</v>
      </c>
    </row>
    <row r="27" spans="2:32" x14ac:dyDescent="0.25">
      <c r="B27" s="1074"/>
      <c r="C27" s="653" t="s">
        <v>1757</v>
      </c>
      <c r="D27" s="1076"/>
      <c r="E27" s="87" t="s">
        <v>506</v>
      </c>
      <c r="F27" s="490">
        <v>357024</v>
      </c>
      <c r="G27" s="346" t="s">
        <v>491</v>
      </c>
      <c r="H27" s="87" t="s">
        <v>666</v>
      </c>
      <c r="I27" s="491">
        <v>0.88</v>
      </c>
      <c r="J27" s="115">
        <v>0</v>
      </c>
      <c r="K27" s="655">
        <v>0</v>
      </c>
      <c r="L27" s="655">
        <v>0</v>
      </c>
      <c r="M27" s="655">
        <v>0</v>
      </c>
      <c r="N27" s="655">
        <v>0</v>
      </c>
      <c r="O27" s="655">
        <v>0</v>
      </c>
      <c r="P27" s="655">
        <f>'Ancillary Input'!$L$313/25</f>
        <v>140.87967688592633</v>
      </c>
      <c r="Q27" s="655">
        <f>'Purchased Services'!$J$182/25</f>
        <v>14.319317952916986</v>
      </c>
      <c r="R27" s="655">
        <v>0</v>
      </c>
      <c r="S27" s="683">
        <f>SUMIF(Vent!$C$10:$C$16,C27,Vent!$M$10:$M$16)*I27</f>
        <v>0</v>
      </c>
      <c r="T27" s="655">
        <f>(Fugitive!$L$102-Fugitive!$L$49)/25</f>
        <v>30.016412398302126</v>
      </c>
      <c r="U27" s="655">
        <f ca="1">SUMIF(Wastewater!$C$30:$D$110,C27,Wastewater!$I$30:$I$110)*I27</f>
        <v>8.7271798273452266</v>
      </c>
      <c r="V27" s="655">
        <f>SUMIF('Mix Electricity'!$D$10:$D$104,C27,'Mix Electricity'!$I$10:$I$104)*I27</f>
        <v>566.135006116201</v>
      </c>
      <c r="W27" s="655">
        <f>SUMIFS(Steam!$I$10:$I$29,Steam!$D$10:$D$29,C27,Steam!$C$10:$C$29,$W$9)*I27</f>
        <v>0</v>
      </c>
      <c r="X27" s="655">
        <f>SUMIFS(Steam!$I$10:$I$29,Steam!$D$10:$D$29,C27,Steam!$C$10:$C$29,$X$9)*I27</f>
        <v>0</v>
      </c>
      <c r="Y27" s="655">
        <f>SUMIF(Air!$D$10:$D$71,C27,Air!$I$10:$I$71)*I27</f>
        <v>0</v>
      </c>
      <c r="Z27" s="655">
        <f>SUMIF(Nitrogen!$D$10:$D$45,C27,Nitrogen!$I$10:$I$45)*I27</f>
        <v>0</v>
      </c>
      <c r="AA27" s="655">
        <f>SUMIFS(Water!$I$10:$I$92,Water!$D$10:$D$92,C27,Water!$C$10:$C$92,$AA$9)*I27</f>
        <v>417.68467879624114</v>
      </c>
      <c r="AB27" s="655">
        <f>SUMIFS(Water!$I$10:$I$92,Water!$D$10:$D$92,C27,Water!$C$10:$C$92,$AB$9)*I27</f>
        <v>1.2857669226632475</v>
      </c>
      <c r="AC27" s="655">
        <f>SUMIFS(Water!$I$10:$I$92,Water!$D$10:$D$92,C27,Water!$C$10:$C$92,$AC$9)*I27</f>
        <v>0</v>
      </c>
      <c r="AD27" s="115">
        <f t="shared" ca="1" si="0"/>
        <v>1179.0480388995961</v>
      </c>
      <c r="AE27" s="117">
        <f t="shared" ca="1" si="1"/>
        <v>3.3024335588072401E-3</v>
      </c>
      <c r="AF27" s="385" t="s">
        <v>723</v>
      </c>
    </row>
    <row r="28" spans="2:32" x14ac:dyDescent="0.25">
      <c r="B28" s="1073" t="s">
        <v>341</v>
      </c>
      <c r="C28" s="653" t="s">
        <v>1756</v>
      </c>
      <c r="D28" s="1075">
        <v>5364</v>
      </c>
      <c r="E28" s="87" t="s">
        <v>503</v>
      </c>
      <c r="F28" s="490">
        <v>39128</v>
      </c>
      <c r="G28" s="87" t="s">
        <v>299</v>
      </c>
      <c r="H28" s="87" t="s">
        <v>676</v>
      </c>
      <c r="I28" s="491">
        <v>0.216</v>
      </c>
      <c r="J28" s="115">
        <v>0</v>
      </c>
      <c r="K28" s="655">
        <f>SUMIFS(Combustion!$F$11:$F$95,Combustion!$C$11:$C$95,C28,Combustion!$H$11:$H$95,$K$9)*$K$10</f>
        <v>995.31778499999996</v>
      </c>
      <c r="L28" s="655">
        <f>SUMIFS(Combustion!$F$11:$F$95,Combustion!$C$11:$C$95,C28,Combustion!$H$11:$H$95,$L$9)*$L$10</f>
        <v>0</v>
      </c>
      <c r="M28" s="655">
        <v>0</v>
      </c>
      <c r="N28" s="655">
        <v>0</v>
      </c>
      <c r="O28" s="655">
        <v>0</v>
      </c>
      <c r="P28" s="655">
        <f>'Ancillary Input'!$L$313/25</f>
        <v>140.87967688592633</v>
      </c>
      <c r="Q28" s="655">
        <f>'Purchased Services'!$J$182/25</f>
        <v>14.319317952916986</v>
      </c>
      <c r="R28" s="655">
        <f>SUMIF(Combustion!$C$11:$C$95,C28,Combustion!$P$11:$P$95)</f>
        <v>2490.7029186375003</v>
      </c>
      <c r="S28" s="683">
        <f>SUMIF(Vent!$C$10:$C$16,C28,Vent!$M$10:$M$16)*I28</f>
        <v>0</v>
      </c>
      <c r="T28" s="655">
        <f>(Fugitive!$L$102-Fugitive!$L$49)/25</f>
        <v>30.016412398302126</v>
      </c>
      <c r="U28" s="655">
        <f ca="1">SUMIF(Wastewater!$C$30:$D$110,C28,Wastewater!$I$30:$I$110)*I28</f>
        <v>4.4148364366823207</v>
      </c>
      <c r="V28" s="655">
        <f>SUMIF('Mix Electricity'!$D$10:$D$104,C28,'Mix Electricity'!$I$10:$I$104)*I28</f>
        <v>155.30217554629746</v>
      </c>
      <c r="W28" s="655">
        <f>SUMIFS(Steam!$I$10:$I$29,Steam!$D$10:$D$29,C28,Steam!$C$10:$C$29,$W$9)*I28</f>
        <v>0</v>
      </c>
      <c r="X28" s="655">
        <f>SUMIFS(Steam!$I$10:$I$29,Steam!$D$10:$D$29,C28,Steam!$C$10:$C$29,$X$9)*I28</f>
        <v>0</v>
      </c>
      <c r="Y28" s="655">
        <f>SUMIF(Air!$D$10:$D$71,C28,Air!$I$10:$I$71)*I28</f>
        <v>0</v>
      </c>
      <c r="Z28" s="655">
        <f>SUMIF(Nitrogen!$D$10:$D$45,C28,Nitrogen!$I$10:$I$45)*I28</f>
        <v>0</v>
      </c>
      <c r="AA28" s="655">
        <f>SUMIFS(Water!$I$10:$I$92,Water!$D$10:$D$92,C28,Water!$C$10:$C$92,$AA$9)*I28</f>
        <v>209.86043533783845</v>
      </c>
      <c r="AB28" s="655">
        <f>SUMIFS(Water!$I$10:$I$92,Water!$D$10:$D$92,C28,Water!$C$10:$C$92,$AB$9)*I28</f>
        <v>5.0128600044044287</v>
      </c>
      <c r="AC28" s="655">
        <f>SUMIFS(Water!$I$10:$I$92,Water!$D$10:$D$92,C28,Water!$C$10:$C$92,$AC$9)*I28</f>
        <v>0</v>
      </c>
      <c r="AD28" s="115">
        <f t="shared" ca="1" si="0"/>
        <v>4045.8264181998684</v>
      </c>
      <c r="AE28" s="117">
        <f t="shared" ca="1" si="1"/>
        <v>0.10339977556225384</v>
      </c>
      <c r="AF28" s="385" t="s">
        <v>723</v>
      </c>
    </row>
    <row r="29" spans="2:32" x14ac:dyDescent="0.25">
      <c r="B29" s="1074"/>
      <c r="C29" s="653" t="s">
        <v>1756</v>
      </c>
      <c r="D29" s="1076"/>
      <c r="E29" s="87" t="s">
        <v>505</v>
      </c>
      <c r="F29" s="490">
        <v>767740</v>
      </c>
      <c r="G29" s="346" t="s">
        <v>491</v>
      </c>
      <c r="H29" s="87" t="s">
        <v>666</v>
      </c>
      <c r="I29" s="491">
        <v>0.78400000000000003</v>
      </c>
      <c r="J29" s="115">
        <v>0</v>
      </c>
      <c r="K29" s="655">
        <v>0</v>
      </c>
      <c r="L29" s="655">
        <v>0</v>
      </c>
      <c r="M29" s="655">
        <v>0</v>
      </c>
      <c r="N29" s="655">
        <v>0</v>
      </c>
      <c r="O29" s="655">
        <v>0</v>
      </c>
      <c r="P29" s="655">
        <f>'Ancillary Input'!$L$313/25</f>
        <v>140.87967688592633</v>
      </c>
      <c r="Q29" s="655">
        <f>'Purchased Services'!$J$182/25</f>
        <v>14.319317952916986</v>
      </c>
      <c r="R29" s="655">
        <v>0</v>
      </c>
      <c r="S29" s="683">
        <f>SUMIF(Vent!$C$10:$C$16,C29,Vent!$M$10:$M$16)*I29</f>
        <v>0</v>
      </c>
      <c r="T29" s="655">
        <f>(Fugitive!$L$102-Fugitive!$L$49)/25</f>
        <v>30.016412398302126</v>
      </c>
      <c r="U29" s="655">
        <f ca="1">SUMIF(Wastewater!$C$30:$D$110,C29,Wastewater!$I$30:$I$110)*I29</f>
        <v>16.024221140550644</v>
      </c>
      <c r="V29" s="655">
        <f>SUMIF('Mix Electricity'!$D$10:$D$104,C29,'Mix Electricity'!$I$10:$I$104)*I29</f>
        <v>563.6893779087834</v>
      </c>
      <c r="W29" s="655">
        <f>SUMIFS(Steam!$I$10:$I$29,Steam!$D$10:$D$29,C29,Steam!$C$10:$C$29,$W$9)*I29</f>
        <v>0</v>
      </c>
      <c r="X29" s="655">
        <f>SUMIFS(Steam!$I$10:$I$29,Steam!$D$10:$D$29,C29,Steam!$C$10:$C$29,$X$9)*I29</f>
        <v>0</v>
      </c>
      <c r="Y29" s="655">
        <f>SUMIF(Air!$D$10:$D$71,C29,Air!$I$10:$I$71)*I29</f>
        <v>0</v>
      </c>
      <c r="Z29" s="655">
        <f>SUMIF(Nitrogen!$D$10:$D$45,C29,Nitrogen!$I$10:$I$45)*I29</f>
        <v>0</v>
      </c>
      <c r="AA29" s="655">
        <f>SUMIFS(Water!$I$10:$I$92,Water!$D$10:$D$92,C29,Water!$C$10:$C$92,$AA$9)*I29</f>
        <v>761.71565418919147</v>
      </c>
      <c r="AB29" s="655">
        <f>SUMIFS(Water!$I$10:$I$92,Water!$D$10:$D$92,C29,Water!$C$10:$C$92,$AB$9)*I29</f>
        <v>18.194825201171632</v>
      </c>
      <c r="AC29" s="655">
        <f>SUMIFS(Water!$I$10:$I$92,Water!$D$10:$D$92,C29,Water!$C$10:$C$92,$AC$9)*I29</f>
        <v>0</v>
      </c>
      <c r="AD29" s="115">
        <f t="shared" ca="1" si="0"/>
        <v>1544.8394856768427</v>
      </c>
      <c r="AE29" s="117">
        <f t="shared" ca="1" si="1"/>
        <v>2.0121909574554444E-3</v>
      </c>
      <c r="AF29" s="385" t="s">
        <v>723</v>
      </c>
    </row>
    <row r="30" spans="2:32" x14ac:dyDescent="0.25">
      <c r="B30" s="489" t="s">
        <v>341</v>
      </c>
      <c r="C30" s="87" t="s">
        <v>676</v>
      </c>
      <c r="D30" s="87">
        <v>5420</v>
      </c>
      <c r="E30" s="87" t="s">
        <v>459</v>
      </c>
      <c r="F30" s="490">
        <v>270707</v>
      </c>
      <c r="G30" s="87" t="s">
        <v>299</v>
      </c>
      <c r="H30" s="87" t="s">
        <v>676</v>
      </c>
      <c r="I30" s="491">
        <v>1</v>
      </c>
      <c r="J30" s="115">
        <f ca="1">AD25+AD26+AD28</f>
        <v>28646.964139545147</v>
      </c>
      <c r="K30" s="655">
        <f>SUMIFS(Combustion!$F$11:$F$95,Combustion!$C$11:$C$95,C30,Combustion!$H$11:$H$95,$K$9)*$K$10*I30</f>
        <v>0</v>
      </c>
      <c r="L30" s="655">
        <f>SUMIFS(Combustion!$F$11:$F$95,Combustion!$C$11:$C$95,C30,Combustion!$H$11:$H$95,$L$9)*$L$10*I30</f>
        <v>0</v>
      </c>
      <c r="M30" s="655">
        <v>0</v>
      </c>
      <c r="N30" s="655">
        <v>0</v>
      </c>
      <c r="O30" s="655">
        <v>0</v>
      </c>
      <c r="P30" s="655">
        <f>'Ancillary Input'!$L$313/25</f>
        <v>140.87967688592633</v>
      </c>
      <c r="Q30" s="655">
        <f>'Purchased Services'!$J$182/25</f>
        <v>14.319317952916986</v>
      </c>
      <c r="R30" s="655">
        <f>SUMIF(Combustion!$C$11:$C$95,C30,Combustion!$P$11:$P$95)*I30</f>
        <v>0</v>
      </c>
      <c r="S30" s="683">
        <f>SUMIF(Vent!$C$10:$C$16,C30,Vent!$M$10:$M$16)*I30</f>
        <v>0</v>
      </c>
      <c r="T30" s="655">
        <f>(Fugitive!$L$102-Fugitive!$L$49)/25</f>
        <v>30.016412398302126</v>
      </c>
      <c r="U30" s="655">
        <f ca="1">SUMIF(Wastewater!$C$30:$D$110,C30,Wastewater!$I$30:$I$110)*I30</f>
        <v>0</v>
      </c>
      <c r="V30" s="655">
        <f>SUMIF('Mix Electricity'!$D$10:$D$104,C30,'Mix Electricity'!$I$10:$I$104)*I30</f>
        <v>0</v>
      </c>
      <c r="W30" s="655">
        <f>SUMIFS(Steam!$I$10:$I$29,Steam!$D$10:$D$29,C30,Steam!$C$10:$C$29,$W$9)*I30</f>
        <v>0</v>
      </c>
      <c r="X30" s="655">
        <f>SUMIFS(Steam!$I$10:$I$29,Steam!$D$10:$D$29,C30,Steam!$C$10:$C$29,$X$9)*I30</f>
        <v>0</v>
      </c>
      <c r="Y30" s="655">
        <f>SUMIF(Air!$D$10:$D$71,C30,Air!$I$10:$I$71)*I30</f>
        <v>0</v>
      </c>
      <c r="Z30" s="655">
        <f>SUMIF(Nitrogen!$D$10:$D$45,C30,Nitrogen!$I$10:$I$45)*I30</f>
        <v>0</v>
      </c>
      <c r="AA30" s="655">
        <f>SUMIFS(Water!$I$10:$I$92,Water!$D$10:$D$92,C30,Water!$C$10:$C$92,$AA$9)*I30</f>
        <v>0</v>
      </c>
      <c r="AB30" s="655">
        <f>SUMIFS(Water!$I$10:$I$92,Water!$D$10:$D$92,C30,Water!$C$10:$C$92,$AB$9)*I30</f>
        <v>0</v>
      </c>
      <c r="AC30" s="655">
        <f>SUMIFS(Water!$I$10:$I$92,Water!$D$10:$D$92,C30,Water!$C$10:$C$92,$AC$9)*I30</f>
        <v>0</v>
      </c>
      <c r="AD30" s="115">
        <f t="shared" ca="1" si="0"/>
        <v>28832.179546782292</v>
      </c>
      <c r="AE30" s="117">
        <f t="shared" ca="1" si="1"/>
        <v>0.10650695972687182</v>
      </c>
      <c r="AF30" s="385" t="s">
        <v>791</v>
      </c>
    </row>
    <row r="31" spans="2:32" x14ac:dyDescent="0.25">
      <c r="B31" s="489" t="s">
        <v>341</v>
      </c>
      <c r="C31" s="87" t="s">
        <v>661</v>
      </c>
      <c r="D31" s="87">
        <v>5105</v>
      </c>
      <c r="E31" s="87" t="s">
        <v>504</v>
      </c>
      <c r="F31" s="490">
        <v>945393</v>
      </c>
      <c r="G31" s="346" t="s">
        <v>491</v>
      </c>
      <c r="H31" s="87" t="s">
        <v>666</v>
      </c>
      <c r="I31" s="491">
        <v>1</v>
      </c>
      <c r="J31" s="115">
        <v>0</v>
      </c>
      <c r="K31" s="655">
        <f>SUMIFS(Combustion!$F$11:$F$95,Combustion!$C$11:$C$95,C31,Combustion!$H$11:$H$95,$K$9)*$K$10*I31</f>
        <v>0</v>
      </c>
      <c r="L31" s="655">
        <f>SUMIFS(Combustion!$F$11:$F$95,Combustion!$C$11:$C$95,C31,Combustion!$H$11:$H$95,$L$9)*$L$10*I31</f>
        <v>0</v>
      </c>
      <c r="M31" s="348">
        <v>0</v>
      </c>
      <c r="N31" s="348">
        <v>0</v>
      </c>
      <c r="O31" s="655">
        <v>0</v>
      </c>
      <c r="P31" s="655">
        <f>'Ancillary Input'!$L$313/25</f>
        <v>140.87967688592633</v>
      </c>
      <c r="Q31" s="655">
        <f>'Purchased Services'!$J$182/25</f>
        <v>14.319317952916986</v>
      </c>
      <c r="R31" s="655">
        <f>SUMIF(Combustion!$C$11:$C$95,C31,Combustion!$P$11:$P$95)*I31</f>
        <v>0</v>
      </c>
      <c r="S31" s="683">
        <f>SUMIF(Vent!$C$10:$C$16,C31,Vent!$M$10:$M$16)*I31</f>
        <v>0</v>
      </c>
      <c r="T31" s="655">
        <f>(Fugitive!$L$102-Fugitive!$L$49)/25</f>
        <v>30.016412398302126</v>
      </c>
      <c r="U31" s="655">
        <f ca="1">SUMIF(Wastewater!$C$30:$D$110,C31,Wastewater!$I$30:$I$110)*I31</f>
        <v>30.599517922216858</v>
      </c>
      <c r="V31" s="655">
        <f>SUMIF('Mix Electricity'!$D$10:$D$104,C31,'Mix Electricity'!$I$10:$I$104)*I31</f>
        <v>1270.9414585940192</v>
      </c>
      <c r="W31" s="655">
        <f>SUMIFS(Steam!$I$10:$I$29,Steam!$D$10:$D$29,C31,Steam!$C$10:$C$29,$W$9)*I31</f>
        <v>0</v>
      </c>
      <c r="X31" s="655">
        <f>SUMIFS(Steam!$I$10:$I$29,Steam!$D$10:$D$29,C31,Steam!$C$10:$C$29,$X$9)*I31</f>
        <v>0</v>
      </c>
      <c r="Y31" s="655">
        <f>SUMIF(Air!$D$10:$D$71,C31,Air!$I$10:$I$71)*I31</f>
        <v>0</v>
      </c>
      <c r="Z31" s="655">
        <f>SUMIF(Nitrogen!$D$10:$D$45,C31,Nitrogen!$I$10:$I$45)*I31</f>
        <v>0</v>
      </c>
      <c r="AA31" s="655">
        <f>SUMIFS(Water!$I$10:$I$92,Water!$D$10:$D$92,C31,Water!$C$10:$C$92,$AA$9)*I31</f>
        <v>1465.9819321153975</v>
      </c>
      <c r="AB31" s="655">
        <f>SUMIFS(Water!$I$10:$I$92,Water!$D$10:$D$92,C31,Water!$C$10:$C$92,$AB$9)*I31</f>
        <v>0</v>
      </c>
      <c r="AC31" s="655">
        <f>SUMIFS(Water!$I$10:$I$92,Water!$D$10:$D$92,C31,Water!$C$10:$C$92,$AC$9)*I31</f>
        <v>0</v>
      </c>
      <c r="AD31" s="115">
        <f t="shared" ca="1" si="0"/>
        <v>2952.738315868779</v>
      </c>
      <c r="AE31" s="117">
        <f t="shared" ca="1" si="1"/>
        <v>3.1232919176139226E-3</v>
      </c>
      <c r="AF31" s="385" t="s">
        <v>723</v>
      </c>
    </row>
    <row r="32" spans="2:32" x14ac:dyDescent="0.25">
      <c r="B32" s="489" t="s">
        <v>341</v>
      </c>
      <c r="C32" s="87" t="s">
        <v>666</v>
      </c>
      <c r="D32" s="87">
        <v>5410</v>
      </c>
      <c r="E32" s="87" t="s">
        <v>461</v>
      </c>
      <c r="F32" s="490">
        <v>2070157</v>
      </c>
      <c r="G32" s="346" t="s">
        <v>491</v>
      </c>
      <c r="H32" s="87" t="s">
        <v>634</v>
      </c>
      <c r="I32" s="491">
        <v>1</v>
      </c>
      <c r="J32" s="115">
        <f ca="1">AD27+AD29+AD31</f>
        <v>5676.6258404452183</v>
      </c>
      <c r="K32" s="655">
        <f>SUMIFS(Combustion!$F$11:$F$95,Combustion!$C$11:$C$95,C32,Combustion!$H$11:$H$95,$K$9)*$K$10*I32</f>
        <v>0</v>
      </c>
      <c r="L32" s="655">
        <f>SUMIFS(Combustion!$F$11:$F$95,Combustion!$C$11:$C$95,C32,Combustion!$H$11:$H$95,$L$9)*$L$10*I32</f>
        <v>0</v>
      </c>
      <c r="M32" s="348">
        <v>0</v>
      </c>
      <c r="N32" s="348">
        <v>0</v>
      </c>
      <c r="O32" s="655">
        <v>0</v>
      </c>
      <c r="P32" s="655">
        <f>'Ancillary Input'!$L$313/25</f>
        <v>140.87967688592633</v>
      </c>
      <c r="Q32" s="655">
        <f>'Purchased Services'!$J$182/25</f>
        <v>14.319317952916986</v>
      </c>
      <c r="R32" s="655">
        <f>SUMIF(Combustion!$C$11:$C$95,C32,Combustion!$P$11:$P$95)*I32</f>
        <v>0</v>
      </c>
      <c r="S32" s="683">
        <f>SUMIF(Vent!$C$10:$C$16,C32,Vent!$M$10:$M$16)*I32</f>
        <v>0</v>
      </c>
      <c r="T32" s="655">
        <f>(Fugitive!$L$102-Fugitive!$L$49)/25</f>
        <v>30.016412398302126</v>
      </c>
      <c r="U32" s="655">
        <f ca="1">SUMIF(Wastewater!$C$30:$D$110,C32,Wastewater!$I$30:$I$110)*I32</f>
        <v>0</v>
      </c>
      <c r="V32" s="655">
        <f>SUMIF('Mix Electricity'!$D$10:$D$104,C32,'Mix Electricity'!$I$10:$I$104)*I32</f>
        <v>0</v>
      </c>
      <c r="W32" s="655">
        <f>SUMIFS(Steam!$I$10:$I$29,Steam!$D$10:$D$29,C32,Steam!$C$10:$C$29,$W$9)*I32</f>
        <v>0</v>
      </c>
      <c r="X32" s="655">
        <f>SUMIFS(Steam!$I$10:$I$29,Steam!$D$10:$D$29,C32,Steam!$C$10:$C$29,$X$9)*I32</f>
        <v>0</v>
      </c>
      <c r="Y32" s="655">
        <f>SUMIF(Air!$D$10:$D$71,C32,Air!$I$10:$I$71)*I32</f>
        <v>0</v>
      </c>
      <c r="Z32" s="655">
        <f>SUMIF(Nitrogen!$D$10:$D$45,C32,Nitrogen!$I$10:$I$45)*I32</f>
        <v>0</v>
      </c>
      <c r="AA32" s="655">
        <f>SUMIFS(Water!$I$10:$I$92,Water!$D$10:$D$92,C32,Water!$C$10:$C$92,$AA$9)*I32</f>
        <v>0</v>
      </c>
      <c r="AB32" s="655">
        <f>SUMIFS(Water!$I$10:$I$92,Water!$D$10:$D$92,C32,Water!$C$10:$C$92,$AB$9)*I32</f>
        <v>0</v>
      </c>
      <c r="AC32" s="655">
        <f>SUMIFS(Water!$I$10:$I$92,Water!$D$10:$D$92,C32,Water!$C$10:$C$92,$AC$9)*I32</f>
        <v>0</v>
      </c>
      <c r="AD32" s="115">
        <f t="shared" ca="1" si="0"/>
        <v>5861.8412476823632</v>
      </c>
      <c r="AE32" s="117">
        <f t="shared" ca="1" si="1"/>
        <v>2.8315926027264421E-3</v>
      </c>
      <c r="AF32" s="385" t="s">
        <v>723</v>
      </c>
    </row>
    <row r="33" spans="2:32" x14ac:dyDescent="0.25">
      <c r="B33" s="489" t="s">
        <v>341</v>
      </c>
      <c r="C33" s="87" t="s">
        <v>662</v>
      </c>
      <c r="D33" s="87">
        <v>5110</v>
      </c>
      <c r="E33" s="87" t="s">
        <v>462</v>
      </c>
      <c r="F33" s="490">
        <v>141712</v>
      </c>
      <c r="G33" s="346" t="s">
        <v>491</v>
      </c>
      <c r="H33" s="87" t="s">
        <v>648</v>
      </c>
      <c r="I33" s="491">
        <v>1</v>
      </c>
      <c r="J33" s="115">
        <v>0</v>
      </c>
      <c r="K33" s="655">
        <f>SUMIFS(Combustion!$F$11:$F$95,Combustion!$C$11:$C$95,C33,Combustion!$H$11:$H$95,$K$9)*$K$10*I33</f>
        <v>0</v>
      </c>
      <c r="L33" s="655">
        <f>SUMIFS(Combustion!$F$11:$F$95,Combustion!$C$11:$C$95,C33,Combustion!$H$11:$H$95,$L$9)*$L$10*I33</f>
        <v>0</v>
      </c>
      <c r="M33" s="348">
        <v>0</v>
      </c>
      <c r="N33" s="348">
        <v>0</v>
      </c>
      <c r="O33" s="655">
        <v>0</v>
      </c>
      <c r="P33" s="655">
        <f>'Ancillary Input'!$L$313/25</f>
        <v>140.87967688592633</v>
      </c>
      <c r="Q33" s="655">
        <f>'Purchased Services'!$J$182/25</f>
        <v>14.319317952916986</v>
      </c>
      <c r="R33" s="655">
        <f>SUMIF(Combustion!$C$11:$C$95,C33,Combustion!$P$11:$P$95)*I33</f>
        <v>0</v>
      </c>
      <c r="S33" s="683">
        <f>SUMIF(Vent!$C$10:$C$16,C33,Vent!$M$10:$M$16)*I33</f>
        <v>0</v>
      </c>
      <c r="T33" s="655">
        <f>(Fugitive!$L$102-Fugitive!$L$49)/25</f>
        <v>30.016412398302126</v>
      </c>
      <c r="U33" s="655">
        <f ca="1">SUMIF(Wastewater!$C$30:$D$110,C33,Wastewater!$I$30:$I$110)*I33</f>
        <v>0</v>
      </c>
      <c r="V33" s="655">
        <f>SUMIF('Mix Electricity'!$D$10:$D$104,C33,'Mix Electricity'!$I$10:$I$104)*I33</f>
        <v>1254.1239281406783</v>
      </c>
      <c r="W33" s="655">
        <f>SUMIFS(Steam!$I$10:$I$29,Steam!$D$10:$D$29,C33,Steam!$C$10:$C$29,$W$9)*I33</f>
        <v>0</v>
      </c>
      <c r="X33" s="655">
        <f>SUMIFS(Steam!$I$10:$I$29,Steam!$D$10:$D$29,C33,Steam!$C$10:$C$29,$X$9)*I33</f>
        <v>0</v>
      </c>
      <c r="Y33" s="655">
        <f>SUMIF(Air!$D$10:$D$71,C33,Air!$I$10:$I$71)*I33</f>
        <v>57.337223412614179</v>
      </c>
      <c r="Z33" s="655">
        <f>SUMIF(Nitrogen!$D$10:$D$45,C33,Nitrogen!$I$10:$I$45)*I33</f>
        <v>0</v>
      </c>
      <c r="AA33" s="655">
        <f>SUMIFS(Water!$I$10:$I$92,Water!$D$10:$D$92,C33,Water!$C$10:$C$92,$AA$9)*I33</f>
        <v>0</v>
      </c>
      <c r="AB33" s="655">
        <f>SUMIFS(Water!$I$10:$I$92,Water!$D$10:$D$92,C33,Water!$C$10:$C$92,$AB$9)*I33</f>
        <v>0</v>
      </c>
      <c r="AC33" s="655">
        <f>SUMIFS(Water!$I$10:$I$92,Water!$D$10:$D$92,C33,Water!$C$10:$C$92,$AC$9)*I33</f>
        <v>0</v>
      </c>
      <c r="AD33" s="115">
        <f t="shared" ca="1" si="0"/>
        <v>1496.6765587904379</v>
      </c>
      <c r="AE33" s="117">
        <f t="shared" ca="1" si="1"/>
        <v>1.0561396062369015E-2</v>
      </c>
      <c r="AF33" s="385" t="s">
        <v>791</v>
      </c>
    </row>
    <row r="34" spans="2:32" x14ac:dyDescent="0.25">
      <c r="B34" s="1073" t="s">
        <v>341</v>
      </c>
      <c r="C34" s="399" t="s">
        <v>651</v>
      </c>
      <c r="D34" s="1075">
        <v>5310</v>
      </c>
      <c r="E34" s="115" t="s">
        <v>507</v>
      </c>
      <c r="F34" s="490">
        <v>17296107</v>
      </c>
      <c r="G34" s="346" t="s">
        <v>491</v>
      </c>
      <c r="H34" s="356" t="s">
        <v>664</v>
      </c>
      <c r="I34" s="491">
        <f>F34/SUM($F$34:$F$35)</f>
        <v>0.73374293889209741</v>
      </c>
      <c r="J34" s="115">
        <v>0</v>
      </c>
      <c r="K34" s="655">
        <f>SUMIFS(Combustion!$F$11:$F$95,Combustion!$C$11:$C$95,C34,Combustion!$H$11:$H$95,$K$9)*$K$10*I34</f>
        <v>0</v>
      </c>
      <c r="L34" s="655">
        <f>SUMIFS(Combustion!$F$11:$F$95,Combustion!$C$11:$C$95,C34,Combustion!$H$11:$H$95,$L$9)*$L$10*I34</f>
        <v>0</v>
      </c>
      <c r="M34" s="655">
        <v>0</v>
      </c>
      <c r="N34" s="655">
        <v>0</v>
      </c>
      <c r="O34" s="655">
        <v>0</v>
      </c>
      <c r="P34" s="655">
        <f>'Ancillary Input'!$L$313/25</f>
        <v>140.87967688592633</v>
      </c>
      <c r="Q34" s="655">
        <f>'Purchased Services'!$J$182/25</f>
        <v>14.319317952916986</v>
      </c>
      <c r="R34" s="655">
        <f>SUMIF(Combustion!$C$11:$C$95,C34,Combustion!$P$11:$P$95)*I34</f>
        <v>0</v>
      </c>
      <c r="S34" s="683">
        <f>SUMIF(Vent!$C$10:$C$16,C34,Vent!$M$10:$M$16)*I34</f>
        <v>0</v>
      </c>
      <c r="T34" s="655">
        <f>(Fugitive!$L$102-Fugitive!$L$49)/25</f>
        <v>30.016412398302126</v>
      </c>
      <c r="U34" s="655">
        <f ca="1">SUMIF(Wastewater!$C$30:$D$110,C34,Wastewater!$I$30:$I$110)*I34</f>
        <v>0</v>
      </c>
      <c r="V34" s="655">
        <f>SUMIF('Mix Electricity'!$D$10:$D$104,C34,'Mix Electricity'!$I$10:$I$104)*I34</f>
        <v>12198.08223396613</v>
      </c>
      <c r="W34" s="655">
        <f>SUMIFS(Steam!$I$10:$I$29,Steam!$D$10:$D$29,C34,Steam!$C$10:$C$29,$W$9)*I34</f>
        <v>0</v>
      </c>
      <c r="X34" s="655">
        <f>SUMIFS(Steam!$I$10:$I$29,Steam!$D$10:$D$29,C34,Steam!$C$10:$C$29,$X$9)*I34</f>
        <v>0</v>
      </c>
      <c r="Y34" s="655">
        <f>SUMIF(Air!$D$10:$D$71,C34,Air!$I$10:$I$71)*I34</f>
        <v>0</v>
      </c>
      <c r="Z34" s="655">
        <f>SUMIF(Nitrogen!$D$10:$D$45,C34,Nitrogen!$I$10:$I$45)*I34</f>
        <v>0</v>
      </c>
      <c r="AA34" s="655">
        <f>SUMIFS(Water!$I$10:$I$92,Water!$D$10:$D$92,C34,Water!$C$10:$C$92,$AA$9)*I34</f>
        <v>0</v>
      </c>
      <c r="AB34" s="655">
        <f>SUMIFS(Water!$I$10:$I$92,Water!$D$10:$D$92,C34,Water!$C$10:$C$92,$AB$9)*I34</f>
        <v>0</v>
      </c>
      <c r="AC34" s="655">
        <f>SUMIFS(Water!$I$10:$I$92,Water!$D$10:$D$92,C34,Water!$C$10:$C$92,$AC$9)*I34</f>
        <v>0</v>
      </c>
      <c r="AD34" s="115">
        <f t="shared" ca="1" si="0"/>
        <v>12383.297641203275</v>
      </c>
      <c r="AE34" s="117">
        <f t="shared" ca="1" si="1"/>
        <v>7.1595866290624101E-4</v>
      </c>
      <c r="AF34" s="385" t="s">
        <v>723</v>
      </c>
    </row>
    <row r="35" spans="2:32" x14ac:dyDescent="0.25">
      <c r="B35" s="1074"/>
      <c r="C35" s="399" t="s">
        <v>651</v>
      </c>
      <c r="D35" s="1076"/>
      <c r="E35" s="115" t="s">
        <v>2072</v>
      </c>
      <c r="F35" s="490">
        <v>6276327</v>
      </c>
      <c r="G35" s="648" t="s">
        <v>491</v>
      </c>
      <c r="H35" s="356" t="s">
        <v>665</v>
      </c>
      <c r="I35" s="491">
        <f>F35/SUM($F$34:$F$35)</f>
        <v>0.26625706110790254</v>
      </c>
      <c r="J35" s="115">
        <v>0</v>
      </c>
      <c r="K35" s="655">
        <f>SUMIFS(Combustion!$F$11:$F$95,Combustion!$C$11:$C$95,C35,Combustion!$H$11:$H$95,$K$9)*$K$10*I35</f>
        <v>0</v>
      </c>
      <c r="L35" s="655">
        <f>SUMIFS(Combustion!$F$11:$F$95,Combustion!$C$11:$C$95,C35,Combustion!$H$11:$H$95,$L$9)*$L$10*I35</f>
        <v>0</v>
      </c>
      <c r="M35" s="655">
        <v>0</v>
      </c>
      <c r="N35" s="655">
        <v>0</v>
      </c>
      <c r="O35" s="655">
        <v>0</v>
      </c>
      <c r="P35" s="655">
        <f>'Ancillary Input'!$L$313/25</f>
        <v>140.87967688592633</v>
      </c>
      <c r="Q35" s="655">
        <f>'Purchased Services'!$J$182/25</f>
        <v>14.319317952916986</v>
      </c>
      <c r="R35" s="655">
        <f>SUMIF(Combustion!$C$11:$C$95,C35,Combustion!$P$11:$P$95)*I35</f>
        <v>0</v>
      </c>
      <c r="S35" s="683">
        <f>SUMIF(Vent!$C$10:$C$16,C35,Vent!$M$10:$M$16)*I35</f>
        <v>0</v>
      </c>
      <c r="T35" s="655">
        <f>(Fugitive!$L$102-Fugitive!$L$49)/25</f>
        <v>30.016412398302126</v>
      </c>
      <c r="U35" s="655">
        <f ca="1">SUMIF(Wastewater!$C$30:$D$110,C35,Wastewater!$I$30:$I$110)*I35</f>
        <v>0</v>
      </c>
      <c r="V35" s="655">
        <f>SUMIF('Mix Electricity'!$D$10:$D$104,C35,'Mix Electricity'!$I$10:$I$104)*I35</f>
        <v>4426.3806227182758</v>
      </c>
      <c r="W35" s="655">
        <f>SUMIFS(Steam!$I$10:$I$29,Steam!$D$10:$D$29,C35,Steam!$C$10:$C$29,$W$9)*I35</f>
        <v>0</v>
      </c>
      <c r="X35" s="655">
        <f>SUMIFS(Steam!$I$10:$I$29,Steam!$D$10:$D$29,C35,Steam!$C$10:$C$29,$X$9)*I35</f>
        <v>0</v>
      </c>
      <c r="Y35" s="655">
        <f>SUMIF(Air!$D$10:$D$71,C35,Air!$I$10:$I$71)*I35</f>
        <v>0</v>
      </c>
      <c r="Z35" s="655">
        <f>SUMIF(Nitrogen!$D$10:$D$45,C35,Nitrogen!$I$10:$I$45)*I35</f>
        <v>0</v>
      </c>
      <c r="AA35" s="655">
        <f>SUMIFS(Water!$I$10:$I$92,Water!$D$10:$D$92,C35,Water!$C$10:$C$92,$AA$9)*I35</f>
        <v>0</v>
      </c>
      <c r="AB35" s="655">
        <f>SUMIFS(Water!$I$10:$I$92,Water!$D$10:$D$92,C35,Water!$C$10:$C$92,$AB$9)*I35</f>
        <v>0</v>
      </c>
      <c r="AC35" s="655">
        <f>SUMIFS(Water!$I$10:$I$92,Water!$D$10:$D$92,C35,Water!$C$10:$C$92,$AC$9)*I35</f>
        <v>0</v>
      </c>
      <c r="AD35" s="115">
        <f t="shared" ca="1" si="0"/>
        <v>4611.5960299554208</v>
      </c>
      <c r="AE35" s="117">
        <f t="shared" ca="1" si="1"/>
        <v>7.3476031920507339E-4</v>
      </c>
      <c r="AF35" s="385" t="s">
        <v>791</v>
      </c>
    </row>
    <row r="36" spans="2:32" x14ac:dyDescent="0.25">
      <c r="B36" s="489" t="s">
        <v>341</v>
      </c>
      <c r="C36" s="356" t="s">
        <v>665</v>
      </c>
      <c r="D36" s="87">
        <v>5350</v>
      </c>
      <c r="E36" s="115" t="s">
        <v>508</v>
      </c>
      <c r="F36" s="490">
        <v>11064768</v>
      </c>
      <c r="G36" s="346" t="s">
        <v>491</v>
      </c>
      <c r="H36" s="356" t="s">
        <v>664</v>
      </c>
      <c r="I36" s="491">
        <v>1</v>
      </c>
      <c r="J36" s="115">
        <f ca="1">AD35</f>
        <v>4611.5960299554208</v>
      </c>
      <c r="K36" s="655">
        <f>SUMIFS(Combustion!$F$11:$F$95,Combustion!$C$11:$C$95,C36,Combustion!$H$11:$H$95,$K$9)*$K$10*I36</f>
        <v>0</v>
      </c>
      <c r="L36" s="655">
        <f>SUMIFS(Combustion!$F$11:$F$95,Combustion!$C$11:$C$95,C36,Combustion!$H$11:$H$95,$L$9)*$L$10*I36</f>
        <v>0</v>
      </c>
      <c r="M36" s="348">
        <v>0</v>
      </c>
      <c r="N36" s="348">
        <v>0</v>
      </c>
      <c r="O36" s="655">
        <v>0</v>
      </c>
      <c r="P36" s="655">
        <f>'Ancillary Input'!$L$313/25</f>
        <v>140.87967688592633</v>
      </c>
      <c r="Q36" s="655">
        <f>'Purchased Services'!$J$182/25</f>
        <v>14.319317952916986</v>
      </c>
      <c r="R36" s="655">
        <f>SUMIF(Combustion!$C$11:$C$95,C36,Combustion!$P$11:$P$95)*I36</f>
        <v>0</v>
      </c>
      <c r="S36" s="683">
        <f>SUMIF(Vent!$C$10:$C$16,C36,Vent!$M$10:$M$16)*I36</f>
        <v>0</v>
      </c>
      <c r="T36" s="655">
        <f>(Fugitive!$L$102-Fugitive!$L$49)/25</f>
        <v>30.016412398302126</v>
      </c>
      <c r="U36" s="655">
        <f ca="1">SUMIF(Wastewater!$C$30:$D$110,C36,Wastewater!$I$30:$I$110)*I36</f>
        <v>2.1869959574961797</v>
      </c>
      <c r="V36" s="655">
        <f>SUMIF('Mix Electricity'!$D$10:$D$104,C36,'Mix Electricity'!$I$10:$I$104)*I36</f>
        <v>1462.4917462986857</v>
      </c>
      <c r="W36" s="655">
        <f>SUMIFS(Steam!$I$10:$I$29,Steam!$D$10:$D$29,C36,Steam!$C$10:$C$29,$W$9)*I36</f>
        <v>0</v>
      </c>
      <c r="X36" s="655">
        <f>SUMIFS(Steam!$I$10:$I$29,Steam!$D$10:$D$29,C36,Steam!$C$10:$C$29,$X$9)*I36</f>
        <v>0</v>
      </c>
      <c r="Y36" s="655">
        <f>SUMIF(Air!$D$10:$D$71,C36,Air!$I$10:$I$71)*I36</f>
        <v>0</v>
      </c>
      <c r="Z36" s="655">
        <f>SUMIF(Nitrogen!$D$10:$D$45,C36,Nitrogen!$I$10:$I$45)*I36</f>
        <v>0</v>
      </c>
      <c r="AA36" s="655">
        <f>SUMIFS(Water!$I$10:$I$92,Water!$D$10:$D$92,C36,Water!$C$10:$C$92,$AA$9)*I36</f>
        <v>104.77604802299903</v>
      </c>
      <c r="AB36" s="655">
        <f>SUMIFS(Water!$I$10:$I$92,Water!$D$10:$D$92,C36,Water!$C$10:$C$92,$AB$9)*I36</f>
        <v>0</v>
      </c>
      <c r="AC36" s="655">
        <f>SUMIFS(Water!$I$10:$I$92,Water!$D$10:$D$92,C36,Water!$C$10:$C$92,$AC$9)*I36</f>
        <v>0</v>
      </c>
      <c r="AD36" s="115">
        <f t="shared" ca="1" si="0"/>
        <v>6366.2662274717477</v>
      </c>
      <c r="AE36" s="117">
        <f t="shared" ca="1" si="1"/>
        <v>5.7536373356149428E-4</v>
      </c>
      <c r="AF36" s="385" t="s">
        <v>723</v>
      </c>
    </row>
    <row r="37" spans="2:32" x14ac:dyDescent="0.25">
      <c r="B37" s="489" t="s">
        <v>341</v>
      </c>
      <c r="C37" s="356" t="s">
        <v>664</v>
      </c>
      <c r="D37" s="87">
        <v>5311</v>
      </c>
      <c r="E37" s="115" t="s">
        <v>460</v>
      </c>
      <c r="F37" s="490">
        <v>28360875</v>
      </c>
      <c r="G37" s="346" t="s">
        <v>491</v>
      </c>
      <c r="H37" s="87" t="s">
        <v>634</v>
      </c>
      <c r="I37" s="491">
        <v>1</v>
      </c>
      <c r="J37" s="115">
        <f ca="1">AD34+AD36</f>
        <v>18749.563868675024</v>
      </c>
      <c r="K37" s="655">
        <f>SUMIFS(Combustion!$F$11:$F$95,Combustion!$C$11:$C$95,C37,Combustion!$H$11:$H$95,$K$9)*$K$10*I37</f>
        <v>0</v>
      </c>
      <c r="L37" s="655">
        <f>SUMIFS(Combustion!$F$11:$F$95,Combustion!$C$11:$C$95,C37,Combustion!$H$11:$H$95,$L$9)*$L$10*I37</f>
        <v>0</v>
      </c>
      <c r="M37" s="348">
        <v>0</v>
      </c>
      <c r="N37" s="348">
        <v>0</v>
      </c>
      <c r="O37" s="655">
        <v>0</v>
      </c>
      <c r="P37" s="655">
        <f>'Ancillary Input'!$L$313/25</f>
        <v>140.87967688592633</v>
      </c>
      <c r="Q37" s="655">
        <f>'Purchased Services'!$J$182/25</f>
        <v>14.319317952916986</v>
      </c>
      <c r="R37" s="655">
        <f>SUMIF(Combustion!$C$11:$C$95,C37,Combustion!$P$11:$P$95)*I37</f>
        <v>0</v>
      </c>
      <c r="S37" s="683">
        <f>SUMIF(Vent!$C$10:$C$16,C37,Vent!$M$10:$M$16)*I37</f>
        <v>0</v>
      </c>
      <c r="T37" s="655">
        <f>(Fugitive!$L$102-Fugitive!$L$49)/25</f>
        <v>30.016412398302126</v>
      </c>
      <c r="U37" s="655">
        <f ca="1">SUMIF(Wastewater!$C$30:$D$110,C37,Wastewater!$I$30:$I$110)*I37</f>
        <v>30.448858503040775</v>
      </c>
      <c r="V37" s="655">
        <f>SUMIF('Mix Electricity'!$D$10:$D$104,C37,'Mix Electricity'!$I$10:$I$104)*I37</f>
        <v>5984.5501076564951</v>
      </c>
      <c r="W37" s="655">
        <f>SUMIFS(Steam!$I$10:$I$29,Steam!$D$10:$D$29,C37,Steam!$C$10:$C$29,$W$9)*I37</f>
        <v>0</v>
      </c>
      <c r="X37" s="655">
        <f>SUMIFS(Steam!$I$10:$I$29,Steam!$D$10:$D$29,C37,Steam!$C$10:$C$29,$X$9)*I37</f>
        <v>0</v>
      </c>
      <c r="Y37" s="655">
        <f>SUMIF(Air!$D$10:$D$71,C37,Air!$I$10:$I$71)*I37</f>
        <v>0</v>
      </c>
      <c r="Z37" s="655">
        <f>SUMIF(Nitrogen!$D$10:$D$45,C37,Nitrogen!$I$10:$I$45)*I37</f>
        <v>0</v>
      </c>
      <c r="AA37" s="655">
        <f>SUMIFS(Water!$I$10:$I$92,Water!$D$10:$D$92,C37,Water!$C$10:$C$92,$AA$9)*I37</f>
        <v>1458.764041069644</v>
      </c>
      <c r="AB37" s="655">
        <f>SUMIFS(Water!$I$10:$I$92,Water!$D$10:$D$92,C37,Water!$C$10:$C$92,$AB$9)*I37</f>
        <v>0</v>
      </c>
      <c r="AC37" s="655">
        <f>SUMIFS(Water!$I$10:$I$92,Water!$D$10:$D$92,C37,Water!$C$10:$C$92,$AC$9)*I37</f>
        <v>0</v>
      </c>
      <c r="AD37" s="115">
        <f t="shared" ca="1" si="0"/>
        <v>26408.542283141349</v>
      </c>
      <c r="AE37" s="117">
        <f t="shared" ca="1" si="1"/>
        <v>9.3116105490896703E-4</v>
      </c>
      <c r="AF37" s="385" t="s">
        <v>723</v>
      </c>
    </row>
    <row r="38" spans="2:32" x14ac:dyDescent="0.25">
      <c r="H38" s="24"/>
    </row>
    <row r="39" spans="2:32" x14ac:dyDescent="0.25">
      <c r="H39" s="24"/>
    </row>
    <row r="41" spans="2:32" ht="30" customHeight="1" x14ac:dyDescent="0.25">
      <c r="B41" s="381" t="s">
        <v>677</v>
      </c>
      <c r="C41" s="381"/>
      <c r="D41" s="381"/>
      <c r="E41" s="381"/>
      <c r="L41" s="113"/>
      <c r="M41" s="113"/>
      <c r="N41" s="113"/>
      <c r="O41" s="113"/>
    </row>
    <row r="42" spans="2:32" s="4" customFormat="1" ht="16.8" x14ac:dyDescent="0.25">
      <c r="B42" s="355" t="s">
        <v>336</v>
      </c>
      <c r="C42" s="355" t="s">
        <v>425</v>
      </c>
      <c r="D42" s="355" t="s">
        <v>402</v>
      </c>
      <c r="E42" s="355" t="s">
        <v>702</v>
      </c>
      <c r="F42" s="3"/>
      <c r="G42" s="3"/>
      <c r="H42" s="3"/>
      <c r="I42" s="3"/>
      <c r="J42" s="3"/>
      <c r="K42" s="3"/>
      <c r="L42" s="48"/>
      <c r="M42" s="48"/>
      <c r="N42" s="48"/>
      <c r="O42" s="48"/>
    </row>
    <row r="43" spans="2:32" x14ac:dyDescent="0.25">
      <c r="B43" s="87">
        <v>1</v>
      </c>
      <c r="C43" s="115" t="s">
        <v>507</v>
      </c>
      <c r="D43" s="479" t="s">
        <v>306</v>
      </c>
      <c r="E43" s="480">
        <f ca="1">AE34</f>
        <v>7.1595866290624101E-4</v>
      </c>
      <c r="L43" s="114"/>
      <c r="M43" s="114"/>
      <c r="N43" s="114"/>
      <c r="O43" s="114"/>
    </row>
    <row r="44" spans="2:32" x14ac:dyDescent="0.25">
      <c r="B44" s="87">
        <v>2</v>
      </c>
      <c r="C44" s="115" t="s">
        <v>508</v>
      </c>
      <c r="D44" s="479" t="s">
        <v>306</v>
      </c>
      <c r="E44" s="480">
        <f ca="1">AE36</f>
        <v>5.7536373356149428E-4</v>
      </c>
      <c r="L44" s="114"/>
      <c r="M44" s="114"/>
      <c r="N44" s="114"/>
      <c r="O44" s="114"/>
    </row>
    <row r="45" spans="2:32" x14ac:dyDescent="0.25">
      <c r="B45" s="87">
        <v>3</v>
      </c>
      <c r="C45" s="21" t="s">
        <v>460</v>
      </c>
      <c r="D45" s="481" t="s">
        <v>306</v>
      </c>
      <c r="E45" s="482">
        <f ca="1">AE37</f>
        <v>9.3116105490896703E-4</v>
      </c>
      <c r="L45" s="114"/>
      <c r="M45" s="114"/>
      <c r="N45" s="114"/>
      <c r="O45" s="114"/>
    </row>
    <row r="46" spans="2:32" x14ac:dyDescent="0.25">
      <c r="B46" s="87">
        <v>4</v>
      </c>
      <c r="C46" s="87" t="s">
        <v>505</v>
      </c>
      <c r="D46" s="481" t="s">
        <v>306</v>
      </c>
      <c r="E46" s="483">
        <f ca="1">AE29</f>
        <v>2.0121909574554444E-3</v>
      </c>
      <c r="L46" s="114"/>
      <c r="M46" s="114"/>
      <c r="N46" s="114"/>
      <c r="O46" s="114"/>
    </row>
    <row r="47" spans="2:32" x14ac:dyDescent="0.25">
      <c r="B47" s="87">
        <v>5</v>
      </c>
      <c r="C47" s="87" t="s">
        <v>503</v>
      </c>
      <c r="D47" s="481" t="s">
        <v>305</v>
      </c>
      <c r="E47" s="483">
        <f ca="1">AE28</f>
        <v>0.10339977556225384</v>
      </c>
      <c r="L47" s="114"/>
      <c r="M47" s="114"/>
      <c r="N47" s="114"/>
      <c r="O47" s="114"/>
    </row>
    <row r="48" spans="2:32" x14ac:dyDescent="0.25">
      <c r="B48" s="87">
        <v>6</v>
      </c>
      <c r="C48" s="87" t="s">
        <v>504</v>
      </c>
      <c r="D48" s="481" t="s">
        <v>306</v>
      </c>
      <c r="E48" s="483">
        <f ca="1">AE31</f>
        <v>3.1232919176139226E-3</v>
      </c>
      <c r="L48" s="114"/>
      <c r="M48" s="114"/>
      <c r="N48" s="114"/>
      <c r="O48" s="114"/>
    </row>
    <row r="49" spans="2:15" x14ac:dyDescent="0.25">
      <c r="B49" s="87">
        <v>7</v>
      </c>
      <c r="C49" s="87" t="s">
        <v>506</v>
      </c>
      <c r="D49" s="481" t="s">
        <v>306</v>
      </c>
      <c r="E49" s="483">
        <f ca="1">AE27</f>
        <v>3.3024335588072401E-3</v>
      </c>
      <c r="L49" s="114"/>
      <c r="M49" s="114"/>
      <c r="N49" s="114"/>
      <c r="O49" s="114"/>
    </row>
    <row r="50" spans="2:15" x14ac:dyDescent="0.25">
      <c r="B50" s="87">
        <v>8</v>
      </c>
      <c r="C50" s="87" t="s">
        <v>501</v>
      </c>
      <c r="D50" s="481" t="s">
        <v>305</v>
      </c>
      <c r="E50" s="483">
        <f ca="1">AE26</f>
        <v>9.9335301399692308E-2</v>
      </c>
      <c r="L50" s="114"/>
      <c r="M50" s="114"/>
      <c r="N50" s="114"/>
      <c r="O50" s="114"/>
    </row>
    <row r="51" spans="2:15" x14ac:dyDescent="0.25">
      <c r="B51" s="87">
        <v>9</v>
      </c>
      <c r="C51" s="413" t="s">
        <v>461</v>
      </c>
      <c r="D51" s="481" t="s">
        <v>306</v>
      </c>
      <c r="E51" s="482">
        <f ca="1">AE32</f>
        <v>2.8315926027264421E-3</v>
      </c>
      <c r="L51" s="114"/>
      <c r="M51" s="114"/>
      <c r="N51" s="114"/>
      <c r="O51" s="114"/>
    </row>
    <row r="52" spans="2:15" x14ac:dyDescent="0.25">
      <c r="B52" s="87">
        <v>10</v>
      </c>
      <c r="C52" s="87" t="s">
        <v>502</v>
      </c>
      <c r="D52" s="481" t="s">
        <v>305</v>
      </c>
      <c r="E52" s="483">
        <f ca="1">AE25</f>
        <v>0.10963037844998873</v>
      </c>
      <c r="L52" s="114"/>
      <c r="M52" s="114"/>
      <c r="N52" s="114"/>
      <c r="O52" s="114"/>
    </row>
    <row r="53" spans="2:15" x14ac:dyDescent="0.25">
      <c r="B53" s="87">
        <v>11</v>
      </c>
      <c r="C53" s="413" t="s">
        <v>459</v>
      </c>
      <c r="D53" s="481" t="s">
        <v>305</v>
      </c>
      <c r="E53" s="482">
        <f ca="1">AE30</f>
        <v>0.10650695972687182</v>
      </c>
      <c r="L53" s="114"/>
      <c r="M53" s="114"/>
      <c r="N53" s="114"/>
      <c r="O53" s="114"/>
    </row>
    <row r="54" spans="2:15" x14ac:dyDescent="0.25">
      <c r="B54" s="87">
        <v>12</v>
      </c>
      <c r="C54" s="413" t="s">
        <v>462</v>
      </c>
      <c r="D54" s="481" t="s">
        <v>306</v>
      </c>
      <c r="E54" s="482">
        <f ca="1">AE33</f>
        <v>1.0561396062369015E-2</v>
      </c>
      <c r="L54" s="114"/>
      <c r="M54" s="114"/>
      <c r="N54" s="114"/>
      <c r="O54" s="114"/>
    </row>
    <row r="55" spans="2:15" x14ac:dyDescent="0.25">
      <c r="B55" s="87">
        <v>13</v>
      </c>
      <c r="C55" s="413" t="s">
        <v>458</v>
      </c>
      <c r="D55" s="481" t="s">
        <v>305</v>
      </c>
      <c r="E55" s="482">
        <f ca="1">AE22</f>
        <v>8.3504919502735919E-2</v>
      </c>
      <c r="L55" s="114"/>
      <c r="M55" s="114"/>
      <c r="N55" s="114"/>
      <c r="O55" s="114"/>
    </row>
    <row r="56" spans="2:15" x14ac:dyDescent="0.25">
      <c r="B56" s="87">
        <v>14</v>
      </c>
      <c r="C56" s="413" t="s">
        <v>395</v>
      </c>
      <c r="D56" s="481" t="s">
        <v>307</v>
      </c>
      <c r="E56" s="482">
        <f ca="1">AE17</f>
        <v>1.0580816710638495E-4</v>
      </c>
      <c r="L56" s="114"/>
      <c r="M56" s="114"/>
      <c r="N56" s="114"/>
      <c r="O56" s="114"/>
    </row>
    <row r="57" spans="2:15" x14ac:dyDescent="0.25">
      <c r="B57" s="87">
        <v>15</v>
      </c>
      <c r="C57" s="21" t="s">
        <v>364</v>
      </c>
      <c r="D57" s="481" t="s">
        <v>307</v>
      </c>
      <c r="E57" s="482">
        <f ca="1">AE20</f>
        <v>4.02426214643944E-4</v>
      </c>
      <c r="L57" s="114"/>
      <c r="M57" s="114"/>
      <c r="N57" s="114"/>
      <c r="O57" s="114"/>
    </row>
    <row r="58" spans="2:15" x14ac:dyDescent="0.25">
      <c r="B58" s="87">
        <v>16</v>
      </c>
      <c r="C58" s="21" t="s">
        <v>365</v>
      </c>
      <c r="D58" s="481" t="s">
        <v>307</v>
      </c>
      <c r="E58" s="482">
        <f ca="1">AE19</f>
        <v>4.0226219520883105E-4</v>
      </c>
      <c r="L58" s="114"/>
      <c r="M58" s="114"/>
      <c r="N58" s="114"/>
      <c r="O58" s="114"/>
    </row>
    <row r="59" spans="2:15" x14ac:dyDescent="0.25">
      <c r="B59" s="87">
        <v>17</v>
      </c>
      <c r="C59" s="21" t="s">
        <v>366</v>
      </c>
      <c r="D59" s="481" t="s">
        <v>307</v>
      </c>
      <c r="E59" s="482">
        <f ca="1">AE18</f>
        <v>4.3863230682380491E-4</v>
      </c>
      <c r="L59" s="114"/>
      <c r="M59" s="114"/>
      <c r="N59" s="114"/>
      <c r="O59" s="114"/>
    </row>
    <row r="60" spans="2:15" x14ac:dyDescent="0.25">
      <c r="B60" s="87">
        <v>18</v>
      </c>
      <c r="C60" s="87" t="s">
        <v>498</v>
      </c>
      <c r="D60" s="481" t="s">
        <v>304</v>
      </c>
      <c r="E60" s="483">
        <f ca="1">AE13</f>
        <v>6.7904340414439693E-4</v>
      </c>
      <c r="L60" s="114"/>
      <c r="M60" s="114"/>
      <c r="N60" s="114"/>
      <c r="O60" s="114"/>
    </row>
    <row r="61" spans="2:15" x14ac:dyDescent="0.25">
      <c r="B61" s="87">
        <v>19</v>
      </c>
      <c r="C61" s="87" t="s">
        <v>499</v>
      </c>
      <c r="D61" s="481" t="s">
        <v>304</v>
      </c>
      <c r="E61" s="483">
        <f ca="1">AE14</f>
        <v>3.941327893617582E-4</v>
      </c>
      <c r="F61" s="111"/>
      <c r="G61" s="111"/>
      <c r="H61" s="111"/>
      <c r="I61" s="111"/>
      <c r="J61" s="111"/>
      <c r="L61" s="114"/>
      <c r="M61" s="114"/>
      <c r="N61" s="114"/>
      <c r="O61" s="114"/>
    </row>
    <row r="62" spans="2:15" x14ac:dyDescent="0.25">
      <c r="B62" s="611">
        <v>20</v>
      </c>
      <c r="C62" s="611" t="s">
        <v>1701</v>
      </c>
      <c r="D62" s="481" t="s">
        <v>304</v>
      </c>
      <c r="E62" s="480">
        <f ca="1">AE15</f>
        <v>3.2480454618769754E-4</v>
      </c>
      <c r="F62" s="111"/>
      <c r="G62" s="111"/>
      <c r="H62" s="111"/>
      <c r="I62" s="111"/>
      <c r="J62" s="111"/>
      <c r="L62" s="114"/>
      <c r="M62" s="114"/>
      <c r="N62" s="114"/>
      <c r="O62" s="114"/>
    </row>
    <row r="63" spans="2:15" x14ac:dyDescent="0.25">
      <c r="B63" s="611">
        <v>21</v>
      </c>
      <c r="C63" s="413" t="s">
        <v>368</v>
      </c>
      <c r="D63" s="481" t="s">
        <v>304</v>
      </c>
      <c r="E63" s="482">
        <f ca="1">AE16</f>
        <v>8.5669582859084815E-4</v>
      </c>
      <c r="F63" s="111"/>
      <c r="G63" s="111"/>
      <c r="H63" s="111"/>
      <c r="I63" s="111"/>
      <c r="J63" s="111"/>
      <c r="L63" s="114"/>
      <c r="M63" s="114"/>
      <c r="N63" s="114"/>
      <c r="O63" s="114"/>
    </row>
    <row r="64" spans="2:15" x14ac:dyDescent="0.25">
      <c r="F64" s="111"/>
      <c r="G64" s="111"/>
      <c r="H64" s="111"/>
      <c r="I64" s="111"/>
      <c r="J64" s="111"/>
      <c r="L64" s="111"/>
      <c r="M64" s="2"/>
    </row>
    <row r="65" spans="2:13" x14ac:dyDescent="0.25">
      <c r="F65" s="111"/>
      <c r="G65" s="111"/>
      <c r="H65" s="111"/>
      <c r="I65" s="111"/>
      <c r="J65" s="111"/>
      <c r="L65" s="24"/>
      <c r="M65" s="2"/>
    </row>
    <row r="66" spans="2:13" ht="16.8" x14ac:dyDescent="0.25">
      <c r="B66" s="258"/>
      <c r="C66" s="235"/>
      <c r="D66" s="235"/>
      <c r="E66" s="231" t="s">
        <v>1102</v>
      </c>
      <c r="F66" s="111"/>
      <c r="G66" s="111"/>
      <c r="H66" s="111"/>
      <c r="I66" s="111"/>
      <c r="J66" s="111"/>
      <c r="L66" s="24"/>
      <c r="M66" s="2"/>
    </row>
    <row r="67" spans="2:13" x14ac:dyDescent="0.25">
      <c r="B67" s="1052" t="s">
        <v>1312</v>
      </c>
      <c r="C67" s="1053"/>
      <c r="D67" s="1053"/>
      <c r="E67" s="1054"/>
      <c r="F67" s="111"/>
      <c r="G67" s="111"/>
      <c r="H67" s="111"/>
      <c r="I67" s="111"/>
      <c r="J67" s="111"/>
      <c r="L67" s="24"/>
      <c r="M67" s="2"/>
    </row>
    <row r="68" spans="2:13" x14ac:dyDescent="0.25">
      <c r="B68" s="1055"/>
      <c r="C68" s="1056"/>
      <c r="D68" s="1056"/>
      <c r="E68" s="1057"/>
      <c r="F68" s="111"/>
      <c r="G68" s="111"/>
      <c r="H68" s="111"/>
      <c r="I68" s="111"/>
      <c r="J68" s="111"/>
      <c r="L68" s="24"/>
      <c r="M68" s="2"/>
    </row>
    <row r="69" spans="2:13" x14ac:dyDescent="0.25">
      <c r="F69" s="111"/>
      <c r="G69" s="111"/>
      <c r="H69" s="111"/>
      <c r="I69" s="111"/>
      <c r="J69" s="111"/>
      <c r="L69" s="24"/>
      <c r="M69" s="2"/>
    </row>
    <row r="70" spans="2:13" x14ac:dyDescent="0.25">
      <c r="F70" s="111"/>
      <c r="G70" s="111"/>
      <c r="H70" s="111"/>
      <c r="I70" s="111"/>
      <c r="J70" s="111"/>
      <c r="L70" s="24"/>
      <c r="M70" s="2"/>
    </row>
    <row r="71" spans="2:13" x14ac:dyDescent="0.25">
      <c r="C71" s="115" t="s">
        <v>460</v>
      </c>
      <c r="E71" s="296">
        <f ca="1">E45</f>
        <v>9.3116105490896703E-4</v>
      </c>
      <c r="F71" s="111"/>
      <c r="G71" s="111"/>
      <c r="H71" s="111"/>
      <c r="I71" s="111"/>
      <c r="J71" s="111"/>
      <c r="L71" s="24"/>
      <c r="M71" s="2"/>
    </row>
    <row r="72" spans="2:13" x14ac:dyDescent="0.25">
      <c r="C72" s="651" t="s">
        <v>461</v>
      </c>
      <c r="E72" s="296">
        <f ca="1">E51</f>
        <v>2.8315926027264421E-3</v>
      </c>
      <c r="F72" s="111"/>
      <c r="G72" s="111"/>
      <c r="H72" s="111"/>
      <c r="I72" s="111"/>
      <c r="J72" s="111"/>
      <c r="M72" s="2"/>
    </row>
    <row r="73" spans="2:13" x14ac:dyDescent="0.25">
      <c r="C73" s="651" t="s">
        <v>459</v>
      </c>
      <c r="E73" s="296">
        <f t="shared" ref="E73:E79" ca="1" si="4">E53</f>
        <v>0.10650695972687182</v>
      </c>
      <c r="F73" s="111"/>
      <c r="G73" s="111"/>
      <c r="H73" s="111"/>
      <c r="I73" s="111"/>
      <c r="J73" s="111"/>
      <c r="M73" s="2"/>
    </row>
    <row r="74" spans="2:13" x14ac:dyDescent="0.25">
      <c r="C74" s="651" t="s">
        <v>462</v>
      </c>
      <c r="E74" s="296">
        <f t="shared" ca="1" si="4"/>
        <v>1.0561396062369015E-2</v>
      </c>
      <c r="M74" s="2"/>
    </row>
    <row r="75" spans="2:13" x14ac:dyDescent="0.25">
      <c r="C75" s="353" t="s">
        <v>458</v>
      </c>
      <c r="E75" s="296">
        <f t="shared" ca="1" si="4"/>
        <v>8.3504919502735919E-2</v>
      </c>
      <c r="M75" s="2"/>
    </row>
    <row r="76" spans="2:13" x14ac:dyDescent="0.25">
      <c r="C76" s="651" t="s">
        <v>395</v>
      </c>
      <c r="E76" s="296">
        <f t="shared" ca="1" si="4"/>
        <v>1.0580816710638495E-4</v>
      </c>
      <c r="M76" s="2"/>
    </row>
    <row r="77" spans="2:13" x14ac:dyDescent="0.25">
      <c r="C77" s="115" t="s">
        <v>364</v>
      </c>
      <c r="E77" s="296">
        <f t="shared" ca="1" si="4"/>
        <v>4.02426214643944E-4</v>
      </c>
      <c r="M77" s="2"/>
    </row>
    <row r="78" spans="2:13" x14ac:dyDescent="0.25">
      <c r="C78" s="115" t="s">
        <v>365</v>
      </c>
      <c r="E78" s="296">
        <f t="shared" ca="1" si="4"/>
        <v>4.0226219520883105E-4</v>
      </c>
      <c r="M78" s="2"/>
    </row>
    <row r="79" spans="2:13" x14ac:dyDescent="0.25">
      <c r="C79" s="115" t="s">
        <v>366</v>
      </c>
      <c r="E79" s="296">
        <f t="shared" ca="1" si="4"/>
        <v>4.3863230682380491E-4</v>
      </c>
      <c r="M79" s="2"/>
    </row>
    <row r="80" spans="2:13" x14ac:dyDescent="0.25">
      <c r="C80" s="651" t="s">
        <v>368</v>
      </c>
      <c r="E80" s="296">
        <f ca="1">E63</f>
        <v>8.5669582859084815E-4</v>
      </c>
      <c r="M80" s="2"/>
    </row>
    <row r="81" spans="13:13" x14ac:dyDescent="0.25">
      <c r="M81" s="2"/>
    </row>
  </sheetData>
  <protectedRanges>
    <protectedRange sqref="F13:F37" name="Range1"/>
  </protectedRanges>
  <mergeCells count="30">
    <mergeCell ref="AF9:AF12"/>
    <mergeCell ref="B67:E68"/>
    <mergeCell ref="B22:B24"/>
    <mergeCell ref="E22:E24"/>
    <mergeCell ref="D9:D12"/>
    <mergeCell ref="D18:D21"/>
    <mergeCell ref="D22:D24"/>
    <mergeCell ref="D26:D27"/>
    <mergeCell ref="B26:B27"/>
    <mergeCell ref="E9:E12"/>
    <mergeCell ref="F9:F12"/>
    <mergeCell ref="G9:G12"/>
    <mergeCell ref="D28:D29"/>
    <mergeCell ref="AE9:AE12"/>
    <mergeCell ref="B18:B21"/>
    <mergeCell ref="V10:AC11"/>
    <mergeCell ref="AD9:AD12"/>
    <mergeCell ref="V12:AC12"/>
    <mergeCell ref="H9:H12"/>
    <mergeCell ref="B9:B12"/>
    <mergeCell ref="P10:Q11"/>
    <mergeCell ref="R10:U11"/>
    <mergeCell ref="R12:U12"/>
    <mergeCell ref="K12:Q12"/>
    <mergeCell ref="B34:B35"/>
    <mergeCell ref="D34:D35"/>
    <mergeCell ref="J9:J12"/>
    <mergeCell ref="B28:B29"/>
    <mergeCell ref="C9:C12"/>
    <mergeCell ref="I9:I12"/>
  </mergeCells>
  <phoneticPr fontId="19"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7D141-8972-4241-B9A2-B77EF24EF7AA}">
  <dimension ref="B1:AP141"/>
  <sheetViews>
    <sheetView rightToLeft="1" zoomScale="70" zoomScaleNormal="70" workbookViewId="0">
      <selection activeCell="F6" sqref="F6"/>
    </sheetView>
  </sheetViews>
  <sheetFormatPr defaultColWidth="9.09765625" defaultRowHeight="16.2" x14ac:dyDescent="0.25"/>
  <cols>
    <col min="1" max="1" width="12.09765625" style="367" customWidth="1"/>
    <col min="2" max="2" width="12.59765625" style="367" customWidth="1"/>
    <col min="3" max="3" width="28.296875" style="367" customWidth="1"/>
    <col min="4" max="4" width="20.8984375" style="367" customWidth="1"/>
    <col min="5" max="5" width="24.19921875" style="367" bestFit="1" customWidth="1"/>
    <col min="6" max="6" width="17.3984375" style="367" customWidth="1"/>
    <col min="7" max="7" width="6.8984375" style="367" customWidth="1"/>
    <col min="8" max="8" width="27.296875" style="367" bestFit="1" customWidth="1"/>
    <col min="9" max="10" width="11.3984375" style="367" customWidth="1"/>
    <col min="11" max="11" width="23.296875" style="367" customWidth="1"/>
    <col min="12" max="14" width="18.59765625" style="367" customWidth="1"/>
    <col min="15" max="16" width="11.19921875" style="367" customWidth="1"/>
    <col min="17" max="18" width="13.296875" style="367" customWidth="1"/>
    <col min="19" max="21" width="11.19921875" style="367" customWidth="1"/>
    <col min="22" max="27" width="11.59765625" style="367" customWidth="1"/>
    <col min="28" max="34" width="9.69921875" style="367" customWidth="1"/>
    <col min="35" max="35" width="17.296875" style="367" customWidth="1"/>
    <col min="36" max="36" width="20.296875" style="367" customWidth="1"/>
    <col min="37" max="37" width="17.296875" style="367" customWidth="1"/>
    <col min="38" max="16384" width="9.09765625" style="367"/>
  </cols>
  <sheetData>
    <row r="1" spans="2:37" x14ac:dyDescent="0.25">
      <c r="M1" s="367" t="s">
        <v>1485</v>
      </c>
    </row>
    <row r="3" spans="2:37" ht="16.2" customHeight="1" x14ac:dyDescent="0.25"/>
    <row r="4" spans="2:37" ht="16.2" customHeight="1" x14ac:dyDescent="0.25"/>
    <row r="5" spans="2:37" ht="16.2" customHeight="1" x14ac:dyDescent="0.25"/>
    <row r="6" spans="2:37" ht="16.2" customHeight="1" x14ac:dyDescent="0.25"/>
    <row r="7" spans="2:37" ht="16.2" customHeight="1" x14ac:dyDescent="0.25"/>
    <row r="8" spans="2:37" s="508" customFormat="1" ht="30" customHeight="1" x14ac:dyDescent="0.25">
      <c r="B8" s="381" t="s">
        <v>394</v>
      </c>
      <c r="C8" s="381"/>
      <c r="D8" s="381"/>
      <c r="E8" s="381"/>
      <c r="F8" s="381"/>
      <c r="G8" s="381"/>
      <c r="H8" s="381"/>
      <c r="I8" s="381"/>
      <c r="J8" s="381"/>
      <c r="K8" s="381"/>
      <c r="L8" s="381"/>
      <c r="M8" s="381"/>
      <c r="N8" s="381"/>
      <c r="O8" s="381"/>
      <c r="P8" s="381"/>
      <c r="Q8" s="381"/>
      <c r="R8" s="381"/>
      <c r="S8" s="381"/>
      <c r="T8" s="381"/>
      <c r="U8" s="381"/>
      <c r="V8" s="381"/>
      <c r="W8" s="381"/>
      <c r="X8" s="381"/>
      <c r="Y8" s="381"/>
      <c r="Z8" s="381"/>
      <c r="AA8" s="381"/>
      <c r="AB8" s="381"/>
      <c r="AC8" s="381"/>
      <c r="AD8" s="381"/>
      <c r="AE8" s="381"/>
      <c r="AF8" s="381"/>
      <c r="AG8" s="381"/>
      <c r="AH8" s="381"/>
      <c r="AI8" s="381"/>
      <c r="AJ8" s="381"/>
      <c r="AK8" s="484"/>
    </row>
    <row r="9" spans="2:37" ht="43.2" customHeight="1" x14ac:dyDescent="0.25">
      <c r="B9" s="1015" t="s">
        <v>335</v>
      </c>
      <c r="C9" s="1015" t="s">
        <v>411</v>
      </c>
      <c r="D9" s="1014" t="s">
        <v>449</v>
      </c>
      <c r="E9" s="976" t="s">
        <v>450</v>
      </c>
      <c r="F9" s="1015" t="s">
        <v>443</v>
      </c>
      <c r="G9" s="1015" t="s">
        <v>402</v>
      </c>
      <c r="H9" s="1015" t="s">
        <v>386</v>
      </c>
      <c r="I9" s="1014" t="s">
        <v>451</v>
      </c>
      <c r="J9" s="1014" t="s">
        <v>2093</v>
      </c>
      <c r="K9" s="1013" t="s">
        <v>452</v>
      </c>
      <c r="L9" s="1104" t="s">
        <v>1482</v>
      </c>
      <c r="M9" s="1105" t="s">
        <v>1484</v>
      </c>
      <c r="N9" s="1106" t="s">
        <v>1483</v>
      </c>
      <c r="O9" s="486" t="s">
        <v>465</v>
      </c>
      <c r="P9" s="486" t="s">
        <v>466</v>
      </c>
      <c r="Q9" s="486" t="s">
        <v>913</v>
      </c>
      <c r="R9" s="486" t="s">
        <v>2088</v>
      </c>
      <c r="S9" s="486" t="s">
        <v>966</v>
      </c>
      <c r="T9" s="486" t="s">
        <v>962</v>
      </c>
      <c r="U9" s="486" t="s">
        <v>1434</v>
      </c>
      <c r="V9" s="487" t="s">
        <v>47</v>
      </c>
      <c r="W9" s="487" t="s">
        <v>48</v>
      </c>
      <c r="X9" s="487" t="s">
        <v>49</v>
      </c>
      <c r="Y9" s="494" t="s">
        <v>464</v>
      </c>
      <c r="Z9" s="494" t="s">
        <v>1433</v>
      </c>
      <c r="AA9" s="494" t="s">
        <v>1123</v>
      </c>
      <c r="AB9" s="555" t="s">
        <v>368</v>
      </c>
      <c r="AC9" s="555" t="s">
        <v>51</v>
      </c>
      <c r="AD9" s="555" t="s">
        <v>363</v>
      </c>
      <c r="AE9" s="556" t="s">
        <v>364</v>
      </c>
      <c r="AF9" s="555" t="s">
        <v>365</v>
      </c>
      <c r="AG9" s="556" t="s">
        <v>366</v>
      </c>
      <c r="AH9" s="556" t="s">
        <v>367</v>
      </c>
      <c r="AI9" s="1014" t="s">
        <v>456</v>
      </c>
      <c r="AJ9" s="1014" t="s">
        <v>457</v>
      </c>
      <c r="AK9" s="1014" t="s">
        <v>725</v>
      </c>
    </row>
    <row r="10" spans="2:37" ht="16.2" customHeight="1" x14ac:dyDescent="0.25">
      <c r="B10" s="1017"/>
      <c r="C10" s="1017"/>
      <c r="D10" s="1007"/>
      <c r="E10" s="976"/>
      <c r="F10" s="1017"/>
      <c r="G10" s="1017"/>
      <c r="H10" s="1017"/>
      <c r="I10" s="1007"/>
      <c r="J10" s="1007"/>
      <c r="K10" s="1013"/>
      <c r="L10" s="1104"/>
      <c r="M10" s="1105"/>
      <c r="N10" s="1106"/>
      <c r="O10" s="710">
        <f>'Upstream CF'!H13</f>
        <v>0.33660000000000001</v>
      </c>
      <c r="P10" s="710">
        <f>'Upstream CF'!H17</f>
        <v>6.2664999999999997E-4</v>
      </c>
      <c r="Q10" s="1126" t="s">
        <v>455</v>
      </c>
      <c r="R10" s="1127"/>
      <c r="S10" s="1127"/>
      <c r="T10" s="1127"/>
      <c r="U10" s="1127"/>
      <c r="V10" s="1123" t="s">
        <v>455</v>
      </c>
      <c r="W10" s="1123"/>
      <c r="X10" s="1123"/>
      <c r="Y10" s="1123"/>
      <c r="Z10" s="1123"/>
      <c r="AA10" s="1123"/>
      <c r="AB10" s="1119" t="s">
        <v>455</v>
      </c>
      <c r="AC10" s="1119"/>
      <c r="AD10" s="1119"/>
      <c r="AE10" s="1119"/>
      <c r="AF10" s="1119"/>
      <c r="AG10" s="1119"/>
      <c r="AH10" s="1120"/>
      <c r="AI10" s="1007"/>
      <c r="AJ10" s="1007"/>
      <c r="AK10" s="1007"/>
    </row>
    <row r="11" spans="2:37" ht="16.8" customHeight="1" x14ac:dyDescent="0.25">
      <c r="B11" s="1017"/>
      <c r="C11" s="1017"/>
      <c r="D11" s="1007"/>
      <c r="E11" s="976"/>
      <c r="F11" s="1017"/>
      <c r="G11" s="1017"/>
      <c r="H11" s="1017"/>
      <c r="I11" s="1007"/>
      <c r="J11" s="1007"/>
      <c r="K11" s="1013"/>
      <c r="L11" s="1104"/>
      <c r="M11" s="1105"/>
      <c r="N11" s="1106"/>
      <c r="O11" s="689" t="s">
        <v>2078</v>
      </c>
      <c r="P11" s="689" t="s">
        <v>2079</v>
      </c>
      <c r="Q11" s="1128"/>
      <c r="R11" s="1129"/>
      <c r="S11" s="1129"/>
      <c r="T11" s="1129"/>
      <c r="U11" s="1129"/>
      <c r="V11" s="1123"/>
      <c r="W11" s="1123"/>
      <c r="X11" s="1123"/>
      <c r="Y11" s="1123"/>
      <c r="Z11" s="1123"/>
      <c r="AA11" s="1123"/>
      <c r="AB11" s="1121"/>
      <c r="AC11" s="1121"/>
      <c r="AD11" s="1121"/>
      <c r="AE11" s="1121"/>
      <c r="AF11" s="1121"/>
      <c r="AG11" s="1121"/>
      <c r="AH11" s="1122"/>
      <c r="AI11" s="1007"/>
      <c r="AJ11" s="1007"/>
      <c r="AK11" s="1007"/>
    </row>
    <row r="12" spans="2:37" ht="33" customHeight="1" x14ac:dyDescent="0.25">
      <c r="B12" s="1016"/>
      <c r="C12" s="1016"/>
      <c r="D12" s="1008"/>
      <c r="E12" s="976"/>
      <c r="F12" s="1016"/>
      <c r="G12" s="1016"/>
      <c r="H12" s="1016"/>
      <c r="I12" s="1008"/>
      <c r="J12" s="1008"/>
      <c r="K12" s="1013"/>
      <c r="L12" s="1104"/>
      <c r="M12" s="1105"/>
      <c r="N12" s="1106"/>
      <c r="O12" s="1090" t="s">
        <v>453</v>
      </c>
      <c r="P12" s="1091"/>
      <c r="Q12" s="1091"/>
      <c r="R12" s="1091"/>
      <c r="S12" s="1091"/>
      <c r="T12" s="1091"/>
      <c r="U12" s="1091"/>
      <c r="V12" s="1123" t="s">
        <v>478</v>
      </c>
      <c r="W12" s="1123"/>
      <c r="X12" s="1123"/>
      <c r="Y12" s="1123"/>
      <c r="Z12" s="1123"/>
      <c r="AA12" s="1123"/>
      <c r="AB12" s="1117" t="s">
        <v>454</v>
      </c>
      <c r="AC12" s="1117"/>
      <c r="AD12" s="1117"/>
      <c r="AE12" s="1117"/>
      <c r="AF12" s="1117"/>
      <c r="AG12" s="1117"/>
      <c r="AH12" s="1118"/>
      <c r="AI12" s="1008"/>
      <c r="AJ12" s="1008"/>
      <c r="AK12" s="1008"/>
    </row>
    <row r="13" spans="2:37" x14ac:dyDescent="0.25">
      <c r="B13" s="1114" t="s">
        <v>337</v>
      </c>
      <c r="C13" s="656" t="s">
        <v>594</v>
      </c>
      <c r="D13" s="1075">
        <v>1110</v>
      </c>
      <c r="E13" s="489" t="s">
        <v>1212</v>
      </c>
      <c r="F13" s="490">
        <v>7330413</v>
      </c>
      <c r="G13" s="489" t="s">
        <v>299</v>
      </c>
      <c r="H13" s="500" t="s">
        <v>598</v>
      </c>
      <c r="I13" s="495">
        <f>F13/SUM($F$13:$F$14)</f>
        <v>0.77720454956059137</v>
      </c>
      <c r="J13" s="495">
        <f>F13/$F$81</f>
        <v>0.31953868536724306</v>
      </c>
      <c r="K13" s="116">
        <v>0</v>
      </c>
      <c r="L13" s="1124">
        <f>SUM(O13:U14)</f>
        <v>324804.99708108685</v>
      </c>
      <c r="M13" s="1112">
        <f ca="1">SUM(V13:AA14)</f>
        <v>6697.5515988266652</v>
      </c>
      <c r="N13" s="1107">
        <f>SUM(AB13:AH14)</f>
        <v>46058.642889835239</v>
      </c>
      <c r="O13" s="118">
        <f>SUMIFS(Combustion!$P$11:$P$95,Combustion!$C$11:$C$95,C13,Combustion!$H$11:$H$95,$O$9)*$O$10*I13</f>
        <v>0</v>
      </c>
      <c r="P13" s="118">
        <f>SUMIFS(Combustion!$P$11:$P$95,Combustion!$C$11:$C$95,C13,Combustion!$H$11:$H$95,$P$9)*$P$10*I13</f>
        <v>0</v>
      </c>
      <c r="Q13" s="683">
        <f>'Upstream Tran.'!M96</f>
        <v>222118.11552641907</v>
      </c>
      <c r="R13" s="683">
        <f>SUMIF('Purchased Material'!$C$9:$C$170,C13,'Purchased Material'!$K$9:$K$170)*I13</f>
        <v>0</v>
      </c>
      <c r="S13" s="683">
        <f>'Ancillary Input'!$L$309*J13</f>
        <v>619.86356709097629</v>
      </c>
      <c r="T13" s="683">
        <f>'Purchased Services'!$J$178*J13</f>
        <v>602.26226870223354</v>
      </c>
      <c r="U13" s="683">
        <f>SUMIF(Waste!$C$10:$C$96,C13,Waste!$R$10:$R$96)*I13</f>
        <v>0</v>
      </c>
      <c r="V13" s="118">
        <f>SUMIF(Combustion!$C$11:$C$95,C13,Combustion!$P$11:$P$95)*I13</f>
        <v>0</v>
      </c>
      <c r="W13" s="118">
        <f>SUMIF(Vent!$C$10:$C$16,C13,Vent!$M$10:$M$16)*I13</f>
        <v>0</v>
      </c>
      <c r="X13" s="118">
        <f>Fugitive!$L$98*J13</f>
        <v>139.69972282123845</v>
      </c>
      <c r="Y13" s="118">
        <f>SUMIF('On-Site Tran.'!$C$10:$C$37,C13,'On-Site Tran.'!$O$10:$O$37)*I13</f>
        <v>5065.6678507036577</v>
      </c>
      <c r="Z13" s="118">
        <f>SUMIF(Waste!$C$10:$C$96,C13,Waste!$Q$10:$Q$96)*I13</f>
        <v>0</v>
      </c>
      <c r="AA13" s="118">
        <f ca="1">SUMIF(Wastewater!$C$30:$D$110,C13,Wastewater!$I$30:$I$110)*I13</f>
        <v>0</v>
      </c>
      <c r="AB13" s="118">
        <f>SUMIF('Mix Electricity'!$D$10:$D$104,C13,'Mix Electricity'!$I$10:$I$104)*I13</f>
        <v>33158.619258641884</v>
      </c>
      <c r="AC13" s="118">
        <f>SUMIF(Steam!$D$10:$D$29,C13,Steam!$I$10:$I$29)*I13</f>
        <v>0</v>
      </c>
      <c r="AD13" s="118">
        <f>SUMIF(Air!$D$10:$D$71,C13,Air!$I$10:$I$71)*I13</f>
        <v>2638.3675419246483</v>
      </c>
      <c r="AE13" s="118">
        <f>SUMIF(Oxygen!$D$10:$D$49,C13,Oxygen!$I$10:$I$49)*I13</f>
        <v>0</v>
      </c>
      <c r="AF13" s="118">
        <f>SUMIF(Nitrogen!$D$10:$D$45,C13,Nitrogen!$I$10:$I$45)*I13</f>
        <v>0</v>
      </c>
      <c r="AG13" s="118">
        <f>SUMIF(Argon!$D$10:$D$16,C13,Argon!$I$10:$I$16)*I13</f>
        <v>0</v>
      </c>
      <c r="AH13" s="118">
        <f>SUMIF(Water!$D$10:$D$92,C13,Water!$I$10:$I$92)*I13</f>
        <v>0</v>
      </c>
      <c r="AI13" s="115">
        <f t="shared" ref="AI13:AI44" ca="1" si="0">SUM(O13:AH13)+K13</f>
        <v>264342.59573630372</v>
      </c>
      <c r="AJ13" s="298">
        <f t="shared" ref="AJ13:AJ44" ca="1" si="1">AI13/F13</f>
        <v>3.6061078105190485E-2</v>
      </c>
      <c r="AK13" s="385" t="s">
        <v>721</v>
      </c>
    </row>
    <row r="14" spans="2:37" x14ac:dyDescent="0.25">
      <c r="B14" s="1116"/>
      <c r="C14" s="656" t="s">
        <v>594</v>
      </c>
      <c r="D14" s="1076"/>
      <c r="E14" s="489" t="s">
        <v>469</v>
      </c>
      <c r="F14" s="490">
        <v>2101355</v>
      </c>
      <c r="G14" s="489" t="s">
        <v>299</v>
      </c>
      <c r="H14" s="500" t="s">
        <v>599</v>
      </c>
      <c r="I14" s="495">
        <f>F14/SUM($F$13:$F$14)</f>
        <v>0.2227954504394086</v>
      </c>
      <c r="J14" s="495">
        <f t="shared" ref="J14:J25" si="2">F14/$F$81</f>
        <v>9.1599779465342951E-2</v>
      </c>
      <c r="K14" s="116">
        <v>0</v>
      </c>
      <c r="L14" s="1125"/>
      <c r="M14" s="1113"/>
      <c r="N14" s="1108"/>
      <c r="O14" s="118">
        <f>SUMIFS(Combustion!$P$11:$P$95,Combustion!$C$11:$C$95,C14,Combustion!$H$11:$H$95,$O$9)*$O$10*I14</f>
        <v>0</v>
      </c>
      <c r="P14" s="118">
        <f>SUMIFS(Combustion!$P$11:$P$95,Combustion!$C$11:$C$95,C14,Combustion!$H$11:$H$95,$P$9)*$P$10*I14</f>
        <v>0</v>
      </c>
      <c r="Q14" s="683">
        <f>'Upstream Tran.'!M98</f>
        <v>101114.41799088116</v>
      </c>
      <c r="R14" s="683">
        <f>SUMIF('Purchased Material'!$C$9:$C$170,C14,'Purchased Material'!$K$9:$K$170)*I14</f>
        <v>0</v>
      </c>
      <c r="S14" s="683">
        <f>'Ancillary Input'!$L$309*J14</f>
        <v>177.69168067671745</v>
      </c>
      <c r="T14" s="683">
        <f>'Purchased Services'!$J$178*J14</f>
        <v>172.64604731667669</v>
      </c>
      <c r="U14" s="683">
        <f>SUMIF(Waste!$C$10:$C$96,C14,Waste!$R$10:$R$96)*I14</f>
        <v>0</v>
      </c>
      <c r="V14" s="118">
        <f>SUMIF(Combustion!$C$11:$C$95,C14,Combustion!$P$11:$P$95)*I14</f>
        <v>0</v>
      </c>
      <c r="W14" s="118">
        <f>SUMIF(Vent!$C$10:$C$16,C14,Vent!$M$10:$M$16)*I14</f>
        <v>0</v>
      </c>
      <c r="X14" s="118">
        <f>Fugitive!$L$98*J14</f>
        <v>40.046681005425413</v>
      </c>
      <c r="Y14" s="118">
        <f>SUMIF('On-Site Tran.'!$C$10:$C$37,C14,'On-Site Tran.'!$O$10:$O$37)*I14</f>
        <v>1452.1373442963427</v>
      </c>
      <c r="Z14" s="118">
        <f>SUMIF(Waste!$C$10:$C$96,C14,Waste!$Q$10:$Q$96)*I14</f>
        <v>0</v>
      </c>
      <c r="AA14" s="118">
        <f ca="1">SUMIF(Wastewater!$C$30:$D$110,C14,Wastewater!$I$30:$I$110)*I14</f>
        <v>0</v>
      </c>
      <c r="AB14" s="118">
        <f>SUMIF('Mix Electricity'!$D$10:$D$104,C14,'Mix Electricity'!$I$10:$I$104)*I14</f>
        <v>9505.3348798005536</v>
      </c>
      <c r="AC14" s="118">
        <f>SUMIF(Steam!$D$10:$D$29,C14,Steam!$I$10:$I$29)*I14</f>
        <v>0</v>
      </c>
      <c r="AD14" s="118">
        <f>SUMIF(Air!$D$10:$D$71,C14,Air!$I$10:$I$71)*I14</f>
        <v>756.32120946815269</v>
      </c>
      <c r="AE14" s="118">
        <f>SUMIF(Oxygen!$D$10:$D$49,C14,Oxygen!$I$10:$I$49)*I14</f>
        <v>0</v>
      </c>
      <c r="AF14" s="118">
        <f>SUMIF(Nitrogen!$D$10:$D$45,C14,Nitrogen!$I$10:$I$45)*I14</f>
        <v>0</v>
      </c>
      <c r="AG14" s="118">
        <f>SUMIF(Argon!$D$10:$D$16,C14,Argon!$I$10:$I$16)*I14</f>
        <v>0</v>
      </c>
      <c r="AH14" s="118">
        <f>SUMIF(Water!$D$10:$D$92,C14,Water!$I$10:$I$92)*I14</f>
        <v>0</v>
      </c>
      <c r="AI14" s="115">
        <f t="shared" ca="1" si="0"/>
        <v>113218.59583344503</v>
      </c>
      <c r="AJ14" s="298">
        <f t="shared" ca="1" si="1"/>
        <v>5.3878852375464893E-2</v>
      </c>
      <c r="AK14" s="385" t="s">
        <v>721</v>
      </c>
    </row>
    <row r="15" spans="2:37" x14ac:dyDescent="0.25">
      <c r="B15" s="1114" t="s">
        <v>337</v>
      </c>
      <c r="C15" s="656" t="s">
        <v>620</v>
      </c>
      <c r="D15" s="1075">
        <v>1120</v>
      </c>
      <c r="E15" s="489" t="s">
        <v>473</v>
      </c>
      <c r="F15" s="490">
        <v>332368</v>
      </c>
      <c r="G15" s="489" t="s">
        <v>299</v>
      </c>
      <c r="H15" s="517" t="s">
        <v>627</v>
      </c>
      <c r="I15" s="366">
        <f>F15/SUM($F$15:$F$16)</f>
        <v>0.94699292251233713</v>
      </c>
      <c r="J15" s="495">
        <f t="shared" si="2"/>
        <v>1.4488192381266899E-2</v>
      </c>
      <c r="K15" s="110">
        <v>0</v>
      </c>
      <c r="L15" s="1097">
        <f>SUM(O15:U16)</f>
        <v>293002.46446210012</v>
      </c>
      <c r="M15" s="1095">
        <f ca="1">SUM(V15:AA16)</f>
        <v>235082.27953389293</v>
      </c>
      <c r="N15" s="1109">
        <f>SUM(AB15:AH16)</f>
        <v>13169.075807813539</v>
      </c>
      <c r="O15" s="118">
        <f>SUMIFS(Combustion!$P$11:$P$95,Combustion!$C$11:$C$95,C15,Combustion!$H$11:$H$95,$O$9)*$O$10*I15</f>
        <v>10548.758620062339</v>
      </c>
      <c r="P15" s="118">
        <f>SUMIFS(Combustion!$P$11:$P$95,Combustion!$C$11:$C$95,C15,Combustion!$H$11:$H$95,$P$9)*$P$10*I15</f>
        <v>0</v>
      </c>
      <c r="Q15" s="683">
        <v>0</v>
      </c>
      <c r="R15" s="683">
        <f>SUMIF('Purchased Material'!$C$9:$C$170,C15,'Purchased Material'!$K$9:$K$170)*I15</f>
        <v>266867.08913935086</v>
      </c>
      <c r="S15" s="683">
        <f>'Ancillary Input'!$L$309*J15</f>
        <v>28.105212362099323</v>
      </c>
      <c r="T15" s="683">
        <f>'Purchased Services'!$J$178*J15</f>
        <v>27.307152506144458</v>
      </c>
      <c r="U15" s="683">
        <f>SUMIF(Waste!$C$10:$C$96,C15,Waste!$R$10:$R$96)*I15</f>
        <v>0</v>
      </c>
      <c r="V15" s="118">
        <f>SUMIF(Combustion!$C$11:$C$95,C15,Combustion!$P$11:$P$95)*I15</f>
        <v>31339.152168931487</v>
      </c>
      <c r="W15" s="118">
        <f>SUMIF(Vent!$C$10:$C$16,C15,Vent!$M$10:$M$16)*I15</f>
        <v>188717.70322013152</v>
      </c>
      <c r="X15" s="118">
        <f>Fugitive!$L$98*J15</f>
        <v>6.3341202568872141</v>
      </c>
      <c r="Y15" s="118">
        <f>SUMIF('On-Site Tran.'!$C$10:$C$37,C15,'On-Site Tran.'!$O$10:$O$37)*I15</f>
        <v>0</v>
      </c>
      <c r="Z15" s="118">
        <f>SUMIF(Waste!$C$10:$C$96,C15,Waste!$Q$10:$Q$96)*I15</f>
        <v>2558.0654173435355</v>
      </c>
      <c r="AA15" s="118">
        <f ca="1">SUMIF(Wastewater!$C$30:$D$110,C15,Wastewater!$I$30:$I$110)*I15</f>
        <v>0</v>
      </c>
      <c r="AB15" s="118">
        <f>SUMIF('Mix Electricity'!$D$10:$D$104,C15,'Mix Electricity'!$I$10:$I$104)*I15</f>
        <v>5226.2535821391957</v>
      </c>
      <c r="AC15" s="118">
        <f>SUMIF(Steam!$D$10:$D$29,C15,Steam!$I$10:$I$29)*I15</f>
        <v>0</v>
      </c>
      <c r="AD15" s="118">
        <f>SUMIF(Air!$D$10:$D$71,C15,Air!$I$10:$I$71)*I15</f>
        <v>7244.7680038886647</v>
      </c>
      <c r="AE15" s="118">
        <f>SUMIF(Oxygen!$D$10:$D$49,C15,Oxygen!$I$10:$I$49)*I15</f>
        <v>0</v>
      </c>
      <c r="AF15" s="118">
        <f>SUMIF(Nitrogen!$D$10:$D$45,C15,Nitrogen!$I$10:$I$45)*I15</f>
        <v>0</v>
      </c>
      <c r="AG15" s="118">
        <f>SUMIF(Argon!$D$10:$D$16,C15,Argon!$I$10:$I$16)*I15</f>
        <v>0</v>
      </c>
      <c r="AH15" s="118">
        <f>SUMIF(Water!$D$10:$D$92,C15,Water!$I$10:$I$92)*I15</f>
        <v>0</v>
      </c>
      <c r="AI15" s="115">
        <f t="shared" ca="1" si="0"/>
        <v>512563.53663697268</v>
      </c>
      <c r="AJ15" s="298">
        <f t="shared" ca="1" si="1"/>
        <v>1.5421566957016701</v>
      </c>
      <c r="AK15" s="385" t="s">
        <v>718</v>
      </c>
    </row>
    <row r="16" spans="2:37" x14ac:dyDescent="0.25">
      <c r="B16" s="1116"/>
      <c r="C16" s="656" t="s">
        <v>620</v>
      </c>
      <c r="D16" s="1076"/>
      <c r="E16" s="489" t="s">
        <v>683</v>
      </c>
      <c r="F16" s="490">
        <v>18604</v>
      </c>
      <c r="G16" s="489" t="s">
        <v>299</v>
      </c>
      <c r="H16" s="517" t="s">
        <v>630</v>
      </c>
      <c r="I16" s="366">
        <f>F16/SUM($F$15:$F$16)</f>
        <v>5.3007077487662833E-2</v>
      </c>
      <c r="J16" s="495">
        <f t="shared" si="2"/>
        <v>8.1096354360554984E-4</v>
      </c>
      <c r="K16" s="110">
        <v>0</v>
      </c>
      <c r="L16" s="1098"/>
      <c r="M16" s="1096"/>
      <c r="N16" s="1110"/>
      <c r="O16" s="118">
        <f>SUMIFS(Combustion!$P$11:$P$95,Combustion!$C$11:$C$95,C16,Combustion!$H$11:$H$95,$O$9)*$O$10*I16</f>
        <v>590.45728038691982</v>
      </c>
      <c r="P16" s="118">
        <f>SUMIFS(Combustion!$P$11:$P$95,Combustion!$C$11:$C$95,C16,Combustion!$H$11:$H$95,$P$9)*$P$10*I16</f>
        <v>0</v>
      </c>
      <c r="Q16" s="683">
        <v>0</v>
      </c>
      <c r="R16" s="683">
        <f>SUMIF('Purchased Material'!$C$9:$C$170,C16,'Purchased Material'!$K$9:$K$170)*I16</f>
        <v>14937.645400124209</v>
      </c>
      <c r="S16" s="683">
        <f>'Ancillary Input'!$L$309*J16</f>
        <v>1.5731639952838294</v>
      </c>
      <c r="T16" s="683">
        <f>'Purchased Services'!$J$178*J16</f>
        <v>1.528493312305371</v>
      </c>
      <c r="U16" s="683">
        <f>SUMIF(Waste!$C$10:$C$96,C16,Waste!$R$10:$R$96)*I16</f>
        <v>0</v>
      </c>
      <c r="V16" s="118">
        <f>SUMIF(Combustion!$C$11:$C$95,C16,Combustion!$P$11:$P$95)*I16</f>
        <v>1754.180868648009</v>
      </c>
      <c r="W16" s="118">
        <f>SUMIF(Vent!$C$10:$C$16,C16,Vent!$M$10:$M$16)*I16</f>
        <v>10563.30377986848</v>
      </c>
      <c r="X16" s="118">
        <f>Fugitive!$L$98*J16</f>
        <v>0.35454668698289166</v>
      </c>
      <c r="Y16" s="118">
        <f>SUMIF('On-Site Tran.'!$C$10:$C$37,C16,'On-Site Tran.'!$O$10:$O$37)*I16</f>
        <v>0</v>
      </c>
      <c r="Z16" s="118">
        <f>SUMIF(Waste!$C$10:$C$96,C16,Waste!$Q$10:$Q$96)*I16</f>
        <v>143.18541202600474</v>
      </c>
      <c r="AA16" s="118">
        <f ca="1">SUMIF(Wastewater!$C$30:$D$110,C16,Wastewater!$I$30:$I$110)*I16</f>
        <v>0</v>
      </c>
      <c r="AB16" s="118">
        <f>SUMIF('Mix Electricity'!$D$10:$D$104,C16,'Mix Electricity'!$I$10:$I$104)*I16</f>
        <v>292.53484583990519</v>
      </c>
      <c r="AC16" s="118">
        <f>SUMIF(Steam!$D$10:$D$29,C16,Steam!$I$10:$I$29)*I16</f>
        <v>0</v>
      </c>
      <c r="AD16" s="118">
        <f>SUMIF(Air!$D$10:$D$71,C16,Air!$I$10:$I$71)*I16</f>
        <v>405.51937594577311</v>
      </c>
      <c r="AE16" s="118">
        <f>SUMIF(Oxygen!$D$10:$D$49,C16,Oxygen!$I$10:$I$49)*I16</f>
        <v>0</v>
      </c>
      <c r="AF16" s="118">
        <f>SUMIF(Nitrogen!$D$10:$D$45,C16,Nitrogen!$I$10:$I$45)*I16</f>
        <v>0</v>
      </c>
      <c r="AG16" s="118">
        <f>SUMIF(Argon!$D$10:$D$16,C16,Argon!$I$10:$I$16)*I16</f>
        <v>0</v>
      </c>
      <c r="AH16" s="118">
        <f>SUMIF(Water!$D$10:$D$92,C16,Water!$I$10:$I$92)*I16</f>
        <v>0</v>
      </c>
      <c r="AI16" s="115">
        <f t="shared" ca="1" si="0"/>
        <v>28690.283166833877</v>
      </c>
      <c r="AJ16" s="298">
        <f t="shared" ca="1" si="1"/>
        <v>1.5421566957016704</v>
      </c>
      <c r="AK16" s="385" t="s">
        <v>718</v>
      </c>
    </row>
    <row r="17" spans="2:42" x14ac:dyDescent="0.25">
      <c r="B17" s="1114" t="s">
        <v>337</v>
      </c>
      <c r="C17" s="656" t="s">
        <v>630</v>
      </c>
      <c r="D17" s="1075">
        <v>1130</v>
      </c>
      <c r="E17" s="1075" t="s">
        <v>681</v>
      </c>
      <c r="F17" s="490">
        <v>8550</v>
      </c>
      <c r="G17" s="489" t="s">
        <v>299</v>
      </c>
      <c r="H17" s="518" t="s">
        <v>600</v>
      </c>
      <c r="I17" s="366">
        <f>F17/SUM($F$17:$F$20)</f>
        <v>0.31698365031698367</v>
      </c>
      <c r="J17" s="495">
        <f t="shared" si="2"/>
        <v>3.7270147805995758E-4</v>
      </c>
      <c r="K17" s="115">
        <f ca="1">$AI$16*I17</f>
        <v>9094.3506868509121</v>
      </c>
      <c r="L17" s="1097">
        <f>SUM(O17:U20)</f>
        <v>4.4969362802409965</v>
      </c>
      <c r="M17" s="1095">
        <f ca="1">SUM(V17:AA20)</f>
        <v>299.93976724248478</v>
      </c>
      <c r="N17" s="1109">
        <f>SUM(AB17:AH20)</f>
        <v>2811.2005597977172</v>
      </c>
      <c r="O17" s="118">
        <f>SUMIFS(Combustion!$P$11:$P$95,Combustion!$C$11:$C$95,C17,Combustion!$H$11:$H$95,$O$9)*$O$10*I17</f>
        <v>0</v>
      </c>
      <c r="P17" s="118">
        <f>SUMIFS(Combustion!$P$11:$P$95,Combustion!$C$11:$C$95,C17,Combustion!$H$11:$H$95,$P$9)*$P$10*I17</f>
        <v>0</v>
      </c>
      <c r="Q17" s="683">
        <v>0</v>
      </c>
      <c r="R17" s="683">
        <f>SUMIF('Purchased Material'!$C$9:$C$170,C17,'Purchased Material'!$K$9:$K$170)*I17</f>
        <v>0</v>
      </c>
      <c r="S17" s="683">
        <f>'Ancillary Input'!$L$309*J17</f>
        <v>0.72299248331954102</v>
      </c>
      <c r="T17" s="683">
        <f>'Purchased Services'!$J$178*J17</f>
        <v>0.70246279403412826</v>
      </c>
      <c r="U17" s="683">
        <f>SUMIF(Waste!$C$10:$C$96,C17,Waste!$R$10:$R$96)*I17</f>
        <v>0</v>
      </c>
      <c r="V17" s="118">
        <f>SUMIF(Combustion!$C$11:$C$95,C17,Combustion!$P$11:$P$95)*I17</f>
        <v>0</v>
      </c>
      <c r="W17" s="118">
        <f>SUMIF(Vent!$C$10:$C$16,C17,Vent!$M$10:$M$16)*I17</f>
        <v>0</v>
      </c>
      <c r="X17" s="118">
        <f>Fugitive!$L$98*J17</f>
        <v>0.16294206480884346</v>
      </c>
      <c r="Y17" s="118">
        <f>SUMIF('On-Site Tran.'!$C$10:$C$37,C17,'On-Site Tran.'!$O$10:$O$37)*I17</f>
        <v>0</v>
      </c>
      <c r="Z17" s="118">
        <f>SUMIF(Waste!$C$10:$C$96,C17,Waste!$Q$10:$Q$96)*I17</f>
        <v>94.77703886593261</v>
      </c>
      <c r="AA17" s="118">
        <f ca="1">SUMIF(Wastewater!$C$30:$D$110,C17,Wastewater!$I$30:$I$110)*I17</f>
        <v>0.13602136500779358</v>
      </c>
      <c r="AB17" s="118">
        <f>SUMIF('Mix Electricity'!$D$10:$D$104,C17,'Mix Electricity'!$I$10:$I$104)*I17</f>
        <v>456.64401028270402</v>
      </c>
      <c r="AC17" s="118">
        <f>SUMIF(Steam!$D$10:$D$29,C17,Steam!$I$10:$I$29)*I17</f>
        <v>0</v>
      </c>
      <c r="AD17" s="118">
        <f>SUMIF(Air!$D$10:$D$71,C17,Air!$I$10:$I$71)*I17</f>
        <v>427.9440034648012</v>
      </c>
      <c r="AE17" s="118">
        <f>SUMIF(Oxygen!$D$10:$D$49,C17,Oxygen!$I$10:$I$49)*I17</f>
        <v>0</v>
      </c>
      <c r="AF17" s="118">
        <f>SUMIF(Nitrogen!$D$10:$D$45,C17,Nitrogen!$I$10:$I$45)*I17</f>
        <v>0</v>
      </c>
      <c r="AG17" s="118">
        <f>SUMIF(Argon!$D$10:$D$16,C17,Argon!$I$10:$I$16)*I17</f>
        <v>0</v>
      </c>
      <c r="AH17" s="118">
        <f>SUMIF(Water!$D$10:$D$92,C17,Water!$I$10:$I$92)*I17</f>
        <v>6.5166014703231818</v>
      </c>
      <c r="AI17" s="115">
        <f t="shared" ca="1" si="0"/>
        <v>10081.956759641844</v>
      </c>
      <c r="AJ17" s="298">
        <f t="shared" ca="1" si="1"/>
        <v>1.1791762291978765</v>
      </c>
      <c r="AK17" s="385" t="s">
        <v>718</v>
      </c>
    </row>
    <row r="18" spans="2:42" x14ac:dyDescent="0.25">
      <c r="B18" s="1115"/>
      <c r="C18" s="656" t="s">
        <v>630</v>
      </c>
      <c r="D18" s="1094"/>
      <c r="E18" s="1094"/>
      <c r="F18" s="490">
        <v>5800</v>
      </c>
      <c r="G18" s="489" t="s">
        <v>299</v>
      </c>
      <c r="H18" s="517" t="s">
        <v>594</v>
      </c>
      <c r="I18" s="366">
        <f t="shared" ref="I18:I20" si="3">F18/SUM($F$17:$F$20)</f>
        <v>0.21502984465947428</v>
      </c>
      <c r="J18" s="495">
        <f t="shared" si="2"/>
        <v>2.5282673365470805E-4</v>
      </c>
      <c r="K18" s="115">
        <f ca="1">$AI$16*I18</f>
        <v>6169.2671326006184</v>
      </c>
      <c r="L18" s="1100"/>
      <c r="M18" s="1099"/>
      <c r="N18" s="1111"/>
      <c r="O18" s="118">
        <f>SUMIFS(Combustion!$P$11:$P$95,Combustion!$C$11:$C$95,C18,Combustion!$H$11:$H$95,$O$9)*$O$10*I18</f>
        <v>0</v>
      </c>
      <c r="P18" s="118">
        <f>SUMIFS(Combustion!$P$11:$P$95,Combustion!$C$11:$C$95,C18,Combustion!$H$11:$H$95,$P$9)*$P$10*I18</f>
        <v>0</v>
      </c>
      <c r="Q18" s="683">
        <v>0</v>
      </c>
      <c r="R18" s="683">
        <f>SUMIF('Purchased Material'!$C$9:$C$170,C18,'Purchased Material'!$K$9:$K$170)*I18</f>
        <v>0</v>
      </c>
      <c r="S18" s="683">
        <f>'Ancillary Input'!$L$309*J18</f>
        <v>0.49045104131617984</v>
      </c>
      <c r="T18" s="683">
        <f>'Purchased Services'!$J$178*J18</f>
        <v>0.47652446846759572</v>
      </c>
      <c r="U18" s="683">
        <f>SUMIF(Waste!$C$10:$C$96,C18,Waste!$R$10:$R$96)*I18</f>
        <v>0</v>
      </c>
      <c r="V18" s="118">
        <f>SUMIF(Combustion!$C$11:$C$95,C18,Combustion!$P$11:$P$95)*I18</f>
        <v>0</v>
      </c>
      <c r="W18" s="118">
        <f>SUMIF(Vent!$C$10:$C$16,C18,Vent!$M$10:$M$16)*I18</f>
        <v>0</v>
      </c>
      <c r="X18" s="118">
        <f>Fugitive!$L$98*J18</f>
        <v>0.11053379834985871</v>
      </c>
      <c r="Y18" s="118">
        <f>SUMIF('On-Site Tran.'!$C$10:$C$37,C18,'On-Site Tran.'!$O$10:$O$37)*I18</f>
        <v>0</v>
      </c>
      <c r="Z18" s="118">
        <f>SUMIF(Waste!$C$10:$C$96,C18,Waste!$Q$10:$Q$96)*I18</f>
        <v>64.293195955837319</v>
      </c>
      <c r="AA18" s="118">
        <f ca="1">SUMIF(Wastewater!$C$30:$D$110,C18,Wastewater!$I$30:$I$110)*I18</f>
        <v>9.2271803163181593E-2</v>
      </c>
      <c r="AB18" s="118">
        <f>SUMIF('Mix Electricity'!$D$10:$D$104,C18,'Mix Electricity'!$I$10:$I$104)*I18</f>
        <v>309.77020580581086</v>
      </c>
      <c r="AC18" s="118">
        <f>SUMIF(Steam!$D$10:$D$29,C18,Steam!$I$10:$I$29)*I18</f>
        <v>0</v>
      </c>
      <c r="AD18" s="118">
        <f>SUMIF(Air!$D$10:$D$71,C18,Air!$I$10:$I$71)*I18</f>
        <v>290.30119533284756</v>
      </c>
      <c r="AE18" s="118">
        <f>SUMIF(Oxygen!$D$10:$D$49,C18,Oxygen!$I$10:$I$49)*I18</f>
        <v>0</v>
      </c>
      <c r="AF18" s="118">
        <f>SUMIF(Nitrogen!$D$10:$D$45,C18,Nitrogen!$I$10:$I$45)*I18</f>
        <v>0</v>
      </c>
      <c r="AG18" s="118">
        <f>SUMIF(Argon!$D$10:$D$16,C18,Argon!$I$10:$I$16)*I18</f>
        <v>0</v>
      </c>
      <c r="AH18" s="118">
        <f>SUMIF(Water!$D$10:$D$92,C18,Water!$I$10:$I$92)*I18</f>
        <v>4.4206185412718657</v>
      </c>
      <c r="AI18" s="115">
        <f t="shared" ca="1" si="0"/>
        <v>6839.2221293476832</v>
      </c>
      <c r="AJ18" s="298">
        <f t="shared" ca="1" si="1"/>
        <v>1.1791762291978765</v>
      </c>
      <c r="AK18" s="385" t="s">
        <v>718</v>
      </c>
    </row>
    <row r="19" spans="2:42" x14ac:dyDescent="0.25">
      <c r="B19" s="1115"/>
      <c r="C19" s="656" t="s">
        <v>630</v>
      </c>
      <c r="D19" s="1094"/>
      <c r="E19" s="1094"/>
      <c r="F19" s="490">
        <v>6231</v>
      </c>
      <c r="G19" s="489" t="s">
        <v>299</v>
      </c>
      <c r="H19" s="518" t="s">
        <v>2124</v>
      </c>
      <c r="I19" s="366">
        <f t="shared" si="3"/>
        <v>0.23100878656434212</v>
      </c>
      <c r="J19" s="495">
        <f t="shared" si="2"/>
        <v>2.7161437541422173E-4</v>
      </c>
      <c r="K19" s="115">
        <f ca="1">$AI$16*I19</f>
        <v>6627.7075005576644</v>
      </c>
      <c r="L19" s="1100"/>
      <c r="M19" s="1099"/>
      <c r="N19" s="1111"/>
      <c r="O19" s="118">
        <f>SUMIFS(Combustion!$P$11:$P$95,Combustion!$C$11:$C$95,C19,Combustion!$H$11:$H$95,$O$9)*$O$10*I19</f>
        <v>0</v>
      </c>
      <c r="P19" s="118">
        <f>SUMIFS(Combustion!$P$11:$P$95,Combustion!$C$11:$C$95,C19,Combustion!$H$11:$H$95,$P$9)*$P$10*I19</f>
        <v>0</v>
      </c>
      <c r="Q19" s="683">
        <v>0</v>
      </c>
      <c r="R19" s="683">
        <f>SUMIF('Purchased Material'!$C$9:$C$170,C19,'Purchased Material'!$K$9:$K$170)*I19</f>
        <v>0</v>
      </c>
      <c r="S19" s="683">
        <f>'Ancillary Input'!$L$309*J19</f>
        <v>0.52689662731743392</v>
      </c>
      <c r="T19" s="683">
        <f>'Purchased Services'!$J$178*J19</f>
        <v>0.51193516603820499</v>
      </c>
      <c r="U19" s="683">
        <f>SUMIF(Waste!$C$10:$C$96,C19,Waste!$R$10:$R$96)*I19</f>
        <v>0</v>
      </c>
      <c r="V19" s="118">
        <f>SUMIF(Combustion!$C$11:$C$95,C19,Combustion!$P$11:$P$95)*I19</f>
        <v>0</v>
      </c>
      <c r="W19" s="118">
        <f>SUMIF(Vent!$C$10:$C$16,C19,Vent!$M$10:$M$16)*I19</f>
        <v>0</v>
      </c>
      <c r="X19" s="118">
        <f>Fugitive!$L$98*J19</f>
        <v>0.1187476030203396</v>
      </c>
      <c r="Y19" s="118">
        <f>SUMIF('On-Site Tran.'!$C$10:$C$37,C19,'On-Site Tran.'!$O$10:$O$37)*I19</f>
        <v>0</v>
      </c>
      <c r="Z19" s="118">
        <f>SUMIF(Waste!$C$10:$C$96,C19,Waste!$Q$10:$Q$96)*I19</f>
        <v>69.070845517383162</v>
      </c>
      <c r="AA19" s="118">
        <f ca="1">SUMIF(Wastewater!$C$30:$D$110,C19,Wastewater!$I$30:$I$110)*I19</f>
        <v>9.9128552674100784E-2</v>
      </c>
      <c r="AB19" s="118">
        <f>SUMIF('Mix Electricity'!$D$10:$D$104,C19,'Mix Electricity'!$I$10:$I$104)*I19</f>
        <v>332.78933661655304</v>
      </c>
      <c r="AC19" s="118">
        <f>SUMIF(Steam!$D$10:$D$29,C19,Steam!$I$10:$I$29)*I19</f>
        <v>0</v>
      </c>
      <c r="AD19" s="118">
        <f>SUMIF(Air!$D$10:$D$71,C19,Air!$I$10:$I$71)*I19</f>
        <v>311.87357726189191</v>
      </c>
      <c r="AE19" s="118">
        <f>SUMIF(Oxygen!$D$10:$D$49,C19,Oxygen!$I$10:$I$49)*I19</f>
        <v>0</v>
      </c>
      <c r="AF19" s="118">
        <f>SUMIF(Nitrogen!$D$10:$D$45,C19,Nitrogen!$I$10:$I$45)*I19</f>
        <v>0</v>
      </c>
      <c r="AG19" s="118">
        <f>SUMIF(Argon!$D$10:$D$16,C19,Argon!$I$10:$I$16)*I19</f>
        <v>0</v>
      </c>
      <c r="AH19" s="118">
        <f>SUMIF(Water!$D$10:$D$92,C19,Water!$I$10:$I$92)*I19</f>
        <v>4.7491162294249989</v>
      </c>
      <c r="AI19" s="115">
        <f t="shared" ca="1" si="0"/>
        <v>7347.4470841319671</v>
      </c>
      <c r="AJ19" s="298">
        <f t="shared" ca="1" si="1"/>
        <v>1.1791762291978762</v>
      </c>
      <c r="AK19" s="385" t="s">
        <v>718</v>
      </c>
      <c r="AP19" s="367">
        <v>0</v>
      </c>
    </row>
    <row r="20" spans="2:42" x14ac:dyDescent="0.25">
      <c r="B20" s="1116"/>
      <c r="C20" s="656" t="s">
        <v>630</v>
      </c>
      <c r="D20" s="1076"/>
      <c r="E20" s="1076"/>
      <c r="F20" s="490">
        <v>6392</v>
      </c>
      <c r="G20" s="489" t="s">
        <v>299</v>
      </c>
      <c r="H20" s="518" t="s">
        <v>2124</v>
      </c>
      <c r="I20" s="366">
        <f t="shared" si="3"/>
        <v>0.23697771845919993</v>
      </c>
      <c r="J20" s="495">
        <f t="shared" si="2"/>
        <v>2.7863249681394725E-4</v>
      </c>
      <c r="K20" s="115">
        <f ca="1">$AI$16*I20</f>
        <v>6798.9578468246818</v>
      </c>
      <c r="L20" s="1098"/>
      <c r="M20" s="1096"/>
      <c r="N20" s="1110"/>
      <c r="O20" s="118">
        <f>SUMIFS(Combustion!$P$11:$P$95,Combustion!$C$11:$C$95,C20,Combustion!$H$11:$H$95,$O$9)*$O$10*I20</f>
        <v>0</v>
      </c>
      <c r="P20" s="118">
        <f>SUMIFS(Combustion!$P$11:$P$95,Combustion!$C$11:$C$95,C20,Combustion!$H$11:$H$95,$P$9)*$P$10*I20</f>
        <v>0</v>
      </c>
      <c r="Q20" s="683">
        <v>0</v>
      </c>
      <c r="R20" s="683">
        <f>SUMIF('Purchased Material'!$C$9:$C$170,C20,'Purchased Material'!$K$9:$K$170)*I20</f>
        <v>0</v>
      </c>
      <c r="S20" s="683">
        <f>'Ancillary Input'!$L$309*J20</f>
        <v>0.5405108717401762</v>
      </c>
      <c r="T20" s="683">
        <f>'Purchased Services'!$J$178*J20</f>
        <v>0.52516282800773662</v>
      </c>
      <c r="U20" s="683">
        <f>SUMIF(Waste!$C$10:$C$96,C20,Waste!$R$10:$R$96)*I20</f>
        <v>0</v>
      </c>
      <c r="V20" s="118">
        <f>SUMIF(Combustion!$C$11:$C$95,C20,Combustion!$P$11:$P$95)*I20</f>
        <v>0</v>
      </c>
      <c r="W20" s="118">
        <f>SUMIF(Vent!$C$10:$C$16,C20,Vent!$M$10:$M$16)*I20</f>
        <v>0</v>
      </c>
      <c r="X20" s="118">
        <f>Fugitive!$L$98*J20</f>
        <v>0.12181586880212017</v>
      </c>
      <c r="Y20" s="118">
        <f>SUMIF('On-Site Tran.'!$C$10:$C$37,C20,'On-Site Tran.'!$O$10:$O$37)*I20</f>
        <v>0</v>
      </c>
      <c r="Z20" s="118">
        <f>SUMIF(Waste!$C$10:$C$96,C20,Waste!$Q$10:$Q$96)*I20</f>
        <v>70.855535956846921</v>
      </c>
      <c r="AA20" s="118">
        <f ca="1">SUMIF(Wastewater!$C$30:$D$110,C20,Wastewater!$I$30:$I$110)*I20</f>
        <v>0.10168989065845806</v>
      </c>
      <c r="AB20" s="118">
        <f>SUMIF('Mix Electricity'!$D$10:$D$104,C20,'Mix Electricity'!$I$10:$I$104)*I20</f>
        <v>341.38813026047296</v>
      </c>
      <c r="AC20" s="118">
        <f>SUMIF(Steam!$D$10:$D$29,C20,Steam!$I$10:$I$29)*I20</f>
        <v>0</v>
      </c>
      <c r="AD20" s="118">
        <f>SUMIF(Air!$D$10:$D$71,C20,Air!$I$10:$I$71)*I20</f>
        <v>319.93193802888993</v>
      </c>
      <c r="AE20" s="118">
        <f>SUMIF(Oxygen!$D$10:$D$49,C20,Oxygen!$I$10:$I$49)*I20</f>
        <v>0</v>
      </c>
      <c r="AF20" s="118">
        <f>SUMIF(Nitrogen!$D$10:$D$45,C20,Nitrogen!$I$10:$I$45)*I20</f>
        <v>0</v>
      </c>
      <c r="AG20" s="118">
        <f>SUMIF(Argon!$D$10:$D$16,C20,Argon!$I$10:$I$16)*I20</f>
        <v>0</v>
      </c>
      <c r="AH20" s="118">
        <f>SUMIF(Water!$D$10:$D$92,C20,Water!$I$10:$I$92)*I20</f>
        <v>4.8718265027258214</v>
      </c>
      <c r="AI20" s="115">
        <f t="shared" ca="1" si="0"/>
        <v>7537.2944570328264</v>
      </c>
      <c r="AJ20" s="298">
        <f t="shared" ca="1" si="1"/>
        <v>1.1791762291978765</v>
      </c>
      <c r="AK20" s="385" t="s">
        <v>718</v>
      </c>
    </row>
    <row r="21" spans="2:42" x14ac:dyDescent="0.25">
      <c r="B21" s="507" t="s">
        <v>337</v>
      </c>
      <c r="C21" s="657" t="s">
        <v>621</v>
      </c>
      <c r="D21" s="501">
        <v>1140</v>
      </c>
      <c r="E21" s="501" t="s">
        <v>471</v>
      </c>
      <c r="F21" s="490">
        <v>229203.74000000002</v>
      </c>
      <c r="G21" s="489" t="s">
        <v>299</v>
      </c>
      <c r="H21" s="517" t="s">
        <v>627</v>
      </c>
      <c r="I21" s="366">
        <v>1</v>
      </c>
      <c r="J21" s="495">
        <f t="shared" si="2"/>
        <v>9.9911780906280969E-3</v>
      </c>
      <c r="K21" s="110">
        <v>0</v>
      </c>
      <c r="L21" s="557">
        <f>SUM(O21:U21)</f>
        <v>12799.487127299739</v>
      </c>
      <c r="M21" s="558">
        <f ca="1">SUM(V21:AA21)</f>
        <v>123842.48988294127</v>
      </c>
      <c r="N21" s="559">
        <f>SUM(AB21:AH21)</f>
        <v>6558.6831453538061</v>
      </c>
      <c r="O21" s="118">
        <f>SUMIFS(Combustion!$P$11:$P$95,Combustion!$C$11:$C$95,C21,Combustion!$H$11:$H$95,$O$9)*$O$10*I21</f>
        <v>4858.5597574874491</v>
      </c>
      <c r="P21" s="118">
        <f>SUMIFS(Combustion!$P$11:$P$95,Combustion!$C$11:$C$95,C21,Combustion!$H$11:$H$95,$P$9)*$P$10*I21</f>
        <v>0</v>
      </c>
      <c r="Q21" s="683">
        <v>0</v>
      </c>
      <c r="R21" s="683">
        <f>SUMIF('Purchased Material'!$C$9:$C$170,C21,'Purchased Material'!$K$9:$K$170)*I21</f>
        <v>7902.7145416517988</v>
      </c>
      <c r="S21" s="683">
        <f>'Ancillary Input'!$L$309*J21</f>
        <v>19.381588440786718</v>
      </c>
      <c r="T21" s="683">
        <f>'Purchased Services'!$J$178*J21</f>
        <v>18.831239719704314</v>
      </c>
      <c r="U21" s="683">
        <f>SUMIF(Waste!$C$10:$C$96,C21,Waste!$R$10:$R$96)*I21</f>
        <v>0</v>
      </c>
      <c r="V21" s="118">
        <f>SUMIF(Combustion!$C$11:$C$95,C21,Combustion!$P$11:$P$95)*I21</f>
        <v>14434.223878453502</v>
      </c>
      <c r="W21" s="118">
        <f>SUMIF(Vent!$C$10:$C$16,C21,Vent!$M$10:$M$16)*I21</f>
        <v>109403.65328</v>
      </c>
      <c r="X21" s="118">
        <f>Fugitive!$L$98*J21</f>
        <v>4.3680620652057671</v>
      </c>
      <c r="Y21" s="118">
        <f>SUMIF('On-Site Tran.'!$C$10:$C$37,C21,'On-Site Tran.'!$O$10:$O$37)*I21</f>
        <v>0</v>
      </c>
      <c r="Z21" s="118">
        <f>SUMIF(Waste!$C$10:$C$96,C21,Waste!$Q$10:$Q$96)*I21</f>
        <v>0</v>
      </c>
      <c r="AA21" s="118">
        <f ca="1">SUMIF(Wastewater!$C$30:$D$110,C21,Wastewater!$I$30:$I$110)*I21</f>
        <v>0.24466242257480236</v>
      </c>
      <c r="AB21" s="118">
        <f>SUMIF('Mix Electricity'!$D$10:$D$104,C21,'Mix Electricity'!$I$10:$I$104)*I21</f>
        <v>6546.9616962815044</v>
      </c>
      <c r="AC21" s="118">
        <f>SUMIF(Steam!$D$10:$D$29,C21,Steam!$I$10:$I$29)*I21</f>
        <v>0</v>
      </c>
      <c r="AD21" s="118">
        <f>SUMIF(Air!$D$10:$D$71,C21,Air!$I$10:$I$71)*I21</f>
        <v>0</v>
      </c>
      <c r="AE21" s="118">
        <f>SUMIF(Oxygen!$D$10:$D$49,C21,Oxygen!$I$10:$I$49)*I21</f>
        <v>0</v>
      </c>
      <c r="AF21" s="118">
        <f>SUMIF(Nitrogen!$D$10:$D$45,C21,Nitrogen!$I$10:$I$45)*I21</f>
        <v>0</v>
      </c>
      <c r="AG21" s="118">
        <f>SUMIF(Argon!$D$10:$D$16,C21,Argon!$I$10:$I$16)*I21</f>
        <v>0</v>
      </c>
      <c r="AH21" s="118">
        <f>SUMIF(Water!$D$10:$D$92,C21,Water!$I$10:$I$92)*I21</f>
        <v>11.721449072301523</v>
      </c>
      <c r="AI21" s="115">
        <f t="shared" ca="1" si="0"/>
        <v>143200.66015559481</v>
      </c>
      <c r="AJ21" s="298">
        <f t="shared" ca="1" si="1"/>
        <v>0.62477453533522098</v>
      </c>
      <c r="AK21" s="385" t="s">
        <v>718</v>
      </c>
    </row>
    <row r="22" spans="2:42" x14ac:dyDescent="0.25">
      <c r="B22" s="507" t="s">
        <v>337</v>
      </c>
      <c r="C22" s="657" t="s">
        <v>598</v>
      </c>
      <c r="D22" s="501">
        <v>1210</v>
      </c>
      <c r="E22" s="489" t="s">
        <v>469</v>
      </c>
      <c r="F22" s="490">
        <v>6434311</v>
      </c>
      <c r="G22" s="489" t="s">
        <v>299</v>
      </c>
      <c r="H22" s="517" t="s">
        <v>599</v>
      </c>
      <c r="I22" s="366">
        <v>1</v>
      </c>
      <c r="J22" s="495">
        <f t="shared" si="2"/>
        <v>0.28047686783595832</v>
      </c>
      <c r="K22" s="115">
        <f ca="1">AI13</f>
        <v>264342.59573630372</v>
      </c>
      <c r="L22" s="557">
        <f>SUM(O22:U22)</f>
        <v>392957.78215425537</v>
      </c>
      <c r="M22" s="558">
        <f ca="1">SUM(V22:AA22)</f>
        <v>95614.196648578174</v>
      </c>
      <c r="N22" s="559">
        <f>SUM(AB22:AH22)</f>
        <v>142866.10416349972</v>
      </c>
      <c r="O22" s="118">
        <f>SUMIFS(Combustion!$P$11:$P$95,Combustion!$C$11:$C$95,C22,Combustion!$H$11:$H$95,$O$9)*$O$10*I22</f>
        <v>26577.383948006485</v>
      </c>
      <c r="P22" s="118">
        <f>SUMIFS(Combustion!$P$11:$P$95,Combustion!$C$11:$C$95,C22,Combustion!$H$11:$H$95,$P$9)*$P$10*I22</f>
        <v>0</v>
      </c>
      <c r="Q22" s="683">
        <v>0</v>
      </c>
      <c r="R22" s="683">
        <f>SUMIF('Purchased Material'!$C$9:$C$170,C22,'Purchased Material'!$K$9:$K$170)*I22</f>
        <v>365307.67042015714</v>
      </c>
      <c r="S22" s="683">
        <f>'Ancillary Input'!$L$309*J22</f>
        <v>544.08871208657763</v>
      </c>
      <c r="T22" s="683">
        <f>'Purchased Services'!$J$178*J22</f>
        <v>528.63907400520759</v>
      </c>
      <c r="U22" s="683">
        <f>SUMIF(Waste!$C$10:$C$96,C22,Waste!$R$10:$R$96)*I22</f>
        <v>0</v>
      </c>
      <c r="V22" s="118">
        <f>SUMIF(Combustion!$C$11:$C$95,C22,Combustion!$P$11:$P$95)*I22</f>
        <v>78958.359916834481</v>
      </c>
      <c r="W22" s="118">
        <f>SUMIF(Vent!$C$10:$C$16,C22,Vent!$M$10:$M$16)*I22</f>
        <v>0</v>
      </c>
      <c r="X22" s="118">
        <f>Fugitive!$L$98*J22</f>
        <v>122.62221286108237</v>
      </c>
      <c r="Y22" s="118">
        <f>SUMIF('On-Site Tran.'!$C$10:$C$37,C22,'On-Site Tran.'!$O$10:$O$37)*I22</f>
        <v>2393.6053940749998</v>
      </c>
      <c r="Z22" s="118">
        <f>SUMIF(Waste!$C$10:$C$96,C22,Waste!$Q$10:$Q$96)*I22</f>
        <v>14132.76176450628</v>
      </c>
      <c r="AA22" s="118">
        <f ca="1">SUMIF(Wastewater!$C$30:$D$110,C22,Wastewater!$I$30:$I$110)*I22</f>
        <v>6.8473603013268871</v>
      </c>
      <c r="AB22" s="118">
        <f>SUMIF('Mix Electricity'!$D$10:$D$104,C22,'Mix Electricity'!$I$10:$I$104)*I22</f>
        <v>132640.65180651529</v>
      </c>
      <c r="AC22" s="118">
        <f>SUMIF(Steam!$D$10:$D$29,C22,Steam!$I$10:$I$29)*I22</f>
        <v>0</v>
      </c>
      <c r="AD22" s="118">
        <f>SUMIF(Air!$D$10:$D$71,C22,Air!$I$10:$I$71)*I22</f>
        <v>9893.0681795737219</v>
      </c>
      <c r="AE22" s="118">
        <f>SUMIF(Oxygen!$D$10:$D$49,C22,Oxygen!$I$10:$I$49)*I22</f>
        <v>4.3363137173493937</v>
      </c>
      <c r="AF22" s="118">
        <f>SUMIF(Nitrogen!$D$10:$D$45,C22,Nitrogen!$I$10:$I$45)*I22</f>
        <v>0</v>
      </c>
      <c r="AG22" s="118">
        <f>SUMIF(Argon!$D$10:$D$16,C22,Argon!$I$10:$I$16)*I22</f>
        <v>0</v>
      </c>
      <c r="AH22" s="118">
        <f>SUMIF(Water!$D$10:$D$92,C22,Water!$I$10:$I$92)*I22</f>
        <v>328.04786369334494</v>
      </c>
      <c r="AI22" s="115">
        <f t="shared" ca="1" si="0"/>
        <v>895780.67870263697</v>
      </c>
      <c r="AJ22" s="298">
        <f t="shared" ca="1" si="1"/>
        <v>0.13921936299047979</v>
      </c>
      <c r="AK22" s="385" t="s">
        <v>718</v>
      </c>
    </row>
    <row r="23" spans="2:42" x14ac:dyDescent="0.25">
      <c r="B23" s="1114" t="s">
        <v>337</v>
      </c>
      <c r="C23" s="656" t="s">
        <v>599</v>
      </c>
      <c r="D23" s="1133" t="s">
        <v>1991</v>
      </c>
      <c r="E23" s="478" t="s">
        <v>1216</v>
      </c>
      <c r="F23" s="490">
        <v>5622150.2599999998</v>
      </c>
      <c r="G23" s="489" t="s">
        <v>299</v>
      </c>
      <c r="H23" s="517" t="s">
        <v>627</v>
      </c>
      <c r="I23" s="366">
        <f>F23/SUM($F$23:$F$24)</f>
        <v>0.96056213600866236</v>
      </c>
      <c r="J23" s="495">
        <f t="shared" si="2"/>
        <v>0.24507411833651169</v>
      </c>
      <c r="K23" s="115">
        <f ca="1">($AI$14+$AI$22)*I23</f>
        <v>969206.49837956973</v>
      </c>
      <c r="L23" s="1097">
        <f>SUM(O23:U24)</f>
        <v>801898.34140507283</v>
      </c>
      <c r="M23" s="1095">
        <f ca="1">SUM(V23:AA24)</f>
        <v>3598798.0470126765</v>
      </c>
      <c r="N23" s="1109">
        <f>SUM(AB23:AH24)</f>
        <v>681757.54074291757</v>
      </c>
      <c r="O23" s="118">
        <f>SUMIFS(Combustion!$P$11:$P$95,Combustion!$C$11:$C$95,C23,Combustion!$H$11:$H$95,$O$9)*$O$10*I23</f>
        <v>0</v>
      </c>
      <c r="P23" s="118">
        <f>SUMIFS(Combustion!$P$11:$P$95,Combustion!$C$11:$C$95,C23,Combustion!$H$11:$H$95,$P$9)*$P$10*I23</f>
        <v>0</v>
      </c>
      <c r="Q23" s="683">
        <v>0</v>
      </c>
      <c r="R23" s="683">
        <f>SUMIF('Purchased Material'!$C$9:$C$170,C23,'Purchased Material'!$K$9:$K$170)*I23</f>
        <v>769335.85926569754</v>
      </c>
      <c r="S23" s="683">
        <f>'Ancillary Input'!$L$309*J23</f>
        <v>475.41197404362612</v>
      </c>
      <c r="T23" s="683">
        <f>'Purchased Services'!$J$178*J23</f>
        <v>461.91244211921645</v>
      </c>
      <c r="U23" s="683">
        <f>SUMIF(Waste!$C$10:$C$96,C23,Waste!$R$10:$R$96)*I23</f>
        <v>0</v>
      </c>
      <c r="V23" s="118">
        <f>SUMIF(Combustion!$C$11:$C$95,C23,Combustion!$P$11:$P$95)*I23</f>
        <v>0</v>
      </c>
      <c r="W23" s="118">
        <f>SUMIF(Vent!$C$10:$C$16,C23,Vent!$M$10:$M$16)*I23</f>
        <v>3417075.6113839652</v>
      </c>
      <c r="X23" s="118">
        <f>Fugitive!$L$98*J23</f>
        <v>107.14441778128375</v>
      </c>
      <c r="Y23" s="118">
        <f>SUMIF('On-Site Tran.'!$C$10:$C$37,C23,'On-Site Tran.'!$O$10:$O$37)*I23</f>
        <v>106.57846596057236</v>
      </c>
      <c r="Z23" s="118">
        <f>SUMIF(Waste!$C$10:$C$96,C23,Waste!$Q$10:$Q$96)*I23</f>
        <v>39398.660461439489</v>
      </c>
      <c r="AA23" s="118">
        <f ca="1">SUMIF(Wastewater!$C$30:$D$110,C23,Wastewater!$I$30:$I$110)*I23</f>
        <v>181.14437315234119</v>
      </c>
      <c r="AB23" s="118">
        <f>SUMIF('Mix Electricity'!$D$10:$D$104,C23,'Mix Electricity'!$I$10:$I$104)*I23</f>
        <v>550008.52188963874</v>
      </c>
      <c r="AC23" s="118">
        <f>SUMIF(Steam!$D$10:$D$29,C23,Steam!$I$10:$I$29)*I23</f>
        <v>0</v>
      </c>
      <c r="AD23" s="118">
        <f>SUMIF(Air!$D$10:$D$71,C23,Air!$I$10:$I$71)*I23</f>
        <v>7776.5318489616584</v>
      </c>
      <c r="AE23" s="118">
        <f>SUMIF(Oxygen!$D$10:$D$49,C23,Oxygen!$I$10:$I$49)*I23</f>
        <v>5202.4576764651792</v>
      </c>
      <c r="AF23" s="118">
        <f>SUMIF(Nitrogen!$D$10:$D$45,C23,Nitrogen!$I$10:$I$45)*I23</f>
        <v>83204.583788349642</v>
      </c>
      <c r="AG23" s="118">
        <f>SUMIF(Argon!$D$10:$D$16,C23,Argon!$I$10:$I$16)*I23</f>
        <v>0</v>
      </c>
      <c r="AH23" s="118">
        <f>SUMIF(Water!$D$10:$D$92,C23,Water!$I$10:$I$92)*I23</f>
        <v>8678.3843726144187</v>
      </c>
      <c r="AI23" s="115">
        <f t="shared" ca="1" si="0"/>
        <v>5851219.3007397586</v>
      </c>
      <c r="AJ23" s="298">
        <f t="shared" ca="1" si="1"/>
        <v>1.040744026777356</v>
      </c>
      <c r="AK23" s="385" t="s">
        <v>718</v>
      </c>
    </row>
    <row r="24" spans="2:42" x14ac:dyDescent="0.25">
      <c r="B24" s="1116"/>
      <c r="C24" s="656" t="s">
        <v>599</v>
      </c>
      <c r="D24" s="1076"/>
      <c r="E24" s="489" t="s">
        <v>682</v>
      </c>
      <c r="F24" s="490">
        <v>230829</v>
      </c>
      <c r="G24" s="489" t="s">
        <v>299</v>
      </c>
      <c r="H24" s="518" t="s">
        <v>600</v>
      </c>
      <c r="I24" s="366">
        <f>F24/SUM($F$23:$F$24)</f>
        <v>3.9437863991337634E-2</v>
      </c>
      <c r="J24" s="495">
        <f t="shared" si="2"/>
        <v>1.0062024500479761E-2</v>
      </c>
      <c r="K24" s="115">
        <f ca="1">($AI$14+$AI$22)*I24</f>
        <v>39792.776156512344</v>
      </c>
      <c r="L24" s="1098"/>
      <c r="M24" s="1096"/>
      <c r="N24" s="1110"/>
      <c r="O24" s="118">
        <f>SUMIFS(Combustion!$P$11:$P$95,Combustion!$C$11:$C$95,C24,Combustion!$H$11:$H$95,$O$9)*$O$10*I24</f>
        <v>0</v>
      </c>
      <c r="P24" s="118">
        <f>SUMIFS(Combustion!$P$11:$P$95,Combustion!$C$11:$C$95,C24,Combustion!$H$11:$H$95,$P$9)*$P$10*I24</f>
        <v>0</v>
      </c>
      <c r="Q24" s="683">
        <v>0</v>
      </c>
      <c r="R24" s="683">
        <f>SUMIF('Purchased Material'!$C$9:$C$170,C24,'Purchased Material'!$K$9:$K$170)*I24</f>
        <v>31586.673931842171</v>
      </c>
      <c r="S24" s="683">
        <f>'Ancillary Input'!$L$309*J24</f>
        <v>19.519021278615948</v>
      </c>
      <c r="T24" s="683">
        <f>'Purchased Services'!$J$178*J24</f>
        <v>18.964770091708047</v>
      </c>
      <c r="U24" s="683">
        <f>SUMIF(Waste!$C$10:$C$96,C24,Waste!$R$10:$R$96)*I24</f>
        <v>0</v>
      </c>
      <c r="V24" s="118">
        <f>SUMIF(Combustion!$C$11:$C$95,C24,Combustion!$P$11:$P$95)*I24</f>
        <v>0</v>
      </c>
      <c r="W24" s="118">
        <f>SUMIF(Vent!$C$10:$C$16,C24,Vent!$M$10:$M$16)*I24</f>
        <v>140295.10237603454</v>
      </c>
      <c r="X24" s="118">
        <f>Fugitive!$L$98*J24</f>
        <v>4.3990355412585416</v>
      </c>
      <c r="Y24" s="118">
        <f>SUMIF('On-Site Tran.'!$C$10:$C$37,C24,'On-Site Tran.'!$O$10:$O$37)*I24</f>
        <v>4.3757992194276492</v>
      </c>
      <c r="Z24" s="118">
        <f>SUMIF(Waste!$C$10:$C$96,C24,Waste!$Q$10:$Q$96)*I24</f>
        <v>1617.5934429140668</v>
      </c>
      <c r="AA24" s="118">
        <f ca="1">SUMIF(Wastewater!$C$30:$D$110,C24,Wastewater!$I$30:$I$110)*I24</f>
        <v>7.4372566681242986</v>
      </c>
      <c r="AB24" s="118">
        <f>SUMIF('Mix Electricity'!$D$10:$D$104,C24,'Mix Electricity'!$I$10:$I$104)*I24</f>
        <v>22581.736742707304</v>
      </c>
      <c r="AC24" s="118">
        <f>SUMIF(Steam!$D$10:$D$29,C24,Steam!$I$10:$I$29)*I24</f>
        <v>0</v>
      </c>
      <c r="AD24" s="118">
        <f>SUMIF(Air!$D$10:$D$71,C24,Air!$I$10:$I$71)*I24</f>
        <v>319.28158927647917</v>
      </c>
      <c r="AE24" s="118">
        <f>SUMIF(Oxygen!$D$10:$D$49,C24,Oxygen!$I$10:$I$49)*I24</f>
        <v>213.59765347160624</v>
      </c>
      <c r="AF24" s="118">
        <f>SUMIF(Nitrogen!$D$10:$D$45,C24,Nitrogen!$I$10:$I$45)*I24</f>
        <v>3416.1361726537989</v>
      </c>
      <c r="AG24" s="118">
        <f>SUMIF(Argon!$D$10:$D$16,C24,Argon!$I$10:$I$16)*I24</f>
        <v>0</v>
      </c>
      <c r="AH24" s="118">
        <f>SUMIF(Water!$D$10:$D$92,C24,Water!$I$10:$I$92)*I24</f>
        <v>356.3090087788251</v>
      </c>
      <c r="AI24" s="115">
        <f t="shared" ca="1" si="0"/>
        <v>240233.90295699023</v>
      </c>
      <c r="AJ24" s="298">
        <f t="shared" ca="1" si="1"/>
        <v>1.0407440267773558</v>
      </c>
      <c r="AK24" s="385" t="s">
        <v>718</v>
      </c>
    </row>
    <row r="25" spans="2:42" x14ac:dyDescent="0.25">
      <c r="B25" s="507" t="s">
        <v>337</v>
      </c>
      <c r="C25" s="657" t="s">
        <v>600</v>
      </c>
      <c r="D25" s="496" t="s">
        <v>312</v>
      </c>
      <c r="E25" s="489" t="s">
        <v>680</v>
      </c>
      <c r="F25" s="490">
        <v>614405</v>
      </c>
      <c r="G25" s="489" t="s">
        <v>299</v>
      </c>
      <c r="H25" s="517" t="s">
        <v>627</v>
      </c>
      <c r="I25" s="366">
        <v>1</v>
      </c>
      <c r="J25" s="495">
        <f t="shared" si="2"/>
        <v>2.6782415395020846E-2</v>
      </c>
      <c r="K25" s="115">
        <f ca="1">AI24+AI17</f>
        <v>250315.85971663208</v>
      </c>
      <c r="L25" s="557">
        <f>SUM(O25:U25)</f>
        <v>657572.32578549697</v>
      </c>
      <c r="M25" s="558">
        <f ca="1">SUM(V25:AA25)</f>
        <v>30.2406856179412</v>
      </c>
      <c r="N25" s="559">
        <f>SUM(AB25:AH25)</f>
        <v>7737.1408448203656</v>
      </c>
      <c r="O25" s="118">
        <f>SUMIFS(Combustion!$P$11:$P$95,Combustion!$C$11:$C$95,C25,Combustion!$H$11:$H$95,$O$9)*$O$10*I25</f>
        <v>0</v>
      </c>
      <c r="P25" s="118">
        <f>SUMIFS(Combustion!$P$11:$P$95,Combustion!$C$11:$C$95,C25,Combustion!$H$11:$H$95,$P$9)*$P$10*I25</f>
        <v>0</v>
      </c>
      <c r="Q25" s="683">
        <v>0</v>
      </c>
      <c r="R25" s="683">
        <f>SUMIF('Purchased Material'!$C$9:$C$170,C25,'Purchased Material'!$K$9:$K$170)*I25</f>
        <v>657469.89223582647</v>
      </c>
      <c r="S25" s="683">
        <f>'Ancillary Input'!$L$309*J25</f>
        <v>51.954408972390944</v>
      </c>
      <c r="T25" s="683">
        <f>'Purchased Services'!$J$178*J25</f>
        <v>50.47914069807468</v>
      </c>
      <c r="U25" s="683">
        <f>SUMIF(Waste!$C$10:$C$96,C25,Waste!$R$10:$R$96)*I25</f>
        <v>0</v>
      </c>
      <c r="V25" s="118">
        <f>SUMIF(Combustion!$C$11:$C$95,C25,Combustion!$P$11:$P$95)*I25</f>
        <v>0</v>
      </c>
      <c r="W25" s="118">
        <f>SUMIF(Vent!$C$10:$C$16,C25,Vent!$M$10:$M$16)*I25</f>
        <v>0</v>
      </c>
      <c r="X25" s="118">
        <f>Fugitive!$L$98*J25</f>
        <v>11.709054892266369</v>
      </c>
      <c r="Y25" s="118">
        <f>SUMIF('On-Site Tran.'!$C$10:$C$37,C25,'On-Site Tran.'!$O$10:$O$37)*I25</f>
        <v>0</v>
      </c>
      <c r="Z25" s="118">
        <f>SUMIF(Waste!$C$10:$C$96,C25,Waste!$Q$10:$Q$96)*I25</f>
        <v>16.144521333920004</v>
      </c>
      <c r="AA25" s="118">
        <f ca="1">SUMIF(Wastewater!$C$30:$D$110,C25,Wastewater!$I$30:$I$110)*I25</f>
        <v>2.3871093917548274</v>
      </c>
      <c r="AB25" s="118">
        <f>SUMIF('Mix Electricity'!$D$10:$D$104,C25,'Mix Electricity'!$I$10:$I$104)*I25</f>
        <v>4693.4003084799388</v>
      </c>
      <c r="AC25" s="118">
        <f>SUMIF(Steam!$D$10:$D$29,C25,Steam!$I$10:$I$29)*I25</f>
        <v>0</v>
      </c>
      <c r="AD25" s="118">
        <f>SUMIF(Air!$D$10:$D$71,C25,Air!$I$10:$I$71)*I25</f>
        <v>250.3859826259218</v>
      </c>
      <c r="AE25" s="118">
        <f>SUMIF(Oxygen!$D$10:$D$49,C25,Oxygen!$I$10:$I$49)*I25</f>
        <v>0</v>
      </c>
      <c r="AF25" s="118">
        <f>SUMIF(Nitrogen!$D$10:$D$45,C25,Nitrogen!$I$10:$I$45)*I25</f>
        <v>2678.9913390001066</v>
      </c>
      <c r="AG25" s="118">
        <f>SUMIF(Argon!$D$10:$D$16,C25,Argon!$I$10:$I$16)*I25</f>
        <v>0</v>
      </c>
      <c r="AH25" s="118">
        <f>SUMIF(Water!$D$10:$D$92,C25,Water!$I$10:$I$92)*I25</f>
        <v>114.36321471439788</v>
      </c>
      <c r="AI25" s="115">
        <f t="shared" ca="1" si="0"/>
        <v>915655.56703256734</v>
      </c>
      <c r="AJ25" s="298">
        <f t="shared" ca="1" si="1"/>
        <v>1.4903126879380333</v>
      </c>
      <c r="AK25" s="385" t="s">
        <v>718</v>
      </c>
    </row>
    <row r="26" spans="2:42" x14ac:dyDescent="0.25">
      <c r="B26" s="1130" t="s">
        <v>489</v>
      </c>
      <c r="C26" s="656" t="s">
        <v>627</v>
      </c>
      <c r="D26" s="1133" t="s">
        <v>1986</v>
      </c>
      <c r="E26" s="1075" t="s">
        <v>678</v>
      </c>
      <c r="F26" s="490">
        <v>7379115</v>
      </c>
      <c r="G26" s="489" t="s">
        <v>299</v>
      </c>
      <c r="H26" s="518" t="s">
        <v>631</v>
      </c>
      <c r="I26" s="366">
        <f>F26/SUM($F$26:$F$28)</f>
        <v>0.91142504562921134</v>
      </c>
      <c r="J26" s="366">
        <f>F26/$F$82</f>
        <v>0.2438498043672285</v>
      </c>
      <c r="K26" s="115">
        <f ca="1">($AI$23+$AI$15+$AI$21+$AI$25)*I26</f>
        <v>6765179.1481102249</v>
      </c>
      <c r="L26" s="1097">
        <f>SUM(O26:U28)</f>
        <v>5444574.9516971726</v>
      </c>
      <c r="M26" s="1095">
        <f ca="1">SUM(V26:AA28)</f>
        <v>460761.80426290265</v>
      </c>
      <c r="N26" s="1109">
        <f>SUM(AB26:AH28)</f>
        <v>3887466.741895962</v>
      </c>
      <c r="O26" s="118">
        <f>SUMIFS(Combustion!$P$11:$P$95,Combustion!$C$11:$C$95,C26,Combustion!$H$11:$H$95,$O$9)*$O$10*I26</f>
        <v>248.36510429492188</v>
      </c>
      <c r="P26" s="118">
        <f>SUMIFS(Combustion!$P$11:$P$95,Combustion!$C$11:$C$95,C26,Combustion!$H$11:$H$95,$P$9)*$P$10*I26</f>
        <v>0</v>
      </c>
      <c r="Q26" s="683">
        <f>('Upstream Tran.'!$M$97+'Upstream Tran.'!$M$99)*I26</f>
        <v>150558.37278626018</v>
      </c>
      <c r="R26" s="683">
        <f>SUMIF('Purchased Material'!$C$9:$C$170,C26,'Purchased Material'!$K$9:$K$170)*I26</f>
        <v>4807518.057617873</v>
      </c>
      <c r="S26" s="118">
        <f>'Ancillary Input'!$L$310*J26</f>
        <v>187.66829622329095</v>
      </c>
      <c r="T26" s="683">
        <f>'Purchased Services'!$J$179*J26</f>
        <v>946.49037555467783</v>
      </c>
      <c r="U26" s="683">
        <f>SUMIF(Waste!$C$10:$C$96,C26,Waste!$R$10:$R$96)*I26</f>
        <v>2863.0196020500653</v>
      </c>
      <c r="V26" s="118">
        <f>SUMIF(Combustion!$C$11:$C$95,C26,Combustion!$P$11:$P$95)*I26</f>
        <v>737.86424330042144</v>
      </c>
      <c r="W26" s="118">
        <f>SUMIF(Vent!$C$10:$C$16,C26,Vent!$M$10:$M$16)*I26</f>
        <v>389738.01445170469</v>
      </c>
      <c r="X26" s="118">
        <f>Fugitive!$L$99*J26</f>
        <v>125.22407472878193</v>
      </c>
      <c r="Y26" s="118">
        <f>SUMIF('On-Site Tran.'!$C$10:$C$37,C26,'On-Site Tran.'!$O$10:$O$37)*I26</f>
        <v>158.12004312144353</v>
      </c>
      <c r="Z26" s="118">
        <f>SUMIF(Waste!$C$10:$C$96,C26,Waste!$Q$10:$Q$96)*I26</f>
        <v>29142.395716642844</v>
      </c>
      <c r="AA26" s="118">
        <f ca="1">SUMIF(Wastewater!$C$30:$D$110,C26,Wastewater!$I$30:$I$110)*I26</f>
        <v>48.229945015489641</v>
      </c>
      <c r="AB26" s="118">
        <f>SUMIF('Mix Electricity'!$D$10:$D$104,C26,'Mix Electricity'!$I$10:$I$104)*I26</f>
        <v>3396538.3901081556</v>
      </c>
      <c r="AC26" s="118">
        <f>SUMIF(Steam!$D$10:$D$29,C26,Steam!$I$10:$I$29)*I26</f>
        <v>0</v>
      </c>
      <c r="AD26" s="118">
        <f>SUMIF(Air!$D$10:$D$71,C26,Air!$I$10:$I$71)*I26</f>
        <v>7605.8794094006098</v>
      </c>
      <c r="AE26" s="118">
        <f>SUMIF(Oxygen!$D$10:$D$49,C26,Oxygen!$I$10:$I$49)*I26</f>
        <v>88479.002615700083</v>
      </c>
      <c r="AF26" s="118">
        <f>SUMIF(Nitrogen!$D$10:$D$45,C26,Nitrogen!$I$10:$I$45)*I26</f>
        <v>47535.830512462519</v>
      </c>
      <c r="AG26" s="118">
        <f>SUMIF(Argon!$D$10:$D$16,C26,Argon!$I$10:$I$16)*I26</f>
        <v>65.578743380259894</v>
      </c>
      <c r="AH26" s="118">
        <f>SUMIF(Water!$D$10:$D$92,C26,Water!$I$10:$I$92)*I26</f>
        <v>2909.8712254692909</v>
      </c>
      <c r="AI26" s="115">
        <f t="shared" ca="1" si="0"/>
        <v>15690585.522981562</v>
      </c>
      <c r="AJ26" s="298">
        <f t="shared" ca="1" si="1"/>
        <v>2.1263505885165852</v>
      </c>
      <c r="AK26" s="385" t="s">
        <v>719</v>
      </c>
    </row>
    <row r="27" spans="2:42" x14ac:dyDescent="0.25">
      <c r="B27" s="1131"/>
      <c r="C27" s="656" t="s">
        <v>627</v>
      </c>
      <c r="D27" s="1134"/>
      <c r="E27" s="1076"/>
      <c r="F27" s="490">
        <v>363603</v>
      </c>
      <c r="G27" s="489" t="s">
        <v>299</v>
      </c>
      <c r="H27" s="518" t="s">
        <v>622</v>
      </c>
      <c r="I27" s="366">
        <f t="shared" ref="I27:I28" si="4">F27/SUM($F$26:$F$28)</f>
        <v>4.4910111966803348E-2</v>
      </c>
      <c r="J27" s="366">
        <f t="shared" ref="J27:J34" si="5">F27/$F$82</f>
        <v>1.2015603553723907E-2</v>
      </c>
      <c r="K27" s="115">
        <f ca="1">($AI$23+$AI$15+$AI$21+$AI$25)*I27</f>
        <v>333351.55147877784</v>
      </c>
      <c r="L27" s="1100"/>
      <c r="M27" s="1099"/>
      <c r="N27" s="1111"/>
      <c r="O27" s="118">
        <f>SUMIFS(Combustion!$P$11:$P$95,Combustion!$C$11:$C$95,C27,Combustion!$H$11:$H$95,$O$9)*$O$10*I27</f>
        <v>12.238093188268033</v>
      </c>
      <c r="P27" s="118">
        <f>SUMIFS(Combustion!$P$11:$P$95,Combustion!$C$11:$C$95,C27,Combustion!$H$11:$H$95,$P$9)*$P$10*I27</f>
        <v>0</v>
      </c>
      <c r="Q27" s="683">
        <f>('Upstream Tran.'!$M$97+'Upstream Tran.'!$M$99)*I27</f>
        <v>7418.7048203209406</v>
      </c>
      <c r="R27" s="683">
        <f>SUMIF('Purchased Material'!$C$9:$C$170,C27,'Purchased Material'!$K$9:$K$170)*I27</f>
        <v>236888.56838577951</v>
      </c>
      <c r="S27" s="118">
        <f>'Ancillary Input'!$L$310*J27</f>
        <v>9.2472817555597455</v>
      </c>
      <c r="T27" s="683">
        <f>'Purchased Services'!$J$179*J27</f>
        <v>46.637942357966715</v>
      </c>
      <c r="U27" s="683">
        <f>SUMIF(Waste!$C$10:$C$96,C27,Waste!$R$10:$R$96)*I27</f>
        <v>141.07416897069768</v>
      </c>
      <c r="V27" s="118">
        <f>SUMIF(Combustion!$C$11:$C$95,C27,Combustion!$P$11:$P$95)*I27</f>
        <v>36.357971444646559</v>
      </c>
      <c r="W27" s="118">
        <f>SUMIF(Vent!$C$10:$C$16,C27,Vent!$M$10:$M$16)*I27</f>
        <v>19204.187936992872</v>
      </c>
      <c r="X27" s="118">
        <f>Fugitive!$L$99*J27</f>
        <v>6.1703672111912198</v>
      </c>
      <c r="Y27" s="118">
        <f>SUMIF('On-Site Tran.'!$C$10:$C$37,C27,'On-Site Tran.'!$O$10:$O$37)*I27</f>
        <v>7.7913031629248524</v>
      </c>
      <c r="Z27" s="118">
        <f>SUMIF(Waste!$C$10:$C$96,C27,Waste!$Q$10:$Q$96)*I27</f>
        <v>1435.9801290206872</v>
      </c>
      <c r="AA27" s="118">
        <f ca="1">SUMIF(Wastewater!$C$30:$D$110,C27,Wastewater!$I$30:$I$110)*I27</f>
        <v>2.376511640957903</v>
      </c>
      <c r="AB27" s="118">
        <f>SUMIF('Mix Electricity'!$D$10:$D$104,C27,'Mix Electricity'!$I$10:$I$104)*I27</f>
        <v>167363.09818433452</v>
      </c>
      <c r="AC27" s="118">
        <f>SUMIF(Steam!$D$10:$D$29,C27,Steam!$I$10:$I$29)*I27</f>
        <v>0</v>
      </c>
      <c r="AD27" s="118">
        <f>SUMIF(Air!$D$10:$D$71,C27,Air!$I$10:$I$71)*I27</f>
        <v>374.77672741193078</v>
      </c>
      <c r="AE27" s="118">
        <f>SUMIF(Oxygen!$D$10:$D$49,C27,Oxygen!$I$10:$I$49)*I27</f>
        <v>4359.7681819671325</v>
      </c>
      <c r="AF27" s="118">
        <f>SUMIF(Nitrogen!$D$10:$D$45,C27,Nitrogen!$I$10:$I$45)*I27</f>
        <v>2342.3094208211833</v>
      </c>
      <c r="AG27" s="118">
        <f>SUMIF(Argon!$D$10:$D$16,C27,Argon!$I$10:$I$16)*I27</f>
        <v>3.2313668819760415</v>
      </c>
      <c r="AH27" s="118">
        <f>SUMIF(Water!$D$10:$D$92,C27,Water!$I$10:$I$92)*I27</f>
        <v>143.38276435511719</v>
      </c>
      <c r="AI27" s="115">
        <f t="shared" ca="1" si="0"/>
        <v>773147.45303639607</v>
      </c>
      <c r="AJ27" s="298">
        <f t="shared" ca="1" si="1"/>
        <v>2.1263505885165856</v>
      </c>
      <c r="AK27" s="385" t="s">
        <v>719</v>
      </c>
    </row>
    <row r="28" spans="2:42" x14ac:dyDescent="0.25">
      <c r="B28" s="1132"/>
      <c r="C28" s="656" t="s">
        <v>627</v>
      </c>
      <c r="D28" s="1135"/>
      <c r="E28" s="501" t="s">
        <v>679</v>
      </c>
      <c r="F28" s="490">
        <v>353521</v>
      </c>
      <c r="G28" s="489" t="s">
        <v>299</v>
      </c>
      <c r="H28" s="518" t="s">
        <v>2124</v>
      </c>
      <c r="I28" s="366">
        <f t="shared" si="4"/>
        <v>4.3664842403985354E-2</v>
      </c>
      <c r="J28" s="366">
        <f t="shared" si="5"/>
        <v>1.1682434369122446E-2</v>
      </c>
      <c r="K28" s="115">
        <f ca="1">($AI$23+$AI$15+$AI$21+$AI$25)*I28</f>
        <v>324108.36497589137</v>
      </c>
      <c r="L28" s="1098"/>
      <c r="M28" s="1096"/>
      <c r="N28" s="1110"/>
      <c r="O28" s="118">
        <f>SUMIFS(Combustion!$P$11:$P$95,Combustion!$C$11:$C$95,C28,Combustion!$H$11:$H$95,$O$9)*$O$10*I28</f>
        <v>11.898754801279702</v>
      </c>
      <c r="P28" s="118">
        <f>SUMIFS(Combustion!$P$11:$P$95,Combustion!$C$11:$C$95,C28,Combustion!$H$11:$H$95,$P$9)*$P$10*I28</f>
        <v>0</v>
      </c>
      <c r="Q28" s="683">
        <f>('Upstream Tran.'!$M$97+'Upstream Tran.'!$M$99)*I28</f>
        <v>7212.998646283665</v>
      </c>
      <c r="R28" s="683">
        <f>SUMIF('Purchased Material'!$C$9:$C$170,C28,'Purchased Material'!$K$9:$K$170)*I28</f>
        <v>230320.11172710115</v>
      </c>
      <c r="S28" s="118">
        <f>'Ancillary Input'!$L$310*J28</f>
        <v>8.9908727197169345</v>
      </c>
      <c r="T28" s="683">
        <f>'Purchased Services'!$J$179*J28</f>
        <v>45.344763437954988</v>
      </c>
      <c r="U28" s="683">
        <f>SUMIF(Waste!$C$10:$C$96,C28,Waste!$R$10:$R$96)*I28</f>
        <v>137.16245819943734</v>
      </c>
      <c r="V28" s="118">
        <f>SUMIF(Combustion!$C$11:$C$95,C28,Combustion!$P$11:$P$95)*I28</f>
        <v>35.349836010931973</v>
      </c>
      <c r="W28" s="118">
        <f>SUMIF(Vent!$C$10:$C$16,C28,Vent!$M$10:$M$16)*I28</f>
        <v>18671.69336796907</v>
      </c>
      <c r="X28" s="118">
        <f>Fugitive!$L$99*J28</f>
        <v>5.9992749973667179</v>
      </c>
      <c r="Y28" s="118">
        <f>SUMIF('On-Site Tran.'!$C$10:$C$37,C28,'On-Site Tran.'!$O$10:$O$37)*I28</f>
        <v>7.5752655656316286</v>
      </c>
      <c r="Z28" s="118">
        <f>SUMIF(Waste!$C$10:$C$96,C28,Waste!$Q$10:$Q$96)*I28</f>
        <v>1396.1632087510893</v>
      </c>
      <c r="AA28" s="118">
        <f ca="1">SUMIF(Wastewater!$C$30:$D$110,C28,Wastewater!$I$30:$I$110)*I28</f>
        <v>2.3106156214967393</v>
      </c>
      <c r="AB28" s="118">
        <f>SUMIF('Mix Electricity'!$D$10:$D$104,C28,'Mix Electricity'!$I$10:$I$104)*I28</f>
        <v>162722.4468258626</v>
      </c>
      <c r="AC28" s="118">
        <f>SUMIF(Steam!$D$10:$D$29,C28,Steam!$I$10:$I$29)*I28</f>
        <v>0</v>
      </c>
      <c r="AD28" s="118">
        <f>SUMIF(Air!$D$10:$D$71,C28,Air!$I$10:$I$71)*I28</f>
        <v>364.38490180607198</v>
      </c>
      <c r="AE28" s="118">
        <f>SUMIF(Oxygen!$D$10:$D$49,C28,Oxygen!$I$10:$I$49)*I28</f>
        <v>4238.8803377782979</v>
      </c>
      <c r="AF28" s="118">
        <f>SUMIF(Nitrogen!$D$10:$D$45,C28,Nitrogen!$I$10:$I$45)*I28</f>
        <v>2277.3617620265113</v>
      </c>
      <c r="AG28" s="118">
        <f>SUMIF(Argon!$D$10:$D$16,C28,Argon!$I$10:$I$16)*I28</f>
        <v>3.1417673987372279</v>
      </c>
      <c r="AH28" s="118">
        <f>SUMIF(Water!$D$10:$D$92,C28,Water!$I$10:$I$92)*I28</f>
        <v>139.40704074934857</v>
      </c>
      <c r="AI28" s="115">
        <f t="shared" ca="1" si="0"/>
        <v>751709.58640297176</v>
      </c>
      <c r="AJ28" s="298">
        <f t="shared" ca="1" si="1"/>
        <v>2.1263505885165852</v>
      </c>
      <c r="AK28" s="385" t="s">
        <v>718</v>
      </c>
    </row>
    <row r="29" spans="2:42" x14ac:dyDescent="0.25">
      <c r="B29" s="506" t="s">
        <v>489</v>
      </c>
      <c r="C29" s="516" t="s">
        <v>622</v>
      </c>
      <c r="D29" s="501">
        <v>2220</v>
      </c>
      <c r="E29" s="501" t="s">
        <v>684</v>
      </c>
      <c r="F29" s="490">
        <v>438416</v>
      </c>
      <c r="G29" s="489" t="s">
        <v>299</v>
      </c>
      <c r="H29" s="517" t="s">
        <v>623</v>
      </c>
      <c r="I29" s="366">
        <v>1</v>
      </c>
      <c r="J29" s="366">
        <f t="shared" si="5"/>
        <v>1.4487869592961059E-2</v>
      </c>
      <c r="K29" s="115">
        <f ca="1">AI27</f>
        <v>773147.45303639607</v>
      </c>
      <c r="L29" s="557">
        <f>SUM(O29:U29)</f>
        <v>11812.106159936096</v>
      </c>
      <c r="M29" s="558">
        <f ca="1">SUM(V29:AA29)</f>
        <v>2453.3686314382494</v>
      </c>
      <c r="N29" s="559">
        <f>SUM(AB29:AH29)</f>
        <v>24466.651117782905</v>
      </c>
      <c r="O29" s="118">
        <f>SUMIFS(Combustion!$P$11:$P$95,Combustion!$C$11:$C$95,C29,Combustion!$H$11:$H$95,$O$9)*$O$10*I29</f>
        <v>817.50699094565175</v>
      </c>
      <c r="P29" s="118">
        <f>SUMIFS(Combustion!$P$11:$P$95,Combustion!$C$11:$C$95,C29,Combustion!$H$11:$H$95,$P$9)*$P$10*I29</f>
        <v>0</v>
      </c>
      <c r="Q29" s="683">
        <v>0</v>
      </c>
      <c r="R29" s="683">
        <f>SUMIF('Purchased Material'!$C$9:$C$170,C29,'Purchased Material'!$K$9:$K$170)*I29</f>
        <v>10927.215301379463</v>
      </c>
      <c r="S29" s="118">
        <f>'Ancillary Input'!$L$310*J29</f>
        <v>11.149952773067003</v>
      </c>
      <c r="T29" s="683">
        <f>'Purchased Services'!$J$179*J29</f>
        <v>56.233914837914796</v>
      </c>
      <c r="U29" s="683">
        <f>SUMIF(Waste!$C$10:$C$96,C29,Waste!$R$10:$R$96)*I29</f>
        <v>0</v>
      </c>
      <c r="V29" s="118">
        <f>SUMIF(Combustion!$C$11:$C$95,C29,Combustion!$P$11:$P$95)*I29</f>
        <v>2428.7195215260003</v>
      </c>
      <c r="W29" s="118">
        <f>SUMIF(Vent!$C$10:$C$16,C29,Vent!$M$10:$M$16)*I29</f>
        <v>0</v>
      </c>
      <c r="X29" s="118">
        <f>Fugitive!$L$99*J29</f>
        <v>7.4399488212737781</v>
      </c>
      <c r="Y29" s="118">
        <f>SUMIF('On-Site Tran.'!$C$10:$C$37,C29,'On-Site Tran.'!$O$10:$O$37)*I29</f>
        <v>0</v>
      </c>
      <c r="Z29" s="118">
        <f>SUMIF(Waste!$C$10:$C$96,C29,Waste!$Q$10:$Q$96)*I29</f>
        <v>6.9484178016400007</v>
      </c>
      <c r="AA29" s="118">
        <f ca="1">SUMIF(Wastewater!$C$30:$D$110,C29,Wastewater!$I$30:$I$110)*I29</f>
        <v>10.260743289334977</v>
      </c>
      <c r="AB29" s="118">
        <f>SUMIF('Mix Electricity'!$D$10:$D$104,C29,'Mix Electricity'!$I$10:$I$104)*I29</f>
        <v>7294.8590309083929</v>
      </c>
      <c r="AC29" s="118">
        <f>SUMIF(Steam!$D$10:$D$29,C29,Steam!$I$10:$I$29)*I29</f>
        <v>6547.928834640069</v>
      </c>
      <c r="AD29" s="118">
        <f>SUMIF(Air!$D$10:$D$71,C29,Air!$I$10:$I$71)*I29</f>
        <v>636.54665686849614</v>
      </c>
      <c r="AE29" s="118">
        <f>SUMIF(Oxygen!$D$10:$D$49,C29,Oxygen!$I$10:$I$49)*I29</f>
        <v>1089.2885682408371</v>
      </c>
      <c r="AF29" s="118">
        <f>SUMIF(Nitrogen!$D$10:$D$45,C29,Nitrogen!$I$10:$I$45)*I29</f>
        <v>8046.7383007348899</v>
      </c>
      <c r="AG29" s="118">
        <f>SUMIF(Argon!$D$10:$D$16,C29,Argon!$I$10:$I$16)*I29</f>
        <v>359.71125412552976</v>
      </c>
      <c r="AH29" s="118">
        <f>SUMIF(Water!$D$10:$D$92,C29,Water!$I$10:$I$92)*I29</f>
        <v>491.57847226469084</v>
      </c>
      <c r="AI29" s="115">
        <f t="shared" ca="1" si="0"/>
        <v>811879.57894555328</v>
      </c>
      <c r="AJ29" s="298">
        <f t="shared" ca="1" si="1"/>
        <v>1.8518475122841167</v>
      </c>
      <c r="AK29" s="385" t="s">
        <v>719</v>
      </c>
    </row>
    <row r="30" spans="2:42" x14ac:dyDescent="0.25">
      <c r="B30" s="506" t="s">
        <v>489</v>
      </c>
      <c r="C30" s="657" t="s">
        <v>631</v>
      </c>
      <c r="D30" s="501" t="s">
        <v>1987</v>
      </c>
      <c r="E30" s="501" t="s">
        <v>685</v>
      </c>
      <c r="F30" s="490">
        <v>6990621</v>
      </c>
      <c r="G30" s="489" t="s">
        <v>299</v>
      </c>
      <c r="H30" s="517" t="s">
        <v>623</v>
      </c>
      <c r="I30" s="366">
        <v>1</v>
      </c>
      <c r="J30" s="366">
        <f t="shared" si="5"/>
        <v>0.23101165427770665</v>
      </c>
      <c r="K30" s="115">
        <f ca="1">AI26</f>
        <v>15690585.522981562</v>
      </c>
      <c r="L30" s="557">
        <f>SUM(O30:U30)</f>
        <v>186580.02020817364</v>
      </c>
      <c r="M30" s="558">
        <f ca="1">SUM(V30:AA30)</f>
        <v>13086.121045553695</v>
      </c>
      <c r="N30" s="559">
        <f>SUM(AB30:AH30)</f>
        <v>154343.19937308945</v>
      </c>
      <c r="O30" s="118">
        <f>SUMIFS(Combustion!$P$11:$P$95,Combustion!$C$11:$C$95,C30,Combustion!$H$11:$H$95,$O$9)*$O$10*I30</f>
        <v>4360.0369070127281</v>
      </c>
      <c r="P30" s="118">
        <f>SUMIFS(Combustion!$P$11:$P$95,Combustion!$C$11:$C$95,C30,Combustion!$H$11:$H$95,$P$9)*$P$10*I30</f>
        <v>0</v>
      </c>
      <c r="Q30" s="683">
        <v>0</v>
      </c>
      <c r="R30" s="683">
        <f>SUMIF('Purchased Material'!$C$9:$C$170,C30,'Purchased Material'!$K$9:$K$170)*I30</f>
        <v>180539.60022941508</v>
      </c>
      <c r="S30" s="118">
        <f>'Ancillary Input'!$L$310*J30</f>
        <v>177.78797763861363</v>
      </c>
      <c r="T30" s="683">
        <f>'Purchased Services'!$J$179*J30</f>
        <v>896.65976145519039</v>
      </c>
      <c r="U30" s="683">
        <f>SUMIF(Waste!$C$10:$C$96,C30,Waste!$R$10:$R$96)*I30</f>
        <v>605.93533265202018</v>
      </c>
      <c r="V30" s="118">
        <f>SUMIF(Combustion!$C$11:$C$95,C30,Combustion!$P$11:$P$95)*I30</f>
        <v>12953.169658386001</v>
      </c>
      <c r="W30" s="118">
        <f>SUMIF(Vent!$C$10:$C$16,C30,Vent!$M$10:$M$16)*I30</f>
        <v>0</v>
      </c>
      <c r="X30" s="118">
        <f>Fugitive!$L$99*J30</f>
        <v>118.63130558401546</v>
      </c>
      <c r="Y30" s="118">
        <f>SUMIF('On-Site Tran.'!$C$10:$C$37,C30,'On-Site Tran.'!$O$10:$O$37)*I30</f>
        <v>0</v>
      </c>
      <c r="Z30" s="118">
        <f>SUMIF(Waste!$C$10:$C$96,C30,Waste!$Q$10:$Q$96)*I30</f>
        <v>0</v>
      </c>
      <c r="AA30" s="118">
        <f ca="1">SUMIF(Wastewater!$C$30:$D$110,C30,Wastewater!$I$30:$I$110)*I30</f>
        <v>14.320081583679123</v>
      </c>
      <c r="AB30" s="118">
        <f>SUMIF('Mix Electricity'!$D$10:$D$104,C30,'Mix Electricity'!$I$10:$I$104)*I30</f>
        <v>148339.41685396648</v>
      </c>
      <c r="AC30" s="118">
        <f>SUMIF(Steam!$D$10:$D$29,C30,Steam!$I$10:$I$29)*I30</f>
        <v>0</v>
      </c>
      <c r="AD30" s="118">
        <f>SUMIF(Air!$D$10:$D$71,C30,Air!$I$10:$I$71)*I30</f>
        <v>1485.7512780090592</v>
      </c>
      <c r="AE30" s="118">
        <f>SUMIF(Oxygen!$D$10:$D$49,C30,Oxygen!$I$10:$I$49)*I30</f>
        <v>363.09618941361248</v>
      </c>
      <c r="AF30" s="118">
        <f>SUMIF(Nitrogen!$D$10:$D$45,C30,Nitrogen!$I$10:$I$45)*I30</f>
        <v>1611.9267429517911</v>
      </c>
      <c r="AG30" s="118">
        <f>SUMIF(Argon!$D$10:$D$16,C30,Argon!$I$10:$I$16)*I30</f>
        <v>1711.1760627237318</v>
      </c>
      <c r="AH30" s="118">
        <f>SUMIF(Water!$D$10:$D$92,C30,Water!$I$10:$I$92)*I30</f>
        <v>831.83224602476321</v>
      </c>
      <c r="AI30" s="115">
        <f t="shared" ca="1" si="0"/>
        <v>16044594.863608379</v>
      </c>
      <c r="AJ30" s="298">
        <f t="shared" ca="1" si="1"/>
        <v>2.2951601672595867</v>
      </c>
      <c r="AK30" s="385" t="s">
        <v>719</v>
      </c>
    </row>
    <row r="31" spans="2:42" x14ac:dyDescent="0.25">
      <c r="B31" s="506" t="s">
        <v>489</v>
      </c>
      <c r="C31" s="516" t="s">
        <v>623</v>
      </c>
      <c r="D31" s="501" t="s">
        <v>313</v>
      </c>
      <c r="E31" s="501" t="s">
        <v>2114</v>
      </c>
      <c r="F31" s="490">
        <v>7435626</v>
      </c>
      <c r="G31" s="489" t="s">
        <v>299</v>
      </c>
      <c r="H31" s="517" t="s">
        <v>624</v>
      </c>
      <c r="I31" s="366">
        <v>1</v>
      </c>
      <c r="J31" s="366">
        <f t="shared" si="5"/>
        <v>0.24571726358077869</v>
      </c>
      <c r="K31" s="115">
        <f ca="1">AI29+AI30</f>
        <v>16856474.442553934</v>
      </c>
      <c r="L31" s="557">
        <f>SUM(O31:U31)</f>
        <v>6449.8678187533196</v>
      </c>
      <c r="M31" s="558">
        <f ca="1">SUM(V31:AA31)</f>
        <v>16327.933371490641</v>
      </c>
      <c r="N31" s="559">
        <f>SUM(AB31:AH31)</f>
        <v>90348.612625687121</v>
      </c>
      <c r="O31" s="118">
        <f>SUMIFS(Combustion!$P$11:$P$95,Combustion!$C$11:$C$95,C31,Combustion!$H$11:$H$95,$O$9)*$O$10*I31</f>
        <v>5307.0234928419159</v>
      </c>
      <c r="P31" s="118">
        <f>SUMIFS(Combustion!$P$11:$P$95,Combustion!$C$11:$C$95,C31,Combustion!$H$11:$H$95,$P$9)*$P$10*I31</f>
        <v>0</v>
      </c>
      <c r="Q31" s="683">
        <v>0</v>
      </c>
      <c r="R31" s="683">
        <f>SUMIF('Purchased Material'!$C$9:$C$170,C31,'Purchased Material'!$K$9:$K$170)*I31</f>
        <v>0</v>
      </c>
      <c r="S31" s="118">
        <f>'Ancillary Input'!$L$310*J31</f>
        <v>189.10550422016786</v>
      </c>
      <c r="T31" s="683">
        <f>'Purchased Services'!$J$179*J31</f>
        <v>953.73882169123624</v>
      </c>
      <c r="U31" s="683">
        <f>SUMIF(Waste!$C$10:$C$96,C31,Waste!$R$10:$R$96)*I31</f>
        <v>0</v>
      </c>
      <c r="V31" s="118">
        <f>SUMIF(Combustion!$C$11:$C$95,C31,Combustion!$P$11:$P$95)*I31</f>
        <v>15766.558208086501</v>
      </c>
      <c r="W31" s="118">
        <f>SUMIF(Vent!$C$10:$C$16,C31,Vent!$M$10:$M$16)*I31</f>
        <v>0</v>
      </c>
      <c r="X31" s="118">
        <f>Fugitive!$L$99*J31</f>
        <v>126.18307017566114</v>
      </c>
      <c r="Y31" s="118">
        <f>SUMIF('On-Site Tran.'!$C$10:$C$37,C31,'On-Site Tran.'!$O$10:$O$37)*I31</f>
        <v>25.216878450000003</v>
      </c>
      <c r="Z31" s="118">
        <f>SUMIF(Waste!$C$10:$C$96,C31,Waste!$Q$10:$Q$96)*I31</f>
        <v>356.01961193498005</v>
      </c>
      <c r="AA31" s="118">
        <f ca="1">SUMIF(Wastewater!$C$30:$D$110,C31,Wastewater!$I$30:$I$110)*I31</f>
        <v>53.955602843498554</v>
      </c>
      <c r="AB31" s="118">
        <f>SUMIF('Mix Electricity'!$D$10:$D$104,C31,'Mix Electricity'!$I$10:$I$104)*I31</f>
        <v>72133.260244065095</v>
      </c>
      <c r="AC31" s="118">
        <f>SUMIF(Steam!$D$10:$D$29,C31,Steam!$I$10:$I$29)*I31</f>
        <v>0</v>
      </c>
      <c r="AD31" s="118">
        <f>SUMIF(Air!$D$10:$D$71,C31,Air!$I$10:$I$71)*I31</f>
        <v>2927.2582814231264</v>
      </c>
      <c r="AE31" s="118">
        <f>SUMIF(Oxygen!$D$10:$D$49,C31,Oxygen!$I$10:$I$49)*I31</f>
        <v>9795.0139098334039</v>
      </c>
      <c r="AF31" s="118">
        <f>SUMIF(Nitrogen!$D$10:$D$45,C31,Nitrogen!$I$10:$I$45)*I31</f>
        <v>1998.7891612602209</v>
      </c>
      <c r="AG31" s="118">
        <f>SUMIF(Argon!$D$10:$D$16,C31,Argon!$I$10:$I$16)*I31</f>
        <v>49.620324809612391</v>
      </c>
      <c r="AH31" s="118">
        <f>SUMIF(Water!$D$10:$D$92,C31,Water!$I$10:$I$92)*I31</f>
        <v>3444.6707042956577</v>
      </c>
      <c r="AI31" s="115">
        <f t="shared" ca="1" si="0"/>
        <v>16969600.856369864</v>
      </c>
      <c r="AJ31" s="298">
        <f t="shared" ca="1" si="1"/>
        <v>2.282202044100909</v>
      </c>
      <c r="AK31" s="385" t="s">
        <v>719</v>
      </c>
    </row>
    <row r="32" spans="2:42" x14ac:dyDescent="0.25">
      <c r="B32" s="1130" t="s">
        <v>489</v>
      </c>
      <c r="C32" s="656" t="s">
        <v>624</v>
      </c>
      <c r="D32" s="1075">
        <v>2510</v>
      </c>
      <c r="E32" s="1075" t="s">
        <v>607</v>
      </c>
      <c r="F32" s="490">
        <v>5398881.8660000004</v>
      </c>
      <c r="G32" s="489" t="s">
        <v>299</v>
      </c>
      <c r="H32" s="518" t="s">
        <v>339</v>
      </c>
      <c r="I32" s="366">
        <f>F32/SUM($F$32:$F$34)</f>
        <v>0.73957287193188559</v>
      </c>
      <c r="J32" s="366">
        <f t="shared" si="5"/>
        <v>0.17841113559361491</v>
      </c>
      <c r="K32" s="115">
        <f ca="1">$AI$31*I32</f>
        <v>12550256.440883245</v>
      </c>
      <c r="L32" s="1097">
        <f>SUM(O32:U34)</f>
        <v>2058.4995658272119</v>
      </c>
      <c r="M32" s="1095">
        <f ca="1">SUM(V32:AA34)</f>
        <v>2936.0987491781948</v>
      </c>
      <c r="N32" s="1109">
        <f>SUM(AB32:AH34)</f>
        <v>35631.891557841656</v>
      </c>
      <c r="O32" s="118">
        <f>SUMIFS(Combustion!$P$11:$P$95,Combustion!$C$11:$C$95,C32,Combustion!$H$11:$H$95,$O$9)*$O$10*I32</f>
        <v>692.61056326044195</v>
      </c>
      <c r="P32" s="118">
        <f>SUMIFS(Combustion!$P$11:$P$95,Combustion!$C$11:$C$95,C32,Combustion!$H$11:$H$95,$P$9)*$P$10*I32</f>
        <v>0</v>
      </c>
      <c r="Q32" s="683">
        <v>0</v>
      </c>
      <c r="R32" s="683">
        <f>SUMIF('Purchased Material'!$C$9:$C$170,C32,'Purchased Material'!$K$9:$K$170)*I32</f>
        <v>0</v>
      </c>
      <c r="S32" s="118">
        <f>'Ancillary Input'!$L$310*J32</f>
        <v>137.30629774749977</v>
      </c>
      <c r="T32" s="683">
        <f>'Purchased Services'!$J$179*J32</f>
        <v>692.4935747614287</v>
      </c>
      <c r="U32" s="683">
        <f>SUMIF(Waste!$C$10:$C$96,C32,Waste!$R$10:$R$96)*I32</f>
        <v>0</v>
      </c>
      <c r="V32" s="118">
        <f>SUMIF(Combustion!$C$11:$C$95,C32,Combustion!$P$11:$P$95)*I32</f>
        <v>2057.6665575176526</v>
      </c>
      <c r="W32" s="118">
        <f>SUMIF(Vent!$C$10:$C$16,C32,Vent!$M$10:$M$16)*I32</f>
        <v>0</v>
      </c>
      <c r="X32" s="118">
        <f>Fugitive!$L$99*J32</f>
        <v>91.619386097092899</v>
      </c>
      <c r="Y32" s="118">
        <f>SUMIF('On-Site Tran.'!$C$10:$C$37,C32,'On-Site Tran.'!$O$10:$O$37)*I32</f>
        <v>0</v>
      </c>
      <c r="Z32" s="118">
        <f>SUMIF(Waste!$C$10:$C$96,C32,Waste!$Q$10:$Q$96)*I32</f>
        <v>10.390029990715206</v>
      </c>
      <c r="AA32" s="118">
        <f ca="1">SUMIF(Wastewater!$C$30:$D$110,C32,Wastewater!$I$30:$I$110)*I32</f>
        <v>11.783010599873624</v>
      </c>
      <c r="AB32" s="118">
        <f>SUMIF('Mix Electricity'!$D$10:$D$104,C32,'Mix Electricity'!$I$10:$I$104)*I32</f>
        <v>20015.753324982157</v>
      </c>
      <c r="AC32" s="118">
        <f>SUMIF(Steam!$D$10:$D$29,C32,Steam!$I$10:$I$29)*I32</f>
        <v>0</v>
      </c>
      <c r="AD32" s="118">
        <f>SUMIF(Air!$D$10:$D$71,C32,Air!$I$10:$I$71)*I32</f>
        <v>649.15958119643562</v>
      </c>
      <c r="AE32" s="118">
        <f>SUMIF(Oxygen!$D$10:$D$49,C32,Oxygen!$I$10:$I$49)*I32</f>
        <v>4631.7986406369155</v>
      </c>
      <c r="AF32" s="118">
        <f>SUMIF(Nitrogen!$D$10:$D$45,C32,Nitrogen!$I$10:$I$45)*I32</f>
        <v>491.16056412576336</v>
      </c>
      <c r="AG32" s="118">
        <f>SUMIF(Argon!$D$10:$D$16,C32,Argon!$I$10:$I$16)*I32</f>
        <v>0</v>
      </c>
      <c r="AH32" s="118">
        <f>SUMIF(Water!$D$10:$D$92,C32,Water!$I$10:$I$92)*I32</f>
        <v>564.50826085718631</v>
      </c>
      <c r="AI32" s="115">
        <f t="shared" ca="1" si="0"/>
        <v>12580302.690675018</v>
      </c>
      <c r="AJ32" s="298">
        <f t="shared" ca="1" si="1"/>
        <v>2.330168172395239</v>
      </c>
      <c r="AK32" s="385" t="s">
        <v>718</v>
      </c>
    </row>
    <row r="33" spans="2:37" x14ac:dyDescent="0.25">
      <c r="B33" s="1131"/>
      <c r="C33" s="656" t="s">
        <v>624</v>
      </c>
      <c r="D33" s="1094"/>
      <c r="E33" s="1094"/>
      <c r="F33" s="490">
        <v>1901118</v>
      </c>
      <c r="G33" s="489" t="s">
        <v>299</v>
      </c>
      <c r="H33" s="518" t="s">
        <v>439</v>
      </c>
      <c r="I33" s="366">
        <f t="shared" ref="I33:I34" si="6">F33/SUM($F$32:$F$34)</f>
        <v>0.26042712806811441</v>
      </c>
      <c r="J33" s="366">
        <f t="shared" si="5"/>
        <v>6.2824234664863837E-2</v>
      </c>
      <c r="K33" s="115">
        <f ca="1">$AI$31*I33</f>
        <v>4419344.4154866189</v>
      </c>
      <c r="L33" s="1100"/>
      <c r="M33" s="1099"/>
      <c r="N33" s="1111"/>
      <c r="O33" s="118">
        <f>SUMIFS(Combustion!$P$11:$P$95,Combustion!$C$11:$C$95,C33,Combustion!$H$11:$H$95,$O$9)*$O$10*I33</f>
        <v>243.89020569181775</v>
      </c>
      <c r="P33" s="118">
        <f>SUMIFS(Combustion!$P$11:$P$95,Combustion!$C$11:$C$95,C33,Combustion!$H$11:$H$95,$P$9)*$P$10*I33</f>
        <v>0</v>
      </c>
      <c r="Q33" s="683">
        <v>0</v>
      </c>
      <c r="R33" s="683">
        <f>SUMIF('Purchased Material'!$C$9:$C$170,C33,'Purchased Material'!$K$9:$K$170)*I33</f>
        <v>0</v>
      </c>
      <c r="S33" s="118">
        <f>'Ancillary Input'!$L$310*J33</f>
        <v>48.349914045170785</v>
      </c>
      <c r="T33" s="683">
        <f>'Purchased Services'!$J$179*J33</f>
        <v>243.84901032085259</v>
      </c>
      <c r="U33" s="683">
        <f>SUMIF(Waste!$C$10:$C$96,C33,Waste!$R$10:$R$96)*I33</f>
        <v>0</v>
      </c>
      <c r="V33" s="118">
        <f>SUMIF(Combustion!$C$11:$C$95,C33,Combustion!$P$11:$P$95)*I33</f>
        <v>724.56983271484773</v>
      </c>
      <c r="W33" s="118">
        <f>SUMIF(Vent!$C$10:$C$16,C33,Vent!$M$10:$M$16)*I33</f>
        <v>0</v>
      </c>
      <c r="X33" s="118">
        <f>Fugitive!$L$99*J33</f>
        <v>32.262099520095894</v>
      </c>
      <c r="Y33" s="118">
        <f>SUMIF('On-Site Tran.'!$C$10:$C$37,C33,'On-Site Tran.'!$O$10:$O$37)*I33</f>
        <v>0</v>
      </c>
      <c r="Z33" s="118">
        <f>SUMIF(Waste!$C$10:$C$96,C33,Waste!$Q$10:$Q$96)*I33</f>
        <v>3.6586599829647968</v>
      </c>
      <c r="AA33" s="118">
        <f ca="1">SUMIF(Wastewater!$C$30:$D$110,C33,Wastewater!$I$30:$I$110)*I33</f>
        <v>4.1491727549518016</v>
      </c>
      <c r="AB33" s="118">
        <f>SUMIF('Mix Electricity'!$D$10:$D$104,C33,'Mix Electricity'!$I$10:$I$104)*I33</f>
        <v>7048.1832857506406</v>
      </c>
      <c r="AC33" s="118">
        <f>SUMIF(Steam!$D$10:$D$29,C33,Steam!$I$10:$I$29)*I33</f>
        <v>0</v>
      </c>
      <c r="AD33" s="118">
        <f>SUMIF(Air!$D$10:$D$71,C33,Air!$I$10:$I$71)*I33</f>
        <v>228.58973308103967</v>
      </c>
      <c r="AE33" s="118">
        <f>SUMIF(Oxygen!$D$10:$D$49,C33,Oxygen!$I$10:$I$49)*I33</f>
        <v>1631.0036016058239</v>
      </c>
      <c r="AF33" s="118">
        <f>SUMIF(Nitrogen!$D$10:$D$45,C33,Nitrogen!$I$10:$I$45)*I33</f>
        <v>172.95325449331528</v>
      </c>
      <c r="AG33" s="118">
        <f>SUMIF(Argon!$D$10:$D$16,C33,Argon!$I$10:$I$16)*I33</f>
        <v>0</v>
      </c>
      <c r="AH33" s="118">
        <f>SUMIF(Water!$D$10:$D$92,C33,Water!$I$10:$I$92)*I33</f>
        <v>198.78131111237255</v>
      </c>
      <c r="AI33" s="115">
        <f t="shared" ca="1" si="0"/>
        <v>4429924.6555676926</v>
      </c>
      <c r="AJ33" s="298">
        <f t="shared" ca="1" si="1"/>
        <v>2.3301681723952394</v>
      </c>
      <c r="AK33" s="385" t="s">
        <v>718</v>
      </c>
    </row>
    <row r="34" spans="2:37" x14ac:dyDescent="0.25">
      <c r="B34" s="1132"/>
      <c r="C34" s="656" t="s">
        <v>624</v>
      </c>
      <c r="D34" s="1076"/>
      <c r="E34" s="1076"/>
      <c r="F34" s="490">
        <v>0</v>
      </c>
      <c r="G34" s="489" t="s">
        <v>299</v>
      </c>
      <c r="H34" s="518" t="s">
        <v>441</v>
      </c>
      <c r="I34" s="366">
        <f t="shared" si="6"/>
        <v>0</v>
      </c>
      <c r="J34" s="366">
        <f t="shared" si="5"/>
        <v>0</v>
      </c>
      <c r="K34" s="115">
        <f ca="1">$AI$31*I34</f>
        <v>0</v>
      </c>
      <c r="L34" s="1098"/>
      <c r="M34" s="1096"/>
      <c r="N34" s="1110"/>
      <c r="O34" s="118">
        <f>SUMIFS(Combustion!$P$11:$P$95,Combustion!$C$11:$C$95,C34,Combustion!$H$11:$H$95,$O$9)*$O$10*I34</f>
        <v>0</v>
      </c>
      <c r="P34" s="118">
        <f>SUMIFS(Combustion!$P$11:$P$95,Combustion!$C$11:$C$95,C34,Combustion!$H$11:$H$95,$P$9)*$P$10*I34</f>
        <v>0</v>
      </c>
      <c r="Q34" s="683">
        <v>0</v>
      </c>
      <c r="R34" s="683">
        <f>SUMIF('Purchased Material'!$C$9:$C$170,C34,'Purchased Material'!$K$9:$K$170)*I34</f>
        <v>0</v>
      </c>
      <c r="S34" s="118">
        <f>'Ancillary Input'!$L$310*J34</f>
        <v>0</v>
      </c>
      <c r="T34" s="683">
        <f>'Purchased Services'!$J$179*J34</f>
        <v>0</v>
      </c>
      <c r="U34" s="683">
        <f>SUMIF(Waste!$C$10:$C$96,C34,Waste!$R$10:$R$96)*I34</f>
        <v>0</v>
      </c>
      <c r="V34" s="118">
        <f>SUMIF(Combustion!$C$11:$C$95,C34,Combustion!$P$11:$P$95)*I34</f>
        <v>0</v>
      </c>
      <c r="W34" s="118">
        <f>SUMIF(Vent!$C$10:$C$16,C34,Vent!$M$10:$M$16)*I34</f>
        <v>0</v>
      </c>
      <c r="X34" s="118">
        <f>Fugitive!$L$99*J34</f>
        <v>0</v>
      </c>
      <c r="Y34" s="118">
        <f>SUMIF('On-Site Tran.'!$C$10:$C$37,C34,'On-Site Tran.'!$O$10:$O$37)*I34</f>
        <v>0</v>
      </c>
      <c r="Z34" s="118">
        <f>SUMIF(Waste!$C$10:$C$96,C34,Waste!$Q$10:$Q$96)*I34</f>
        <v>0</v>
      </c>
      <c r="AA34" s="118">
        <f ca="1">SUMIF(Wastewater!$C$30:$D$110,C34,Wastewater!$I$30:$I$110)*I34</f>
        <v>0</v>
      </c>
      <c r="AB34" s="118">
        <f>SUMIF('Mix Electricity'!$D$10:$D$104,C34,'Mix Electricity'!$I$10:$I$104)*I34</f>
        <v>0</v>
      </c>
      <c r="AC34" s="118">
        <f>SUMIF(Steam!$D$10:$D$29,C34,Steam!$I$10:$I$29)*I34</f>
        <v>0</v>
      </c>
      <c r="AD34" s="118">
        <f>SUMIF(Air!$D$10:$D$71,C34,Air!$I$10:$I$71)*I34</f>
        <v>0</v>
      </c>
      <c r="AE34" s="118">
        <f>SUMIF(Oxygen!$D$10:$D$49,C34,Oxygen!$I$10:$I$49)*I34</f>
        <v>0</v>
      </c>
      <c r="AF34" s="118">
        <f>SUMIF(Nitrogen!$D$10:$D$45,C34,Nitrogen!$I$10:$I$45)*I34</f>
        <v>0</v>
      </c>
      <c r="AG34" s="118">
        <f>SUMIF(Argon!$D$10:$D$16,C34,Argon!$I$10:$I$16)*I34</f>
        <v>0</v>
      </c>
      <c r="AH34" s="118">
        <f>SUMIF(Water!$D$10:$D$92,C34,Water!$I$10:$I$92)*I34</f>
        <v>0</v>
      </c>
      <c r="AI34" s="115">
        <f t="shared" ca="1" si="0"/>
        <v>0</v>
      </c>
      <c r="AJ34" s="298" t="e">
        <f t="shared" ca="1" si="1"/>
        <v>#DIV/0!</v>
      </c>
      <c r="AK34" s="385" t="s">
        <v>718</v>
      </c>
    </row>
    <row r="35" spans="2:37" s="497" customFormat="1" ht="13.8" customHeight="1" x14ac:dyDescent="0.25">
      <c r="B35" s="1143" t="s">
        <v>339</v>
      </c>
      <c r="C35" s="656" t="s">
        <v>636</v>
      </c>
      <c r="D35" s="1133" t="s">
        <v>1988</v>
      </c>
      <c r="E35" s="1136" t="s">
        <v>1390</v>
      </c>
      <c r="F35" s="76">
        <v>134527.45000000001</v>
      </c>
      <c r="G35" s="489" t="s">
        <v>299</v>
      </c>
      <c r="H35" s="519" t="s">
        <v>638</v>
      </c>
      <c r="I35" s="366">
        <f>F35/SUM($F$35:$F$40)</f>
        <v>2.5612510096052473E-2</v>
      </c>
      <c r="J35" s="366">
        <f>F35/$F$83</f>
        <v>2.2115099433388845E-2</v>
      </c>
      <c r="K35" s="115">
        <f t="shared" ref="K35:K40" ca="1" si="7">$AI$32*I35</f>
        <v>322213.12967631</v>
      </c>
      <c r="L35" s="1097">
        <f>SUM(O35:U40)</f>
        <v>60043.878979740388</v>
      </c>
      <c r="M35" s="1095">
        <f ca="1">SUM(V35:AA40)</f>
        <v>170103.84396515306</v>
      </c>
      <c r="N35" s="1109">
        <f>SUM(AB35:AH40)</f>
        <v>239717.89611550525</v>
      </c>
      <c r="O35" s="118">
        <f>SUMIFS(Combustion!$P$11:$P$95,Combustion!$C$11:$C$95,C35,Combustion!$H$11:$H$95,$O$9)*$O$10*I35</f>
        <v>1461.4623835305169</v>
      </c>
      <c r="P35" s="118">
        <f>SUMIFS(Combustion!$P$11:$P$95,Combustion!$C$11:$C$95,C35,Combustion!$H$11:$H$95,$P$9)*$P$10*I35</f>
        <v>0</v>
      </c>
      <c r="Q35" s="683">
        <v>0</v>
      </c>
      <c r="R35" s="683">
        <f>SUMIF('Purchased Material'!$C$9:$C$170,C35,'Purchased Material'!$K$9:$K$170)*I35</f>
        <v>1.4631077955742999</v>
      </c>
      <c r="S35" s="118">
        <f>'Ancillary Input'!$L$311*J35</f>
        <v>61.380183152661886</v>
      </c>
      <c r="T35" s="683">
        <f>'Purchased Services'!$J$180*J35</f>
        <v>11.332017753210124</v>
      </c>
      <c r="U35" s="683">
        <f>SUMIF(Waste!$C$10:$C$96,C35,Waste!$R$10:$R$96)*I35</f>
        <v>2.2367643427902149</v>
      </c>
      <c r="V35" s="118">
        <f>SUMIF(Combustion!$C$11:$C$95,C35,Combustion!$P$11:$P$95)*I35</f>
        <v>4341.8371465553091</v>
      </c>
      <c r="W35" s="118">
        <f>SUMIF(Vent!$C$10:$C$16,C35,Vent!$M$10:$M$16)*I35</f>
        <v>0</v>
      </c>
      <c r="X35" s="118">
        <f>Fugitive!$L$100*J35</f>
        <v>14.358905810588098</v>
      </c>
      <c r="Y35" s="118">
        <f>SUMIF('On-Site Tran.'!$C$10:$C$37,C35,'On-Site Tran.'!$O$10:$O$37)*I35</f>
        <v>0</v>
      </c>
      <c r="Z35" s="118">
        <f>SUMIF(Waste!$C$10:$C$96,C35,Waste!$Q$10:$Q$96)*I35</f>
        <v>0</v>
      </c>
      <c r="AA35" s="118">
        <f ca="1">SUMIF(Wastewater!$C$30:$D$110,C35,Wastewater!$I$30:$I$110)*I35</f>
        <v>0.59036856892058553</v>
      </c>
      <c r="AB35" s="118">
        <f>SUMIF('Mix Electricity'!$D$10:$D$104,C35,'Mix Electricity'!$I$10:$I$104)*I35</f>
        <v>5557.0419566652936</v>
      </c>
      <c r="AC35" s="118">
        <f>SUMIF(Steam!$D$10:$D$29,C35,Steam!$I$10:$I$29)*I35</f>
        <v>0</v>
      </c>
      <c r="AD35" s="118">
        <f>SUMIF(Air!$D$10:$D$71,C35,Air!$I$10:$I$71)*I35</f>
        <v>500.72881053690611</v>
      </c>
      <c r="AE35" s="118">
        <f>SUMIF(Oxygen!$D$10:$D$49,C35,Oxygen!$I$10:$I$49)*I35</f>
        <v>8.8530208772968457</v>
      </c>
      <c r="AF35" s="118">
        <f>SUMIF(Nitrogen!$D$10:$D$45,C35,Nitrogen!$I$10:$I$45)*I35</f>
        <v>42.290109780344316</v>
      </c>
      <c r="AG35" s="118">
        <f>SUMIF(Argon!$D$10:$D$16,C35,Argon!$I$10:$I$16)*I35</f>
        <v>0</v>
      </c>
      <c r="AH35" s="118">
        <f>SUMIF(Water!$D$10:$D$92,C35,Water!$I$10:$I$92)*I35</f>
        <v>30.863136602995311</v>
      </c>
      <c r="AI35" s="115">
        <f t="shared" ca="1" si="0"/>
        <v>334247.5675882824</v>
      </c>
      <c r="AJ35" s="298">
        <f t="shared" ca="1" si="1"/>
        <v>2.4846049455949872</v>
      </c>
      <c r="AK35" s="385" t="s">
        <v>718</v>
      </c>
    </row>
    <row r="36" spans="2:37" s="497" customFormat="1" ht="13.8" customHeight="1" x14ac:dyDescent="0.25">
      <c r="B36" s="1144"/>
      <c r="C36" s="656" t="s">
        <v>636</v>
      </c>
      <c r="D36" s="1134"/>
      <c r="E36" s="1136"/>
      <c r="F36" s="76">
        <v>70373.592000000004</v>
      </c>
      <c r="G36" s="489" t="s">
        <v>299</v>
      </c>
      <c r="H36" s="519" t="s">
        <v>639</v>
      </c>
      <c r="I36" s="366">
        <f t="shared" ref="I36:I37" si="8">F36/SUM($F$35:$F$40)</f>
        <v>1.3398338670624304E-2</v>
      </c>
      <c r="J36" s="366">
        <f t="shared" ref="J36:J46" si="9">F36/$F$83</f>
        <v>1.1568783802597446E-2</v>
      </c>
      <c r="K36" s="115">
        <f t="shared" ca="1" si="7"/>
        <v>168555.15602863007</v>
      </c>
      <c r="L36" s="1100"/>
      <c r="M36" s="1099"/>
      <c r="N36" s="1111"/>
      <c r="O36" s="118">
        <f>SUMIFS(Combustion!$P$11:$P$95,Combustion!$C$11:$C$95,C36,Combustion!$H$11:$H$95,$O$9)*$O$10*I36</f>
        <v>764.51577356089115</v>
      </c>
      <c r="P36" s="118">
        <f>SUMIFS(Combustion!$P$11:$P$95,Combustion!$C$11:$C$95,C36,Combustion!$H$11:$H$95,$P$9)*$P$10*I36</f>
        <v>0</v>
      </c>
      <c r="Q36" s="683">
        <v>0</v>
      </c>
      <c r="R36" s="683">
        <f>SUMIF('Purchased Material'!$C$9:$C$170,C36,'Purchased Material'!$K$9:$K$170)*I36</f>
        <v>0.76537651652332062</v>
      </c>
      <c r="S36" s="118">
        <f>'Ancillary Input'!$L$311*J36</f>
        <v>32.1090154170818</v>
      </c>
      <c r="T36" s="683">
        <f>'Purchased Services'!$J$180*J36</f>
        <v>5.927970788869974</v>
      </c>
      <c r="U36" s="683">
        <f>SUMIF(Waste!$C$10:$C$96,C36,Waste!$R$10:$R$96)*I36</f>
        <v>1.1700893851750458</v>
      </c>
      <c r="V36" s="118">
        <f>SUMIF(Combustion!$C$11:$C$95,C36,Combustion!$P$11:$P$95)*I36</f>
        <v>2271.2886915059157</v>
      </c>
      <c r="W36" s="118">
        <f>SUMIF(Vent!$C$10:$C$16,C36,Vent!$M$10:$M$16)*I36</f>
        <v>0</v>
      </c>
      <c r="X36" s="118">
        <f>Fugitive!$L$100*J36</f>
        <v>7.5113872973936253</v>
      </c>
      <c r="Y36" s="118">
        <f>SUMIF('On-Site Tran.'!$C$10:$C$37,C36,'On-Site Tran.'!$O$10:$O$37)*I36</f>
        <v>0</v>
      </c>
      <c r="Z36" s="118">
        <f>SUMIF(Waste!$C$10:$C$96,C36,Waste!$Q$10:$Q$96)*I36</f>
        <v>0</v>
      </c>
      <c r="AA36" s="118">
        <f ca="1">SUMIF(Wastewater!$C$30:$D$110,C36,Wastewater!$I$30:$I$110)*I36</f>
        <v>0.30883181684363425</v>
      </c>
      <c r="AB36" s="118">
        <f>SUMIF('Mix Electricity'!$D$10:$D$104,C36,'Mix Electricity'!$I$10:$I$104)*I36</f>
        <v>2906.982949466782</v>
      </c>
      <c r="AC36" s="118">
        <f>SUMIF(Steam!$D$10:$D$29,C36,Steam!$I$10:$I$29)*I36</f>
        <v>0</v>
      </c>
      <c r="AD36" s="118">
        <f>SUMIF(Air!$D$10:$D$71,C36,Air!$I$10:$I$71)*I36</f>
        <v>261.93973806364079</v>
      </c>
      <c r="AE36" s="118">
        <f>SUMIF(Oxygen!$D$10:$D$49,C36,Oxygen!$I$10:$I$49)*I36</f>
        <v>4.6311654549786692</v>
      </c>
      <c r="AF36" s="118">
        <f>SUMIF(Nitrogen!$D$10:$D$45,C36,Nitrogen!$I$10:$I$45)*I36</f>
        <v>22.122674081142254</v>
      </c>
      <c r="AG36" s="118">
        <f>SUMIF(Argon!$D$10:$D$16,C36,Argon!$I$10:$I$16)*I36</f>
        <v>0</v>
      </c>
      <c r="AH36" s="118">
        <f>SUMIF(Water!$D$10:$D$92,C36,Water!$I$10:$I$92)*I36</f>
        <v>16.145030498529913</v>
      </c>
      <c r="AI36" s="115">
        <f t="shared" ca="1" si="0"/>
        <v>174850.57472248384</v>
      </c>
      <c r="AJ36" s="298">
        <f t="shared" ca="1" si="1"/>
        <v>2.4846049455949872</v>
      </c>
      <c r="AK36" s="385" t="s">
        <v>718</v>
      </c>
    </row>
    <row r="37" spans="2:37" s="497" customFormat="1" ht="13.8" customHeight="1" x14ac:dyDescent="0.25">
      <c r="B37" s="1144"/>
      <c r="C37" s="656" t="s">
        <v>636</v>
      </c>
      <c r="D37" s="1134"/>
      <c r="E37" s="1136"/>
      <c r="F37" s="76">
        <v>1642399</v>
      </c>
      <c r="G37" s="489" t="s">
        <v>299</v>
      </c>
      <c r="H37" s="519" t="s">
        <v>1443</v>
      </c>
      <c r="I37" s="366">
        <f t="shared" si="8"/>
        <v>0.31269425659407413</v>
      </c>
      <c r="J37" s="366">
        <f t="shared" si="9"/>
        <v>0.26999558227185905</v>
      </c>
      <c r="K37" s="115">
        <f t="shared" ca="1" si="7"/>
        <v>3933788.3975890554</v>
      </c>
      <c r="L37" s="1100"/>
      <c r="M37" s="1099"/>
      <c r="N37" s="1111"/>
      <c r="O37" s="118">
        <f>SUMIFS(Combustion!$P$11:$P$95,Combustion!$C$11:$C$95,C37,Combustion!$H$11:$H$95,$O$9)*$O$10*I37</f>
        <v>17842.487590808694</v>
      </c>
      <c r="P37" s="118">
        <f>SUMIFS(Combustion!$P$11:$P$95,Combustion!$C$11:$C$95,C37,Combustion!$H$11:$H$95,$P$9)*$P$10*I37</f>
        <v>0</v>
      </c>
      <c r="Q37" s="683">
        <v>0</v>
      </c>
      <c r="R37" s="683">
        <f>SUMIF('Purchased Material'!$C$9:$C$170,C37,'Purchased Material'!$K$9:$K$170)*I37</f>
        <v>17.862575856031125</v>
      </c>
      <c r="S37" s="118">
        <f>'Ancillary Input'!$L$311*J37</f>
        <v>749.36937725162204</v>
      </c>
      <c r="T37" s="683">
        <f>'Purchased Services'!$J$180*J37</f>
        <v>138.34867624306082</v>
      </c>
      <c r="U37" s="683">
        <f>SUMIF(Waste!$C$10:$C$96,C37,Waste!$R$10:$R$96)*I37</f>
        <v>27.307880435065897</v>
      </c>
      <c r="V37" s="118">
        <f>SUMIF(Combustion!$C$11:$C$95,C37,Combustion!$P$11:$P$95)*I37</f>
        <v>53007.984524089996</v>
      </c>
      <c r="W37" s="118">
        <f>SUMIF(Vent!$C$10:$C$16,C37,Vent!$M$10:$M$16)*I37</f>
        <v>0</v>
      </c>
      <c r="X37" s="118">
        <f>Fugitive!$L$100*J37</f>
        <v>175.30290319488014</v>
      </c>
      <c r="Y37" s="118">
        <f>SUMIF('On-Site Tran.'!$C$10:$C$37,C37,'On-Site Tran.'!$O$10:$O$37)*I37</f>
        <v>0</v>
      </c>
      <c r="Z37" s="118">
        <f>SUMIF(Waste!$C$10:$C$96,C37,Waste!$Q$10:$Q$96)*I37</f>
        <v>0</v>
      </c>
      <c r="AA37" s="118">
        <f ca="1">SUMIF(Wastewater!$C$30:$D$110,C37,Wastewater!$I$30:$I$110)*I37</f>
        <v>7.2076051930412763</v>
      </c>
      <c r="AB37" s="118">
        <f>SUMIF('Mix Electricity'!$D$10:$D$104,C37,'Mix Electricity'!$I$10:$I$104)*I37</f>
        <v>67843.998771887214</v>
      </c>
      <c r="AC37" s="118">
        <f>SUMIF(Steam!$D$10:$D$29,C37,Steam!$I$10:$I$29)*I37</f>
        <v>0</v>
      </c>
      <c r="AD37" s="118">
        <f>SUMIF(Air!$D$10:$D$71,C37,Air!$I$10:$I$71)*I37</f>
        <v>6113.2244586291044</v>
      </c>
      <c r="AE37" s="118">
        <f>SUMIF(Oxygen!$D$10:$D$49,C37,Oxygen!$I$10:$I$49)*I37</f>
        <v>108.08346278660197</v>
      </c>
      <c r="AF37" s="118">
        <f>SUMIF(Nitrogen!$D$10:$D$45,C37,Nitrogen!$I$10:$I$45)*I37</f>
        <v>516.3052894641778</v>
      </c>
      <c r="AG37" s="118">
        <f>SUMIF(Argon!$D$10:$D$16,C37,Argon!$I$10:$I$16)*I37</f>
        <v>0</v>
      </c>
      <c r="AH37" s="118">
        <f>SUMIF(Water!$D$10:$D$92,C37,Water!$I$10:$I$92)*I37</f>
        <v>376.797335366298</v>
      </c>
      <c r="AI37" s="115">
        <f t="shared" ca="1" si="0"/>
        <v>4080712.6780402614</v>
      </c>
      <c r="AJ37" s="298">
        <f t="shared" ca="1" si="1"/>
        <v>2.4846049455949872</v>
      </c>
      <c r="AK37" s="385" t="s">
        <v>718</v>
      </c>
    </row>
    <row r="38" spans="2:37" s="497" customFormat="1" ht="13.8" customHeight="1" x14ac:dyDescent="0.25">
      <c r="B38" s="1144"/>
      <c r="C38" s="656" t="s">
        <v>636</v>
      </c>
      <c r="D38" s="1134"/>
      <c r="E38" s="1136"/>
      <c r="F38" s="76">
        <v>182761.223</v>
      </c>
      <c r="G38" s="489" t="s">
        <v>299</v>
      </c>
      <c r="H38" s="447" t="s">
        <v>640</v>
      </c>
      <c r="I38" s="366">
        <f>F38/SUM($F$35:$F$40)</f>
        <v>3.4795676787558204E-2</v>
      </c>
      <c r="J38" s="366">
        <f t="shared" si="9"/>
        <v>3.0044296678579368E-2</v>
      </c>
      <c r="K38" s="115">
        <f t="shared" ca="1" si="7"/>
        <v>437740.14631437673</v>
      </c>
      <c r="L38" s="1100"/>
      <c r="M38" s="1099"/>
      <c r="N38" s="1111"/>
      <c r="O38" s="118">
        <f>SUMIFS(Combustion!$P$11:$P$95,Combustion!$C$11:$C$95,C38,Combustion!$H$11:$H$95,$O$9)*$O$10*I38</f>
        <v>1985.4583773239758</v>
      </c>
      <c r="P38" s="118">
        <f>SUMIFS(Combustion!$P$11:$P$95,Combustion!$C$11:$C$95,C38,Combustion!$H$11:$H$95,$P$9)*$P$10*I38</f>
        <v>0</v>
      </c>
      <c r="Q38" s="683">
        <v>0</v>
      </c>
      <c r="R38" s="683">
        <f>SUMIF('Purchased Material'!$C$9:$C$170,C38,'Purchased Material'!$K$9:$K$170)*I38</f>
        <v>1.9876937390844249</v>
      </c>
      <c r="S38" s="118">
        <f>'Ancillary Input'!$L$311*J38</f>
        <v>83.387571391150885</v>
      </c>
      <c r="T38" s="683">
        <f>'Purchased Services'!$J$180*J38</f>
        <v>15.395024759886509</v>
      </c>
      <c r="U38" s="683">
        <f>SUMIF(Waste!$C$10:$C$96,C38,Waste!$R$10:$R$96)*I38</f>
        <v>3.0387388362087506</v>
      </c>
      <c r="V38" s="118">
        <f>SUMIF(Combustion!$C$11:$C$95,C38,Combustion!$P$11:$P$95)*I38</f>
        <v>5898.569154260178</v>
      </c>
      <c r="W38" s="118">
        <f>SUMIF(Vent!$C$10:$C$16,C38,Vent!$M$10:$M$16)*I38</f>
        <v>0</v>
      </c>
      <c r="X38" s="118">
        <f>Fugitive!$L$100*J38</f>
        <v>19.50718003563501</v>
      </c>
      <c r="Y38" s="118">
        <f>SUMIF('On-Site Tran.'!$C$10:$C$37,C38,'On-Site Tran.'!$O$10:$O$37)*I38</f>
        <v>0</v>
      </c>
      <c r="Z38" s="118">
        <f>SUMIF(Waste!$C$10:$C$96,C38,Waste!$Q$10:$Q$96)*I38</f>
        <v>0</v>
      </c>
      <c r="AA38" s="118">
        <f ca="1">SUMIF(Wastewater!$C$30:$D$110,C38,Wastewater!$I$30:$I$110)*I38</f>
        <v>0.80204063688627114</v>
      </c>
      <c r="AB38" s="118">
        <f>SUMIF('Mix Electricity'!$D$10:$D$104,C38,'Mix Electricity'!$I$10:$I$104)*I38</f>
        <v>7549.4762166566143</v>
      </c>
      <c r="AC38" s="118">
        <f>SUMIF(Steam!$D$10:$D$29,C38,Steam!$I$10:$I$29)*I38</f>
        <v>0</v>
      </c>
      <c r="AD38" s="118">
        <f>SUMIF(Air!$D$10:$D$71,C38,Air!$I$10:$I$71)*I38</f>
        <v>680.26123891488498</v>
      </c>
      <c r="AE38" s="118">
        <f>SUMIF(Oxygen!$D$10:$D$49,C38,Oxygen!$I$10:$I$49)*I38</f>
        <v>12.027202796004117</v>
      </c>
      <c r="AF38" s="118">
        <f>SUMIF(Nitrogen!$D$10:$D$45,C38,Nitrogen!$I$10:$I$45)*I38</f>
        <v>57.452900387690299</v>
      </c>
      <c r="AG38" s="118">
        <f>SUMIF(Argon!$D$10:$D$16,C38,Argon!$I$10:$I$16)*I38</f>
        <v>0</v>
      </c>
      <c r="AH38" s="118">
        <f>SUMIF(Water!$D$10:$D$92,C38,Water!$I$10:$I$92)*I38</f>
        <v>41.928874673380697</v>
      </c>
      <c r="AI38" s="115">
        <f t="shared" ca="1" si="0"/>
        <v>454089.43852878833</v>
      </c>
      <c r="AJ38" s="298">
        <f t="shared" ca="1" si="1"/>
        <v>2.4846049455949872</v>
      </c>
      <c r="AK38" s="385" t="s">
        <v>718</v>
      </c>
    </row>
    <row r="39" spans="2:37" s="497" customFormat="1" ht="13.8" customHeight="1" x14ac:dyDescent="0.25">
      <c r="B39" s="1144"/>
      <c r="C39" s="656" t="s">
        <v>636</v>
      </c>
      <c r="D39" s="1134"/>
      <c r="E39" s="1136"/>
      <c r="F39" s="76">
        <v>471425.06400000001</v>
      </c>
      <c r="G39" s="489" t="s">
        <v>299</v>
      </c>
      <c r="H39" s="519" t="s">
        <v>641</v>
      </c>
      <c r="I39" s="366">
        <f>F39/SUM($F$35:$F$40)</f>
        <v>8.9754018315460385E-2</v>
      </c>
      <c r="J39" s="366">
        <f t="shared" si="9"/>
        <v>7.7498028586371767E-2</v>
      </c>
      <c r="K39" s="115">
        <f t="shared" ca="1" si="7"/>
        <v>1129132.7181128811</v>
      </c>
      <c r="L39" s="1100"/>
      <c r="M39" s="1099"/>
      <c r="N39" s="1111"/>
      <c r="O39" s="118">
        <f>SUMIFS(Combustion!$P$11:$P$95,Combustion!$C$11:$C$95,C39,Combustion!$H$11:$H$95,$O$9)*$O$10*I39</f>
        <v>5121.4082902000027</v>
      </c>
      <c r="P39" s="118">
        <f>SUMIFS(Combustion!$P$11:$P$95,Combustion!$C$11:$C$95,C39,Combustion!$H$11:$H$95,$P$9)*$P$10*I39</f>
        <v>0</v>
      </c>
      <c r="Q39" s="683">
        <v>0</v>
      </c>
      <c r="R39" s="683">
        <f>SUMIF('Purchased Material'!$C$9:$C$170,C39,'Purchased Material'!$K$9:$K$170)*I39</f>
        <v>5.1271743139969805</v>
      </c>
      <c r="S39" s="118">
        <f>'Ancillary Input'!$L$311*J39</f>
        <v>215.09481352003138</v>
      </c>
      <c r="T39" s="683">
        <f>'Purchased Services'!$J$180*J39</f>
        <v>39.710833696440524</v>
      </c>
      <c r="U39" s="683">
        <f>SUMIF(Waste!$C$10:$C$96,C39,Waste!$R$10:$R$96)*I39</f>
        <v>7.8383019484335339</v>
      </c>
      <c r="V39" s="118">
        <f>SUMIF(Combustion!$C$11:$C$95,C39,Combustion!$P$11:$P$95)*I39</f>
        <v>15215.116726678558</v>
      </c>
      <c r="W39" s="118">
        <f>SUMIF(Vent!$C$10:$C$16,C39,Vent!$M$10:$M$16)*I39</f>
        <v>0</v>
      </c>
      <c r="X39" s="118">
        <f>Fugitive!$L$100*J39</f>
        <v>50.317969237701782</v>
      </c>
      <c r="Y39" s="118">
        <f>SUMIF('On-Site Tran.'!$C$10:$C$37,C39,'On-Site Tran.'!$O$10:$O$37)*I39</f>
        <v>0</v>
      </c>
      <c r="Z39" s="118">
        <f>SUMIF(Waste!$C$10:$C$96,C39,Waste!$Q$10:$Q$96)*I39</f>
        <v>0</v>
      </c>
      <c r="AA39" s="118">
        <f ca="1">SUMIF(Wastewater!$C$30:$D$110,C39,Wastewater!$I$30:$I$110)*I39</f>
        <v>2.0688308623033844</v>
      </c>
      <c r="AB39" s="118">
        <f>SUMIF('Mix Electricity'!$D$10:$D$104,C39,'Mix Electricity'!$I$10:$I$104)*I39</f>
        <v>19473.563648694901</v>
      </c>
      <c r="AC39" s="118">
        <f>SUMIF(Steam!$D$10:$D$29,C39,Steam!$I$10:$I$29)*I39</f>
        <v>0</v>
      </c>
      <c r="AD39" s="118">
        <f>SUMIF(Air!$D$10:$D$71,C39,Air!$I$10:$I$71)*I39</f>
        <v>1754.7059098645279</v>
      </c>
      <c r="AE39" s="118">
        <f>SUMIF(Oxygen!$D$10:$D$49,C39,Oxygen!$I$10:$I$49)*I39</f>
        <v>31.023675344124939</v>
      </c>
      <c r="AF39" s="118">
        <f>SUMIF(Nitrogen!$D$10:$D$45,C39,Nitrogen!$I$10:$I$45)*I39</f>
        <v>148.19739547405263</v>
      </c>
      <c r="AG39" s="118">
        <f>SUMIF(Argon!$D$10:$D$16,C39,Argon!$I$10:$I$16)*I39</f>
        <v>0</v>
      </c>
      <c r="AH39" s="118">
        <f>SUMIF(Water!$D$10:$D$92,C39,Water!$I$10:$I$92)*I39</f>
        <v>108.15380911708209</v>
      </c>
      <c r="AI39" s="115">
        <f t="shared" ca="1" si="0"/>
        <v>1171305.0454918332</v>
      </c>
      <c r="AJ39" s="298">
        <f t="shared" ca="1" si="1"/>
        <v>2.4846049455949868</v>
      </c>
      <c r="AK39" s="385" t="s">
        <v>718</v>
      </c>
    </row>
    <row r="40" spans="2:37" s="497" customFormat="1" ht="13.8" customHeight="1" x14ac:dyDescent="0.25">
      <c r="B40" s="1145"/>
      <c r="C40" s="656" t="s">
        <v>636</v>
      </c>
      <c r="D40" s="1135"/>
      <c r="E40" s="1136"/>
      <c r="F40" s="76">
        <v>2750925.4609999992</v>
      </c>
      <c r="G40" s="489" t="s">
        <v>299</v>
      </c>
      <c r="H40" s="518" t="s">
        <v>439</v>
      </c>
      <c r="I40" s="366">
        <f>F40/SUM($F$35:$F$40)</f>
        <v>0.52374519953623055</v>
      </c>
      <c r="J40" s="366">
        <f t="shared" si="9"/>
        <v>0.45222733430133422</v>
      </c>
      <c r="K40" s="115">
        <f t="shared" ca="1" si="7"/>
        <v>6588873.1429537656</v>
      </c>
      <c r="L40" s="1098"/>
      <c r="M40" s="1096"/>
      <c r="N40" s="1110"/>
      <c r="O40" s="118">
        <f>SUMIFS(Combustion!$P$11:$P$95,Combustion!$C$11:$C$95,C40,Combustion!$H$11:$H$95,$O$9)*$O$10*I40</f>
        <v>29885.157870366565</v>
      </c>
      <c r="P40" s="118">
        <f>SUMIFS(Combustion!$P$11:$P$95,Combustion!$C$11:$C$95,C40,Combustion!$H$11:$H$95,$P$9)*$P$10*I40</f>
        <v>0</v>
      </c>
      <c r="Q40" s="683">
        <v>0</v>
      </c>
      <c r="R40" s="683">
        <f>SUMIF('Purchased Material'!$C$9:$C$170,C40,'Purchased Material'!$K$9:$K$170)*I40</f>
        <v>29.918804578789857</v>
      </c>
      <c r="S40" s="118">
        <f>'Ancillary Input'!$L$311*J40</f>
        <v>1255.1513362923386</v>
      </c>
      <c r="T40" s="683">
        <f>'Purchased Services'!$J$180*J40</f>
        <v>231.72621024043593</v>
      </c>
      <c r="U40" s="683">
        <f>SUMIF(Waste!$C$10:$C$96,C40,Waste!$R$10:$R$96)*I40</f>
        <v>45.739155695276558</v>
      </c>
      <c r="V40" s="118">
        <f>SUMIF(Combustion!$C$11:$C$95,C40,Combustion!$P$11:$P$95)*I40</f>
        <v>88785.376917310059</v>
      </c>
      <c r="W40" s="118">
        <f>SUMIF(Vent!$C$10:$C$16,C40,Vent!$M$10:$M$16)*I40</f>
        <v>0</v>
      </c>
      <c r="X40" s="118">
        <f>Fugitive!$L$100*J40</f>
        <v>293.62245093062887</v>
      </c>
      <c r="Y40" s="118">
        <f>SUMIF('On-Site Tran.'!$C$10:$C$37,C40,'On-Site Tran.'!$O$10:$O$37)*I40</f>
        <v>0</v>
      </c>
      <c r="Z40" s="118">
        <f>SUMIF(Waste!$C$10:$C$96,C40,Waste!$Q$10:$Q$96)*I40</f>
        <v>0</v>
      </c>
      <c r="AA40" s="118">
        <f ca="1">SUMIF(Wastewater!$C$30:$D$110,C40,Wastewater!$I$30:$I$110)*I40</f>
        <v>12.072331168231997</v>
      </c>
      <c r="AB40" s="118">
        <f>SUMIF('Mix Electricity'!$D$10:$D$104,C40,'Mix Electricity'!$I$10:$I$104)*I40</f>
        <v>113634.8619291885</v>
      </c>
      <c r="AC40" s="118">
        <f>SUMIF(Steam!$D$10:$D$29,C40,Steam!$I$10:$I$29)*I40</f>
        <v>0</v>
      </c>
      <c r="AD40" s="118">
        <f>SUMIF(Air!$D$10:$D$71,C40,Air!$I$10:$I$71)*I40</f>
        <v>10239.305316217766</v>
      </c>
      <c r="AE40" s="118">
        <f>SUMIF(Oxygen!$D$10:$D$49,C40,Oxygen!$I$10:$I$49)*I40</f>
        <v>181.03368894690593</v>
      </c>
      <c r="AF40" s="118">
        <f>SUMIF(Nitrogen!$D$10:$D$45,C40,Nitrogen!$I$10:$I$45)*I40</f>
        <v>864.78216708362686</v>
      </c>
      <c r="AG40" s="118">
        <f>SUMIF(Argon!$D$10:$D$16,C40,Argon!$I$10:$I$16)*I40</f>
        <v>0</v>
      </c>
      <c r="AH40" s="118">
        <f>SUMIF(Water!$D$10:$D$92,C40,Water!$I$10:$I$92)*I40</f>
        <v>631.11423198388752</v>
      </c>
      <c r="AI40" s="115">
        <f t="shared" ca="1" si="0"/>
        <v>6834963.0053637689</v>
      </c>
      <c r="AJ40" s="298">
        <f t="shared" ca="1" si="1"/>
        <v>2.4846049455949877</v>
      </c>
      <c r="AK40" s="385" t="s">
        <v>718</v>
      </c>
    </row>
    <row r="41" spans="2:37" s="497" customFormat="1" ht="13.8" x14ac:dyDescent="0.25">
      <c r="B41" s="1143" t="s">
        <v>339</v>
      </c>
      <c r="C41" s="656" t="s">
        <v>638</v>
      </c>
      <c r="D41" s="1133" t="s">
        <v>1437</v>
      </c>
      <c r="E41" s="499" t="s">
        <v>1408</v>
      </c>
      <c r="F41" s="76">
        <v>108972</v>
      </c>
      <c r="G41" s="489" t="s">
        <v>299</v>
      </c>
      <c r="H41" s="518" t="s">
        <v>439</v>
      </c>
      <c r="I41" s="366">
        <f>F41/SUM($F$41:$F$42)</f>
        <v>0.89187530180139629</v>
      </c>
      <c r="J41" s="366">
        <f t="shared" si="9"/>
        <v>1.7914013946263376E-2</v>
      </c>
      <c r="K41" s="115">
        <f ca="1">$AI$35*I41</f>
        <v>298107.15021918196</v>
      </c>
      <c r="L41" s="1097">
        <f>SUM(O41:U42)</f>
        <v>1188.3479055085211</v>
      </c>
      <c r="M41" s="1095">
        <f ca="1">SUM(V41:AA42)</f>
        <v>3347.2893501940707</v>
      </c>
      <c r="N41" s="1109">
        <f>SUM(AB41:AH42)</f>
        <v>14943.224386543199</v>
      </c>
      <c r="O41" s="118">
        <f>SUMIFS(Combustion!$P$11:$P$95,Combustion!$C$11:$C$95,C41,Combustion!$H$11:$H$95,$O$9)*$O$10*I41</f>
        <v>1000.9586883799183</v>
      </c>
      <c r="P41" s="118">
        <f>SUMIFS(Combustion!$P$11:$P$95,Combustion!$C$11:$C$95,C41,Combustion!$H$11:$H$95,$P$9)*$P$10*I41</f>
        <v>0</v>
      </c>
      <c r="Q41" s="683">
        <v>0</v>
      </c>
      <c r="R41" s="683">
        <f>SUMIF('Purchased Material'!$C$9:$C$170,C41,'Purchased Material'!$K$9:$K$170)*I41</f>
        <v>0</v>
      </c>
      <c r="S41" s="118">
        <f>'Ancillary Input'!$L$311*J41</f>
        <v>49.720122685086729</v>
      </c>
      <c r="T41" s="683">
        <f>'Purchased Services'!$J$180*J41</f>
        <v>9.1793358054643388</v>
      </c>
      <c r="U41" s="683">
        <f>SUMIF(Waste!$C$10:$C$96,C41,Waste!$R$10:$R$96)*I41</f>
        <v>0</v>
      </c>
      <c r="V41" s="118">
        <f>SUMIF(Combustion!$C$11:$C$95,C41,Combustion!$P$11:$P$95)*I41</f>
        <v>2973.7334770645225</v>
      </c>
      <c r="W41" s="118">
        <f>SUMIF(Vent!$C$10:$C$16,C41,Vent!$M$10:$M$16)*I41</f>
        <v>0</v>
      </c>
      <c r="X41" s="118">
        <f>Fugitive!$L$100*J41</f>
        <v>11.631222356414293</v>
      </c>
      <c r="Y41" s="118">
        <f>SUMIF('On-Site Tran.'!$C$10:$C$37,C41,'On-Site Tran.'!$O$10:$O$37)*I41</f>
        <v>0</v>
      </c>
      <c r="Z41" s="118">
        <f>SUMIF(Waste!$C$10:$C$96,C41,Waste!$Q$10:$Q$96)*I41</f>
        <v>0</v>
      </c>
      <c r="AA41" s="118">
        <f ca="1">SUMIF(Wastewater!$C$30:$D$110,C41,Wastewater!$I$30:$I$110)*I41</f>
        <v>0</v>
      </c>
      <c r="AB41" s="118">
        <f>SUMIF('Mix Electricity'!$D$10:$D$104,C41,'Mix Electricity'!$I$10:$I$104)*I41</f>
        <v>12035.163491871172</v>
      </c>
      <c r="AC41" s="118">
        <f>SUMIF(Steam!$D$10:$D$29,C41,Steam!$I$10:$I$29)*I41</f>
        <v>0</v>
      </c>
      <c r="AD41" s="118">
        <f>SUMIF(Air!$D$10:$D$71,C41,Air!$I$10:$I$71)*I41</f>
        <v>1132.2279045980222</v>
      </c>
      <c r="AE41" s="118">
        <f>SUMIF(Oxygen!$D$10:$D$49,C41,Oxygen!$I$10:$I$49)*I41</f>
        <v>154.13933732348482</v>
      </c>
      <c r="AF41" s="118">
        <f>SUMIF(Nitrogen!$D$10:$D$45,C41,Nitrogen!$I$10:$I$45)*I41</f>
        <v>5.962025841523344</v>
      </c>
      <c r="AG41" s="118">
        <f>SUMIF(Argon!$D$10:$D$16,C41,Argon!$I$10:$I$16)*I41</f>
        <v>0</v>
      </c>
      <c r="AH41" s="118">
        <f>SUMIF(Water!$D$10:$D$92,C41,Water!$I$10:$I$92)*I41</f>
        <v>0</v>
      </c>
      <c r="AI41" s="115">
        <f t="shared" ca="1" si="0"/>
        <v>315479.86582510755</v>
      </c>
      <c r="AJ41" s="298">
        <f t="shared" ca="1" si="1"/>
        <v>2.8950543793369632</v>
      </c>
      <c r="AK41" s="385" t="s">
        <v>718</v>
      </c>
    </row>
    <row r="42" spans="2:37" s="497" customFormat="1" ht="13.8" x14ac:dyDescent="0.25">
      <c r="B42" s="1145"/>
      <c r="C42" s="656" t="s">
        <v>638</v>
      </c>
      <c r="D42" s="1135"/>
      <c r="E42" s="499" t="s">
        <v>1401</v>
      </c>
      <c r="F42" s="76">
        <v>13211</v>
      </c>
      <c r="G42" s="489" t="s">
        <v>299</v>
      </c>
      <c r="H42" s="518" t="s">
        <v>439</v>
      </c>
      <c r="I42" s="366">
        <f>F42/SUM($F$41:$F$42)</f>
        <v>0.10812469819860374</v>
      </c>
      <c r="J42" s="366">
        <f t="shared" si="9"/>
        <v>2.1717692457152798E-3</v>
      </c>
      <c r="K42" s="115">
        <f ca="1">$AI$35*I42</f>
        <v>36140.41736910044</v>
      </c>
      <c r="L42" s="1098"/>
      <c r="M42" s="1096"/>
      <c r="N42" s="1110"/>
      <c r="O42" s="118">
        <f>SUMIFS(Combustion!$P$11:$P$95,Combustion!$C$11:$C$95,C42,Combustion!$H$11:$H$95,$O$9)*$O$10*I42</f>
        <v>121.34920192514683</v>
      </c>
      <c r="P42" s="118">
        <f>SUMIFS(Combustion!$P$11:$P$95,Combustion!$C$11:$C$95,C42,Combustion!$H$11:$H$95,$P$9)*$P$10*I42</f>
        <v>0</v>
      </c>
      <c r="Q42" s="683">
        <v>0</v>
      </c>
      <c r="R42" s="683">
        <f>SUMIF('Purchased Material'!$C$9:$C$170,C42,'Purchased Material'!$K$9:$K$170)*I42</f>
        <v>0</v>
      </c>
      <c r="S42" s="118">
        <f>'Ancillary Input'!$L$311*J42</f>
        <v>6.0277185037686811</v>
      </c>
      <c r="T42" s="683">
        <f>'Purchased Services'!$J$180*J42</f>
        <v>1.1128382091361944</v>
      </c>
      <c r="U42" s="683">
        <f>SUMIF(Waste!$C$10:$C$96,C42,Waste!$R$10:$R$96)*I42</f>
        <v>0</v>
      </c>
      <c r="V42" s="118">
        <f>SUMIF(Combustion!$C$11:$C$95,C42,Combustion!$P$11:$P$95)*I42</f>
        <v>360.51456305747718</v>
      </c>
      <c r="W42" s="118">
        <f>SUMIF(Vent!$C$10:$C$16,C42,Vent!$M$10:$M$16)*I42</f>
        <v>0</v>
      </c>
      <c r="X42" s="118">
        <f>Fugitive!$L$100*J42</f>
        <v>1.4100877156571343</v>
      </c>
      <c r="Y42" s="118">
        <f>SUMIF('On-Site Tran.'!$C$10:$C$37,C42,'On-Site Tran.'!$O$10:$O$37)*I42</f>
        <v>0</v>
      </c>
      <c r="Z42" s="118">
        <f>SUMIF(Waste!$C$10:$C$96,C42,Waste!$Q$10:$Q$96)*I42</f>
        <v>0</v>
      </c>
      <c r="AA42" s="118">
        <f ca="1">SUMIF(Wastewater!$C$30:$D$110,C42,Wastewater!$I$30:$I$110)*I42</f>
        <v>0</v>
      </c>
      <c r="AB42" s="118">
        <f>SUMIF('Mix Electricity'!$D$10:$D$104,C42,'Mix Electricity'!$I$10:$I$104)*I42</f>
        <v>1459.0587021538565</v>
      </c>
      <c r="AC42" s="118">
        <f>SUMIF(Steam!$D$10:$D$29,C42,Steam!$I$10:$I$29)*I42</f>
        <v>0</v>
      </c>
      <c r="AD42" s="118">
        <f>SUMIF(Air!$D$10:$D$71,C42,Air!$I$10:$I$71)*I42</f>
        <v>137.26335983229151</v>
      </c>
      <c r="AE42" s="118">
        <f>SUMIF(Oxygen!$D$10:$D$49,C42,Oxygen!$I$10:$I$49)*I42</f>
        <v>18.686770779471406</v>
      </c>
      <c r="AF42" s="118">
        <f>SUMIF(Nitrogen!$D$10:$D$45,C42,Nitrogen!$I$10:$I$45)*I42</f>
        <v>0.72279414337962866</v>
      </c>
      <c r="AG42" s="118">
        <f>SUMIF(Argon!$D$10:$D$16,C42,Argon!$I$10:$I$16)*I42</f>
        <v>0</v>
      </c>
      <c r="AH42" s="118">
        <f>SUMIF(Water!$D$10:$D$92,C42,Water!$I$10:$I$92)*I42</f>
        <v>0</v>
      </c>
      <c r="AI42" s="115">
        <f t="shared" ca="1" si="0"/>
        <v>38246.563405420624</v>
      </c>
      <c r="AJ42" s="298">
        <f t="shared" ca="1" si="1"/>
        <v>2.8950543793369636</v>
      </c>
      <c r="AK42" s="385" t="s">
        <v>718</v>
      </c>
    </row>
    <row r="43" spans="2:37" s="497" customFormat="1" ht="13.8" x14ac:dyDescent="0.25">
      <c r="B43" s="509" t="s">
        <v>339</v>
      </c>
      <c r="C43" s="657" t="s">
        <v>639</v>
      </c>
      <c r="D43" s="447">
        <v>3430</v>
      </c>
      <c r="E43" s="499" t="s">
        <v>1407</v>
      </c>
      <c r="F43" s="76">
        <v>68614</v>
      </c>
      <c r="G43" s="489" t="s">
        <v>299</v>
      </c>
      <c r="H43" s="518" t="s">
        <v>439</v>
      </c>
      <c r="I43" s="366">
        <v>1</v>
      </c>
      <c r="J43" s="366">
        <f t="shared" si="9"/>
        <v>1.1279522748127182E-2</v>
      </c>
      <c r="K43" s="115">
        <f ca="1">AI36</f>
        <v>174850.57472248384</v>
      </c>
      <c r="L43" s="557">
        <f>SUM(O43:U43)</f>
        <v>214.29237454296018</v>
      </c>
      <c r="M43" s="558">
        <f ca="1">SUM(V43:AA43)</f>
        <v>533.78361522816988</v>
      </c>
      <c r="N43" s="559">
        <f>SUM(AB43:AH43)</f>
        <v>9012.6670826557747</v>
      </c>
      <c r="O43" s="118">
        <f>SUMIFS(Combustion!$P$11:$P$95,Combustion!$C$11:$C$95,C43,Combustion!$H$11:$H$95,$O$9)*$O$10*I43</f>
        <v>177.20644930647126</v>
      </c>
      <c r="P43" s="118">
        <f>SUMIFS(Combustion!$P$11:$P$95,Combustion!$C$11:$C$95,C43,Combustion!$H$11:$H$95,$P$9)*$P$10*I43</f>
        <v>0</v>
      </c>
      <c r="Q43" s="683">
        <v>0</v>
      </c>
      <c r="R43" s="683">
        <f>SUMIF('Purchased Material'!$C$9:$C$170,C43,'Purchased Material'!$K$9:$K$170)*I43</f>
        <v>0</v>
      </c>
      <c r="S43" s="118">
        <f>'Ancillary Input'!$L$311*J43</f>
        <v>31.306174961591424</v>
      </c>
      <c r="T43" s="683">
        <f>'Purchased Services'!$J$180*J43</f>
        <v>5.7797502748974976</v>
      </c>
      <c r="U43" s="683">
        <f>SUMIF(Waste!$C$10:$C$96,C43,Waste!$R$10:$R$96)*I43</f>
        <v>0</v>
      </c>
      <c r="V43" s="118">
        <f>SUMIF(Combustion!$C$11:$C$95,C43,Combustion!$P$11:$P$95)*I43</f>
        <v>526.46003953200011</v>
      </c>
      <c r="W43" s="118">
        <f>SUMIF(Vent!$C$10:$C$16,C43,Vent!$M$10:$M$16)*I43</f>
        <v>0</v>
      </c>
      <c r="X43" s="118">
        <f>Fugitive!$L$100*J43</f>
        <v>7.3235756961697529</v>
      </c>
      <c r="Y43" s="118">
        <f>SUMIF('On-Site Tran.'!$C$10:$C$37,C43,'On-Site Tran.'!$O$10:$O$37)*I43</f>
        <v>0</v>
      </c>
      <c r="Z43" s="118">
        <f>SUMIF(Waste!$C$10:$C$96,C43,Waste!$Q$10:$Q$96)*I43</f>
        <v>0</v>
      </c>
      <c r="AA43" s="118">
        <f ca="1">SUMIF(Wastewater!$C$30:$D$110,C43,Wastewater!$I$30:$I$110)*I43</f>
        <v>0</v>
      </c>
      <c r="AB43" s="118">
        <f>SUMIF('Mix Electricity'!$D$10:$D$104,C43,'Mix Electricity'!$I$10:$I$104)*I43</f>
        <v>8466.9629452706067</v>
      </c>
      <c r="AC43" s="118">
        <f>SUMIF(Steam!$D$10:$D$29,C43,Steam!$I$10:$I$29)*I43</f>
        <v>0</v>
      </c>
      <c r="AD43" s="118">
        <f>SUMIF(Air!$D$10:$D$71,C43,Air!$I$10:$I$71)*I43</f>
        <v>507.79650577212544</v>
      </c>
      <c r="AE43" s="118">
        <f>SUMIF(Oxygen!$D$10:$D$49,C43,Oxygen!$I$10:$I$49)*I43</f>
        <v>34.565221620591245</v>
      </c>
      <c r="AF43" s="118">
        <f>SUMIF(Nitrogen!$D$10:$D$45,C43,Nitrogen!$I$10:$I$45)*I43</f>
        <v>3.3424099924514863</v>
      </c>
      <c r="AG43" s="118">
        <f>SUMIF(Argon!$D$10:$D$16,C43,Argon!$I$10:$I$16)*I43</f>
        <v>0</v>
      </c>
      <c r="AH43" s="118">
        <f>SUMIF(Water!$D$10:$D$92,C43,Water!$I$10:$I$92)*I43</f>
        <v>0</v>
      </c>
      <c r="AI43" s="115">
        <f t="shared" ca="1" si="0"/>
        <v>184611.31779491075</v>
      </c>
      <c r="AJ43" s="298">
        <f t="shared" ca="1" si="1"/>
        <v>2.6905779840107082</v>
      </c>
      <c r="AK43" s="385" t="s">
        <v>718</v>
      </c>
    </row>
    <row r="44" spans="2:37" s="497" customFormat="1" ht="13.8" x14ac:dyDescent="0.25">
      <c r="B44" s="509" t="s">
        <v>339</v>
      </c>
      <c r="C44" s="657" t="s">
        <v>640</v>
      </c>
      <c r="D44" s="447">
        <v>3440</v>
      </c>
      <c r="E44" s="499" t="s">
        <v>1406</v>
      </c>
      <c r="F44" s="76">
        <v>176922</v>
      </c>
      <c r="G44" s="489" t="s">
        <v>299</v>
      </c>
      <c r="H44" s="518" t="s">
        <v>439</v>
      </c>
      <c r="I44" s="366">
        <v>1</v>
      </c>
      <c r="J44" s="366">
        <f t="shared" si="9"/>
        <v>2.908438108322146E-2</v>
      </c>
      <c r="K44" s="115">
        <f ca="1">AI38</f>
        <v>454089.43852878833</v>
      </c>
      <c r="L44" s="557">
        <f>SUM(O44:U44)</f>
        <v>272.8329404699378</v>
      </c>
      <c r="M44" s="558">
        <f ca="1">SUM(V44:AA44)</f>
        <v>545.34396496001398</v>
      </c>
      <c r="N44" s="559">
        <f>SUM(AB44:AH44)</f>
        <v>13446.575112408924</v>
      </c>
      <c r="O44" s="118">
        <f>SUMIFS(Combustion!$P$11:$P$95,Combustion!$C$11:$C$95,C44,Combustion!$H$11:$H$95,$O$9)*$O$10*I44</f>
        <v>177.20644930647126</v>
      </c>
      <c r="P44" s="118">
        <f>SUMIFS(Combustion!$P$11:$P$95,Combustion!$C$11:$C$95,C44,Combustion!$H$11:$H$95,$P$9)*$P$10*I44</f>
        <v>0</v>
      </c>
      <c r="Q44" s="683">
        <v>0</v>
      </c>
      <c r="R44" s="683">
        <f>SUMIF('Purchased Material'!$C$9:$C$170,C44,'Purchased Material'!$K$9:$K$170)*I44</f>
        <v>0</v>
      </c>
      <c r="S44" s="118">
        <f>'Ancillary Input'!$L$311*J44</f>
        <v>80.723337606824813</v>
      </c>
      <c r="T44" s="683">
        <f>'Purchased Services'!$J$180*J44</f>
        <v>14.903153556641721</v>
      </c>
      <c r="U44" s="683">
        <f>SUMIF(Waste!$C$10:$C$96,C44,Waste!$R$10:$R$96)*I44</f>
        <v>0</v>
      </c>
      <c r="V44" s="118">
        <f>SUMIF(Combustion!$C$11:$C$95,C44,Combustion!$P$11:$P$95)*I44</f>
        <v>526.46003953200011</v>
      </c>
      <c r="W44" s="118">
        <f>SUMIF(Vent!$C$10:$C$16,C44,Vent!$M$10:$M$16)*I44</f>
        <v>0</v>
      </c>
      <c r="X44" s="118">
        <f>Fugitive!$L$100*J44</f>
        <v>18.883925428013889</v>
      </c>
      <c r="Y44" s="118">
        <f>SUMIF('On-Site Tran.'!$C$10:$C$37,C44,'On-Site Tran.'!$O$10:$O$37)*I44</f>
        <v>0</v>
      </c>
      <c r="Z44" s="118">
        <f>SUMIF(Waste!$C$10:$C$96,C44,Waste!$Q$10:$Q$96)*I44</f>
        <v>0</v>
      </c>
      <c r="AA44" s="118">
        <f ca="1">SUMIF(Wastewater!$C$30:$D$110,C44,Wastewater!$I$30:$I$110)*I44</f>
        <v>0</v>
      </c>
      <c r="AB44" s="118">
        <f>SUMIF('Mix Electricity'!$D$10:$D$104,C44,'Mix Electricity'!$I$10:$I$104)*I44</f>
        <v>11377.481457707379</v>
      </c>
      <c r="AC44" s="118">
        <f>SUMIF(Steam!$D$10:$D$29,C44,Steam!$I$10:$I$29)*I44</f>
        <v>0</v>
      </c>
      <c r="AD44" s="118">
        <f>SUMIF(Air!$D$10:$D$71,C44,Air!$I$10:$I$71)*I44</f>
        <v>2031.1860230885022</v>
      </c>
      <c r="AE44" s="118">
        <f>SUMIF(Oxygen!$D$10:$D$49,C44,Oxygen!$I$10:$I$49)*I44</f>
        <v>34.565221620591245</v>
      </c>
      <c r="AF44" s="118">
        <f>SUMIF(Nitrogen!$D$10:$D$45,C44,Nitrogen!$I$10:$I$45)*I44</f>
        <v>3.3424099924514863</v>
      </c>
      <c r="AG44" s="118">
        <f>SUMIF(Argon!$D$10:$D$16,C44,Argon!$I$10:$I$16)*I44</f>
        <v>0</v>
      </c>
      <c r="AH44" s="118">
        <f>SUMIF(Water!$D$10:$D$92,C44,Water!$I$10:$I$92)*I44</f>
        <v>0</v>
      </c>
      <c r="AI44" s="115">
        <f t="shared" ca="1" si="0"/>
        <v>468354.19054662721</v>
      </c>
      <c r="AJ44" s="298">
        <f t="shared" ca="1" si="1"/>
        <v>2.6472354514793368</v>
      </c>
      <c r="AK44" s="385" t="s">
        <v>718</v>
      </c>
    </row>
    <row r="45" spans="2:37" s="497" customFormat="1" ht="13.8" customHeight="1" x14ac:dyDescent="0.25">
      <c r="B45" s="1143" t="s">
        <v>339</v>
      </c>
      <c r="C45" s="656" t="s">
        <v>641</v>
      </c>
      <c r="D45" s="1133" t="s">
        <v>1438</v>
      </c>
      <c r="E45" s="1136" t="s">
        <v>1402</v>
      </c>
      <c r="F45" s="76">
        <v>279016</v>
      </c>
      <c r="G45" s="489" t="s">
        <v>299</v>
      </c>
      <c r="H45" s="518" t="s">
        <v>439</v>
      </c>
      <c r="I45" s="366">
        <f>F45/SUM($F$45:$F$46)</f>
        <v>0.6027200774202468</v>
      </c>
      <c r="J45" s="366">
        <f t="shared" si="9"/>
        <v>4.5867713864392888E-2</v>
      </c>
      <c r="K45" s="115">
        <f ca="1">$AI$39*I45</f>
        <v>705969.06770156347</v>
      </c>
      <c r="L45" s="1097">
        <f>SUM(O45:U46)</f>
        <v>781.83232483195843</v>
      </c>
      <c r="M45" s="1095">
        <f ca="1">SUM(V45:AA46)</f>
        <v>1628.7911462270445</v>
      </c>
      <c r="N45" s="1109">
        <f>SUM(AB45:AH46)</f>
        <v>11103.149415664606</v>
      </c>
      <c r="O45" s="118">
        <f>SUMIFS(Combustion!$P$11:$P$95,Combustion!$C$11:$C$95,C45,Combustion!$H$11:$H$95,$O$9)*$O$10*I45</f>
        <v>320.41765453609014</v>
      </c>
      <c r="P45" s="118">
        <f>SUMIFS(Combustion!$P$11:$P$95,Combustion!$C$11:$C$95,C45,Combustion!$H$11:$H$95,$P$9)*$P$10*I45</f>
        <v>0</v>
      </c>
      <c r="Q45" s="683">
        <v>0</v>
      </c>
      <c r="R45" s="683">
        <f>SUMIF('Purchased Material'!$C$9:$C$170,C45,'Purchased Material'!$K$9:$K$170)*I45</f>
        <v>0</v>
      </c>
      <c r="S45" s="118">
        <f>'Ancillary Input'!$L$311*J45</f>
        <v>127.30526879475606</v>
      </c>
      <c r="T45" s="683">
        <f>'Purchased Services'!$J$180*J45</f>
        <v>23.503116021523304</v>
      </c>
      <c r="U45" s="683">
        <f>SUMIF(Waste!$C$10:$C$96,C45,Waste!$R$10:$R$96)*I45</f>
        <v>0</v>
      </c>
      <c r="V45" s="118">
        <f>SUMIF(Combustion!$C$11:$C$95,C45,Combustion!$P$11:$P$95)*I45</f>
        <v>951.92410735617989</v>
      </c>
      <c r="W45" s="118">
        <f>SUMIF(Vent!$C$10:$C$16,C45,Vent!$M$10:$M$16)*I45</f>
        <v>0</v>
      </c>
      <c r="X45" s="118">
        <f>Fugitive!$L$100*J45</f>
        <v>29.781018399196952</v>
      </c>
      <c r="Y45" s="118">
        <f>SUMIF('On-Site Tran.'!$C$10:$C$37,C45,'On-Site Tran.'!$O$10:$O$37)*I45</f>
        <v>0</v>
      </c>
      <c r="Z45" s="118">
        <f>SUMIF(Waste!$C$10:$C$96,C45,Waste!$Q$10:$Q$96)*I45</f>
        <v>0</v>
      </c>
      <c r="AA45" s="118">
        <f ca="1">SUMIF(Wastewater!$C$30:$D$110,C45,Wastewater!$I$30:$I$110)*I45</f>
        <v>0</v>
      </c>
      <c r="AB45" s="118">
        <f>SUMIF('Mix Electricity'!$D$10:$D$104,C45,'Mix Electricity'!$I$10:$I$104)*I45</f>
        <v>5422.1590970058514</v>
      </c>
      <c r="AC45" s="118">
        <f>SUMIF(Steam!$D$10:$D$29,C45,Steam!$I$10:$I$29)*I45</f>
        <v>0</v>
      </c>
      <c r="AD45" s="118">
        <f>SUMIF(Air!$D$10:$D$71,C45,Air!$I$10:$I$71)*I45</f>
        <v>1224.2365970908249</v>
      </c>
      <c r="AE45" s="118">
        <f>SUMIF(Oxygen!$D$10:$D$49,C45,Oxygen!$I$10:$I$49)*I45</f>
        <v>41.666306102421487</v>
      </c>
      <c r="AF45" s="118">
        <f>SUMIF(Nitrogen!$D$10:$D$45,C45,Nitrogen!$I$10:$I$45)*I45</f>
        <v>4.0290752188411325</v>
      </c>
      <c r="AG45" s="118">
        <f>SUMIF(Argon!$D$10:$D$16,C45,Argon!$I$10:$I$16)*I45</f>
        <v>0</v>
      </c>
      <c r="AH45" s="118">
        <f>SUMIF(Water!$D$10:$D$92,C45,Water!$I$10:$I$92)*I45</f>
        <v>0</v>
      </c>
      <c r="AI45" s="115">
        <f t="shared" ref="AI45:AI76" ca="1" si="10">SUM(O45:AH45)+K45</f>
        <v>714114.08994208917</v>
      </c>
      <c r="AJ45" s="298">
        <f t="shared" ref="AJ45:AJ76" ca="1" si="11">AI45/F45</f>
        <v>2.5594019337317184</v>
      </c>
      <c r="AK45" s="385" t="s">
        <v>718</v>
      </c>
    </row>
    <row r="46" spans="2:37" s="497" customFormat="1" ht="13.8" customHeight="1" x14ac:dyDescent="0.25">
      <c r="B46" s="1145"/>
      <c r="C46" s="656" t="s">
        <v>641</v>
      </c>
      <c r="D46" s="1135"/>
      <c r="E46" s="1136"/>
      <c r="F46" s="76">
        <v>183912</v>
      </c>
      <c r="G46" s="489" t="s">
        <v>299</v>
      </c>
      <c r="H46" s="519" t="s">
        <v>1443</v>
      </c>
      <c r="I46" s="366">
        <f>F46/SUM($F$45:$F$46)</f>
        <v>0.3972799225797532</v>
      </c>
      <c r="J46" s="366">
        <f t="shared" si="9"/>
        <v>3.0233474038149157E-2</v>
      </c>
      <c r="K46" s="115">
        <f ca="1">$AI$39*I46</f>
        <v>465335.97779026983</v>
      </c>
      <c r="L46" s="1098"/>
      <c r="M46" s="1096"/>
      <c r="N46" s="1110"/>
      <c r="O46" s="118">
        <f>SUMIFS(Combustion!$P$11:$P$95,Combustion!$C$11:$C$95,C46,Combustion!$H$11:$H$95,$O$9)*$O$10*I46</f>
        <v>211.20169338332357</v>
      </c>
      <c r="P46" s="118">
        <f>SUMIFS(Combustion!$P$11:$P$95,Combustion!$C$11:$C$95,C46,Combustion!$H$11:$H$95,$P$9)*$P$10*I46</f>
        <v>0</v>
      </c>
      <c r="Q46" s="683">
        <v>0</v>
      </c>
      <c r="R46" s="683">
        <f>SUMIF('Purchased Material'!$C$9:$C$170,C46,'Purchased Material'!$K$9:$K$170)*I46</f>
        <v>0</v>
      </c>
      <c r="S46" s="118">
        <f>'Ancillary Input'!$L$311*J46</f>
        <v>83.912630797449523</v>
      </c>
      <c r="T46" s="683">
        <f>'Purchased Services'!$J$180*J46</f>
        <v>15.491961298815818</v>
      </c>
      <c r="U46" s="683">
        <f>SUMIF(Waste!$C$10:$C$96,C46,Waste!$R$10:$R$96)*I46</f>
        <v>0</v>
      </c>
      <c r="V46" s="118">
        <f>SUMIF(Combustion!$C$11:$C$95,C46,Combustion!$P$11:$P$95)*I46</f>
        <v>627.45601123982044</v>
      </c>
      <c r="W46" s="118">
        <f>SUMIF(Vent!$C$10:$C$16,C46,Vent!$M$10:$M$16)*I46</f>
        <v>0</v>
      </c>
      <c r="X46" s="118">
        <f>Fugitive!$L$100*J46</f>
        <v>19.630009231847314</v>
      </c>
      <c r="Y46" s="118">
        <f>SUMIF('On-Site Tran.'!$C$10:$C$37,C46,'On-Site Tran.'!$O$10:$O$37)*I46</f>
        <v>0</v>
      </c>
      <c r="Z46" s="118">
        <f>SUMIF(Waste!$C$10:$C$96,C46,Waste!$Q$10:$Q$96)*I46</f>
        <v>0</v>
      </c>
      <c r="AA46" s="118">
        <f ca="1">SUMIF(Wastewater!$C$30:$D$110,C46,Wastewater!$I$30:$I$110)*I46</f>
        <v>0</v>
      </c>
      <c r="AB46" s="118">
        <f>SUMIF('Mix Electricity'!$D$10:$D$104,C46,'Mix Electricity'!$I$10:$I$104)*I46</f>
        <v>3573.9890323441668</v>
      </c>
      <c r="AC46" s="118">
        <f>SUMIF(Steam!$D$10:$D$29,C46,Steam!$I$10:$I$29)*I46</f>
        <v>0</v>
      </c>
      <c r="AD46" s="118">
        <f>SUMIF(Air!$D$10:$D$71,C46,Air!$I$10:$I$71)*I46</f>
        <v>806.94942599767683</v>
      </c>
      <c r="AE46" s="118">
        <f>SUMIF(Oxygen!$D$10:$D$49,C46,Oxygen!$I$10:$I$49)*I46</f>
        <v>27.464137138761004</v>
      </c>
      <c r="AF46" s="118">
        <f>SUMIF(Nitrogen!$D$10:$D$45,C46,Nitrogen!$I$10:$I$45)*I46</f>
        <v>2.6557447660618401</v>
      </c>
      <c r="AG46" s="118">
        <f>SUMIF(Argon!$D$10:$D$16,C46,Argon!$I$10:$I$16)*I46</f>
        <v>0</v>
      </c>
      <c r="AH46" s="118">
        <f>SUMIF(Water!$D$10:$D$92,C46,Water!$I$10:$I$92)*I46</f>
        <v>0</v>
      </c>
      <c r="AI46" s="115">
        <f t="shared" ca="1" si="10"/>
        <v>470704.72843646776</v>
      </c>
      <c r="AJ46" s="298">
        <f t="shared" ca="1" si="11"/>
        <v>2.5594019337317184</v>
      </c>
      <c r="AK46" s="385" t="s">
        <v>718</v>
      </c>
    </row>
    <row r="47" spans="2:37" s="497" customFormat="1" ht="13.8" x14ac:dyDescent="0.25">
      <c r="B47" s="1137" t="s">
        <v>340</v>
      </c>
      <c r="C47" s="656" t="s">
        <v>1377</v>
      </c>
      <c r="D47" s="1133" t="s">
        <v>1989</v>
      </c>
      <c r="E47" s="1136" t="s">
        <v>1409</v>
      </c>
      <c r="F47" s="76">
        <v>224828.82</v>
      </c>
      <c r="G47" s="489" t="s">
        <v>299</v>
      </c>
      <c r="H47" s="518" t="s">
        <v>439</v>
      </c>
      <c r="I47" s="366">
        <f>F47/SUM($F$47:$F$50)</f>
        <v>0.12801971795747794</v>
      </c>
      <c r="J47" s="366">
        <f>F47/$F$84</f>
        <v>3.1994466837078149E-2</v>
      </c>
      <c r="K47" s="115">
        <f ca="1">($AI$46+$AI$37)*I47</f>
        <v>582671.17268390663</v>
      </c>
      <c r="L47" s="1097">
        <f>SUM(O47:U50)</f>
        <v>6259.5266604553144</v>
      </c>
      <c r="M47" s="1095">
        <f ca="1">SUM(V47:AA50)</f>
        <v>6176.0753621963549</v>
      </c>
      <c r="N47" s="1109">
        <f>SUM(AB47:AH50)</f>
        <v>30980.166283737261</v>
      </c>
      <c r="O47" s="118">
        <f>SUMIFS(Combustion!$P$11:$P$95,Combustion!$C$11:$C$95,C47,Combustion!$H$11:$H$95,$O$9)*$O$10*I47</f>
        <v>251.2441211119604</v>
      </c>
      <c r="P47" s="118">
        <f>SUMIFS(Combustion!$P$11:$P$95,Combustion!$C$11:$C$95,C47,Combustion!$H$11:$H$95,$P$9)*$P$10*I47</f>
        <v>0</v>
      </c>
      <c r="Q47" s="683">
        <v>0</v>
      </c>
      <c r="R47" s="683">
        <f>SUMIF('Purchased Material'!$C$9:$C$170,C47,'Purchased Material'!$K$9:$K$170)*I47</f>
        <v>0</v>
      </c>
      <c r="S47" s="118">
        <f>'Ancillary Input'!$L$312*J47</f>
        <v>526.48741154931247</v>
      </c>
      <c r="T47" s="683">
        <f>'Purchased Services'!$J$181*J47</f>
        <v>22.603702356853557</v>
      </c>
      <c r="U47" s="683">
        <f>SUMIF(Waste!$C$10:$C$96,C47,Waste!$R$10:$R$96)*I47</f>
        <v>1.0076026006764802</v>
      </c>
      <c r="V47" s="118">
        <f>SUMIF(Combustion!$C$11:$C$95,C47,Combustion!$P$11:$P$95)*I47</f>
        <v>746.41747210921096</v>
      </c>
      <c r="W47" s="118">
        <f>SUMIF(Vent!$C$10:$C$16,C47,Vent!$M$10:$M$16)*I47</f>
        <v>0</v>
      </c>
      <c r="X47" s="118">
        <f>Fugitive!$L$101*J47</f>
        <v>42.837074104495613</v>
      </c>
      <c r="Y47" s="118">
        <f>SUMIF('On-Site Tran.'!$C$10:$C$37,C47,'On-Site Tran.'!$O$10:$O$37)*I47</f>
        <v>0</v>
      </c>
      <c r="Z47" s="118">
        <f>SUMIF(Waste!$C$10:$C$96,C47,Waste!$Q$10:$Q$96)*I47</f>
        <v>0</v>
      </c>
      <c r="AA47" s="118">
        <f ca="1">SUMIF(Wastewater!$C$30:$D$110,C47,Wastewater!$I$30:$I$110)*I47</f>
        <v>1.4048797387994008</v>
      </c>
      <c r="AB47" s="118">
        <f>SUMIF('Mix Electricity'!$D$10:$D$104,C47,'Mix Electricity'!$I$10:$I$104)*I47</f>
        <v>1672.4060888869221</v>
      </c>
      <c r="AC47" s="118">
        <f>SUMIF(Steam!$D$10:$D$29,C47,Steam!$I$10:$I$29)*I47</f>
        <v>1900.5468843832898</v>
      </c>
      <c r="AD47" s="118">
        <f>SUMIF(Air!$D$10:$D$71,C47,Air!$I$10:$I$71)*I47</f>
        <v>217.7342188899685</v>
      </c>
      <c r="AE47" s="118">
        <f>SUMIF(Oxygen!$D$10:$D$49,C47,Oxygen!$I$10:$I$49)*I47</f>
        <v>41.979210339509777</v>
      </c>
      <c r="AF47" s="118">
        <f>SUMIF(Nitrogen!$D$10:$D$45,C47,Nitrogen!$I$10:$I$45)*I47</f>
        <v>0</v>
      </c>
      <c r="AG47" s="118">
        <f>SUMIF(Argon!$D$10:$D$16,C47,Argon!$I$10:$I$16)*I47</f>
        <v>0</v>
      </c>
      <c r="AH47" s="118">
        <f>SUMIF(Water!$D$10:$D$92,C47,Water!$I$10:$I$92)*I47</f>
        <v>133.40574742012151</v>
      </c>
      <c r="AI47" s="115">
        <f t="shared" ca="1" si="10"/>
        <v>588229.24709739769</v>
      </c>
      <c r="AJ47" s="298">
        <f t="shared" ca="1" si="11"/>
        <v>2.6163427228653235</v>
      </c>
      <c r="AK47" s="385" t="s">
        <v>718</v>
      </c>
    </row>
    <row r="48" spans="2:37" s="497" customFormat="1" ht="13.8" x14ac:dyDescent="0.25">
      <c r="B48" s="1138"/>
      <c r="C48" s="656" t="s">
        <v>1377</v>
      </c>
      <c r="D48" s="1134"/>
      <c r="E48" s="1136"/>
      <c r="F48" s="76">
        <v>1338738.6950000001</v>
      </c>
      <c r="G48" s="489" t="s">
        <v>299</v>
      </c>
      <c r="H48" s="519" t="s">
        <v>654</v>
      </c>
      <c r="I48" s="366">
        <f t="shared" ref="I48:I50" si="12">F48/SUM($F$47:$F$50)</f>
        <v>0.7622908404387928</v>
      </c>
      <c r="J48" s="366">
        <f t="shared" ref="J48:J78" si="13">F48/$F$84</f>
        <v>0.19051041045667891</v>
      </c>
      <c r="K48" s="115">
        <f ca="1">($AI$46+$AI$37)*I48</f>
        <v>3469503.7999708969</v>
      </c>
      <c r="L48" s="1100"/>
      <c r="M48" s="1099"/>
      <c r="N48" s="1111"/>
      <c r="O48" s="118">
        <f>SUMIFS(Combustion!$P$11:$P$95,Combustion!$C$11:$C$95,C48,Combustion!$H$11:$H$95,$O$9)*$O$10*I48</f>
        <v>1496.0280751544567</v>
      </c>
      <c r="P48" s="118">
        <f>SUMIFS(Combustion!$P$11:$P$95,Combustion!$C$11:$C$95,C48,Combustion!$H$11:$H$95,$P$9)*$P$10*I48</f>
        <v>0</v>
      </c>
      <c r="Q48" s="683">
        <v>0</v>
      </c>
      <c r="R48" s="683">
        <f>SUMIF('Purchased Material'!$C$9:$C$170,C48,'Purchased Material'!$K$9:$K$170)*I48</f>
        <v>0</v>
      </c>
      <c r="S48" s="118">
        <f>'Ancillary Input'!$L$312*J48</f>
        <v>3134.9587222467944</v>
      </c>
      <c r="T48" s="683">
        <f>'Purchased Services'!$J$181*J48</f>
        <v>134.59329188928072</v>
      </c>
      <c r="U48" s="683">
        <f>SUMIF(Waste!$C$10:$C$96,C48,Waste!$R$10:$R$96)*I48</f>
        <v>5.9997494569790346</v>
      </c>
      <c r="V48" s="118">
        <f>SUMIF(Combustion!$C$11:$C$95,C48,Combustion!$P$11:$P$95)*I48</f>
        <v>4444.5278525087833</v>
      </c>
      <c r="W48" s="118">
        <f>SUMIF(Vent!$C$10:$C$16,C48,Vent!$M$10:$M$16)*I48</f>
        <v>0</v>
      </c>
      <c r="X48" s="118">
        <f>Fugitive!$L$101*J48</f>
        <v>255.07249775304942</v>
      </c>
      <c r="Y48" s="118">
        <f>SUMIF('On-Site Tran.'!$C$10:$C$37,C48,'On-Site Tran.'!$O$10:$O$37)*I48</f>
        <v>0</v>
      </c>
      <c r="Z48" s="118">
        <f>SUMIF(Waste!$C$10:$C$96,C48,Waste!$Q$10:$Q$96)*I48</f>
        <v>0</v>
      </c>
      <c r="AA48" s="118">
        <f ca="1">SUMIF(Wastewater!$C$30:$D$110,C48,Wastewater!$I$30:$I$110)*I48</f>
        <v>8.3653282001491203</v>
      </c>
      <c r="AB48" s="118">
        <f>SUMIF('Mix Electricity'!$D$10:$D$104,C48,'Mix Electricity'!$I$10:$I$104)*I48</f>
        <v>9958.3084808545991</v>
      </c>
      <c r="AC48" s="118">
        <f>SUMIF(Steam!$D$10:$D$29,C48,Steam!$I$10:$I$29)*I48</f>
        <v>11316.768267456107</v>
      </c>
      <c r="AD48" s="118">
        <f>SUMIF(Air!$D$10:$D$71,C48,Air!$I$10:$I$71)*I48</f>
        <v>1296.494035122369</v>
      </c>
      <c r="AE48" s="118">
        <f>SUMIF(Oxygen!$D$10:$D$49,C48,Oxygen!$I$10:$I$49)*I48</f>
        <v>249.96436518701572</v>
      </c>
      <c r="AF48" s="118">
        <f>SUMIF(Nitrogen!$D$10:$D$45,C48,Nitrogen!$I$10:$I$45)*I48</f>
        <v>0</v>
      </c>
      <c r="AG48" s="118">
        <f>SUMIF(Argon!$D$10:$D$16,C48,Argon!$I$10:$I$16)*I48</f>
        <v>0</v>
      </c>
      <c r="AH48" s="118">
        <f>SUMIF(Water!$D$10:$D$92,C48,Water!$I$10:$I$92)*I48</f>
        <v>794.361844743539</v>
      </c>
      <c r="AI48" s="115">
        <f t="shared" ca="1" si="10"/>
        <v>3502599.2424814701</v>
      </c>
      <c r="AJ48" s="298">
        <f t="shared" ca="1" si="11"/>
        <v>2.6163427228653235</v>
      </c>
      <c r="AK48" s="385" t="s">
        <v>718</v>
      </c>
    </row>
    <row r="49" spans="2:37" s="497" customFormat="1" ht="13.8" x14ac:dyDescent="0.25">
      <c r="B49" s="1138"/>
      <c r="C49" s="656" t="s">
        <v>1377</v>
      </c>
      <c r="D49" s="1134"/>
      <c r="E49" s="1136"/>
      <c r="F49" s="76">
        <v>184645.10399999999</v>
      </c>
      <c r="G49" s="489" t="s">
        <v>299</v>
      </c>
      <c r="H49" s="519" t="s">
        <v>655</v>
      </c>
      <c r="I49" s="366">
        <f t="shared" si="12"/>
        <v>0.10513871903214711</v>
      </c>
      <c r="J49" s="366">
        <f t="shared" si="13"/>
        <v>2.6276087098428245E-2</v>
      </c>
      <c r="K49" s="115">
        <f ca="1">($AI$46+$AI$37)*I49</f>
        <v>478530.19589758059</v>
      </c>
      <c r="L49" s="1100"/>
      <c r="M49" s="1099"/>
      <c r="N49" s="1111"/>
      <c r="O49" s="118">
        <f>SUMIFS(Combustion!$P$11:$P$95,Combustion!$C$11:$C$95,C49,Combustion!$H$11:$H$95,$O$9)*$O$10*I49</f>
        <v>206.33919117712097</v>
      </c>
      <c r="P49" s="118">
        <f>SUMIFS(Combustion!$P$11:$P$95,Combustion!$C$11:$C$95,C49,Combustion!$H$11:$H$95,$P$9)*$P$10*I49</f>
        <v>0</v>
      </c>
      <c r="Q49" s="683">
        <v>0</v>
      </c>
      <c r="R49" s="683">
        <f>SUMIF('Purchased Material'!$C$9:$C$170,C49,'Purchased Material'!$K$9:$K$170)*I49</f>
        <v>0</v>
      </c>
      <c r="S49" s="118">
        <f>'Ancillary Input'!$L$312*J49</f>
        <v>432.38817363456161</v>
      </c>
      <c r="T49" s="683">
        <f>'Purchased Services'!$J$181*J49</f>
        <v>18.563736501691686</v>
      </c>
      <c r="U49" s="683">
        <f>SUMIF(Waste!$C$10:$C$96,C49,Waste!$R$10:$R$96)*I49</f>
        <v>0.82751351447105004</v>
      </c>
      <c r="V49" s="118">
        <f>SUMIF(Combustion!$C$11:$C$95,C49,Combustion!$P$11:$P$95)*I49</f>
        <v>613.01007479833913</v>
      </c>
      <c r="W49" s="118">
        <f>SUMIF(Vent!$C$10:$C$16,C49,Vent!$M$10:$M$16)*I49</f>
        <v>0</v>
      </c>
      <c r="X49" s="118">
        <f>Fugitive!$L$101*J49</f>
        <v>35.180792227083252</v>
      </c>
      <c r="Y49" s="118">
        <f>SUMIF('On-Site Tran.'!$C$10:$C$37,C49,'On-Site Tran.'!$O$10:$O$37)*I49</f>
        <v>0</v>
      </c>
      <c r="Z49" s="118">
        <f>SUMIF(Waste!$C$10:$C$96,C49,Waste!$Q$10:$Q$96)*I49</f>
        <v>0</v>
      </c>
      <c r="AA49" s="118">
        <f ca="1">SUMIF(Wastewater!$C$30:$D$110,C49,Wastewater!$I$30:$I$110)*I49</f>
        <v>1.1537852019065356</v>
      </c>
      <c r="AB49" s="118">
        <f>SUMIF('Mix Electricity'!$D$10:$D$104,C49,'Mix Electricity'!$I$10:$I$104)*I49</f>
        <v>1373.4964948566599</v>
      </c>
      <c r="AC49" s="118">
        <f>SUMIF(Steam!$D$10:$D$29,C49,Steam!$I$10:$I$29)*I49</f>
        <v>1560.8616240739441</v>
      </c>
      <c r="AD49" s="118">
        <f>SUMIF(Air!$D$10:$D$71,C49,Air!$I$10:$I$71)*I49</f>
        <v>178.81852287129823</v>
      </c>
      <c r="AE49" s="118">
        <f>SUMIF(Oxygen!$D$10:$D$49,C49,Oxygen!$I$10:$I$49)*I49</f>
        <v>34.476254685572144</v>
      </c>
      <c r="AF49" s="118">
        <f>SUMIF(Nitrogen!$D$10:$D$45,C49,Nitrogen!$I$10:$I$45)*I49</f>
        <v>0</v>
      </c>
      <c r="AG49" s="118">
        <f>SUMIF(Argon!$D$10:$D$16,C49,Argon!$I$10:$I$16)*I49</f>
        <v>0</v>
      </c>
      <c r="AH49" s="118">
        <f>SUMIF(Water!$D$10:$D$92,C49,Water!$I$10:$I$92)*I49</f>
        <v>109.56210198757465</v>
      </c>
      <c r="AI49" s="115">
        <f t="shared" ca="1" si="10"/>
        <v>483094.8741631108</v>
      </c>
      <c r="AJ49" s="298">
        <f t="shared" ca="1" si="11"/>
        <v>2.6163427228653235</v>
      </c>
      <c r="AK49" s="385" t="s">
        <v>718</v>
      </c>
    </row>
    <row r="50" spans="2:37" s="497" customFormat="1" ht="13.8" x14ac:dyDescent="0.25">
      <c r="B50" s="1139"/>
      <c r="C50" s="656" t="s">
        <v>1377</v>
      </c>
      <c r="D50" s="1135"/>
      <c r="E50" s="447" t="s">
        <v>1410</v>
      </c>
      <c r="F50" s="76">
        <v>7992</v>
      </c>
      <c r="G50" s="489" t="s">
        <v>299</v>
      </c>
      <c r="H50" s="518" t="s">
        <v>439</v>
      </c>
      <c r="I50" s="366">
        <f t="shared" si="12"/>
        <v>4.5507225715820752E-3</v>
      </c>
      <c r="J50" s="366">
        <f t="shared" si="13"/>
        <v>1.1373087265321615E-3</v>
      </c>
      <c r="K50" s="115">
        <f ca="1">($AI$46+$AI$37)*I50</f>
        <v>20712.237924345201</v>
      </c>
      <c r="L50" s="1098"/>
      <c r="M50" s="1096"/>
      <c r="N50" s="1110"/>
      <c r="O50" s="118">
        <f>SUMIFS(Combustion!$P$11:$P$95,Combustion!$C$11:$C$95,C50,Combustion!$H$11:$H$95,$O$9)*$O$10*I50</f>
        <v>8.9309858759512561</v>
      </c>
      <c r="P50" s="118">
        <f>SUMIFS(Combustion!$P$11:$P$95,Combustion!$C$11:$C$95,C50,Combustion!$H$11:$H$95,$P$9)*$P$10*I50</f>
        <v>0</v>
      </c>
      <c r="Q50" s="683">
        <v>0</v>
      </c>
      <c r="R50" s="683">
        <f>SUMIF('Purchased Material'!$C$9:$C$170,C50,'Purchased Material'!$K$9:$K$170)*I50</f>
        <v>0</v>
      </c>
      <c r="S50" s="118">
        <f>'Ancillary Input'!$L$312*J50</f>
        <v>18.715071284464798</v>
      </c>
      <c r="T50" s="683">
        <f>'Purchased Services'!$J$181*J50</f>
        <v>0.80349480656427241</v>
      </c>
      <c r="U50" s="683">
        <f>SUMIF(Waste!$C$10:$C$96,C50,Waste!$R$10:$R$96)*I50</f>
        <v>3.5817294173435717E-2</v>
      </c>
      <c r="V50" s="118">
        <f>SUMIF(Combustion!$C$11:$C$95,C50,Combustion!$P$11:$P$95)*I50</f>
        <v>26.532934866165348</v>
      </c>
      <c r="W50" s="118">
        <f>SUMIF(Vent!$C$10:$C$16,C50,Vent!$M$10:$M$16)*I50</f>
        <v>0</v>
      </c>
      <c r="X50" s="118">
        <f>Fugitive!$L$101*J50</f>
        <v>1.5227313662151007</v>
      </c>
      <c r="Y50" s="118">
        <f>SUMIF('On-Site Tran.'!$C$10:$C$37,C50,'On-Site Tran.'!$O$10:$O$37)*I50</f>
        <v>0</v>
      </c>
      <c r="Z50" s="118">
        <f>SUMIF(Waste!$C$10:$C$96,C50,Waste!$Q$10:$Q$96)*I50</f>
        <v>0</v>
      </c>
      <c r="AA50" s="118">
        <f ca="1">SUMIF(Wastewater!$C$30:$D$110,C50,Wastewater!$I$30:$I$110)*I50</f>
        <v>4.9939322158452856E-2</v>
      </c>
      <c r="AB50" s="118">
        <f>SUMIF('Mix Electricity'!$D$10:$D$104,C50,'Mix Electricity'!$I$10:$I$104)*I50</f>
        <v>59.449093147329954</v>
      </c>
      <c r="AC50" s="118">
        <f>SUMIF(Steam!$D$10:$D$29,C50,Steam!$I$10:$I$29)*I50</f>
        <v>67.55882408665957</v>
      </c>
      <c r="AD50" s="118">
        <f>SUMIF(Air!$D$10:$D$71,C50,Air!$I$10:$I$71)*I50</f>
        <v>7.7398079008226262</v>
      </c>
      <c r="AE50" s="118">
        <f>SUMIF(Oxygen!$D$10:$D$49,C50,Oxygen!$I$10:$I$49)*I50</f>
        <v>1.4922368450511019</v>
      </c>
      <c r="AF50" s="118">
        <f>SUMIF(Nitrogen!$D$10:$D$45,C50,Nitrogen!$I$10:$I$45)*I50</f>
        <v>0</v>
      </c>
      <c r="AG50" s="118">
        <f>SUMIF(Argon!$D$10:$D$16,C50,Argon!$I$10:$I$16)*I50</f>
        <v>0</v>
      </c>
      <c r="AH50" s="118">
        <f>SUMIF(Water!$D$10:$D$92,C50,Water!$I$10:$I$92)*I50</f>
        <v>4.7421799989058835</v>
      </c>
      <c r="AI50" s="115">
        <f t="shared" ca="1" si="10"/>
        <v>20909.811041139663</v>
      </c>
      <c r="AJ50" s="298">
        <f t="shared" ca="1" si="11"/>
        <v>2.6163427228653231</v>
      </c>
      <c r="AK50" s="385" t="s">
        <v>718</v>
      </c>
    </row>
    <row r="51" spans="2:37" s="497" customFormat="1" ht="13.8" x14ac:dyDescent="0.25">
      <c r="B51" s="1137" t="s">
        <v>340</v>
      </c>
      <c r="C51" s="656" t="s">
        <v>654</v>
      </c>
      <c r="D51" s="1133">
        <v>4310</v>
      </c>
      <c r="E51" s="1133" t="s">
        <v>1411</v>
      </c>
      <c r="F51" s="76">
        <v>179972.255</v>
      </c>
      <c r="G51" s="489" t="s">
        <v>299</v>
      </c>
      <c r="H51" s="519" t="s">
        <v>646</v>
      </c>
      <c r="I51" s="366">
        <f>F51/SUM($F$51:$F$55)</f>
        <v>0.13656614692780902</v>
      </c>
      <c r="J51" s="366">
        <f t="shared" si="13"/>
        <v>2.5611113131277709E-2</v>
      </c>
      <c r="K51" s="115">
        <f ca="1">$AI$48*I51</f>
        <v>478336.48277795705</v>
      </c>
      <c r="L51" s="1097">
        <f>SUM(O51:U55)</f>
        <v>3218.5105437387942</v>
      </c>
      <c r="M51" s="1095">
        <f ca="1">SUM(V51:AA55)</f>
        <v>257.87037433764391</v>
      </c>
      <c r="N51" s="1109">
        <f>SUM(AB51:AH55)</f>
        <v>97880.732339964641</v>
      </c>
      <c r="O51" s="118">
        <f>SUMIFS(Combustion!$P$11:$P$95,Combustion!$C$11:$C$95,C51,Combustion!$H$11:$H$95,$O$9)*$O$10*I51</f>
        <v>0</v>
      </c>
      <c r="P51" s="118">
        <f>SUMIFS(Combustion!$P$11:$P$95,Combustion!$C$11:$C$95,C51,Combustion!$H$11:$H$95,$P$9)*$P$10*I51</f>
        <v>0</v>
      </c>
      <c r="Q51" s="683">
        <v>0</v>
      </c>
      <c r="R51" s="683">
        <f>SUMIF('Purchased Material'!$C$9:$C$170,C51,'Purchased Material'!$K$9:$K$170)*I51</f>
        <v>0</v>
      </c>
      <c r="S51" s="118">
        <f>'Ancillary Input'!$L$312*J51</f>
        <v>421.44564333719677</v>
      </c>
      <c r="T51" s="683">
        <f>'Purchased Services'!$J$181*J51</f>
        <v>18.093940467737852</v>
      </c>
      <c r="U51" s="683">
        <f>SUMIF(Waste!$C$10:$C$96,C51,Waste!$R$10:$R$96)*I51</f>
        <v>0</v>
      </c>
      <c r="V51" s="118">
        <f>SUMIF(Combustion!$C$11:$C$95,C51,Combustion!$P$11:$P$95)*I51</f>
        <v>0</v>
      </c>
      <c r="W51" s="118">
        <f>SUMIF(Vent!$C$10:$C$16,C51,Vent!$M$10:$M$16)*I51</f>
        <v>0</v>
      </c>
      <c r="X51" s="118">
        <f>Fugitive!$L$101*J51</f>
        <v>34.290465182302611</v>
      </c>
      <c r="Y51" s="118">
        <f>SUMIF('On-Site Tran.'!$C$10:$C$37,C51,'On-Site Tran.'!$O$10:$O$37)*I51</f>
        <v>0</v>
      </c>
      <c r="Z51" s="118">
        <f>SUMIF(Waste!$C$10:$C$96,C51,Waste!$Q$10:$Q$96)*I51</f>
        <v>0</v>
      </c>
      <c r="AA51" s="118">
        <f ca="1">SUMIF(Wastewater!$C$30:$D$110,C51,Wastewater!$I$30:$I$110)*I51</f>
        <v>0.92589824782117247</v>
      </c>
      <c r="AB51" s="118">
        <f>SUMIF('Mix Electricity'!$D$10:$D$104,C51,'Mix Electricity'!$I$10:$I$104)*I51</f>
        <v>12380.99480386785</v>
      </c>
      <c r="AC51" s="118">
        <f>SUMIF(Steam!$D$10:$D$29,C51,Steam!$I$10:$I$29)*I51</f>
        <v>544.50247471742659</v>
      </c>
      <c r="AD51" s="118">
        <f>SUMIF(Air!$D$10:$D$71,C51,Air!$I$10:$I$71)*I51</f>
        <v>301.98387149415743</v>
      </c>
      <c r="AE51" s="118">
        <f>SUMIF(Oxygen!$D$10:$D$49,C51,Oxygen!$I$10:$I$49)*I51</f>
        <v>0</v>
      </c>
      <c r="AF51" s="118">
        <f>SUMIF(Nitrogen!$D$10:$D$45,C51,Nitrogen!$I$10:$I$45)*I51</f>
        <v>42.234763625512294</v>
      </c>
      <c r="AG51" s="118">
        <f>SUMIF(Argon!$D$10:$D$16,C51,Argon!$I$10:$I$16)*I51</f>
        <v>0</v>
      </c>
      <c r="AH51" s="118">
        <f>SUMIF(Water!$D$10:$D$92,C51,Water!$I$10:$I$92)*I51</f>
        <v>97.478560436211509</v>
      </c>
      <c r="AI51" s="115">
        <f t="shared" ca="1" si="10"/>
        <v>492178.43319933326</v>
      </c>
      <c r="AJ51" s="298">
        <f t="shared" ca="1" si="11"/>
        <v>2.7347461596196214</v>
      </c>
      <c r="AK51" s="385" t="s">
        <v>718</v>
      </c>
    </row>
    <row r="52" spans="2:37" s="497" customFormat="1" ht="13.8" x14ac:dyDescent="0.25">
      <c r="B52" s="1138"/>
      <c r="C52" s="656" t="s">
        <v>654</v>
      </c>
      <c r="D52" s="1134"/>
      <c r="E52" s="1134"/>
      <c r="F52" s="76">
        <v>364529.33500000002</v>
      </c>
      <c r="G52" s="489" t="s">
        <v>299</v>
      </c>
      <c r="H52" s="519" t="s">
        <v>642</v>
      </c>
      <c r="I52" s="366">
        <f t="shared" ref="I52:I55" si="14">F52/SUM($F$51:$F$55)</f>
        <v>0.27661134058194981</v>
      </c>
      <c r="J52" s="366">
        <f t="shared" si="13"/>
        <v>5.1874673895453673E-2</v>
      </c>
      <c r="K52" s="115">
        <f ca="1">$AI$48*I52</f>
        <v>968858.67198412132</v>
      </c>
      <c r="L52" s="1100"/>
      <c r="M52" s="1099"/>
      <c r="N52" s="1111"/>
      <c r="O52" s="118">
        <f>SUMIFS(Combustion!$P$11:$P$95,Combustion!$C$11:$C$95,C52,Combustion!$H$11:$H$95,$O$9)*$O$10*I52</f>
        <v>0</v>
      </c>
      <c r="P52" s="118">
        <f>SUMIFS(Combustion!$P$11:$P$95,Combustion!$C$11:$C$95,C52,Combustion!$H$11:$H$95,$P$9)*$P$10*I52</f>
        <v>0</v>
      </c>
      <c r="Q52" s="683">
        <v>0</v>
      </c>
      <c r="R52" s="683">
        <f>SUMIF('Purchased Material'!$C$9:$C$170,C52,'Purchased Material'!$K$9:$K$170)*I52</f>
        <v>0</v>
      </c>
      <c r="S52" s="118">
        <f>'Ancillary Input'!$L$312*J52</f>
        <v>853.62768891435815</v>
      </c>
      <c r="T52" s="683">
        <f>'Purchased Services'!$J$181*J52</f>
        <v>36.648827266369857</v>
      </c>
      <c r="U52" s="683">
        <f>SUMIF(Waste!$C$10:$C$96,C52,Waste!$R$10:$R$96)*I52</f>
        <v>0</v>
      </c>
      <c r="V52" s="118">
        <f>SUMIF(Combustion!$C$11:$C$95,C52,Combustion!$P$11:$P$95)*I52</f>
        <v>0</v>
      </c>
      <c r="W52" s="118">
        <f>SUMIF(Vent!$C$10:$C$16,C52,Vent!$M$10:$M$16)*I52</f>
        <v>0</v>
      </c>
      <c r="X52" s="118">
        <f>Fugitive!$L$101*J52</f>
        <v>69.454486024778802</v>
      </c>
      <c r="Y52" s="118">
        <f>SUMIF('On-Site Tran.'!$C$10:$C$37,C52,'On-Site Tran.'!$O$10:$O$37)*I52</f>
        <v>0</v>
      </c>
      <c r="Z52" s="118">
        <f>SUMIF(Waste!$C$10:$C$96,C52,Waste!$Q$10:$Q$96)*I52</f>
        <v>0</v>
      </c>
      <c r="AA52" s="118">
        <f ca="1">SUMIF(Wastewater!$C$30:$D$110,C52,Wastewater!$I$30:$I$110)*I52</f>
        <v>1.8753839171260993</v>
      </c>
      <c r="AB52" s="118">
        <f>SUMIF('Mix Electricity'!$D$10:$D$104,C52,'Mix Electricity'!$I$10:$I$104)*I52</f>
        <v>25077.397638277092</v>
      </c>
      <c r="AC52" s="118">
        <f>SUMIF(Steam!$D$10:$D$29,C52,Steam!$I$10:$I$29)*I52</f>
        <v>1102.8762462002703</v>
      </c>
      <c r="AD52" s="118">
        <f>SUMIF(Air!$D$10:$D$71,C52,Air!$I$10:$I$71)*I52</f>
        <v>611.66083547983919</v>
      </c>
      <c r="AE52" s="118">
        <f>SUMIF(Oxygen!$D$10:$D$49,C52,Oxygen!$I$10:$I$49)*I52</f>
        <v>0</v>
      </c>
      <c r="AF52" s="118">
        <f>SUMIF(Nitrogen!$D$10:$D$45,C52,Nitrogen!$I$10:$I$45)*I52</f>
        <v>85.545465317919067</v>
      </c>
      <c r="AG52" s="118">
        <f>SUMIF(Argon!$D$10:$D$16,C52,Argon!$I$10:$I$16)*I52</f>
        <v>0</v>
      </c>
      <c r="AH52" s="118">
        <f>SUMIF(Water!$D$10:$D$92,C52,Water!$I$10:$I$92)*I52</f>
        <v>197.44040442550155</v>
      </c>
      <c r="AI52" s="115">
        <f t="shared" ca="1" si="10"/>
        <v>996895.19895994454</v>
      </c>
      <c r="AJ52" s="298">
        <f t="shared" ca="1" si="11"/>
        <v>2.7347461596196214</v>
      </c>
      <c r="AK52" s="385" t="s">
        <v>718</v>
      </c>
    </row>
    <row r="53" spans="2:37" s="497" customFormat="1" ht="13.8" x14ac:dyDescent="0.25">
      <c r="B53" s="1138"/>
      <c r="C53" s="656" t="s">
        <v>654</v>
      </c>
      <c r="D53" s="1134"/>
      <c r="E53" s="1134"/>
      <c r="F53" s="76">
        <v>558040.853</v>
      </c>
      <c r="G53" s="489" t="s">
        <v>299</v>
      </c>
      <c r="H53" s="519" t="s">
        <v>644</v>
      </c>
      <c r="I53" s="366">
        <f t="shared" si="14"/>
        <v>0.42345132099677185</v>
      </c>
      <c r="J53" s="366">
        <f t="shared" si="13"/>
        <v>7.9412503988782676E-2</v>
      </c>
      <c r="K53" s="115">
        <f ca="1">$AI$48*I53</f>
        <v>1483180.2761510708</v>
      </c>
      <c r="L53" s="1100"/>
      <c r="M53" s="1099"/>
      <c r="N53" s="1111"/>
      <c r="O53" s="118">
        <f>SUMIFS(Combustion!$P$11:$P$95,Combustion!$C$11:$C$95,C53,Combustion!$H$11:$H$95,$O$9)*$O$10*I53</f>
        <v>0</v>
      </c>
      <c r="P53" s="118">
        <f>SUMIFS(Combustion!$P$11:$P$95,Combustion!$C$11:$C$95,C53,Combustion!$H$11:$H$95,$P$9)*$P$10*I53</f>
        <v>0</v>
      </c>
      <c r="Q53" s="683">
        <v>0</v>
      </c>
      <c r="R53" s="683">
        <f>SUMIF('Purchased Material'!$C$9:$C$170,C53,'Purchased Material'!$K$9:$K$170)*I53</f>
        <v>0</v>
      </c>
      <c r="S53" s="118">
        <f>'Ancillary Input'!$L$312*J53</f>
        <v>1306.7785715138316</v>
      </c>
      <c r="T53" s="683">
        <f>'Purchased Services'!$J$181*J53</f>
        <v>56.10396987439897</v>
      </c>
      <c r="U53" s="683">
        <f>SUMIF(Waste!$C$10:$C$96,C53,Waste!$R$10:$R$96)*I53</f>
        <v>0</v>
      </c>
      <c r="V53" s="118">
        <f>SUMIF(Combustion!$C$11:$C$95,C53,Combustion!$P$11:$P$95)*I53</f>
        <v>0</v>
      </c>
      <c r="W53" s="118">
        <f>SUMIF(Vent!$C$10:$C$16,C53,Vent!$M$10:$M$16)*I53</f>
        <v>0</v>
      </c>
      <c r="X53" s="118">
        <f>Fugitive!$L$101*J53</f>
        <v>106.32461342499126</v>
      </c>
      <c r="Y53" s="118">
        <f>SUMIF('On-Site Tran.'!$C$10:$C$37,C53,'On-Site Tran.'!$O$10:$O$37)*I53</f>
        <v>0</v>
      </c>
      <c r="Z53" s="118">
        <f>SUMIF(Waste!$C$10:$C$96,C53,Waste!$Q$10:$Q$96)*I53</f>
        <v>0</v>
      </c>
      <c r="AA53" s="118">
        <f ca="1">SUMIF(Wastewater!$C$30:$D$110,C53,Wastewater!$I$30:$I$110)*I53</f>
        <v>2.8709372342160879</v>
      </c>
      <c r="AB53" s="118">
        <f>SUMIF('Mix Electricity'!$D$10:$D$104,C53,'Mix Electricity'!$I$10:$I$104)*I53</f>
        <v>38389.811259179827</v>
      </c>
      <c r="AC53" s="118">
        <f>SUMIF(Steam!$D$10:$D$29,C53,Steam!$I$10:$I$29)*I53</f>
        <v>1688.341491592266</v>
      </c>
      <c r="AD53" s="118">
        <f>SUMIF(Air!$D$10:$D$71,C53,Air!$I$10:$I$71)*I53</f>
        <v>936.36287015930316</v>
      </c>
      <c r="AE53" s="118">
        <f>SUMIF(Oxygen!$D$10:$D$49,C53,Oxygen!$I$10:$I$49)*I53</f>
        <v>0</v>
      </c>
      <c r="AF53" s="118">
        <f>SUMIF(Nitrogen!$D$10:$D$45,C53,Nitrogen!$I$10:$I$45)*I53</f>
        <v>130.95753853744986</v>
      </c>
      <c r="AG53" s="118">
        <f>SUMIF(Argon!$D$10:$D$16,C53,Argon!$I$10:$I$16)*I53</f>
        <v>0</v>
      </c>
      <c r="AH53" s="118">
        <f>SUMIF(Water!$D$10:$D$92,C53,Water!$I$10:$I$92)*I53</f>
        <v>302.25225002062416</v>
      </c>
      <c r="AI53" s="115">
        <f t="shared" ca="1" si="10"/>
        <v>1526100.0796526077</v>
      </c>
      <c r="AJ53" s="298">
        <f t="shared" ca="1" si="11"/>
        <v>2.7347461596196214</v>
      </c>
      <c r="AK53" s="385" t="s">
        <v>718</v>
      </c>
    </row>
    <row r="54" spans="2:37" s="497" customFormat="1" ht="13.8" x14ac:dyDescent="0.25">
      <c r="B54" s="1138"/>
      <c r="C54" s="656" t="s">
        <v>654</v>
      </c>
      <c r="D54" s="1134"/>
      <c r="E54" s="1135"/>
      <c r="F54" s="76">
        <v>30598</v>
      </c>
      <c r="G54" s="489" t="s">
        <v>299</v>
      </c>
      <c r="H54" s="519" t="s">
        <v>1379</v>
      </c>
      <c r="I54" s="366">
        <f t="shared" si="14"/>
        <v>2.3218306420048469E-2</v>
      </c>
      <c r="J54" s="366">
        <f t="shared" si="13"/>
        <v>4.3542758276315166E-3</v>
      </c>
      <c r="K54" s="115">
        <f ca="1">$AI$48*I54</f>
        <v>81324.422478564418</v>
      </c>
      <c r="L54" s="1100"/>
      <c r="M54" s="1099"/>
      <c r="N54" s="1111"/>
      <c r="O54" s="118">
        <f>SUMIFS(Combustion!$P$11:$P$95,Combustion!$C$11:$C$95,C54,Combustion!$H$11:$H$95,$O$9)*$O$10*I54</f>
        <v>0</v>
      </c>
      <c r="P54" s="118">
        <f>SUMIFS(Combustion!$P$11:$P$95,Combustion!$C$11:$C$95,C54,Combustion!$H$11:$H$95,$P$9)*$P$10*I54</f>
        <v>0</v>
      </c>
      <c r="Q54" s="683">
        <v>0</v>
      </c>
      <c r="R54" s="683">
        <f>SUMIF('Purchased Material'!$C$9:$C$170,C54,'Purchased Material'!$K$9:$K$170)*I54</f>
        <v>0</v>
      </c>
      <c r="S54" s="118">
        <f>'Ancillary Input'!$L$312*J54</f>
        <v>71.652121016273014</v>
      </c>
      <c r="T54" s="683">
        <f>'Purchased Services'!$J$181*J54</f>
        <v>3.0762430044111122</v>
      </c>
      <c r="U54" s="683">
        <f>SUMIF(Waste!$C$10:$C$96,C54,Waste!$R$10:$R$96)*I54</f>
        <v>0</v>
      </c>
      <c r="V54" s="118">
        <f>SUMIF(Combustion!$C$11:$C$95,C54,Combustion!$P$11:$P$95)*I54</f>
        <v>0</v>
      </c>
      <c r="W54" s="118">
        <f>SUMIF(Vent!$C$10:$C$16,C54,Vent!$M$10:$M$16)*I54</f>
        <v>0</v>
      </c>
      <c r="X54" s="118">
        <f>Fugitive!$L$101*J54</f>
        <v>5.8298966896208277</v>
      </c>
      <c r="Y54" s="118">
        <f>SUMIF('On-Site Tran.'!$C$10:$C$37,C54,'On-Site Tran.'!$O$10:$O$37)*I54</f>
        <v>0</v>
      </c>
      <c r="Z54" s="118">
        <f>SUMIF(Waste!$C$10:$C$96,C54,Waste!$Q$10:$Q$96)*I54</f>
        <v>0</v>
      </c>
      <c r="AA54" s="118">
        <f ca="1">SUMIF(Wastewater!$C$30:$D$110,C54,Wastewater!$I$30:$I$110)*I54</f>
        <v>0.15741667840319185</v>
      </c>
      <c r="AB54" s="118">
        <f>SUMIF('Mix Electricity'!$D$10:$D$104,C54,'Mix Electricity'!$I$10:$I$104)*I54</f>
        <v>2104.9560056284699</v>
      </c>
      <c r="AC54" s="118">
        <f>SUMIF(Steam!$D$10:$D$29,C54,Steam!$I$10:$I$29)*I54</f>
        <v>92.573639872455999</v>
      </c>
      <c r="AD54" s="118">
        <f>SUMIF(Air!$D$10:$D$71,C54,Air!$I$10:$I$71)*I54</f>
        <v>51.341816548213103</v>
      </c>
      <c r="AE54" s="118">
        <f>SUMIF(Oxygen!$D$10:$D$49,C54,Oxygen!$I$10:$I$49)*I54</f>
        <v>0</v>
      </c>
      <c r="AF54" s="118">
        <f>SUMIF(Nitrogen!$D$10:$D$45,C54,Nitrogen!$I$10:$I$45)*I54</f>
        <v>7.180547342774724</v>
      </c>
      <c r="AG54" s="118">
        <f>SUMIF(Argon!$D$10:$D$16,C54,Argon!$I$10:$I$16)*I54</f>
        <v>0</v>
      </c>
      <c r="AH54" s="118">
        <f>SUMIF(Water!$D$10:$D$92,C54,Water!$I$10:$I$92)*I54</f>
        <v>16.57282669613269</v>
      </c>
      <c r="AI54" s="115">
        <f t="shared" ca="1" si="10"/>
        <v>83677.762992041171</v>
      </c>
      <c r="AJ54" s="298">
        <f t="shared" ca="1" si="11"/>
        <v>2.7347461596196214</v>
      </c>
      <c r="AK54" s="385" t="s">
        <v>718</v>
      </c>
    </row>
    <row r="55" spans="2:37" s="497" customFormat="1" ht="13.8" x14ac:dyDescent="0.25">
      <c r="B55" s="1139"/>
      <c r="C55" s="656" t="s">
        <v>654</v>
      </c>
      <c r="D55" s="1135"/>
      <c r="E55" s="24" t="s">
        <v>1412</v>
      </c>
      <c r="F55" s="76">
        <v>184699</v>
      </c>
      <c r="G55" s="489" t="s">
        <v>299</v>
      </c>
      <c r="H55" s="518" t="s">
        <v>439</v>
      </c>
      <c r="I55" s="366">
        <f t="shared" si="14"/>
        <v>0.14015288507342089</v>
      </c>
      <c r="J55" s="366">
        <f t="shared" si="13"/>
        <v>2.6283756817037502E-2</v>
      </c>
      <c r="K55" s="115">
        <f ca="1">$AI$48*I55</f>
        <v>490899.38908975653</v>
      </c>
      <c r="L55" s="1098"/>
      <c r="M55" s="1096"/>
      <c r="N55" s="1110"/>
      <c r="O55" s="118">
        <f>SUMIFS(Combustion!$P$11:$P$95,Combustion!$C$11:$C$95,C55,Combustion!$H$11:$H$95,$O$9)*$O$10*I55</f>
        <v>0</v>
      </c>
      <c r="P55" s="118">
        <f>SUMIFS(Combustion!$P$11:$P$95,Combustion!$C$11:$C$95,C55,Combustion!$H$11:$H$95,$P$9)*$P$10*I55</f>
        <v>0</v>
      </c>
      <c r="Q55" s="683">
        <v>0</v>
      </c>
      <c r="R55" s="683">
        <f>SUMIF('Purchased Material'!$C$9:$C$170,C55,'Purchased Material'!$K$9:$K$170)*I55</f>
        <v>0</v>
      </c>
      <c r="S55" s="118">
        <f>'Ancillary Input'!$L$312*J55</f>
        <v>432.51438327944999</v>
      </c>
      <c r="T55" s="683">
        <f>'Purchased Services'!$J$181*J55</f>
        <v>18.569155064766587</v>
      </c>
      <c r="U55" s="683">
        <f>SUMIF(Waste!$C$10:$C$96,C55,Waste!$R$10:$R$96)*I55</f>
        <v>0</v>
      </c>
      <c r="V55" s="118">
        <f>SUMIF(Combustion!$C$11:$C$95,C55,Combustion!$P$11:$P$95)*I55</f>
        <v>0</v>
      </c>
      <c r="W55" s="118">
        <f>SUMIF(Vent!$C$10:$C$16,C55,Vent!$M$10:$M$16)*I55</f>
        <v>0</v>
      </c>
      <c r="X55" s="118">
        <f>Fugitive!$L$101*J55</f>
        <v>35.191061137207569</v>
      </c>
      <c r="Y55" s="118">
        <f>SUMIF('On-Site Tran.'!$C$10:$C$37,C55,'On-Site Tran.'!$O$10:$O$37)*I55</f>
        <v>0</v>
      </c>
      <c r="Z55" s="118">
        <f>SUMIF(Waste!$C$10:$C$96,C55,Waste!$Q$10:$Q$96)*I55</f>
        <v>0</v>
      </c>
      <c r="AA55" s="118">
        <f ca="1">SUMIF(Wastewater!$C$30:$D$110,C55,Wastewater!$I$30:$I$110)*I55</f>
        <v>0.95021580117625759</v>
      </c>
      <c r="AB55" s="118">
        <f>SUMIF('Mix Electricity'!$D$10:$D$104,C55,'Mix Electricity'!$I$10:$I$104)*I55</f>
        <v>12706.166065872698</v>
      </c>
      <c r="AC55" s="118">
        <f>SUMIF(Steam!$D$10:$D$29,C55,Steam!$I$10:$I$29)*I55</f>
        <v>558.8031476175812</v>
      </c>
      <c r="AD55" s="118">
        <f>SUMIF(Air!$D$10:$D$71,C55,Air!$I$10:$I$71)*I55</f>
        <v>309.91509819721591</v>
      </c>
      <c r="AE55" s="118">
        <f>SUMIF(Oxygen!$D$10:$D$49,C55,Oxygen!$I$10:$I$49)*I55</f>
        <v>0</v>
      </c>
      <c r="AF55" s="118">
        <f>SUMIF(Nitrogen!$D$10:$D$45,C55,Nitrogen!$I$10:$I$45)*I55</f>
        <v>43.344006590729748</v>
      </c>
      <c r="AG55" s="118">
        <f>SUMIF(Argon!$D$10:$D$16,C55,Argon!$I$10:$I$16)*I55</f>
        <v>0</v>
      </c>
      <c r="AH55" s="118">
        <f>SUMIF(Water!$D$10:$D$92,C55,Water!$I$10:$I$92)*I55</f>
        <v>100.03871226710933</v>
      </c>
      <c r="AI55" s="115">
        <f t="shared" ca="1" si="10"/>
        <v>505104.88093558449</v>
      </c>
      <c r="AJ55" s="298">
        <f t="shared" ca="1" si="11"/>
        <v>2.7347461596196214</v>
      </c>
      <c r="AK55" s="385" t="s">
        <v>718</v>
      </c>
    </row>
    <row r="56" spans="2:37" s="497" customFormat="1" ht="13.8" x14ac:dyDescent="0.25">
      <c r="B56" s="1137" t="s">
        <v>340</v>
      </c>
      <c r="C56" s="656" t="s">
        <v>655</v>
      </c>
      <c r="D56" s="1133">
        <v>4315</v>
      </c>
      <c r="E56" s="447" t="s">
        <v>1413</v>
      </c>
      <c r="F56" s="76">
        <v>157242</v>
      </c>
      <c r="G56" s="489" t="s">
        <v>299</v>
      </c>
      <c r="H56" s="519" t="s">
        <v>1379</v>
      </c>
      <c r="I56" s="366">
        <f>F56/SUM($F$56:$F$57)</f>
        <v>0.981529453623885</v>
      </c>
      <c r="J56" s="366">
        <f t="shared" si="13"/>
        <v>2.2376463810982249E-2</v>
      </c>
      <c r="K56" s="115">
        <f ca="1">$AI$49*I56</f>
        <v>474171.84788581764</v>
      </c>
      <c r="L56" s="1097">
        <f>SUM(O56:U57)</f>
        <v>391.25297877239092</v>
      </c>
      <c r="M56" s="1095">
        <f ca="1">SUM(V56:AA57)</f>
        <v>31.827700516336261</v>
      </c>
      <c r="N56" s="1109">
        <f>SUM(AB56:AH57)</f>
        <v>26822.554973610102</v>
      </c>
      <c r="O56" s="118">
        <f>SUMIFS(Combustion!$P$11:$P$95,Combustion!$C$11:$C$95,C56,Combustion!$H$11:$H$95,$O$9)*$O$10*I56</f>
        <v>0</v>
      </c>
      <c r="P56" s="118">
        <f>SUMIFS(Combustion!$P$11:$P$95,Combustion!$C$11:$C$95,C56,Combustion!$H$11:$H$95,$P$9)*$P$10*I56</f>
        <v>0</v>
      </c>
      <c r="Q56" s="683">
        <v>0</v>
      </c>
      <c r="R56" s="683">
        <f>SUMIF('Purchased Material'!$C$9:$C$170,C56,'Purchased Material'!$K$9:$K$170)*I56</f>
        <v>0</v>
      </c>
      <c r="S56" s="118">
        <f>'Ancillary Input'!$L$312*J56</f>
        <v>368.2176224864632</v>
      </c>
      <c r="T56" s="683">
        <f>'Purchased Services'!$J$181*J56</f>
        <v>15.808699996719135</v>
      </c>
      <c r="U56" s="683">
        <f>SUMIF(Waste!$C$10:$C$96,C56,Waste!$R$10:$R$96)*I56</f>
        <v>0</v>
      </c>
      <c r="V56" s="118">
        <f>SUMIF(Combustion!$C$11:$C$95,C56,Combustion!$P$11:$P$95)*I56</f>
        <v>0</v>
      </c>
      <c r="W56" s="118">
        <f>SUMIF(Vent!$C$10:$C$16,C56,Vent!$M$10:$M$16)*I56</f>
        <v>0</v>
      </c>
      <c r="X56" s="118">
        <f>Fugitive!$L$101*J56</f>
        <v>29.959625311110468</v>
      </c>
      <c r="Y56" s="118">
        <f>SUMIF('On-Site Tran.'!$C$10:$C$37,C56,'On-Site Tran.'!$O$10:$O$37)*I56</f>
        <v>0</v>
      </c>
      <c r="Z56" s="118">
        <f>SUMIF(Waste!$C$10:$C$96,C56,Waste!$Q$10:$Q$96)*I56</f>
        <v>0</v>
      </c>
      <c r="AA56" s="118">
        <f ca="1">SUMIF(Wastewater!$C$30:$D$110,C56,Wastewater!$I$30:$I$110)*I56</f>
        <v>1.2802001867937021</v>
      </c>
      <c r="AB56" s="118">
        <f>SUMIF('Mix Electricity'!$D$10:$D$104,C56,'Mix Electricity'!$I$10:$I$104)*I56</f>
        <v>23101.822685348212</v>
      </c>
      <c r="AC56" s="118">
        <f>SUMIF(Steam!$D$10:$D$29,C56,Steam!$I$10:$I$29)*I56</f>
        <v>876.31361861910989</v>
      </c>
      <c r="AD56" s="118">
        <f>SUMIF(Air!$D$10:$D$71,C56,Air!$I$10:$I$71)*I56</f>
        <v>2169.2339086650991</v>
      </c>
      <c r="AE56" s="118">
        <f>SUMIF(Oxygen!$D$10:$D$49,C56,Oxygen!$I$10:$I$49)*I56</f>
        <v>0</v>
      </c>
      <c r="AF56" s="118">
        <f>SUMIF(Nitrogen!$D$10:$D$45,C56,Nitrogen!$I$10:$I$45)*I56</f>
        <v>0</v>
      </c>
      <c r="AG56" s="118">
        <f>SUMIF(Argon!$D$10:$D$16,C56,Argon!$I$10:$I$16)*I56</f>
        <v>0</v>
      </c>
      <c r="AH56" s="118">
        <f>SUMIF(Water!$D$10:$D$92,C56,Water!$I$10:$I$92)*I56</f>
        <v>179.75751541172318</v>
      </c>
      <c r="AI56" s="115">
        <f t="shared" ca="1" si="10"/>
        <v>500914.24176184286</v>
      </c>
      <c r="AJ56" s="298">
        <f t="shared" ca="1" si="11"/>
        <v>3.1856262433818117</v>
      </c>
      <c r="AK56" s="385" t="s">
        <v>718</v>
      </c>
    </row>
    <row r="57" spans="2:37" s="497" customFormat="1" ht="13.8" x14ac:dyDescent="0.25">
      <c r="B57" s="1139"/>
      <c r="C57" s="656" t="s">
        <v>655</v>
      </c>
      <c r="D57" s="1135"/>
      <c r="E57" s="24" t="s">
        <v>1414</v>
      </c>
      <c r="F57" s="76">
        <v>2959</v>
      </c>
      <c r="G57" s="489" t="s">
        <v>299</v>
      </c>
      <c r="H57" s="518" t="s">
        <v>439</v>
      </c>
      <c r="I57" s="366">
        <f>F57/SUM($F$56:$F$57)</f>
        <v>1.8470546376115005E-2</v>
      </c>
      <c r="J57" s="366">
        <f t="shared" si="13"/>
        <v>4.2108314837445773E-4</v>
      </c>
      <c r="K57" s="115">
        <f ca="1">$AI$49*I57</f>
        <v>8923.0262772931801</v>
      </c>
      <c r="L57" s="1098"/>
      <c r="M57" s="1096"/>
      <c r="N57" s="1110"/>
      <c r="O57" s="118">
        <f>SUMIFS(Combustion!$P$11:$P$95,Combustion!$C$11:$C$95,C57,Combustion!$H$11:$H$95,$O$9)*$O$10*I57</f>
        <v>0</v>
      </c>
      <c r="P57" s="118">
        <f>SUMIFS(Combustion!$P$11:$P$95,Combustion!$C$11:$C$95,C57,Combustion!$H$11:$H$95,$P$9)*$P$10*I57</f>
        <v>0</v>
      </c>
      <c r="Q57" s="683">
        <v>0</v>
      </c>
      <c r="R57" s="683">
        <f>SUMIF('Purchased Material'!$C$9:$C$170,C57,'Purchased Material'!$K$9:$K$170)*I57</f>
        <v>0</v>
      </c>
      <c r="S57" s="118">
        <f>'Ancillary Input'!$L$312*J57</f>
        <v>6.9291661574989174</v>
      </c>
      <c r="T57" s="683">
        <f>'Purchased Services'!$J$181*J57</f>
        <v>0.29749013170966992</v>
      </c>
      <c r="U57" s="683">
        <f>SUMIF(Waste!$C$10:$C$96,C57,Waste!$R$10:$R$96)*I57</f>
        <v>0</v>
      </c>
      <c r="V57" s="118">
        <f>SUMIF(Combustion!$C$11:$C$95,C57,Combustion!$P$11:$P$95)*I57</f>
        <v>0</v>
      </c>
      <c r="W57" s="118">
        <f>SUMIF(Vent!$C$10:$C$16,C57,Vent!$M$10:$M$16)*I57</f>
        <v>0</v>
      </c>
      <c r="X57" s="118">
        <f>Fugitive!$L$101*J57</f>
        <v>0.56378404812693739</v>
      </c>
      <c r="Y57" s="118">
        <f>SUMIF('On-Site Tran.'!$C$10:$C$37,C57,'On-Site Tran.'!$O$10:$O$37)*I57</f>
        <v>0</v>
      </c>
      <c r="Z57" s="118">
        <f>SUMIF(Waste!$C$10:$C$96,C57,Waste!$Q$10:$Q$96)*I57</f>
        <v>0</v>
      </c>
      <c r="AA57" s="118">
        <f ca="1">SUMIF(Wastewater!$C$30:$D$110,C57,Wastewater!$I$30:$I$110)*I57</f>
        <v>2.4090970305151067E-2</v>
      </c>
      <c r="AB57" s="118">
        <f>SUMIF('Mix Electricity'!$D$10:$D$104,C57,'Mix Electricity'!$I$10:$I$104)*I57</f>
        <v>434.73304413544315</v>
      </c>
      <c r="AC57" s="118">
        <f>SUMIF(Steam!$D$10:$D$29,C57,Steam!$I$10:$I$29)*I57</f>
        <v>16.490581380890259</v>
      </c>
      <c r="AD57" s="118">
        <f>SUMIF(Air!$D$10:$D$71,C57,Air!$I$10:$I$71)*I57</f>
        <v>40.820920210503729</v>
      </c>
      <c r="AE57" s="118">
        <f>SUMIF(Oxygen!$D$10:$D$49,C57,Oxygen!$I$10:$I$49)*I57</f>
        <v>0</v>
      </c>
      <c r="AF57" s="118">
        <f>SUMIF(Nitrogen!$D$10:$D$45,C57,Nitrogen!$I$10:$I$45)*I57</f>
        <v>0</v>
      </c>
      <c r="AG57" s="118">
        <f>SUMIF(Argon!$D$10:$D$16,C57,Argon!$I$10:$I$16)*I57</f>
        <v>0</v>
      </c>
      <c r="AH57" s="118">
        <f>SUMIF(Water!$D$10:$D$92,C57,Water!$I$10:$I$92)*I57</f>
        <v>3.3826998391224286</v>
      </c>
      <c r="AI57" s="115">
        <f t="shared" ca="1" si="10"/>
        <v>9426.2680541667796</v>
      </c>
      <c r="AJ57" s="298">
        <f t="shared" ca="1" si="11"/>
        <v>3.1856262433818112</v>
      </c>
      <c r="AK57" s="385" t="s">
        <v>718</v>
      </c>
    </row>
    <row r="58" spans="2:37" s="497" customFormat="1" ht="13.8" x14ac:dyDescent="0.25">
      <c r="B58" s="510" t="s">
        <v>340</v>
      </c>
      <c r="C58" s="657" t="s">
        <v>656</v>
      </c>
      <c r="D58" s="447">
        <v>4405</v>
      </c>
      <c r="E58" s="499" t="s">
        <v>1421</v>
      </c>
      <c r="F58" s="76">
        <v>193320.228</v>
      </c>
      <c r="G58" s="489" t="s">
        <v>299</v>
      </c>
      <c r="H58" s="519" t="s">
        <v>643</v>
      </c>
      <c r="I58" s="366">
        <v>1</v>
      </c>
      <c r="J58" s="366">
        <f t="shared" si="13"/>
        <v>2.7510608398346736E-2</v>
      </c>
      <c r="K58" s="115">
        <f ca="1">AI54+AI56</f>
        <v>584592.00475388404</v>
      </c>
      <c r="L58" s="557">
        <f>SUM(O58:U58)</f>
        <v>472.13884471356471</v>
      </c>
      <c r="M58" s="558">
        <f ca="1">SUM(V58:AA58)</f>
        <v>38.888085405089292</v>
      </c>
      <c r="N58" s="559">
        <f>SUM(AB58:AH58)</f>
        <v>11484.133513822959</v>
      </c>
      <c r="O58" s="118">
        <f>SUMIFS(Combustion!$P$11:$P$95,Combustion!$C$11:$C$95,C58,Combustion!$H$11:$H$95,$O$9)*$O$10*I58</f>
        <v>0</v>
      </c>
      <c r="P58" s="118">
        <f>SUMIFS(Combustion!$P$11:$P$95,Combustion!$C$11:$C$95,C58,Combustion!$H$11:$H$95,$P$9)*$P$10*I58</f>
        <v>0</v>
      </c>
      <c r="Q58" s="683">
        <v>0</v>
      </c>
      <c r="R58" s="683">
        <f>SUMIF('Purchased Material'!$C$9:$C$170,C58,'Purchased Material'!$K$9:$K$170)*I58</f>
        <v>0</v>
      </c>
      <c r="S58" s="118">
        <f>'Ancillary Input'!$L$312*J58</f>
        <v>452.70293390252601</v>
      </c>
      <c r="T58" s="683">
        <f>'Purchased Services'!$J$181*J58</f>
        <v>19.435910811038667</v>
      </c>
      <c r="U58" s="683">
        <f>SUMIF(Waste!$C$10:$C$96,C58,Waste!$R$10:$R$96)*I58</f>
        <v>0</v>
      </c>
      <c r="V58" s="118">
        <f>SUMIF(Combustion!$C$11:$C$95,C58,Combustion!$P$11:$P$95)*I58</f>
        <v>0</v>
      </c>
      <c r="W58" s="118">
        <f>SUMIF(Vent!$C$10:$C$16,C58,Vent!$M$10:$M$16)*I58</f>
        <v>0</v>
      </c>
      <c r="X58" s="118">
        <f>Fugitive!$L$101*J58</f>
        <v>36.833680542974818</v>
      </c>
      <c r="Y58" s="118">
        <f>SUMIF('On-Site Tran.'!$C$10:$C$37,C58,'On-Site Tran.'!$O$10:$O$37)*I58</f>
        <v>0</v>
      </c>
      <c r="Z58" s="118">
        <f>SUMIF(Waste!$C$10:$C$96,C58,Waste!$Q$10:$Q$96)*I58</f>
        <v>0</v>
      </c>
      <c r="AA58" s="118">
        <f ca="1">SUMIF(Wastewater!$C$30:$D$110,C58,Wastewater!$I$30:$I$110)*I58</f>
        <v>2.0544048621144748</v>
      </c>
      <c r="AB58" s="118">
        <f>SUMIF('Mix Electricity'!$D$10:$D$104,C58,'Mix Electricity'!$I$10:$I$104)*I58</f>
        <v>12.204138668857146</v>
      </c>
      <c r="AC58" s="118">
        <f>SUMIF(Steam!$D$10:$D$29,C58,Steam!$I$10:$I$29)*I58</f>
        <v>11068.486199999999</v>
      </c>
      <c r="AD58" s="118">
        <f>SUMIF(Air!$D$10:$D$71,C58,Air!$I$10:$I$71)*I58</f>
        <v>241.93265776173016</v>
      </c>
      <c r="AE58" s="118">
        <f>SUMIF(Oxygen!$D$10:$D$49,C58,Oxygen!$I$10:$I$49)*I58</f>
        <v>0</v>
      </c>
      <c r="AF58" s="118">
        <f>SUMIF(Nitrogen!$D$10:$D$45,C58,Nitrogen!$I$10:$I$45)*I58</f>
        <v>0</v>
      </c>
      <c r="AG58" s="118">
        <f>SUMIF(Argon!$D$10:$D$16,C58,Argon!$I$10:$I$16)*I58</f>
        <v>0</v>
      </c>
      <c r="AH58" s="118">
        <f>SUMIF(Water!$D$10:$D$92,C58,Water!$I$10:$I$92)*I58</f>
        <v>161.51051739237036</v>
      </c>
      <c r="AI58" s="115">
        <f t="shared" ca="1" si="10"/>
        <v>596587.16519782564</v>
      </c>
      <c r="AJ58" s="298">
        <f t="shared" ca="1" si="11"/>
        <v>3.0860048706223626</v>
      </c>
      <c r="AK58" s="385" t="s">
        <v>718</v>
      </c>
    </row>
    <row r="59" spans="2:37" s="497" customFormat="1" ht="13.8" x14ac:dyDescent="0.25">
      <c r="B59" s="1137" t="s">
        <v>340</v>
      </c>
      <c r="C59" s="656" t="s">
        <v>642</v>
      </c>
      <c r="D59" s="1133">
        <v>4410</v>
      </c>
      <c r="E59" s="1133" t="s">
        <v>1419</v>
      </c>
      <c r="F59" s="76">
        <v>364308.41</v>
      </c>
      <c r="G59" s="489" t="s">
        <v>299</v>
      </c>
      <c r="H59" s="519" t="s">
        <v>1444</v>
      </c>
      <c r="I59" s="366">
        <f>F59/SUM($F$59:$F$60)</f>
        <v>0.99999725508050974</v>
      </c>
      <c r="J59" s="366">
        <f t="shared" si="13"/>
        <v>5.1843234965222293E-2</v>
      </c>
      <c r="K59" s="115">
        <f ca="1">$AI$52*I59</f>
        <v>996892.46256288316</v>
      </c>
      <c r="L59" s="1097">
        <f>SUM(O59:U60)</f>
        <v>3977.6162737826144</v>
      </c>
      <c r="M59" s="1095">
        <f ca="1">SUM(V59:AA60)</f>
        <v>9244.8026627222243</v>
      </c>
      <c r="N59" s="1109">
        <f>SUM(AB59:AH60)</f>
        <v>864.47885877746</v>
      </c>
      <c r="O59" s="118">
        <f>SUMIFS(Combustion!$P$11:$P$95,Combustion!$C$11:$C$95,C59,Combustion!$H$11:$H$95,$O$9)*$O$10*I59</f>
        <v>3087.8683963241178</v>
      </c>
      <c r="P59" s="118">
        <f>SUMIFS(Combustion!$P$11:$P$95,Combustion!$C$11:$C$95,C59,Combustion!$H$11:$H$95,$P$9)*$P$10*I59</f>
        <v>0</v>
      </c>
      <c r="Q59" s="683">
        <v>0</v>
      </c>
      <c r="R59" s="683">
        <f>SUMIF('Purchased Material'!$C$9:$C$170,C59,'Purchased Material'!$K$9:$K$170)*I59</f>
        <v>0</v>
      </c>
      <c r="S59" s="118">
        <f>'Ancillary Input'!$L$312*J59</f>
        <v>853.11034317818178</v>
      </c>
      <c r="T59" s="683">
        <f>'Purchased Services'!$J$181*J59</f>
        <v>36.626616043879835</v>
      </c>
      <c r="U59" s="683">
        <f>SUMIF(Waste!$C$10:$C$96,C59,Waste!$R$10:$R$96)*I59</f>
        <v>0</v>
      </c>
      <c r="V59" s="118">
        <f>SUMIF(Combustion!$C$11:$C$95,C59,Combustion!$P$11:$P$95)*I59</f>
        <v>9173.702900546994</v>
      </c>
      <c r="W59" s="118">
        <f>SUMIF(Vent!$C$10:$C$16,C59,Vent!$M$10:$M$16)*I59</f>
        <v>0</v>
      </c>
      <c r="X59" s="118">
        <f>Fugitive!$L$101*J59</f>
        <v>69.412392753122006</v>
      </c>
      <c r="Y59" s="118">
        <f>SUMIF('On-Site Tran.'!$C$10:$C$37,C59,'On-Site Tran.'!$O$10:$O$37)*I59</f>
        <v>0</v>
      </c>
      <c r="Z59" s="118">
        <f>SUMIF(Waste!$C$10:$C$96,C59,Waste!$Q$10:$Q$96)*I59</f>
        <v>0</v>
      </c>
      <c r="AA59" s="118">
        <f ca="1">SUMIF(Wastewater!$C$30:$D$110,C59,Wastewater!$I$30:$I$110)*I59</f>
        <v>1.6619931830942469</v>
      </c>
      <c r="AB59" s="118">
        <f>SUMIF('Mix Electricity'!$D$10:$D$104,C59,'Mix Electricity'!$I$10:$I$104)*I59</f>
        <v>767.11526579713143</v>
      </c>
      <c r="AC59" s="118">
        <f>SUMIF(Steam!$D$10:$D$29,C59,Steam!$I$10:$I$29)*I59</f>
        <v>0</v>
      </c>
      <c r="AD59" s="118">
        <f>SUMIF(Air!$D$10:$D$71,C59,Air!$I$10:$I$71)*I59</f>
        <v>0</v>
      </c>
      <c r="AE59" s="118">
        <f>SUMIF(Oxygen!$D$10:$D$49,C59,Oxygen!$I$10:$I$49)*I59</f>
        <v>0</v>
      </c>
      <c r="AF59" s="118">
        <f>SUMIF(Nitrogen!$D$10:$D$45,C59,Nitrogen!$I$10:$I$45)*I59</f>
        <v>17.737351996214315</v>
      </c>
      <c r="AG59" s="118">
        <f>SUMIF(Argon!$D$10:$D$16,C59,Argon!$I$10:$I$16)*I59</f>
        <v>0</v>
      </c>
      <c r="AH59" s="118">
        <f>SUMIF(Water!$D$10:$D$92,C59,Water!$I$10:$I$92)*I59</f>
        <v>79.623868059245851</v>
      </c>
      <c r="AI59" s="115">
        <f t="shared" ca="1" si="10"/>
        <v>1010979.3216907651</v>
      </c>
      <c r="AJ59" s="298">
        <f t="shared" ca="1" si="11"/>
        <v>2.7750644617036571</v>
      </c>
      <c r="AK59" s="385" t="s">
        <v>718</v>
      </c>
    </row>
    <row r="60" spans="2:37" s="497" customFormat="1" ht="13.8" x14ac:dyDescent="0.25">
      <c r="B60" s="1139"/>
      <c r="C60" s="656" t="s">
        <v>642</v>
      </c>
      <c r="D60" s="1135"/>
      <c r="E60" s="1135"/>
      <c r="F60" s="76">
        <v>1</v>
      </c>
      <c r="G60" s="489" t="s">
        <v>299</v>
      </c>
      <c r="H60" s="518" t="s">
        <v>439</v>
      </c>
      <c r="I60" s="366">
        <f>F60/SUM($F$59:$F$60)</f>
        <v>2.7449194902761365E-6</v>
      </c>
      <c r="J60" s="366">
        <f t="shared" si="13"/>
        <v>1.4230589671323342E-7</v>
      </c>
      <c r="K60" s="115">
        <f ca="1">$AI$52*I60</f>
        <v>2.7363970613878585</v>
      </c>
      <c r="L60" s="1098"/>
      <c r="M60" s="1096"/>
      <c r="N60" s="1110"/>
      <c r="O60" s="118">
        <f>SUMIFS(Combustion!$P$11:$P$95,Combustion!$C$11:$C$95,C60,Combustion!$H$11:$H$95,$O$9)*$O$10*I60</f>
        <v>8.4759734103424019E-3</v>
      </c>
      <c r="P60" s="118">
        <f>SUMIFS(Combustion!$P$11:$P$95,Combustion!$C$11:$C$95,C60,Combustion!$H$11:$H$95,$P$9)*$P$10*I60</f>
        <v>0</v>
      </c>
      <c r="Q60" s="683">
        <v>0</v>
      </c>
      <c r="R60" s="683">
        <f>SUMIF('Purchased Material'!$C$9:$C$170,C60,'Purchased Material'!$K$9:$K$170)*I60</f>
        <v>0</v>
      </c>
      <c r="S60" s="118">
        <f>'Ancillary Input'!$L$312*J60</f>
        <v>2.3417256361942941E-3</v>
      </c>
      <c r="T60" s="683">
        <f>'Purchased Services'!$J$181*J60</f>
        <v>1.005373882087428E-4</v>
      </c>
      <c r="U60" s="683">
        <f>SUMIF(Waste!$C$10:$C$96,C60,Waste!$R$10:$R$96)*I60</f>
        <v>0</v>
      </c>
      <c r="V60" s="118">
        <f>SUMIF(Combustion!$C$11:$C$95,C60,Combustion!$P$11:$P$95)*I60</f>
        <v>2.5181145009929892E-2</v>
      </c>
      <c r="W60" s="118">
        <f>SUMIF(Vent!$C$10:$C$16,C60,Vent!$M$10:$M$16)*I60</f>
        <v>0</v>
      </c>
      <c r="X60" s="118">
        <f>Fugitive!$L$101*J60</f>
        <v>1.905319527296172E-4</v>
      </c>
      <c r="Y60" s="118">
        <f>SUMIF('On-Site Tran.'!$C$10:$C$37,C60,'On-Site Tran.'!$O$10:$O$37)*I60</f>
        <v>0</v>
      </c>
      <c r="Z60" s="118">
        <f>SUMIF(Waste!$C$10:$C$96,C60,Waste!$Q$10:$Q$96)*I60</f>
        <v>0</v>
      </c>
      <c r="AA60" s="118">
        <f ca="1">SUMIF(Wastewater!$C$30:$D$110,C60,Wastewater!$I$30:$I$110)*I60</f>
        <v>4.5620500034414438E-6</v>
      </c>
      <c r="AB60" s="118">
        <f>SUMIF('Mix Electricity'!$D$10:$D$104,C60,'Mix Electricity'!$I$10:$I$104)*I60</f>
        <v>2.1056754242844171E-3</v>
      </c>
      <c r="AC60" s="118">
        <f>SUMIF(Steam!$D$10:$D$29,C60,Steam!$I$10:$I$29)*I60</f>
        <v>0</v>
      </c>
      <c r="AD60" s="118">
        <f>SUMIF(Air!$D$10:$D$71,C60,Air!$I$10:$I$71)*I60</f>
        <v>0</v>
      </c>
      <c r="AE60" s="118">
        <f>SUMIF(Oxygen!$D$10:$D$49,C60,Oxygen!$I$10:$I$49)*I60</f>
        <v>0</v>
      </c>
      <c r="AF60" s="118">
        <f>SUMIF(Nitrogen!$D$10:$D$45,C60,Nitrogen!$I$10:$I$45)*I60</f>
        <v>4.8687736844214804E-5</v>
      </c>
      <c r="AG60" s="118">
        <f>SUMIF(Argon!$D$10:$D$16,C60,Argon!$I$10:$I$16)*I60</f>
        <v>0</v>
      </c>
      <c r="AH60" s="118">
        <f>SUMIF(Water!$D$10:$D$92,C60,Water!$I$10:$I$92)*I60</f>
        <v>2.1856170726128956E-4</v>
      </c>
      <c r="AI60" s="115">
        <f t="shared" ca="1" si="10"/>
        <v>2.7750644617036571</v>
      </c>
      <c r="AJ60" s="298">
        <f t="shared" ca="1" si="11"/>
        <v>2.7750644617036571</v>
      </c>
      <c r="AK60" s="385" t="s">
        <v>718</v>
      </c>
    </row>
    <row r="61" spans="2:37" s="497" customFormat="1" ht="13.8" x14ac:dyDescent="0.25">
      <c r="B61" s="510" t="s">
        <v>340</v>
      </c>
      <c r="C61" s="356" t="s">
        <v>644</v>
      </c>
      <c r="D61" s="447">
        <v>4420</v>
      </c>
      <c r="E61" s="24" t="s">
        <v>1420</v>
      </c>
      <c r="F61" s="76">
        <v>558041</v>
      </c>
      <c r="G61" s="489" t="s">
        <v>299</v>
      </c>
      <c r="H61" s="519" t="s">
        <v>1444</v>
      </c>
      <c r="I61" s="366">
        <v>1</v>
      </c>
      <c r="J61" s="366">
        <f t="shared" si="13"/>
        <v>7.9412524907749499E-2</v>
      </c>
      <c r="K61" s="115">
        <f ca="1">AI53</f>
        <v>1526100.0796526077</v>
      </c>
      <c r="L61" s="557">
        <f>SUM(O61:U61)</f>
        <v>2577.3936241378433</v>
      </c>
      <c r="M61" s="558">
        <f ca="1">SUM(V61:AA61)</f>
        <v>3717.0918186056356</v>
      </c>
      <c r="N61" s="559">
        <f>SUM(AB61:AH61)</f>
        <v>18594.261303950527</v>
      </c>
      <c r="O61" s="118">
        <f>SUMIFS(Combustion!$P$11:$P$95,Combustion!$C$11:$C$95,C61,Combustion!$H$11:$H$95,$O$9)*$O$10*I61</f>
        <v>1214.5107237369482</v>
      </c>
      <c r="P61" s="118">
        <f>SUMIFS(Combustion!$P$11:$P$95,Combustion!$C$11:$C$95,C61,Combustion!$H$11:$H$95,$P$9)*$P$10*I61</f>
        <v>0</v>
      </c>
      <c r="Q61" s="683">
        <v>0</v>
      </c>
      <c r="R61" s="683">
        <f>SUMIF('Purchased Material'!$C$9:$C$170,C61,'Purchased Material'!$K$9:$K$170)*I61</f>
        <v>0</v>
      </c>
      <c r="S61" s="118">
        <f>'Ancillary Input'!$L$312*J61</f>
        <v>1306.7789157475002</v>
      </c>
      <c r="T61" s="683">
        <f>'Purchased Services'!$J$181*J61</f>
        <v>56.103984653395038</v>
      </c>
      <c r="U61" s="683">
        <f>SUMIF(Waste!$C$10:$C$96,C61,Waste!$R$10:$R$96)*I61</f>
        <v>0</v>
      </c>
      <c r="V61" s="118">
        <f>SUMIF(Combustion!$C$11:$C$95,C61,Combustion!$P$11:$P$95)*I61</f>
        <v>3608.1720847800002</v>
      </c>
      <c r="W61" s="118">
        <f>SUMIF(Vent!$C$10:$C$16,C61,Vent!$M$10:$M$16)*I61</f>
        <v>0</v>
      </c>
      <c r="X61" s="118">
        <f>Fugitive!$L$101*J61</f>
        <v>106.32464143318832</v>
      </c>
      <c r="Y61" s="118">
        <f>SUMIF('On-Site Tran.'!$C$10:$C$37,C61,'On-Site Tran.'!$O$10:$O$37)*I61</f>
        <v>0</v>
      </c>
      <c r="Z61" s="118">
        <f>SUMIF(Waste!$C$10:$C$96,C61,Waste!$Q$10:$Q$96)*I61</f>
        <v>0</v>
      </c>
      <c r="AA61" s="118">
        <f ca="1">SUMIF(Wastewater!$C$30:$D$110,C61,Wastewater!$I$30:$I$110)*I61</f>
        <v>2.5950923924468698</v>
      </c>
      <c r="AB61" s="118">
        <f>SUMIF('Mix Electricity'!$D$10:$D$104,C61,'Mix Electricity'!$I$10:$I$104)*I61</f>
        <v>16562.76143926628</v>
      </c>
      <c r="AC61" s="118">
        <f>SUMIF(Steam!$D$10:$D$29,C61,Steam!$I$10:$I$29)*I61</f>
        <v>0</v>
      </c>
      <c r="AD61" s="118">
        <f>SUMIF(Air!$D$10:$D$71,C61,Air!$I$10:$I$71)*I61</f>
        <v>0</v>
      </c>
      <c r="AE61" s="118">
        <f>SUMIF(Oxygen!$D$10:$D$49,C61,Oxygen!$I$10:$I$49)*I61</f>
        <v>0</v>
      </c>
      <c r="AF61" s="118">
        <f>SUMIF(Nitrogen!$D$10:$D$45,C61,Nitrogen!$I$10:$I$45)*I61</f>
        <v>1883.1206477522353</v>
      </c>
      <c r="AG61" s="118">
        <f>SUMIF(Argon!$D$10:$D$16,C61,Argon!$I$10:$I$16)*I61</f>
        <v>0</v>
      </c>
      <c r="AH61" s="118">
        <f>SUMIF(Water!$D$10:$D$92,C61,Water!$I$10:$I$92)*I61</f>
        <v>148.37921693201022</v>
      </c>
      <c r="AI61" s="115">
        <f t="shared" ca="1" si="10"/>
        <v>1550988.8263993016</v>
      </c>
      <c r="AJ61" s="298">
        <f t="shared" ca="1" si="11"/>
        <v>2.779345650945543</v>
      </c>
      <c r="AK61" s="385" t="s">
        <v>718</v>
      </c>
    </row>
    <row r="62" spans="2:37" s="497" customFormat="1" ht="13.8" x14ac:dyDescent="0.25">
      <c r="B62" s="1137" t="s">
        <v>340</v>
      </c>
      <c r="C62" s="656" t="s">
        <v>643</v>
      </c>
      <c r="D62" s="1133">
        <v>4415</v>
      </c>
      <c r="E62" s="499" t="s">
        <v>1423</v>
      </c>
      <c r="F62" s="76">
        <v>144304</v>
      </c>
      <c r="G62" s="489" t="s">
        <v>299</v>
      </c>
      <c r="H62" s="519" t="s">
        <v>657</v>
      </c>
      <c r="I62" s="366">
        <f>F62/SUM($F$62:$F$63)</f>
        <v>0.73104181970161353</v>
      </c>
      <c r="J62" s="366">
        <f t="shared" si="13"/>
        <v>2.0535310119306437E-2</v>
      </c>
      <c r="K62" s="115">
        <f ca="1">$AI$58*I62</f>
        <v>436130.16685684555</v>
      </c>
      <c r="L62" s="1097">
        <f>SUM(O62:U63)</f>
        <v>1764.3076744263883</v>
      </c>
      <c r="M62" s="1095">
        <f ca="1">SUM(V62:AA63)</f>
        <v>3846.9302114470629</v>
      </c>
      <c r="N62" s="1109">
        <f>SUM(AB62:AH63)</f>
        <v>353.67300933688193</v>
      </c>
      <c r="O62" s="118">
        <f>SUMIFS(Combustion!$P$11:$P$95,Combustion!$C$11:$C$95,C62,Combustion!$H$11:$H$95,$O$9)*$O$10*I62</f>
        <v>937.35436935273299</v>
      </c>
      <c r="P62" s="118">
        <f>SUMIFS(Combustion!$P$11:$P$95,Combustion!$C$11:$C$95,C62,Combustion!$H$11:$H$95,$P$9)*$P$10*I62</f>
        <v>0</v>
      </c>
      <c r="Q62" s="683">
        <v>0</v>
      </c>
      <c r="R62" s="683">
        <f>SUMIF('Purchased Material'!$C$9:$C$170,C62,'Purchased Material'!$K$9:$K$170)*I62</f>
        <v>0</v>
      </c>
      <c r="S62" s="118">
        <f>'Ancillary Input'!$L$312*J62</f>
        <v>337.92037620538144</v>
      </c>
      <c r="T62" s="683">
        <f>'Purchased Services'!$J$181*J62</f>
        <v>14.507947268074421</v>
      </c>
      <c r="U62" s="683">
        <f>SUMIF(Waste!$C$10:$C$96,C62,Waste!$R$10:$R$96)*I62</f>
        <v>0</v>
      </c>
      <c r="V62" s="118">
        <f>SUMIF(Combustion!$C$11:$C$95,C62,Combustion!$P$11:$P$95)*I62</f>
        <v>2784.772339134679</v>
      </c>
      <c r="W62" s="118">
        <f>SUMIF(Vent!$C$10:$C$16,C62,Vent!$M$10:$M$16)*I62</f>
        <v>0</v>
      </c>
      <c r="X62" s="118">
        <f>Fugitive!$L$101*J62</f>
        <v>27.494522906694684</v>
      </c>
      <c r="Y62" s="118">
        <f>SUMIF('On-Site Tran.'!$C$10:$C$37,C62,'On-Site Tran.'!$O$10:$O$37)*I62</f>
        <v>0</v>
      </c>
      <c r="Z62" s="118">
        <f>SUMIF(Waste!$C$10:$C$96,C62,Waste!$Q$10:$Q$96)*I62</f>
        <v>0</v>
      </c>
      <c r="AA62" s="118">
        <f ca="1">SUMIF(Wastewater!$C$30:$D$110,C62,Wastewater!$I$30:$I$110)*I62</f>
        <v>0</v>
      </c>
      <c r="AB62" s="118">
        <f>SUMIF('Mix Electricity'!$D$10:$D$104,C62,'Mix Electricity'!$I$10:$I$104)*I62</f>
        <v>0</v>
      </c>
      <c r="AC62" s="118">
        <f>SUMIF(Steam!$D$10:$D$29,C62,Steam!$I$10:$I$29)*I62</f>
        <v>0</v>
      </c>
      <c r="AD62" s="118">
        <f>SUMIF(Air!$D$10:$D$71,C62,Air!$I$10:$I$71)*I62</f>
        <v>0</v>
      </c>
      <c r="AE62" s="118">
        <f>SUMIF(Oxygen!$D$10:$D$49,C62,Oxygen!$I$10:$I$49)*I62</f>
        <v>0</v>
      </c>
      <c r="AF62" s="118">
        <f>SUMIF(Nitrogen!$D$10:$D$45,C62,Nitrogen!$I$10:$I$45)*I62</f>
        <v>258.5497603249799</v>
      </c>
      <c r="AG62" s="118">
        <f>SUMIF(Argon!$D$10:$D$16,C62,Argon!$I$10:$I$16)*I62</f>
        <v>0</v>
      </c>
      <c r="AH62" s="118">
        <f>SUMIF(Water!$D$10:$D$92,C62,Water!$I$10:$I$92)*I62</f>
        <v>0</v>
      </c>
      <c r="AI62" s="115">
        <f t="shared" ca="1" si="10"/>
        <v>440490.7661720381</v>
      </c>
      <c r="AJ62" s="298">
        <f t="shared" ca="1" si="11"/>
        <v>3.05251944625262</v>
      </c>
      <c r="AK62" s="385" t="s">
        <v>718</v>
      </c>
    </row>
    <row r="63" spans="2:37" s="497" customFormat="1" ht="13.8" x14ac:dyDescent="0.25">
      <c r="B63" s="1139"/>
      <c r="C63" s="656" t="s">
        <v>643</v>
      </c>
      <c r="D63" s="1135"/>
      <c r="E63" s="499" t="s">
        <v>1422</v>
      </c>
      <c r="F63" s="76">
        <v>53091</v>
      </c>
      <c r="G63" s="489" t="s">
        <v>299</v>
      </c>
      <c r="H63" s="519" t="s">
        <v>1444</v>
      </c>
      <c r="I63" s="366">
        <f>F63/SUM($F$62:$F$63)</f>
        <v>0.26895818029838647</v>
      </c>
      <c r="J63" s="366">
        <f t="shared" si="13"/>
        <v>7.5551623624022755E-3</v>
      </c>
      <c r="K63" s="115">
        <f ca="1">$AI$58*I63</f>
        <v>160456.99834098006</v>
      </c>
      <c r="L63" s="1098"/>
      <c r="M63" s="1096"/>
      <c r="N63" s="1110"/>
      <c r="O63" s="118">
        <f>SUMIFS(Combustion!$P$11:$P$95,Combustion!$C$11:$C$95,C63,Combustion!$H$11:$H$95,$O$9)*$O$10*I63</f>
        <v>344.86279537161784</v>
      </c>
      <c r="P63" s="118">
        <f>SUMIFS(Combustion!$P$11:$P$95,Combustion!$C$11:$C$95,C63,Combustion!$H$11:$H$95,$P$9)*$P$10*I63</f>
        <v>0</v>
      </c>
      <c r="Q63" s="683">
        <v>0</v>
      </c>
      <c r="R63" s="683">
        <f>SUMIF('Purchased Material'!$C$9:$C$170,C63,'Purchased Material'!$K$9:$K$170)*I63</f>
        <v>0</v>
      </c>
      <c r="S63" s="118">
        <f>'Ancillary Input'!$L$312*J63</f>
        <v>124.32455575119127</v>
      </c>
      <c r="T63" s="683">
        <f>'Purchased Services'!$J$181*J63</f>
        <v>5.3376304773903636</v>
      </c>
      <c r="U63" s="683">
        <f>SUMIF(Waste!$C$10:$C$96,C63,Waste!$R$10:$R$96)*I63</f>
        <v>0</v>
      </c>
      <c r="V63" s="118">
        <f>SUMIF(Combustion!$C$11:$C$95,C63,Combustion!$P$11:$P$95)*I63</f>
        <v>1024.5478175033209</v>
      </c>
      <c r="W63" s="118">
        <f>SUMIF(Vent!$C$10:$C$16,C63,Vent!$M$10:$M$16)*I63</f>
        <v>0</v>
      </c>
      <c r="X63" s="118">
        <f>Fugitive!$L$101*J63</f>
        <v>10.115531902368106</v>
      </c>
      <c r="Y63" s="118">
        <f>SUMIF('On-Site Tran.'!$C$10:$C$37,C63,'On-Site Tran.'!$O$10:$O$37)*I63</f>
        <v>0</v>
      </c>
      <c r="Z63" s="118">
        <f>SUMIF(Waste!$C$10:$C$96,C63,Waste!$Q$10:$Q$96)*I63</f>
        <v>0</v>
      </c>
      <c r="AA63" s="118">
        <f ca="1">SUMIF(Wastewater!$C$30:$D$110,C63,Wastewater!$I$30:$I$110)*I63</f>
        <v>0</v>
      </c>
      <c r="AB63" s="118">
        <f>SUMIF('Mix Electricity'!$D$10:$D$104,C63,'Mix Electricity'!$I$10:$I$104)*I63</f>
        <v>0</v>
      </c>
      <c r="AC63" s="118">
        <f>SUMIF(Steam!$D$10:$D$29,C63,Steam!$I$10:$I$29)*I63</f>
        <v>0</v>
      </c>
      <c r="AD63" s="118">
        <f>SUMIF(Air!$D$10:$D$71,C63,Air!$I$10:$I$71)*I63</f>
        <v>0</v>
      </c>
      <c r="AE63" s="118">
        <f>SUMIF(Oxygen!$D$10:$D$49,C63,Oxygen!$I$10:$I$49)*I63</f>
        <v>0</v>
      </c>
      <c r="AF63" s="118">
        <f>SUMIF(Nitrogen!$D$10:$D$45,C63,Nitrogen!$I$10:$I$45)*I63</f>
        <v>95.123249011902018</v>
      </c>
      <c r="AG63" s="118">
        <f>SUMIF(Argon!$D$10:$D$16,C63,Argon!$I$10:$I$16)*I63</f>
        <v>0</v>
      </c>
      <c r="AH63" s="118">
        <f>SUMIF(Water!$D$10:$D$92,C63,Water!$I$10:$I$92)*I63</f>
        <v>0</v>
      </c>
      <c r="AI63" s="115">
        <f t="shared" ca="1" si="10"/>
        <v>162061.30992099785</v>
      </c>
      <c r="AJ63" s="298">
        <f t="shared" ca="1" si="11"/>
        <v>3.05251944625262</v>
      </c>
      <c r="AK63" s="385" t="s">
        <v>718</v>
      </c>
    </row>
    <row r="64" spans="2:37" s="497" customFormat="1" ht="16.2" customHeight="1" x14ac:dyDescent="0.25">
      <c r="B64" s="1137" t="s">
        <v>340</v>
      </c>
      <c r="C64" s="656" t="s">
        <v>1444</v>
      </c>
      <c r="D64" s="1133" t="s">
        <v>1439</v>
      </c>
      <c r="E64" s="499" t="s">
        <v>1393</v>
      </c>
      <c r="F64" s="76">
        <v>25088</v>
      </c>
      <c r="G64" s="489" t="s">
        <v>299</v>
      </c>
      <c r="H64" s="518" t="s">
        <v>439</v>
      </c>
      <c r="I64" s="366">
        <f>F64/SUM($F$64:$F$67)</f>
        <v>2.6299195345257109E-2</v>
      </c>
      <c r="J64" s="366">
        <f t="shared" si="13"/>
        <v>3.5701703367416004E-3</v>
      </c>
      <c r="K64" s="115">
        <f ca="1">($AI$59+$AI$61+$AI$63)*I64</f>
        <v>71639.78284246783</v>
      </c>
      <c r="L64" s="1097">
        <f>SUM(O64:U67)</f>
        <v>2329.7859098671361</v>
      </c>
      <c r="M64" s="1095">
        <f ca="1">SUM(V64:AA67)</f>
        <v>181.89662838605111</v>
      </c>
      <c r="N64" s="1109">
        <f>SUM(AB64:AH67)</f>
        <v>6775.7053326538362</v>
      </c>
      <c r="O64" s="118">
        <f>SUMIFS(Combustion!$P$11:$P$95,Combustion!$C$11:$C$95,C64,Combustion!$H$11:$H$95,$O$9)*$O$10*I64</f>
        <v>0</v>
      </c>
      <c r="P64" s="118">
        <f>SUMIFS(Combustion!$P$11:$P$95,Combustion!$C$11:$C$95,C64,Combustion!$H$11:$H$95,$P$9)*$P$10*I64</f>
        <v>0</v>
      </c>
      <c r="Q64" s="683">
        <v>0</v>
      </c>
      <c r="R64" s="683">
        <f>SUMIF('Purchased Material'!$C$9:$C$170,C64,'Purchased Material'!$K$9:$K$170)*I64</f>
        <v>0</v>
      </c>
      <c r="S64" s="118">
        <f>'Ancillary Input'!$L$312*J64</f>
        <v>58.749212760842454</v>
      </c>
      <c r="T64" s="683">
        <f>'Purchased Services'!$J$181*J64</f>
        <v>2.5222819953809394</v>
      </c>
      <c r="U64" s="683">
        <f>SUMIF(Waste!$C$10:$C$96,C64,Waste!$R$10:$R$96)*I64</f>
        <v>0</v>
      </c>
      <c r="V64" s="118">
        <f>SUMIF(Combustion!$C$11:$C$95,C64,Combustion!$P$11:$P$95)*I64</f>
        <v>0</v>
      </c>
      <c r="W64" s="118">
        <f>SUMIF(Vent!$C$10:$C$16,C64,Vent!$M$10:$M$16)*I64</f>
        <v>0</v>
      </c>
      <c r="X64" s="118">
        <f>Fugitive!$L$101*J64</f>
        <v>4.780065630080637</v>
      </c>
      <c r="Y64" s="118">
        <f>SUMIF('On-Site Tran.'!$C$10:$C$37,C64,'On-Site Tran.'!$O$10:$O$37)*I64</f>
        <v>0</v>
      </c>
      <c r="Z64" s="118">
        <f>SUMIF(Waste!$C$10:$C$96,C64,Waste!$Q$10:$Q$96)*I64</f>
        <v>0</v>
      </c>
      <c r="AA64" s="118">
        <f ca="1">SUMIF(Wastewater!$C$30:$D$110,C64,Wastewater!$I$30:$I$110)*I64</f>
        <v>3.6693324877614068E-3</v>
      </c>
      <c r="AB64" s="118">
        <f>SUMIF('Mix Electricity'!$D$10:$D$104,C64,'Mix Electricity'!$I$10:$I$104)*I64</f>
        <v>97.663257440214295</v>
      </c>
      <c r="AC64" s="118">
        <f>SUMIF(Steam!$D$10:$D$29,C64,Steam!$I$10:$I$29)*I64</f>
        <v>0</v>
      </c>
      <c r="AD64" s="118">
        <f>SUMIF(Air!$D$10:$D$71,C64,Air!$I$10:$I$71)*I64</f>
        <v>80.201004436133999</v>
      </c>
      <c r="AE64" s="118">
        <f>SUMIF(Oxygen!$D$10:$D$49,C64,Oxygen!$I$10:$I$49)*I64</f>
        <v>0</v>
      </c>
      <c r="AF64" s="118">
        <f>SUMIF(Nitrogen!$D$10:$D$45,C64,Nitrogen!$I$10:$I$45)*I64</f>
        <v>0</v>
      </c>
      <c r="AG64" s="118">
        <f>SUMIF(Argon!$D$10:$D$16,C64,Argon!$I$10:$I$16)*I64</f>
        <v>0</v>
      </c>
      <c r="AH64" s="118">
        <f>SUMIF(Water!$D$10:$D$92,C64,Water!$I$10:$I$92)*I64</f>
        <v>0.331336269015304</v>
      </c>
      <c r="AI64" s="115">
        <f t="shared" ca="1" si="10"/>
        <v>71884.033670331992</v>
      </c>
      <c r="AJ64" s="298">
        <f t="shared" ca="1" si="11"/>
        <v>2.8652755767830036</v>
      </c>
      <c r="AK64" s="385" t="s">
        <v>718</v>
      </c>
    </row>
    <row r="65" spans="2:37" s="497" customFormat="1" ht="13.8" x14ac:dyDescent="0.25">
      <c r="B65" s="1138"/>
      <c r="C65" s="656" t="s">
        <v>1444</v>
      </c>
      <c r="D65" s="1134"/>
      <c r="E65" s="1133" t="s">
        <v>1415</v>
      </c>
      <c r="F65" s="76">
        <v>870917</v>
      </c>
      <c r="G65" s="489" t="s">
        <v>299</v>
      </c>
      <c r="H65" s="519" t="s">
        <v>1382</v>
      </c>
      <c r="I65" s="366">
        <f t="shared" ref="I65:I67" si="15">F65/SUM($F$64:$F$67)</f>
        <v>0.9129630226604466</v>
      </c>
      <c r="J65" s="366">
        <f t="shared" si="13"/>
        <v>0.12393662464779912</v>
      </c>
      <c r="K65" s="115">
        <f ca="1">($AI$59+$AI$61+$AI$63)*I65</f>
        <v>2486938.1678018798</v>
      </c>
      <c r="L65" s="1100"/>
      <c r="M65" s="1099"/>
      <c r="N65" s="1111"/>
      <c r="O65" s="118">
        <f>SUMIFS(Combustion!$P$11:$P$95,Combustion!$C$11:$C$95,C65,Combustion!$H$11:$H$95,$O$9)*$O$10*I65</f>
        <v>0</v>
      </c>
      <c r="P65" s="118">
        <f>SUMIFS(Combustion!$P$11:$P$95,Combustion!$C$11:$C$95,C65,Combustion!$H$11:$H$95,$P$9)*$P$10*I65</f>
        <v>0</v>
      </c>
      <c r="Q65" s="683">
        <v>0</v>
      </c>
      <c r="R65" s="683">
        <f>SUMIF('Purchased Material'!$C$9:$C$170,C65,'Purchased Material'!$K$9:$K$170)*I65</f>
        <v>0</v>
      </c>
      <c r="S65" s="118">
        <f>'Ancillary Input'!$L$312*J65</f>
        <v>2039.4486658974261</v>
      </c>
      <c r="T65" s="683">
        <f>'Purchased Services'!$J$181*J65</f>
        <v>87.559720526593651</v>
      </c>
      <c r="U65" s="683">
        <f>SUMIF(Waste!$C$10:$C$96,C65,Waste!$R$10:$R$96)*I65</f>
        <v>0</v>
      </c>
      <c r="V65" s="118">
        <f>SUMIF(Combustion!$C$11:$C$95,C65,Combustion!$P$11:$P$95)*I65</f>
        <v>0</v>
      </c>
      <c r="W65" s="118">
        <f>SUMIF(Vent!$C$10:$C$16,C65,Vent!$M$10:$M$16)*I65</f>
        <v>0</v>
      </c>
      <c r="X65" s="118">
        <f>Fugitive!$L$101*J65</f>
        <v>165.93751667542003</v>
      </c>
      <c r="Y65" s="118">
        <f>SUMIF('On-Site Tran.'!$C$10:$C$37,C65,'On-Site Tran.'!$O$10:$O$37)*I65</f>
        <v>0</v>
      </c>
      <c r="Z65" s="118">
        <f>SUMIF(Waste!$C$10:$C$96,C65,Waste!$Q$10:$Q$96)*I65</f>
        <v>0</v>
      </c>
      <c r="AA65" s="118">
        <f ca="1">SUMIF(Wastewater!$C$30:$D$110,C65,Wastewater!$I$30:$I$110)*I65</f>
        <v>0.12737898765320874</v>
      </c>
      <c r="AB65" s="118">
        <f>SUMIF('Mix Electricity'!$D$10:$D$104,C65,'Mix Electricity'!$I$10:$I$104)*I65</f>
        <v>3390.3296867051622</v>
      </c>
      <c r="AC65" s="118">
        <f>SUMIF(Steam!$D$10:$D$29,C65,Steam!$I$10:$I$29)*I65</f>
        <v>0</v>
      </c>
      <c r="AD65" s="118">
        <f>SUMIF(Air!$D$10:$D$71,C65,Air!$I$10:$I$71)*I65</f>
        <v>2784.1365665060789</v>
      </c>
      <c r="AE65" s="118">
        <f>SUMIF(Oxygen!$D$10:$D$49,C65,Oxygen!$I$10:$I$49)*I65</f>
        <v>0</v>
      </c>
      <c r="AF65" s="118">
        <f>SUMIF(Nitrogen!$D$10:$D$45,C65,Nitrogen!$I$10:$I$45)*I65</f>
        <v>0</v>
      </c>
      <c r="AG65" s="118">
        <f>SUMIF(Argon!$D$10:$D$16,C65,Argon!$I$10:$I$16)*I65</f>
        <v>0</v>
      </c>
      <c r="AH65" s="118">
        <f>SUMIF(Water!$D$10:$D$92,C65,Water!$I$10:$I$92)*I65</f>
        <v>11.502167944913962</v>
      </c>
      <c r="AI65" s="115">
        <f t="shared" ca="1" si="10"/>
        <v>2495417.2095051231</v>
      </c>
      <c r="AJ65" s="298">
        <f t="shared" ca="1" si="11"/>
        <v>2.8652755767830036</v>
      </c>
      <c r="AK65" s="385" t="s">
        <v>718</v>
      </c>
    </row>
    <row r="66" spans="2:37" s="497" customFormat="1" ht="13.8" x14ac:dyDescent="0.25">
      <c r="B66" s="1138"/>
      <c r="C66" s="656" t="s">
        <v>1444</v>
      </c>
      <c r="D66" s="1134"/>
      <c r="E66" s="1134"/>
      <c r="F66" s="76">
        <v>46930.381000000001</v>
      </c>
      <c r="G66" s="489" t="s">
        <v>299</v>
      </c>
      <c r="H66" s="519" t="s">
        <v>1383</v>
      </c>
      <c r="I66" s="366">
        <f t="shared" si="15"/>
        <v>4.9196080099902055E-2</v>
      </c>
      <c r="J66" s="366">
        <f t="shared" si="13"/>
        <v>6.6784699512986928E-3</v>
      </c>
      <c r="K66" s="115">
        <f ca="1">($AI$59+$AI$61+$AI$63)*I66</f>
        <v>134011.57141080513</v>
      </c>
      <c r="L66" s="1100"/>
      <c r="M66" s="1099"/>
      <c r="N66" s="1111"/>
      <c r="O66" s="118">
        <f>SUMIFS(Combustion!$P$11:$P$95,Combustion!$C$11:$C$95,C66,Combustion!$H$11:$H$95,$O$9)*$O$10*I66</f>
        <v>0</v>
      </c>
      <c r="P66" s="118">
        <f>SUMIFS(Combustion!$P$11:$P$95,Combustion!$C$11:$C$95,C66,Combustion!$H$11:$H$95,$P$9)*$P$10*I66</f>
        <v>0</v>
      </c>
      <c r="Q66" s="683">
        <v>0</v>
      </c>
      <c r="R66" s="683">
        <f>SUMIF('Purchased Material'!$C$9:$C$170,C66,'Purchased Material'!$K$9:$K$170)*I66</f>
        <v>0</v>
      </c>
      <c r="S66" s="118">
        <f>'Ancillary Input'!$L$312*J66</f>
        <v>109.89807630406563</v>
      </c>
      <c r="T66" s="683">
        <f>'Purchased Services'!$J$181*J66</f>
        <v>4.7182579333812074</v>
      </c>
      <c r="U66" s="683">
        <f>SUMIF(Waste!$C$10:$C$96,C66,Waste!$R$10:$R$96)*I66</f>
        <v>0</v>
      </c>
      <c r="V66" s="118">
        <f>SUMIF(Combustion!$C$11:$C$95,C66,Combustion!$P$11:$P$95)*I66</f>
        <v>0</v>
      </c>
      <c r="W66" s="118">
        <f>SUMIF(Vent!$C$10:$C$16,C66,Vent!$M$10:$M$16)*I66</f>
        <v>0</v>
      </c>
      <c r="X66" s="118">
        <f>Fugitive!$L$101*J66</f>
        <v>8.9417371342749252</v>
      </c>
      <c r="Y66" s="118">
        <f>SUMIF('On-Site Tran.'!$C$10:$C$37,C66,'On-Site Tran.'!$O$10:$O$37)*I66</f>
        <v>0</v>
      </c>
      <c r="Z66" s="118">
        <f>SUMIF(Waste!$C$10:$C$96,C66,Waste!$Q$10:$Q$96)*I66</f>
        <v>0</v>
      </c>
      <c r="AA66" s="118">
        <f ca="1">SUMIF(Wastewater!$C$30:$D$110,C66,Wastewater!$I$30:$I$110)*I66</f>
        <v>6.8639657073629092E-3</v>
      </c>
      <c r="AB66" s="118">
        <f>SUMIF('Mix Electricity'!$D$10:$D$104,C66,'Mix Electricity'!$I$10:$I$104)*I66</f>
        <v>182.69187983778468</v>
      </c>
      <c r="AC66" s="118">
        <f>SUMIF(Steam!$D$10:$D$29,C66,Steam!$I$10:$I$29)*I66</f>
        <v>0</v>
      </c>
      <c r="AD66" s="118">
        <f>SUMIF(Air!$D$10:$D$71,C66,Air!$I$10:$I$71)*I66</f>
        <v>150.02645467037863</v>
      </c>
      <c r="AE66" s="118">
        <f>SUMIF(Oxygen!$D$10:$D$49,C66,Oxygen!$I$10:$I$49)*I66</f>
        <v>0</v>
      </c>
      <c r="AF66" s="118">
        <f>SUMIF(Nitrogen!$D$10:$D$45,C66,Nitrogen!$I$10:$I$45)*I66</f>
        <v>0</v>
      </c>
      <c r="AG66" s="118">
        <f>SUMIF(Argon!$D$10:$D$16,C66,Argon!$I$10:$I$16)*I66</f>
        <v>0</v>
      </c>
      <c r="AH66" s="118">
        <f>SUMIF(Water!$D$10:$D$92,C66,Water!$I$10:$I$92)*I66</f>
        <v>0.61980777040843082</v>
      </c>
      <c r="AI66" s="115">
        <f t="shared" ca="1" si="10"/>
        <v>134468.47448842114</v>
      </c>
      <c r="AJ66" s="298">
        <f t="shared" ca="1" si="11"/>
        <v>2.865275576783004</v>
      </c>
      <c r="AK66" s="385" t="s">
        <v>718</v>
      </c>
    </row>
    <row r="67" spans="2:37" s="497" customFormat="1" ht="13.8" x14ac:dyDescent="0.25">
      <c r="B67" s="1139"/>
      <c r="C67" s="656" t="s">
        <v>1444</v>
      </c>
      <c r="D67" s="1135"/>
      <c r="E67" s="1135"/>
      <c r="F67" s="76">
        <v>11010.155000000001</v>
      </c>
      <c r="G67" s="489" t="s">
        <v>299</v>
      </c>
      <c r="H67" s="519" t="s">
        <v>1376</v>
      </c>
      <c r="I67" s="366">
        <f t="shared" si="15"/>
        <v>1.1541701894394105E-2</v>
      </c>
      <c r="J67" s="366">
        <f t="shared" si="13"/>
        <v>1.5668099802266908E-3</v>
      </c>
      <c r="K67" s="115">
        <f ca="1">($AI$59+$AI$61+$AI$63)*I67</f>
        <v>31439.935955911653</v>
      </c>
      <c r="L67" s="1098"/>
      <c r="M67" s="1096"/>
      <c r="N67" s="1110"/>
      <c r="O67" s="118">
        <f>SUMIFS(Combustion!$P$11:$P$95,Combustion!$C$11:$C$95,C67,Combustion!$H$11:$H$95,$O$9)*$O$10*I67</f>
        <v>0</v>
      </c>
      <c r="P67" s="118">
        <f>SUMIFS(Combustion!$P$11:$P$95,Combustion!$C$11:$C$95,C67,Combustion!$H$11:$H$95,$P$9)*$P$10*I67</f>
        <v>0</v>
      </c>
      <c r="Q67" s="683">
        <v>0</v>
      </c>
      <c r="R67" s="683">
        <f>SUMIF('Purchased Material'!$C$9:$C$170,C67,'Purchased Material'!$K$9:$K$170)*I67</f>
        <v>0</v>
      </c>
      <c r="S67" s="118">
        <f>'Ancillary Input'!$L$312*J67</f>
        <v>25.782762221972792</v>
      </c>
      <c r="T67" s="683">
        <f>'Purchased Services'!$J$181*J67</f>
        <v>1.1069322274734306</v>
      </c>
      <c r="U67" s="683">
        <f>SUMIF(Waste!$C$10:$C$96,C67,Waste!$R$10:$R$96)*I67</f>
        <v>0</v>
      </c>
      <c r="V67" s="118">
        <f>SUMIF(Combustion!$C$11:$C$95,C67,Combustion!$P$11:$P$95)*I67</f>
        <v>0</v>
      </c>
      <c r="W67" s="118">
        <f>SUMIF(Vent!$C$10:$C$16,C67,Vent!$M$10:$M$16)*I67</f>
        <v>0</v>
      </c>
      <c r="X67" s="118">
        <f>Fugitive!$L$101*J67</f>
        <v>2.0977863320057586</v>
      </c>
      <c r="Y67" s="118">
        <f>SUMIF('On-Site Tran.'!$C$10:$C$37,C67,'On-Site Tran.'!$O$10:$O$37)*I67</f>
        <v>0</v>
      </c>
      <c r="Z67" s="118">
        <f>SUMIF(Waste!$C$10:$C$96,C67,Waste!$Q$10:$Q$96)*I67</f>
        <v>0</v>
      </c>
      <c r="AA67" s="118">
        <f ca="1">SUMIF(Wastewater!$C$30:$D$110,C67,Wastewater!$I$30:$I$110)*I67</f>
        <v>1.610328421428121E-3</v>
      </c>
      <c r="AB67" s="118">
        <f>SUMIF('Mix Electricity'!$D$10:$D$104,C67,'Mix Electricity'!$I$10:$I$104)*I67</f>
        <v>42.860634654881324</v>
      </c>
      <c r="AC67" s="118">
        <f>SUMIF(Steam!$D$10:$D$29,C67,Steam!$I$10:$I$29)*I67</f>
        <v>0</v>
      </c>
      <c r="AD67" s="118">
        <f>SUMIF(Air!$D$10:$D$71,C67,Air!$I$10:$I$71)*I67</f>
        <v>35.197125717375755</v>
      </c>
      <c r="AE67" s="118">
        <f>SUMIF(Oxygen!$D$10:$D$49,C67,Oxygen!$I$10:$I$49)*I67</f>
        <v>0</v>
      </c>
      <c r="AF67" s="118">
        <f>SUMIF(Nitrogen!$D$10:$D$45,C67,Nitrogen!$I$10:$I$45)*I67</f>
        <v>0</v>
      </c>
      <c r="AG67" s="118">
        <f>SUMIF(Argon!$D$10:$D$16,C67,Argon!$I$10:$I$16)*I67</f>
        <v>0</v>
      </c>
      <c r="AH67" s="118">
        <f>SUMIF(Water!$D$10:$D$92,C67,Water!$I$10:$I$92)*I67</f>
        <v>0.1454107014899631</v>
      </c>
      <c r="AI67" s="115">
        <f t="shared" ca="1" si="10"/>
        <v>31547.128218095273</v>
      </c>
      <c r="AJ67" s="298">
        <f t="shared" ca="1" si="11"/>
        <v>2.8652755767830036</v>
      </c>
      <c r="AK67" s="385" t="s">
        <v>718</v>
      </c>
    </row>
    <row r="68" spans="2:37" s="497" customFormat="1" ht="13.8" x14ac:dyDescent="0.25">
      <c r="B68" s="1137" t="s">
        <v>340</v>
      </c>
      <c r="C68" s="656" t="s">
        <v>657</v>
      </c>
      <c r="D68" s="1133">
        <v>4520</v>
      </c>
      <c r="E68" s="447" t="s">
        <v>1418</v>
      </c>
      <c r="F68" s="76">
        <v>109171.65</v>
      </c>
      <c r="G68" s="489" t="s">
        <v>299</v>
      </c>
      <c r="H68" s="519" t="s">
        <v>645</v>
      </c>
      <c r="I68" s="366">
        <f>F68/SUM($F$68:$F$69)</f>
        <v>0.78912809421976204</v>
      </c>
      <c r="J68" s="366">
        <f t="shared" si="13"/>
        <v>1.5535769548913269E-2</v>
      </c>
      <c r="K68" s="115">
        <f ca="1">$AI$62*I68</f>
        <v>347603.63883074326</v>
      </c>
      <c r="L68" s="1097">
        <f>SUM(O68:U69)</f>
        <v>337.8740233189796</v>
      </c>
      <c r="M68" s="1095">
        <f ca="1">SUM(V68:AA69)</f>
        <v>26.758626687615799</v>
      </c>
      <c r="N68" s="1109">
        <f>SUM(AB68:AH69)</f>
        <v>11889.513418872581</v>
      </c>
      <c r="O68" s="118">
        <f>SUMIFS(Combustion!$P$11:$P$95,Combustion!$C$11:$C$95,C68,Combustion!$H$11:$H$95,$O$9)*$O$10*I68</f>
        <v>0</v>
      </c>
      <c r="P68" s="118">
        <f>SUMIFS(Combustion!$P$11:$P$95,Combustion!$C$11:$C$95,C68,Combustion!$H$11:$H$95,$P$9)*$P$10*I68</f>
        <v>0</v>
      </c>
      <c r="Q68" s="683">
        <v>0</v>
      </c>
      <c r="R68" s="683">
        <f>SUMIF('Purchased Material'!$C$9:$C$170,C68,'Purchased Material'!$K$9:$K$170)*I68</f>
        <v>0</v>
      </c>
      <c r="S68" s="118">
        <f>'Ancillary Input'!$L$312*J68</f>
        <v>255.65005155063079</v>
      </c>
      <c r="T68" s="683">
        <f>'Purchased Services'!$J$181*J68</f>
        <v>10.975832557438995</v>
      </c>
      <c r="U68" s="683">
        <f>SUMIF(Waste!$C$10:$C$96,C68,Waste!$R$10:$R$96)*I68</f>
        <v>0</v>
      </c>
      <c r="V68" s="118">
        <f>SUMIF(Combustion!$C$11:$C$95,C68,Combustion!$P$11:$P$95)*I68</f>
        <v>0</v>
      </c>
      <c r="W68" s="118">
        <f>SUMIF(Vent!$C$10:$C$16,C68,Vent!$M$10:$M$16)*I68</f>
        <v>0</v>
      </c>
      <c r="X68" s="118">
        <f>Fugitive!$L$101*J68</f>
        <v>20.800687657214311</v>
      </c>
      <c r="Y68" s="118">
        <f>SUMIF('On-Site Tran.'!$C$10:$C$37,C68,'On-Site Tran.'!$O$10:$O$37)*I68</f>
        <v>0</v>
      </c>
      <c r="Z68" s="118">
        <f>SUMIF(Waste!$C$10:$C$96,C68,Waste!$Q$10:$Q$96)*I68</f>
        <v>0</v>
      </c>
      <c r="AA68" s="118">
        <f ca="1">SUMIF(Wastewater!$C$30:$D$110,C68,Wastewater!$I$30:$I$110)*I68</f>
        <v>0.3152964247220077</v>
      </c>
      <c r="AB68" s="118">
        <f>SUMIF('Mix Electricity'!$D$10:$D$104,C68,'Mix Electricity'!$I$10:$I$104)*I68</f>
        <v>7566.9233718648629</v>
      </c>
      <c r="AC68" s="118">
        <f>SUMIF(Steam!$D$10:$D$29,C68,Steam!$I$10:$I$29)*I68</f>
        <v>331.19232637546889</v>
      </c>
      <c r="AD68" s="118">
        <f>SUMIF(Air!$D$10:$D$71,C68,Air!$I$10:$I$71)*I68</f>
        <v>1442.3693008695122</v>
      </c>
      <c r="AE68" s="118">
        <f>SUMIF(Oxygen!$D$10:$D$49,C68,Oxygen!$I$10:$I$49)*I68</f>
        <v>0</v>
      </c>
      <c r="AF68" s="118">
        <f>SUMIF(Nitrogen!$D$10:$D$45,C68,Nitrogen!$I$10:$I$45)*I68</f>
        <v>0</v>
      </c>
      <c r="AG68" s="118">
        <f>SUMIF(Argon!$D$10:$D$16,C68,Argon!$I$10:$I$16)*I68</f>
        <v>0</v>
      </c>
      <c r="AH68" s="118">
        <f>SUMIF(Water!$D$10:$D$92,C68,Water!$I$10:$I$92)*I68</f>
        <v>41.86406632536238</v>
      </c>
      <c r="AI68" s="115">
        <f t="shared" ca="1" si="10"/>
        <v>357273.7297643685</v>
      </c>
      <c r="AJ68" s="298">
        <f t="shared" ca="1" si="11"/>
        <v>3.2725870660044847</v>
      </c>
      <c r="AK68" s="385" t="s">
        <v>718</v>
      </c>
    </row>
    <row r="69" spans="2:37" s="497" customFormat="1" ht="13.8" x14ac:dyDescent="0.25">
      <c r="B69" s="1139"/>
      <c r="C69" s="656" t="s">
        <v>657</v>
      </c>
      <c r="D69" s="1135"/>
      <c r="E69" s="499" t="s">
        <v>1394</v>
      </c>
      <c r="F69" s="76">
        <v>29173</v>
      </c>
      <c r="G69" s="489" t="s">
        <v>299</v>
      </c>
      <c r="H69" s="518" t="s">
        <v>439</v>
      </c>
      <c r="I69" s="366">
        <f>F69/SUM($F$68:$F$69)</f>
        <v>0.21087190578023798</v>
      </c>
      <c r="J69" s="366">
        <f t="shared" si="13"/>
        <v>4.1514899248151589E-3</v>
      </c>
      <c r="K69" s="115">
        <f ca="1">$AI$62*I69</f>
        <v>92887.127341294865</v>
      </c>
      <c r="L69" s="1098"/>
      <c r="M69" s="1096"/>
      <c r="N69" s="1110"/>
      <c r="O69" s="118">
        <f>SUMIFS(Combustion!$P$11:$P$95,Combustion!$C$11:$C$95,C69,Combustion!$H$11:$H$95,$O$9)*$O$10*I69</f>
        <v>0</v>
      </c>
      <c r="P69" s="118">
        <f>SUMIFS(Combustion!$P$11:$P$95,Combustion!$C$11:$C$95,C69,Combustion!$H$11:$H$95,$P$9)*$P$10*I69</f>
        <v>0</v>
      </c>
      <c r="Q69" s="683">
        <v>0</v>
      </c>
      <c r="R69" s="683">
        <f>SUMIF('Purchased Material'!$C$9:$C$170,C69,'Purchased Material'!$K$9:$K$170)*I69</f>
        <v>0</v>
      </c>
      <c r="S69" s="118">
        <f>'Ancillary Input'!$L$312*J69</f>
        <v>68.315161984696147</v>
      </c>
      <c r="T69" s="683">
        <f>'Purchased Services'!$J$181*J69</f>
        <v>2.9329772262136538</v>
      </c>
      <c r="U69" s="683">
        <f>SUMIF(Waste!$C$10:$C$96,C69,Waste!$R$10:$R$96)*I69</f>
        <v>0</v>
      </c>
      <c r="V69" s="118">
        <f>SUMIF(Combustion!$C$11:$C$95,C69,Combustion!$P$11:$P$95)*I69</f>
        <v>0</v>
      </c>
      <c r="W69" s="118">
        <f>SUMIF(Vent!$C$10:$C$16,C69,Vent!$M$10:$M$16)*I69</f>
        <v>0</v>
      </c>
      <c r="X69" s="118">
        <f>Fugitive!$L$101*J69</f>
        <v>5.5583886569811227</v>
      </c>
      <c r="Y69" s="118">
        <f>SUMIF('On-Site Tran.'!$C$10:$C$37,C69,'On-Site Tran.'!$O$10:$O$37)*I69</f>
        <v>0</v>
      </c>
      <c r="Z69" s="118">
        <f>SUMIF(Waste!$C$10:$C$96,C69,Waste!$Q$10:$Q$96)*I69</f>
        <v>0</v>
      </c>
      <c r="AA69" s="118">
        <f ca="1">SUMIF(Wastewater!$C$30:$D$110,C69,Wastewater!$I$30:$I$110)*I69</f>
        <v>8.4253948698358311E-2</v>
      </c>
      <c r="AB69" s="118">
        <f>SUMIF('Mix Electricity'!$D$10:$D$104,C69,'Mix Electricity'!$I$10:$I$104)*I69</f>
        <v>2022.0437771840368</v>
      </c>
      <c r="AC69" s="118">
        <f>SUMIF(Steam!$D$10:$D$29,C69,Steam!$I$10:$I$29)*I69</f>
        <v>88.501673624531222</v>
      </c>
      <c r="AD69" s="118">
        <f>SUMIF(Air!$D$10:$D$71,C69,Air!$I$10:$I$71)*I69</f>
        <v>385.43192865790962</v>
      </c>
      <c r="AE69" s="118">
        <f>SUMIF(Oxygen!$D$10:$D$49,C69,Oxygen!$I$10:$I$49)*I69</f>
        <v>0</v>
      </c>
      <c r="AF69" s="118">
        <f>SUMIF(Nitrogen!$D$10:$D$45,C69,Nitrogen!$I$10:$I$45)*I69</f>
        <v>0</v>
      </c>
      <c r="AG69" s="118">
        <f>SUMIF(Argon!$D$10:$D$16,C69,Argon!$I$10:$I$16)*I69</f>
        <v>0</v>
      </c>
      <c r="AH69" s="118">
        <f>SUMIF(Water!$D$10:$D$92,C69,Water!$I$10:$I$92)*I69</f>
        <v>11.186973970896261</v>
      </c>
      <c r="AI69" s="115">
        <f t="shared" ca="1" si="10"/>
        <v>95471.182476548827</v>
      </c>
      <c r="AJ69" s="298">
        <f t="shared" ca="1" si="11"/>
        <v>3.2725870660044847</v>
      </c>
      <c r="AK69" s="385" t="s">
        <v>718</v>
      </c>
    </row>
    <row r="70" spans="2:37" s="497" customFormat="1" ht="13.8" x14ac:dyDescent="0.25">
      <c r="B70" s="511" t="s">
        <v>340</v>
      </c>
      <c r="C70" s="356" t="s">
        <v>1382</v>
      </c>
      <c r="D70" s="503" t="s">
        <v>1440</v>
      </c>
      <c r="E70" s="499" t="s">
        <v>1395</v>
      </c>
      <c r="F70" s="76">
        <v>847306</v>
      </c>
      <c r="G70" s="489" t="s">
        <v>299</v>
      </c>
      <c r="H70" s="518" t="s">
        <v>439</v>
      </c>
      <c r="I70" s="366">
        <v>1</v>
      </c>
      <c r="J70" s="366">
        <f t="shared" si="13"/>
        <v>0.12057664012050297</v>
      </c>
      <c r="K70" s="115">
        <f ca="1">AI65</f>
        <v>2495417.2095051231</v>
      </c>
      <c r="L70" s="557">
        <f>SUM(O70:U70)</f>
        <v>2069.3441141548401</v>
      </c>
      <c r="M70" s="558">
        <f ca="1">SUM(V70:AA70)</f>
        <v>161.47857316889937</v>
      </c>
      <c r="N70" s="559">
        <f>SUM(AB70:AH70)</f>
        <v>8679.3608515222404</v>
      </c>
      <c r="O70" s="118">
        <f>SUMIFS(Combustion!$P$11:$P$95,Combustion!$C$11:$C$95,C70,Combustion!$H$11:$H$95,$O$9)*$O$10*I70</f>
        <v>0</v>
      </c>
      <c r="P70" s="118">
        <f>SUMIFS(Combustion!$P$11:$P$95,Combustion!$C$11:$C$95,C70,Combustion!$H$11:$H$95,$P$9)*$P$10*I70</f>
        <v>0</v>
      </c>
      <c r="Q70" s="683">
        <v>0</v>
      </c>
      <c r="R70" s="683">
        <f>SUMIF('Purchased Material'!$C$9:$C$170,C70,'Purchased Material'!$K$9:$K$170)*I70</f>
        <v>0</v>
      </c>
      <c r="S70" s="118">
        <f>'Ancillary Input'!$L$312*J70</f>
        <v>1984.1581819012429</v>
      </c>
      <c r="T70" s="683">
        <f>'Purchased Services'!$J$181*J70</f>
        <v>85.185932253597031</v>
      </c>
      <c r="U70" s="683">
        <f>SUMIF(Waste!$C$10:$C$96,C70,Waste!$R$10:$R$96)*I70</f>
        <v>0</v>
      </c>
      <c r="V70" s="118">
        <f>SUMIF(Combustion!$C$11:$C$95,C70,Combustion!$P$11:$P$95)*I70</f>
        <v>0</v>
      </c>
      <c r="W70" s="118">
        <f>SUMIF(Vent!$C$10:$C$16,C70,Vent!$M$10:$M$16)*I70</f>
        <v>0</v>
      </c>
      <c r="X70" s="118">
        <f>Fugitive!$L$101*J70</f>
        <v>161.43886673952105</v>
      </c>
      <c r="Y70" s="118">
        <f>SUMIF('On-Site Tran.'!$C$10:$C$37,C70,'On-Site Tran.'!$O$10:$O$37)*I70</f>
        <v>0</v>
      </c>
      <c r="Z70" s="118">
        <f>SUMIF(Waste!$C$10:$C$96,C70,Waste!$Q$10:$Q$96)*I70</f>
        <v>0</v>
      </c>
      <c r="AA70" s="118">
        <f ca="1">SUMIF(Wastewater!$C$30:$D$110,C70,Wastewater!$I$30:$I$110)*I70</f>
        <v>3.9706429378328759E-2</v>
      </c>
      <c r="AB70" s="118">
        <f>SUMIF('Mix Electricity'!$D$10:$D$104,C70,'Mix Electricity'!$I$10:$I$104)*I70</f>
        <v>8595.2014655515104</v>
      </c>
      <c r="AC70" s="118">
        <f>SUMIF(Steam!$D$10:$D$29,C70,Steam!$I$10:$I$29)*I70</f>
        <v>0</v>
      </c>
      <c r="AD70" s="118">
        <f>SUMIF(Air!$D$10:$D$71,C70,Air!$I$10:$I$71)*I70</f>
        <v>82.257104104544041</v>
      </c>
      <c r="AE70" s="118">
        <f>SUMIF(Oxygen!$D$10:$D$49,C70,Oxygen!$I$10:$I$49)*I70</f>
        <v>0</v>
      </c>
      <c r="AF70" s="118">
        <f>SUMIF(Nitrogen!$D$10:$D$45,C70,Nitrogen!$I$10:$I$45)*I70</f>
        <v>0</v>
      </c>
      <c r="AG70" s="118">
        <f>SUMIF(Argon!$D$10:$D$16,C70,Argon!$I$10:$I$16)*I70</f>
        <v>0</v>
      </c>
      <c r="AH70" s="118">
        <f>SUMIF(Water!$D$10:$D$92,C70,Water!$I$10:$I$92)*I70</f>
        <v>1.9022818661853245</v>
      </c>
      <c r="AI70" s="115">
        <f t="shared" ca="1" si="10"/>
        <v>2506327.3930439693</v>
      </c>
      <c r="AJ70" s="298">
        <f t="shared" ca="1" si="11"/>
        <v>2.9579955683589745</v>
      </c>
      <c r="AK70" s="385" t="s">
        <v>718</v>
      </c>
    </row>
    <row r="71" spans="2:37" s="497" customFormat="1" ht="13.8" x14ac:dyDescent="0.25">
      <c r="B71" s="511" t="s">
        <v>340</v>
      </c>
      <c r="C71" s="516" t="s">
        <v>659</v>
      </c>
      <c r="D71" s="503">
        <v>4630</v>
      </c>
      <c r="E71" s="499" t="s">
        <v>1416</v>
      </c>
      <c r="F71" s="76">
        <v>45495</v>
      </c>
      <c r="G71" s="489" t="s">
        <v>299</v>
      </c>
      <c r="H71" s="518" t="s">
        <v>439</v>
      </c>
      <c r="I71" s="366">
        <v>1</v>
      </c>
      <c r="J71" s="366">
        <f t="shared" si="13"/>
        <v>6.4742067709685552E-3</v>
      </c>
      <c r="K71" s="115">
        <f ca="1">AI66</f>
        <v>134468.47448842114</v>
      </c>
      <c r="L71" s="557">
        <f>SUM(O71:U71)</f>
        <v>111.11075629521618</v>
      </c>
      <c r="M71" s="558">
        <f ca="1">SUM(V71:AA71)</f>
        <v>8.6884825638327303</v>
      </c>
      <c r="N71" s="559">
        <f>SUM(AB71:AH71)</f>
        <v>538.02058913570738</v>
      </c>
      <c r="O71" s="118">
        <f>SUMIFS(Combustion!$P$11:$P$95,Combustion!$C$11:$C$95,C71,Combustion!$H$11:$H$95,$O$9)*$O$10*I71</f>
        <v>0</v>
      </c>
      <c r="P71" s="118">
        <f>SUMIFS(Combustion!$P$11:$P$95,Combustion!$C$11:$C$95,C71,Combustion!$H$11:$H$95,$P$9)*$P$10*I71</f>
        <v>0</v>
      </c>
      <c r="Q71" s="683">
        <v>0</v>
      </c>
      <c r="R71" s="683">
        <f>SUMIF('Purchased Material'!$C$9:$C$170,C71,'Purchased Material'!$K$9:$K$170)*I71</f>
        <v>0</v>
      </c>
      <c r="S71" s="118">
        <f>'Ancillary Input'!$L$312*J71</f>
        <v>106.53680781865943</v>
      </c>
      <c r="T71" s="683">
        <f>'Purchased Services'!$J$181*J71</f>
        <v>4.5739484765567537</v>
      </c>
      <c r="U71" s="683">
        <f>SUMIF(Waste!$C$10:$C$96,C71,Waste!$R$10:$R$96)*I71</f>
        <v>0</v>
      </c>
      <c r="V71" s="118">
        <f>SUMIF(Combustion!$C$11:$C$95,C71,Combustion!$P$11:$P$95)*I71</f>
        <v>0</v>
      </c>
      <c r="W71" s="118">
        <f>SUMIF(Vent!$C$10:$C$16,C71,Vent!$M$10:$M$16)*I71</f>
        <v>0</v>
      </c>
      <c r="X71" s="118">
        <f>Fugitive!$L$101*J71</f>
        <v>8.6682511894339349</v>
      </c>
      <c r="Y71" s="118">
        <f>SUMIF('On-Site Tran.'!$C$10:$C$37,C71,'On-Site Tran.'!$O$10:$O$37)*I71</f>
        <v>0</v>
      </c>
      <c r="Z71" s="118">
        <f>SUMIF(Waste!$C$10:$C$96,C71,Waste!$Q$10:$Q$96)*I71</f>
        <v>0</v>
      </c>
      <c r="AA71" s="118">
        <f ca="1">SUMIF(Wastewater!$C$30:$D$110,C71,Wastewater!$I$30:$I$110)*I71</f>
        <v>2.0231374398794709E-2</v>
      </c>
      <c r="AB71" s="118">
        <f>SUMIF('Mix Electricity'!$D$10:$D$104,C71,'Mix Electricity'!$I$10:$I$104)*I71</f>
        <v>505.60008558940388</v>
      </c>
      <c r="AC71" s="118">
        <f>SUMIF(Steam!$D$10:$D$29,C71,Steam!$I$10:$I$29)*I71</f>
        <v>0</v>
      </c>
      <c r="AD71" s="118">
        <f>SUMIF(Air!$D$10:$D$71,C71,Air!$I$10:$I$71)*I71</f>
        <v>31.451245487863297</v>
      </c>
      <c r="AE71" s="118">
        <f>SUMIF(Oxygen!$D$10:$D$49,C71,Oxygen!$I$10:$I$49)*I71</f>
        <v>0</v>
      </c>
      <c r="AF71" s="118">
        <f>SUMIF(Nitrogen!$D$10:$D$45,C71,Nitrogen!$I$10:$I$45)*I71</f>
        <v>0</v>
      </c>
      <c r="AG71" s="118">
        <f>SUMIF(Argon!$D$10:$D$16,C71,Argon!$I$10:$I$16)*I71</f>
        <v>0</v>
      </c>
      <c r="AH71" s="118">
        <f>SUMIF(Water!$D$10:$D$92,C71,Water!$I$10:$I$92)*I71</f>
        <v>0.96925805844023405</v>
      </c>
      <c r="AI71" s="115">
        <f t="shared" ca="1" si="10"/>
        <v>135126.29431641591</v>
      </c>
      <c r="AJ71" s="298">
        <f t="shared" ca="1" si="11"/>
        <v>2.9701350547624115</v>
      </c>
      <c r="AK71" s="385" t="s">
        <v>718</v>
      </c>
    </row>
    <row r="72" spans="2:37" s="497" customFormat="1" ht="13.8" x14ac:dyDescent="0.25">
      <c r="B72" s="511" t="s">
        <v>340</v>
      </c>
      <c r="C72" s="656" t="s">
        <v>660</v>
      </c>
      <c r="D72" s="503">
        <v>4640</v>
      </c>
      <c r="E72" s="499" t="s">
        <v>1417</v>
      </c>
      <c r="F72" s="76">
        <v>10720</v>
      </c>
      <c r="G72" s="489" t="s">
        <v>299</v>
      </c>
      <c r="H72" s="518" t="s">
        <v>439</v>
      </c>
      <c r="I72" s="366">
        <v>1</v>
      </c>
      <c r="J72" s="366">
        <f t="shared" si="13"/>
        <v>1.5255192127658624E-3</v>
      </c>
      <c r="K72" s="115">
        <f ca="1">AI67</f>
        <v>31547.128218095273</v>
      </c>
      <c r="L72" s="557">
        <f>SUM(O72:U72)</f>
        <v>26.181059621600557</v>
      </c>
      <c r="M72" s="558">
        <f ca="1">SUM(V72:AA72)</f>
        <v>2.0640574715030384</v>
      </c>
      <c r="N72" s="559">
        <f>SUM(AB72:AH72)</f>
        <v>312.64534931002885</v>
      </c>
      <c r="O72" s="118">
        <f>SUMIFS(Combustion!$P$11:$P$95,Combustion!$C$11:$C$95,C72,Combustion!$H$11:$H$95,$O$9)*$O$10*I72</f>
        <v>0</v>
      </c>
      <c r="P72" s="118">
        <f>SUMIFS(Combustion!$P$11:$P$95,Combustion!$C$11:$C$95,C72,Combustion!$H$11:$H$95,$P$9)*$P$10*I72</f>
        <v>0</v>
      </c>
      <c r="Q72" s="683">
        <v>0</v>
      </c>
      <c r="R72" s="683">
        <f>SUMIF('Purchased Material'!$C$9:$C$170,C72,'Purchased Material'!$K$9:$K$170)*I72</f>
        <v>0</v>
      </c>
      <c r="S72" s="118">
        <f>'Ancillary Input'!$L$312*J72</f>
        <v>25.103298820002834</v>
      </c>
      <c r="T72" s="683">
        <f>'Purchased Services'!$J$181*J72</f>
        <v>1.0777608015977227</v>
      </c>
      <c r="U72" s="683">
        <f>SUMIF(Waste!$C$10:$C$96,C72,Waste!$R$10:$R$96)*I72</f>
        <v>0</v>
      </c>
      <c r="V72" s="118">
        <f>SUMIF(Combustion!$C$11:$C$95,C72,Combustion!$P$11:$P$95)*I72</f>
        <v>0</v>
      </c>
      <c r="W72" s="118">
        <f>SUMIF(Vent!$C$10:$C$16,C72,Vent!$M$10:$M$16)*I72</f>
        <v>0</v>
      </c>
      <c r="X72" s="118">
        <f>Fugitive!$L$101*J72</f>
        <v>2.0425025332614966</v>
      </c>
      <c r="Y72" s="118">
        <f>SUMIF('On-Site Tran.'!$C$10:$C$37,C72,'On-Site Tran.'!$O$10:$O$37)*I72</f>
        <v>0</v>
      </c>
      <c r="Z72" s="118">
        <f>SUMIF(Waste!$C$10:$C$96,C72,Waste!$Q$10:$Q$96)*I72</f>
        <v>0</v>
      </c>
      <c r="AA72" s="118">
        <f ca="1">SUMIF(Wastewater!$C$30:$D$110,C72,Wastewater!$I$30:$I$110)*I72</f>
        <v>2.1554938241541685E-2</v>
      </c>
      <c r="AB72" s="118">
        <f>SUMIF('Mix Electricity'!$D$10:$D$104,C72,'Mix Electricity'!$I$10:$I$104)*I72</f>
        <v>278.95177206005133</v>
      </c>
      <c r="AC72" s="118">
        <f>SUMIF(Steam!$D$10:$D$29,C72,Steam!$I$10:$I$29)*I72</f>
        <v>0</v>
      </c>
      <c r="AD72" s="118">
        <f>SUMIF(Air!$D$10:$D$71,C72,Air!$I$10:$I$71)*I72</f>
        <v>32.660909020030658</v>
      </c>
      <c r="AE72" s="118">
        <f>SUMIF(Oxygen!$D$10:$D$49,C72,Oxygen!$I$10:$I$49)*I72</f>
        <v>0</v>
      </c>
      <c r="AF72" s="118">
        <f>SUMIF(Nitrogen!$D$10:$D$45,C72,Nitrogen!$I$10:$I$45)*I72</f>
        <v>0</v>
      </c>
      <c r="AG72" s="118">
        <f>SUMIF(Argon!$D$10:$D$16,C72,Argon!$I$10:$I$16)*I72</f>
        <v>0</v>
      </c>
      <c r="AH72" s="118">
        <f>SUMIF(Water!$D$10:$D$92,C72,Water!$I$10:$I$92)*I72</f>
        <v>1.0326682299468746</v>
      </c>
      <c r="AI72" s="115">
        <f t="shared" ca="1" si="10"/>
        <v>31888.018684498405</v>
      </c>
      <c r="AJ72" s="298">
        <f t="shared" ca="1" si="11"/>
        <v>2.9746286086285827</v>
      </c>
      <c r="AK72" s="385" t="s">
        <v>718</v>
      </c>
    </row>
    <row r="73" spans="2:37" s="497" customFormat="1" ht="13.8" x14ac:dyDescent="0.25">
      <c r="B73" s="1137" t="s">
        <v>340</v>
      </c>
      <c r="C73" s="656" t="s">
        <v>645</v>
      </c>
      <c r="D73" s="1075">
        <v>4710</v>
      </c>
      <c r="E73" s="1136" t="s">
        <v>1397</v>
      </c>
      <c r="F73" s="76">
        <v>4801</v>
      </c>
      <c r="G73" s="489" t="s">
        <v>299</v>
      </c>
      <c r="H73" s="518" t="s">
        <v>439</v>
      </c>
      <c r="I73" s="366">
        <f>F73/SUM($F$73:$F$74)</f>
        <v>4.5384077288109954E-2</v>
      </c>
      <c r="J73" s="366">
        <f t="shared" si="13"/>
        <v>6.832106101202337E-4</v>
      </c>
      <c r="K73" s="115">
        <f ca="1">$AI$68*I73</f>
        <v>16214.538564637411</v>
      </c>
      <c r="L73" s="1097">
        <f>SUM(O73:U74)</f>
        <v>1959.3819333519366</v>
      </c>
      <c r="M73" s="1095">
        <f ca="1">SUM(V73:AA74)</f>
        <v>332.34412521851772</v>
      </c>
      <c r="N73" s="1109">
        <f>SUM(AB73:AH74)</f>
        <v>11730.585965369548</v>
      </c>
      <c r="O73" s="118">
        <f>SUMIFS(Combustion!$P$11:$P$95,Combustion!$C$11:$C$95,C73,Combustion!$H$11:$H$95,$O$9)*$O$10*I73</f>
        <v>4.6472919936445374</v>
      </c>
      <c r="P73" s="118">
        <f>SUMIFS(Combustion!$P$11:$P$95,Combustion!$C$11:$C$95,C73,Combustion!$H$11:$H$95,$P$9)*$P$10*I73</f>
        <v>0</v>
      </c>
      <c r="Q73" s="683">
        <v>0</v>
      </c>
      <c r="R73" s="683">
        <f>SUMIF('Purchased Material'!$C$9:$C$170,C73,'Purchased Material'!$K$9:$K$170)*I73</f>
        <v>72.551345689152896</v>
      </c>
      <c r="S73" s="118">
        <f>'Ancillary Input'!$L$312*J73</f>
        <v>11.242624779368807</v>
      </c>
      <c r="T73" s="683">
        <f>'Purchased Services'!$J$181*J73</f>
        <v>0.48268000079017415</v>
      </c>
      <c r="U73" s="683">
        <f>SUMIF(Waste!$C$10:$C$96,C73,Waste!$R$10:$R$96)*I73</f>
        <v>7.9863721418524207E-4</v>
      </c>
      <c r="V73" s="118">
        <f>SUMIF(Combustion!$C$11:$C$95,C73,Combustion!$P$11:$P$95)*I73</f>
        <v>13.806571579454952</v>
      </c>
      <c r="W73" s="118">
        <f>SUMIF(Vent!$C$10:$C$16,C73,Vent!$M$10:$M$16)*I73</f>
        <v>0</v>
      </c>
      <c r="X73" s="118">
        <f>Fugitive!$L$101*J73</f>
        <v>0.91474390505489223</v>
      </c>
      <c r="Y73" s="118">
        <f>SUMIF('On-Site Tran.'!$C$10:$C$37,C73,'On-Site Tran.'!$O$10:$O$37)*I73</f>
        <v>0</v>
      </c>
      <c r="Z73" s="118">
        <f>SUMIF(Waste!$C$10:$C$96,C73,Waste!$Q$10:$Q$96)*I73</f>
        <v>0</v>
      </c>
      <c r="AA73" s="118">
        <f ca="1">SUMIF(Wastewater!$C$30:$D$110,C73,Wastewater!$I$30:$I$110)*I73</f>
        <v>0.36181598065665749</v>
      </c>
      <c r="AB73" s="118">
        <f>SUMIF('Mix Electricity'!$D$10:$D$104,C73,'Mix Electricity'!$I$10:$I$104)*I73</f>
        <v>145.58964074647412</v>
      </c>
      <c r="AC73" s="118">
        <f>SUMIF(Steam!$D$10:$D$29,C73,Steam!$I$10:$I$29)*I73</f>
        <v>314.97546272285558</v>
      </c>
      <c r="AD73" s="118">
        <f>SUMIF(Air!$D$10:$D$71,C73,Air!$I$10:$I$71)*I73</f>
        <v>19.105009359893415</v>
      </c>
      <c r="AE73" s="118">
        <f>SUMIF(Oxygen!$D$10:$D$49,C73,Oxygen!$I$10:$I$49)*I73</f>
        <v>0</v>
      </c>
      <c r="AF73" s="118">
        <f>SUMIF(Nitrogen!$D$10:$D$45,C73,Nitrogen!$I$10:$I$45)*I73</f>
        <v>0</v>
      </c>
      <c r="AG73" s="118">
        <f>SUMIF(Argon!$D$10:$D$16,C73,Argon!$I$10:$I$16)*I73</f>
        <v>0</v>
      </c>
      <c r="AH73" s="118">
        <f>SUMIF(Water!$D$10:$D$92,C73,Water!$I$10:$I$92)*I73</f>
        <v>52.7117072579263</v>
      </c>
      <c r="AI73" s="115">
        <f t="shared" ca="1" si="10"/>
        <v>16850.928257289896</v>
      </c>
      <c r="AJ73" s="298">
        <f t="shared" ca="1" si="11"/>
        <v>3.5098788288460518</v>
      </c>
      <c r="AK73" s="385" t="s">
        <v>718</v>
      </c>
    </row>
    <row r="74" spans="2:37" s="497" customFormat="1" ht="13.8" x14ac:dyDescent="0.25">
      <c r="B74" s="1139"/>
      <c r="C74" s="656" t="s">
        <v>645</v>
      </c>
      <c r="D74" s="1076"/>
      <c r="E74" s="1136"/>
      <c r="F74" s="76">
        <v>100985</v>
      </c>
      <c r="G74" s="489" t="s">
        <v>299</v>
      </c>
      <c r="H74" s="516" t="s">
        <v>1384</v>
      </c>
      <c r="I74" s="366">
        <f>F74/SUM($F$73:$F$74)</f>
        <v>0.95461592271189</v>
      </c>
      <c r="J74" s="366">
        <f t="shared" si="13"/>
        <v>1.4370760979585877E-2</v>
      </c>
      <c r="K74" s="115">
        <f ca="1">$AI$68*I74</f>
        <v>341059.19119973108</v>
      </c>
      <c r="L74" s="1098"/>
      <c r="M74" s="1096"/>
      <c r="N74" s="1110"/>
      <c r="O74" s="118">
        <f>SUMIFS(Combustion!$P$11:$P$95,Combustion!$C$11:$C$95,C74,Combustion!$H$11:$H$95,$O$9)*$O$10*I74</f>
        <v>97.751881270192371</v>
      </c>
      <c r="P74" s="118">
        <f>SUMIFS(Combustion!$P$11:$P$95,Combustion!$C$11:$C$95,C74,Combustion!$H$11:$H$95,$P$9)*$P$10*I74</f>
        <v>0</v>
      </c>
      <c r="Q74" s="683">
        <v>0</v>
      </c>
      <c r="R74" s="683">
        <f>SUMIF('Purchased Material'!$C$9:$C$170,C74,'Purchased Material'!$K$9:$K$170)*I74</f>
        <v>1526.056580799647</v>
      </c>
      <c r="S74" s="118">
        <f>'Ancillary Input'!$L$312*J74</f>
        <v>236.4791633710808</v>
      </c>
      <c r="T74" s="683">
        <f>'Purchased Services'!$J$181*J74</f>
        <v>10.152768148259891</v>
      </c>
      <c r="U74" s="683">
        <f>SUMIF(Waste!$C$10:$C$96,C74,Waste!$R$10:$R$96)*I74</f>
        <v>1.679866258581476E-2</v>
      </c>
      <c r="V74" s="118">
        <f>SUMIF(Combustion!$C$11:$C$95,C74,Combustion!$P$11:$P$95)*I74</f>
        <v>290.40962944204506</v>
      </c>
      <c r="W74" s="118">
        <f>SUMIF(Vent!$C$10:$C$16,C74,Vent!$M$10:$M$16)*I74</f>
        <v>0</v>
      </c>
      <c r="X74" s="118">
        <f>Fugitive!$L$101*J74</f>
        <v>19.240869246400393</v>
      </c>
      <c r="Y74" s="118">
        <f>SUMIF('On-Site Tran.'!$C$10:$C$37,C74,'On-Site Tran.'!$O$10:$O$37)*I74</f>
        <v>0</v>
      </c>
      <c r="Z74" s="118">
        <f>SUMIF(Waste!$C$10:$C$96,C74,Waste!$Q$10:$Q$96)*I74</f>
        <v>0</v>
      </c>
      <c r="AA74" s="118">
        <f ca="1">SUMIF(Wastewater!$C$30:$D$110,C74,Wastewater!$I$30:$I$110)*I74</f>
        <v>7.6104950649057601</v>
      </c>
      <c r="AB74" s="118">
        <f>SUMIF('Mix Electricity'!$D$10:$D$104,C74,'Mix Electricity'!$I$10:$I$104)*I74</f>
        <v>3062.3557323021641</v>
      </c>
      <c r="AC74" s="118">
        <f>SUMIF(Steam!$D$10:$D$29,C74,Steam!$I$10:$I$29)*I74</f>
        <v>6625.2441372771455</v>
      </c>
      <c r="AD74" s="118">
        <f>SUMIF(Air!$D$10:$D$71,C74,Air!$I$10:$I$71)*I74</f>
        <v>401.85781508203223</v>
      </c>
      <c r="AE74" s="118">
        <f>SUMIF(Oxygen!$D$10:$D$49,C74,Oxygen!$I$10:$I$49)*I74</f>
        <v>0</v>
      </c>
      <c r="AF74" s="118">
        <f>SUMIF(Nitrogen!$D$10:$D$45,C74,Nitrogen!$I$10:$I$45)*I74</f>
        <v>0</v>
      </c>
      <c r="AG74" s="118">
        <f>SUMIF(Argon!$D$10:$D$16,C74,Argon!$I$10:$I$16)*I74</f>
        <v>0</v>
      </c>
      <c r="AH74" s="118">
        <f>SUMIF(Water!$D$10:$D$92,C74,Water!$I$10:$I$92)*I74</f>
        <v>1108.7464606210556</v>
      </c>
      <c r="AI74" s="115">
        <f t="shared" ca="1" si="10"/>
        <v>354445.11353101861</v>
      </c>
      <c r="AJ74" s="298">
        <f t="shared" ca="1" si="11"/>
        <v>3.5098788288460523</v>
      </c>
      <c r="AK74" s="385" t="s">
        <v>718</v>
      </c>
    </row>
    <row r="75" spans="2:37" s="497" customFormat="1" ht="13.8" x14ac:dyDescent="0.25">
      <c r="B75" s="511" t="s">
        <v>340</v>
      </c>
      <c r="C75" s="516" t="s">
        <v>1384</v>
      </c>
      <c r="D75" s="502" t="s">
        <v>1441</v>
      </c>
      <c r="E75" s="24" t="s">
        <v>1398</v>
      </c>
      <c r="F75" s="76">
        <v>98700</v>
      </c>
      <c r="G75" s="489" t="s">
        <v>299</v>
      </c>
      <c r="H75" s="518" t="s">
        <v>439</v>
      </c>
      <c r="I75" s="366">
        <v>1</v>
      </c>
      <c r="J75" s="366">
        <f t="shared" si="13"/>
        <v>1.4045592005596139E-2</v>
      </c>
      <c r="K75" s="115">
        <f ca="1">AI74</f>
        <v>354445.11353101861</v>
      </c>
      <c r="L75" s="557">
        <f>SUM(O75:U75)</f>
        <v>241.05136050857973</v>
      </c>
      <c r="M75" s="558">
        <f ca="1">SUM(V75:AA75)</f>
        <v>18.805503734413218</v>
      </c>
      <c r="N75" s="559">
        <f>SUM(AB75:AH75)</f>
        <v>375.93609771981681</v>
      </c>
      <c r="O75" s="118">
        <f>SUMIFS(Combustion!$P$11:$P$95,Combustion!$C$11:$C$95,C75,Combustion!$H$11:$H$95,$O$9)*$O$10*I75</f>
        <v>0</v>
      </c>
      <c r="P75" s="118">
        <f>SUMIFS(Combustion!$P$11:$P$95,Combustion!$C$11:$C$95,C75,Combustion!$H$11:$H$95,$P$9)*$P$10*I75</f>
        <v>0</v>
      </c>
      <c r="Q75" s="683">
        <v>0</v>
      </c>
      <c r="R75" s="683">
        <f>SUMIF('Purchased Material'!$C$9:$C$170,C75,'Purchased Material'!$K$9:$K$170)*I75</f>
        <v>0</v>
      </c>
      <c r="S75" s="118">
        <f>'Ancillary Input'!$L$312*J75</f>
        <v>231.12832029237683</v>
      </c>
      <c r="T75" s="683">
        <f>'Purchased Services'!$J$181*J75</f>
        <v>9.9230402162029137</v>
      </c>
      <c r="U75" s="683">
        <f>SUMIF(Waste!$C$10:$C$96,C75,Waste!$R$10:$R$96)*I75</f>
        <v>0</v>
      </c>
      <c r="V75" s="118">
        <f>SUMIF(Combustion!$C$11:$C$95,C75,Combustion!$P$11:$P$95)*I75</f>
        <v>0</v>
      </c>
      <c r="W75" s="118">
        <f>SUMIF(Vent!$C$10:$C$16,C75,Vent!$M$10:$M$16)*I75</f>
        <v>0</v>
      </c>
      <c r="X75" s="118">
        <f>Fugitive!$L$101*J75</f>
        <v>18.805503734413218</v>
      </c>
      <c r="Y75" s="118">
        <f>SUMIF('On-Site Tran.'!$C$10:$C$37,C75,'On-Site Tran.'!$O$10:$O$37)*I75</f>
        <v>0</v>
      </c>
      <c r="Z75" s="118">
        <f>SUMIF(Waste!$C$10:$C$96,C75,Waste!$Q$10:$Q$96)*I75</f>
        <v>0</v>
      </c>
      <c r="AA75" s="118">
        <f ca="1">SUMIF(Wastewater!$C$30:$D$110,C75,Wastewater!$I$30:$I$110)*I75</f>
        <v>0</v>
      </c>
      <c r="AB75" s="118">
        <f>SUMIF('Mix Electricity'!$D$10:$D$104,C75,'Mix Electricity'!$I$10:$I$104)*I75</f>
        <v>244.08279895399187</v>
      </c>
      <c r="AC75" s="118">
        <f>SUMIF(Steam!$D$10:$D$29,C75,Steam!$I$10:$I$29)*I75</f>
        <v>0</v>
      </c>
      <c r="AD75" s="118">
        <f>SUMIF(Air!$D$10:$D$71,C75,Air!$I$10:$I$71)*I75</f>
        <v>131.85329876582495</v>
      </c>
      <c r="AE75" s="118">
        <f>SUMIF(Oxygen!$D$10:$D$49,C75,Oxygen!$I$10:$I$49)*I75</f>
        <v>0</v>
      </c>
      <c r="AF75" s="118">
        <f>SUMIF(Nitrogen!$D$10:$D$45,C75,Nitrogen!$I$10:$I$45)*I75</f>
        <v>0</v>
      </c>
      <c r="AG75" s="118">
        <f>SUMIF(Argon!$D$10:$D$16,C75,Argon!$I$10:$I$16)*I75</f>
        <v>0</v>
      </c>
      <c r="AH75" s="118">
        <f>SUMIF(Water!$D$10:$D$92,C75,Water!$I$10:$I$92)*I75</f>
        <v>0</v>
      </c>
      <c r="AI75" s="115">
        <f t="shared" ca="1" si="10"/>
        <v>355080.90649298142</v>
      </c>
      <c r="AJ75" s="298">
        <f t="shared" ca="1" si="11"/>
        <v>3.5975775733838038</v>
      </c>
      <c r="AK75" s="385" t="s">
        <v>718</v>
      </c>
    </row>
    <row r="76" spans="2:37" s="497" customFormat="1" ht="13.8" x14ac:dyDescent="0.25">
      <c r="B76" s="1137" t="s">
        <v>340</v>
      </c>
      <c r="C76" s="656" t="s">
        <v>646</v>
      </c>
      <c r="D76" s="1075">
        <v>4810</v>
      </c>
      <c r="E76" s="1133" t="s">
        <v>1399</v>
      </c>
      <c r="F76" s="76">
        <v>100231.68700000001</v>
      </c>
      <c r="G76" s="489" t="s">
        <v>299</v>
      </c>
      <c r="H76" s="447" t="s">
        <v>647</v>
      </c>
      <c r="I76" s="366">
        <f>F76/SUM($F$76:$F$77)</f>
        <v>0.56836856645950284</v>
      </c>
      <c r="J76" s="366">
        <f t="shared" si="13"/>
        <v>1.4263560097615143E-2</v>
      </c>
      <c r="K76" s="115">
        <f ca="1">$AI$51*I76</f>
        <v>279738.75051978923</v>
      </c>
      <c r="L76" s="1097">
        <f>SUM(O76:U77)</f>
        <v>14182.418986324461</v>
      </c>
      <c r="M76" s="1095">
        <f ca="1">SUM(V76:AA77)</f>
        <v>36.728383503974982</v>
      </c>
      <c r="N76" s="1109">
        <f>SUM(AB76:AH77)</f>
        <v>2688.841268451532</v>
      </c>
      <c r="O76" s="118">
        <f>SUMIFS(Combustion!$P$11:$P$95,Combustion!$C$11:$C$95,C76,Combustion!$H$11:$H$95,$O$9)*$O$10*I76</f>
        <v>0</v>
      </c>
      <c r="P76" s="118">
        <f>SUMIFS(Combustion!$P$11:$P$95,Combustion!$C$11:$C$95,C76,Combustion!$H$11:$H$95,$P$9)*$P$10*I76</f>
        <v>0</v>
      </c>
      <c r="Q76" s="683">
        <v>0</v>
      </c>
      <c r="R76" s="683">
        <f>SUMIF('Purchased Material'!$C$9:$C$170,C76,'Purchased Material'!$K$9:$K$170)*I76</f>
        <v>7815.7202566070755</v>
      </c>
      <c r="S76" s="118">
        <f>'Ancillary Input'!$L$312*J76</f>
        <v>234.71511100690239</v>
      </c>
      <c r="T76" s="683">
        <f>'Purchased Services'!$J$181*J76</f>
        <v>10.0770320267362</v>
      </c>
      <c r="U76" s="683">
        <f>SUMIF(Waste!$C$10:$C$96,C76,Waste!$R$10:$R$96)*I76</f>
        <v>0.32874854455549218</v>
      </c>
      <c r="V76" s="118">
        <f>SUMIF(Combustion!$C$11:$C$95,C76,Combustion!$P$11:$P$95)*I76</f>
        <v>0</v>
      </c>
      <c r="W76" s="118">
        <f>SUMIF(Vent!$C$10:$C$16,C76,Vent!$M$10:$M$16)*I76</f>
        <v>0</v>
      </c>
      <c r="X76" s="118">
        <f>Fugitive!$L$101*J76</f>
        <v>19.09733904949379</v>
      </c>
      <c r="Y76" s="118">
        <f>SUMIF('On-Site Tran.'!$C$10:$C$37,C76,'On-Site Tran.'!$O$10:$O$37)*I76</f>
        <v>0</v>
      </c>
      <c r="Z76" s="118">
        <f>SUMIF(Waste!$C$10:$C$96,C76,Waste!$Q$10:$Q$96)*I76</f>
        <v>0</v>
      </c>
      <c r="AA76" s="118">
        <f ca="1">SUMIF(Wastewater!$C$30:$D$110,C76,Wastewater!$I$30:$I$110)*I76</f>
        <v>1.7779196310353236</v>
      </c>
      <c r="AB76" s="118">
        <f>SUMIF('Mix Electricity'!$D$10:$D$104,C76,'Mix Electricity'!$I$10:$I$104)*I76</f>
        <v>990.92136587857988</v>
      </c>
      <c r="AC76" s="118">
        <f>SUMIF(Steam!$D$10:$D$29,C76,Steam!$I$10:$I$29)*I76</f>
        <v>0</v>
      </c>
      <c r="AD76" s="118">
        <f>SUMIF(Air!$D$10:$D$71,C76,Air!$I$10:$I$71)*I76</f>
        <v>0</v>
      </c>
      <c r="AE76" s="118">
        <f>SUMIF(Oxygen!$D$10:$D$49,C76,Oxygen!$I$10:$I$49)*I76</f>
        <v>0</v>
      </c>
      <c r="AF76" s="118">
        <f>SUMIF(Nitrogen!$D$10:$D$45,C76,Nitrogen!$I$10:$I$45)*I76</f>
        <v>452.1537423491709</v>
      </c>
      <c r="AG76" s="118">
        <f>SUMIF(Argon!$D$10:$D$16,C76,Argon!$I$10:$I$16)*I76</f>
        <v>0</v>
      </c>
      <c r="AH76" s="118">
        <f>SUMIF(Water!$D$10:$D$92,C76,Water!$I$10:$I$92)*I76</f>
        <v>85.1777489591977</v>
      </c>
      <c r="AI76" s="115">
        <f t="shared" ca="1" si="10"/>
        <v>289348.71978384198</v>
      </c>
      <c r="AJ76" s="298">
        <f t="shared" ca="1" si="11"/>
        <v>2.8867988601632733</v>
      </c>
      <c r="AK76" s="385" t="s">
        <v>718</v>
      </c>
    </row>
    <row r="77" spans="2:37" s="497" customFormat="1" ht="13.8" x14ac:dyDescent="0.25">
      <c r="B77" s="1139"/>
      <c r="C77" s="656" t="s">
        <v>646</v>
      </c>
      <c r="D77" s="1076"/>
      <c r="E77" s="1135"/>
      <c r="F77" s="76">
        <v>76118.12</v>
      </c>
      <c r="G77" s="489" t="s">
        <v>299</v>
      </c>
      <c r="H77" s="518" t="s">
        <v>439</v>
      </c>
      <c r="I77" s="366">
        <f>F77/SUM($F$76:$F$77)</f>
        <v>0.4316314335404971</v>
      </c>
      <c r="J77" s="366">
        <f t="shared" si="13"/>
        <v>1.0832057322725507E-2</v>
      </c>
      <c r="K77" s="115">
        <f ca="1">$AI$51*I77</f>
        <v>212439.682679544</v>
      </c>
      <c r="L77" s="1098"/>
      <c r="M77" s="1096"/>
      <c r="N77" s="1110"/>
      <c r="O77" s="118">
        <f>SUMIFS(Combustion!$P$11:$P$95,Combustion!$C$11:$C$95,C77,Combustion!$H$11:$H$95,$O$9)*$O$10*I77</f>
        <v>0</v>
      </c>
      <c r="P77" s="118">
        <f>SUMIFS(Combustion!$P$11:$P$95,Combustion!$C$11:$C$95,C77,Combustion!$H$11:$H$95,$P$9)*$P$10*I77</f>
        <v>0</v>
      </c>
      <c r="Q77" s="683">
        <v>0</v>
      </c>
      <c r="R77" s="683">
        <f>SUMIF('Purchased Material'!$C$9:$C$170,C77,'Purchased Material'!$K$9:$K$170)*I77</f>
        <v>5935.4277093914234</v>
      </c>
      <c r="S77" s="118">
        <f>'Ancillary Input'!$L$312*J77</f>
        <v>178.24775298291362</v>
      </c>
      <c r="T77" s="683">
        <f>'Purchased Services'!$J$181*J77</f>
        <v>7.6527169801596688</v>
      </c>
      <c r="U77" s="683">
        <f>SUMIF(Waste!$C$10:$C$96,C77,Waste!$R$10:$R$96)*I77</f>
        <v>0.24965878469450781</v>
      </c>
      <c r="V77" s="118">
        <f>SUMIF(Combustion!$C$11:$C$95,C77,Combustion!$P$11:$P$95)*I77</f>
        <v>0</v>
      </c>
      <c r="W77" s="118">
        <f>SUMIF(Vent!$C$10:$C$16,C77,Vent!$M$10:$M$16)*I77</f>
        <v>0</v>
      </c>
      <c r="X77" s="118">
        <f>Fugitive!$L$101*J77</f>
        <v>14.502934041707329</v>
      </c>
      <c r="Y77" s="118">
        <f>SUMIF('On-Site Tran.'!$C$10:$C$37,C77,'On-Site Tran.'!$O$10:$O$37)*I77</f>
        <v>0</v>
      </c>
      <c r="Z77" s="118">
        <f>SUMIF(Waste!$C$10:$C$96,C77,Waste!$Q$10:$Q$96)*I77</f>
        <v>0</v>
      </c>
      <c r="AA77" s="118">
        <f ca="1">SUMIF(Wastewater!$C$30:$D$110,C77,Wastewater!$I$30:$I$110)*I77</f>
        <v>1.3501907817385381</v>
      </c>
      <c r="AB77" s="118">
        <f>SUMIF('Mix Electricity'!$D$10:$D$104,C77,'Mix Electricity'!$I$10:$I$104)*I77</f>
        <v>752.52720667576546</v>
      </c>
      <c r="AC77" s="118">
        <f>SUMIF(Steam!$D$10:$D$29,C77,Steam!$I$10:$I$29)*I77</f>
        <v>0</v>
      </c>
      <c r="AD77" s="118">
        <f>SUMIF(Air!$D$10:$D$71,C77,Air!$I$10:$I$71)*I77</f>
        <v>0</v>
      </c>
      <c r="AE77" s="118">
        <f>SUMIF(Oxygen!$D$10:$D$49,C77,Oxygen!$I$10:$I$49)*I77</f>
        <v>0</v>
      </c>
      <c r="AF77" s="118">
        <f>SUMIF(Nitrogen!$D$10:$D$45,C77,Nitrogen!$I$10:$I$45)*I77</f>
        <v>343.37537208750433</v>
      </c>
      <c r="AG77" s="118">
        <f>SUMIF(Argon!$D$10:$D$16,C77,Argon!$I$10:$I$16)*I77</f>
        <v>0</v>
      </c>
      <c r="AH77" s="118">
        <f>SUMIF(Water!$D$10:$D$92,C77,Water!$I$10:$I$92)*I77</f>
        <v>64.685832501313527</v>
      </c>
      <c r="AI77" s="115">
        <f t="shared" ref="AI77:AI78" ca="1" si="16">SUM(O77:AH77)+K77</f>
        <v>219737.70205377121</v>
      </c>
      <c r="AJ77" s="298">
        <f t="shared" ref="AJ77:AJ78" ca="1" si="17">AI77/F77</f>
        <v>2.8867988601632728</v>
      </c>
      <c r="AK77" s="385" t="s">
        <v>718</v>
      </c>
    </row>
    <row r="78" spans="2:37" s="497" customFormat="1" ht="13.8" x14ac:dyDescent="0.25">
      <c r="B78" s="510" t="s">
        <v>340</v>
      </c>
      <c r="C78" s="657" t="s">
        <v>647</v>
      </c>
      <c r="D78" s="501">
        <v>4820</v>
      </c>
      <c r="E78" s="447" t="s">
        <v>1400</v>
      </c>
      <c r="F78" s="76">
        <v>103158</v>
      </c>
      <c r="G78" s="489" t="s">
        <v>299</v>
      </c>
      <c r="H78" s="518" t="s">
        <v>439</v>
      </c>
      <c r="I78" s="366">
        <v>1</v>
      </c>
      <c r="J78" s="366">
        <f t="shared" si="13"/>
        <v>1.4679991693143733E-2</v>
      </c>
      <c r="K78" s="115">
        <f ca="1">AI76</f>
        <v>289348.71978384198</v>
      </c>
      <c r="L78" s="557">
        <f>SUM(O78:U78)</f>
        <v>11272.236972317896</v>
      </c>
      <c r="M78" s="558">
        <f ca="1">SUM(V78:AA78)</f>
        <v>4756.7748412802266</v>
      </c>
      <c r="N78" s="559">
        <f>SUM(AB78:AH78)</f>
        <v>17321.385108580867</v>
      </c>
      <c r="O78" s="118">
        <f>SUMIFS(Combustion!$P$11:$P$95,Combustion!$C$11:$C$95,C78,Combustion!$H$11:$H$95,$O$9)*$O$10*I78</f>
        <v>1593.8481346160279</v>
      </c>
      <c r="P78" s="118">
        <f>SUMIFS(Combustion!$P$11:$P$95,Combustion!$C$11:$C$95,C78,Combustion!$H$11:$H$95,$P$9)*$P$10*I78</f>
        <v>0</v>
      </c>
      <c r="Q78" s="683">
        <v>0</v>
      </c>
      <c r="R78" s="683">
        <f>SUMIF('Purchased Material'!$C$9:$C$170,C78,'Purchased Material'!$K$9:$K$170)*I78</f>
        <v>9425.7679387935004</v>
      </c>
      <c r="S78" s="118">
        <f>'Ancillary Input'!$L$312*J78</f>
        <v>241.567733178531</v>
      </c>
      <c r="T78" s="683">
        <f>'Purchased Services'!$J$181*J78</f>
        <v>10.37123589283749</v>
      </c>
      <c r="U78" s="683">
        <f>SUMIF(Waste!$C$10:$C$96,C78,Waste!$R$10:$R$96)*I78</f>
        <v>0.68192983700000009</v>
      </c>
      <c r="V78" s="118">
        <f>SUMIF(Combustion!$C$11:$C$95,C78,Combustion!$P$11:$P$95)*I78</f>
        <v>4735.140031539001</v>
      </c>
      <c r="W78" s="118">
        <f>SUMIF(Vent!$C$10:$C$16,C78,Vent!$M$10:$M$16)*I78</f>
        <v>0</v>
      </c>
      <c r="X78" s="118">
        <f>Fugitive!$L$101*J78</f>
        <v>19.654895179681851</v>
      </c>
      <c r="Y78" s="118">
        <f>SUMIF('On-Site Tran.'!$C$10:$C$37,C78,'On-Site Tran.'!$O$10:$O$37)*I78</f>
        <v>0</v>
      </c>
      <c r="Z78" s="118">
        <f>SUMIF(Waste!$C$10:$C$96,C78,Waste!$Q$10:$Q$96)*I78</f>
        <v>0</v>
      </c>
      <c r="AA78" s="118">
        <f ca="1">SUMIF(Wastewater!$C$30:$D$110,C78,Wastewater!$I$30:$I$110)*I78</f>
        <v>1.9799145615434444</v>
      </c>
      <c r="AB78" s="118">
        <f>SUMIF('Mix Electricity'!$D$10:$D$104,C78,'Mix Electricity'!$I$10:$I$104)*I78</f>
        <v>1743.4485725543454</v>
      </c>
      <c r="AC78" s="118">
        <f>SUMIF(Steam!$D$10:$D$29,C78,Steam!$I$10:$I$29)*I78</f>
        <v>15288</v>
      </c>
      <c r="AD78" s="118">
        <f>SUMIF(Air!$D$10:$D$71,C78,Air!$I$10:$I$71)*I78</f>
        <v>156.04656433038167</v>
      </c>
      <c r="AE78" s="118">
        <f>SUMIF(Oxygen!$D$10:$D$49,C78,Oxygen!$I$10:$I$49)*I78</f>
        <v>0</v>
      </c>
      <c r="AF78" s="118">
        <f>SUMIF(Nitrogen!$D$10:$D$45,C78,Nitrogen!$I$10:$I$45)*I78</f>
        <v>0</v>
      </c>
      <c r="AG78" s="118">
        <f>SUMIF(Argon!$D$10:$D$16,C78,Argon!$I$10:$I$16)*I78</f>
        <v>0</v>
      </c>
      <c r="AH78" s="118">
        <f>SUMIF(Water!$D$10:$D$92,C78,Water!$I$10:$I$92)*I78</f>
        <v>133.88997169613725</v>
      </c>
      <c r="AI78" s="115">
        <f t="shared" ca="1" si="16"/>
        <v>322699.11670602096</v>
      </c>
      <c r="AJ78" s="298">
        <f t="shared" ca="1" si="17"/>
        <v>3.1282025311272124</v>
      </c>
      <c r="AK78" s="385" t="s">
        <v>718</v>
      </c>
    </row>
    <row r="79" spans="2:37" s="497" customFormat="1" ht="13.8" x14ac:dyDescent="0.25"/>
    <row r="80" spans="2:37" s="497" customFormat="1" ht="13.8" x14ac:dyDescent="0.25"/>
    <row r="81" spans="2:18" s="497" customFormat="1" ht="13.8" x14ac:dyDescent="0.25">
      <c r="B81" s="682" t="s">
        <v>337</v>
      </c>
      <c r="C81" s="711"/>
      <c r="D81" s="712"/>
      <c r="E81" s="1140" t="s">
        <v>2092</v>
      </c>
      <c r="F81" s="578">
        <f>SUM(F13:F25)</f>
        <v>22940612</v>
      </c>
    </row>
    <row r="82" spans="2:18" s="497" customFormat="1" ht="13.8" x14ac:dyDescent="0.25">
      <c r="B82" s="682" t="s">
        <v>489</v>
      </c>
      <c r="C82" s="713"/>
      <c r="D82" s="714"/>
      <c r="E82" s="1141"/>
      <c r="F82" s="578">
        <f>SUM(F26:F34)</f>
        <v>30260901.866</v>
      </c>
    </row>
    <row r="83" spans="2:18" s="497" customFormat="1" ht="13.8" x14ac:dyDescent="0.25">
      <c r="B83" s="682" t="s">
        <v>339</v>
      </c>
      <c r="C83" s="713"/>
      <c r="D83" s="714"/>
      <c r="E83" s="1141"/>
      <c r="F83" s="578">
        <f>SUM(F35:F46)</f>
        <v>6083058.7899999991</v>
      </c>
    </row>
    <row r="84" spans="2:18" s="497" customFormat="1" ht="13.8" x14ac:dyDescent="0.25">
      <c r="B84" s="682" t="s">
        <v>340</v>
      </c>
      <c r="C84" s="672"/>
      <c r="D84" s="715"/>
      <c r="E84" s="1142"/>
      <c r="F84" s="578">
        <f>SUM(F47:F78)</f>
        <v>7027115.6930000018</v>
      </c>
    </row>
    <row r="85" spans="2:18" s="497" customFormat="1" ht="13.8" x14ac:dyDescent="0.25">
      <c r="B85" s="723" t="s">
        <v>2123</v>
      </c>
      <c r="C85" s="722"/>
      <c r="D85" s="719"/>
      <c r="E85" s="718"/>
      <c r="F85" s="115">
        <f>SUMIF(H13:H78,"Sale",F13:F78)+F34</f>
        <v>6959817.4009999996</v>
      </c>
    </row>
    <row r="86" spans="2:18" s="497" customFormat="1" ht="13.8" x14ac:dyDescent="0.25"/>
    <row r="87" spans="2:18" s="497" customFormat="1" ht="13.8" x14ac:dyDescent="0.25"/>
    <row r="88" spans="2:18" ht="30" customHeight="1" x14ac:dyDescent="0.25">
      <c r="B88" s="381" t="s">
        <v>703</v>
      </c>
      <c r="C88" s="381"/>
      <c r="D88" s="381"/>
      <c r="E88" s="381"/>
      <c r="F88" s="564"/>
      <c r="G88" s="512"/>
      <c r="H88" s="512"/>
      <c r="I88" s="512"/>
      <c r="J88" s="512"/>
      <c r="K88" s="512"/>
      <c r="L88" s="512"/>
      <c r="M88" s="512"/>
      <c r="N88" s="512"/>
      <c r="O88" s="512"/>
      <c r="P88" s="512"/>
      <c r="Q88" s="512"/>
      <c r="R88" s="512"/>
    </row>
    <row r="89" spans="2:18" ht="16.8" customHeight="1" x14ac:dyDescent="0.25">
      <c r="B89" s="504" t="s">
        <v>336</v>
      </c>
      <c r="C89" s="504" t="s">
        <v>425</v>
      </c>
      <c r="D89" s="504" t="s">
        <v>402</v>
      </c>
      <c r="E89" s="504" t="s">
        <v>702</v>
      </c>
      <c r="F89" s="554" t="s">
        <v>425</v>
      </c>
      <c r="G89" s="512"/>
      <c r="H89" s="512"/>
      <c r="I89" s="512"/>
      <c r="J89" s="512"/>
      <c r="K89" s="512"/>
      <c r="L89" s="512"/>
      <c r="M89" s="512"/>
      <c r="N89" s="512"/>
      <c r="O89" s="512"/>
      <c r="P89" s="512"/>
      <c r="Q89" s="512"/>
      <c r="R89" s="512"/>
    </row>
    <row r="90" spans="2:18" ht="16.2" customHeight="1" x14ac:dyDescent="0.25">
      <c r="B90" s="505">
        <v>1</v>
      </c>
      <c r="C90" s="489" t="s">
        <v>1212</v>
      </c>
      <c r="D90" s="479" t="s">
        <v>1442</v>
      </c>
      <c r="E90" s="492">
        <f t="shared" ref="E90:E94" ca="1" si="18">AJ13</f>
        <v>3.6061078105190485E-2</v>
      </c>
      <c r="F90" s="562" t="s">
        <v>1499</v>
      </c>
      <c r="G90" s="512"/>
      <c r="H90" s="512"/>
      <c r="I90" s="512"/>
      <c r="J90" s="512"/>
      <c r="K90" s="512"/>
      <c r="L90" s="512"/>
      <c r="M90" s="512"/>
      <c r="N90" s="512"/>
      <c r="O90" s="512"/>
      <c r="P90" s="512"/>
      <c r="Q90" s="512"/>
      <c r="R90" s="512"/>
    </row>
    <row r="91" spans="2:18" ht="16.2" customHeight="1" x14ac:dyDescent="0.25">
      <c r="B91" s="505">
        <v>2</v>
      </c>
      <c r="C91" s="489" t="s">
        <v>469</v>
      </c>
      <c r="D91" s="479" t="s">
        <v>1442</v>
      </c>
      <c r="E91" s="492">
        <f t="shared" ca="1" si="18"/>
        <v>5.3878852375464893E-2</v>
      </c>
      <c r="F91" s="562" t="s">
        <v>1500</v>
      </c>
      <c r="G91" s="512"/>
      <c r="H91" s="512"/>
      <c r="I91" s="512"/>
      <c r="J91" s="512"/>
      <c r="K91" s="512"/>
      <c r="L91" s="512"/>
      <c r="M91" s="512"/>
      <c r="N91" s="512"/>
      <c r="O91" s="512"/>
      <c r="P91" s="512"/>
      <c r="Q91" s="512"/>
      <c r="R91" s="512"/>
    </row>
    <row r="92" spans="2:18" ht="16.2" customHeight="1" x14ac:dyDescent="0.25">
      <c r="B92" s="505">
        <v>3</v>
      </c>
      <c r="C92" s="489" t="s">
        <v>473</v>
      </c>
      <c r="D92" s="479" t="s">
        <v>1442</v>
      </c>
      <c r="E92" s="493">
        <f t="shared" ca="1" si="18"/>
        <v>1.5421566957016701</v>
      </c>
      <c r="F92" s="562" t="s">
        <v>1501</v>
      </c>
      <c r="G92" s="512"/>
      <c r="H92" s="512"/>
      <c r="I92" s="512"/>
      <c r="J92" s="512"/>
      <c r="K92" s="512"/>
      <c r="L92" s="512"/>
      <c r="M92" s="512"/>
      <c r="N92" s="512"/>
      <c r="O92" s="512"/>
      <c r="P92" s="512"/>
      <c r="Q92" s="512"/>
      <c r="R92" s="512"/>
    </row>
    <row r="93" spans="2:18" ht="16.2" customHeight="1" x14ac:dyDescent="0.25">
      <c r="B93" s="505">
        <v>4</v>
      </c>
      <c r="C93" s="489" t="s">
        <v>683</v>
      </c>
      <c r="D93" s="479" t="s">
        <v>1442</v>
      </c>
      <c r="E93" s="492">
        <f t="shared" ca="1" si="18"/>
        <v>1.5421566957016704</v>
      </c>
      <c r="F93" s="562" t="s">
        <v>1502</v>
      </c>
      <c r="G93" s="512"/>
      <c r="H93" s="512"/>
      <c r="I93" s="512"/>
      <c r="J93" s="512"/>
      <c r="K93" s="512"/>
      <c r="L93" s="512"/>
      <c r="M93" s="512"/>
      <c r="N93" s="512"/>
      <c r="O93" s="512"/>
      <c r="P93" s="512"/>
      <c r="Q93" s="512"/>
      <c r="R93" s="512"/>
    </row>
    <row r="94" spans="2:18" ht="16.2" customHeight="1" x14ac:dyDescent="0.25">
      <c r="B94" s="505">
        <v>5</v>
      </c>
      <c r="C94" s="489" t="s">
        <v>681</v>
      </c>
      <c r="D94" s="479" t="s">
        <v>1442</v>
      </c>
      <c r="E94" s="493">
        <f t="shared" ca="1" si="18"/>
        <v>1.1791762291978765</v>
      </c>
      <c r="F94" s="209" t="s">
        <v>1503</v>
      </c>
      <c r="G94" s="512"/>
      <c r="H94" s="512"/>
      <c r="I94" s="512"/>
      <c r="J94" s="512"/>
      <c r="K94" s="512"/>
      <c r="L94" s="512"/>
      <c r="M94" s="512"/>
      <c r="N94" s="512"/>
      <c r="O94" s="512"/>
      <c r="P94" s="512"/>
      <c r="Q94" s="512"/>
      <c r="R94" s="512"/>
    </row>
    <row r="95" spans="2:18" ht="16.2" customHeight="1" x14ac:dyDescent="0.25">
      <c r="B95" s="505">
        <v>6</v>
      </c>
      <c r="C95" s="505" t="s">
        <v>471</v>
      </c>
      <c r="D95" s="479" t="s">
        <v>1442</v>
      </c>
      <c r="E95" s="493">
        <f t="shared" ref="E95:E100" ca="1" si="19">AJ21</f>
        <v>0.62477453533522098</v>
      </c>
      <c r="F95" s="209" t="s">
        <v>1504</v>
      </c>
      <c r="G95" s="512"/>
      <c r="H95" s="512"/>
      <c r="I95" s="512"/>
      <c r="J95" s="512"/>
      <c r="K95" s="512"/>
      <c r="L95" s="512"/>
      <c r="M95" s="512"/>
      <c r="N95" s="512"/>
      <c r="O95" s="512"/>
      <c r="P95" s="512"/>
      <c r="Q95" s="512"/>
      <c r="R95" s="512"/>
    </row>
    <row r="96" spans="2:18" ht="16.2" customHeight="1" x14ac:dyDescent="0.25">
      <c r="B96" s="505">
        <v>7</v>
      </c>
      <c r="C96" s="489" t="s">
        <v>469</v>
      </c>
      <c r="D96" s="479" t="s">
        <v>1442</v>
      </c>
      <c r="E96" s="493">
        <f t="shared" ca="1" si="19"/>
        <v>0.13921936299047979</v>
      </c>
      <c r="F96" s="562" t="s">
        <v>1505</v>
      </c>
      <c r="G96" s="512"/>
      <c r="H96" s="512"/>
      <c r="I96" s="512"/>
      <c r="J96" s="512"/>
      <c r="K96" s="512"/>
      <c r="L96" s="512"/>
      <c r="M96" s="512"/>
      <c r="N96" s="512"/>
      <c r="O96" s="512"/>
      <c r="P96" s="512"/>
      <c r="Q96" s="512"/>
      <c r="R96" s="512"/>
    </row>
    <row r="97" spans="2:18" ht="16.2" customHeight="1" x14ac:dyDescent="0.25">
      <c r="B97" s="505">
        <v>8</v>
      </c>
      <c r="C97" s="478" t="s">
        <v>1216</v>
      </c>
      <c r="D97" s="479" t="s">
        <v>1442</v>
      </c>
      <c r="E97" s="493">
        <f t="shared" ca="1" si="19"/>
        <v>1.040744026777356</v>
      </c>
      <c r="F97" s="562" t="s">
        <v>1506</v>
      </c>
      <c r="G97" s="512"/>
      <c r="H97" s="512"/>
      <c r="I97" s="512"/>
      <c r="J97" s="512"/>
      <c r="K97" s="512"/>
      <c r="L97" s="512"/>
      <c r="M97" s="512"/>
      <c r="N97" s="512"/>
      <c r="O97" s="512"/>
      <c r="P97" s="512"/>
      <c r="Q97" s="512"/>
      <c r="R97" s="512"/>
    </row>
    <row r="98" spans="2:18" ht="16.2" customHeight="1" x14ac:dyDescent="0.25">
      <c r="B98" s="505">
        <v>9</v>
      </c>
      <c r="C98" s="489" t="s">
        <v>682</v>
      </c>
      <c r="D98" s="479" t="s">
        <v>1442</v>
      </c>
      <c r="E98" s="492">
        <f t="shared" ca="1" si="19"/>
        <v>1.0407440267773558</v>
      </c>
      <c r="F98" s="562" t="s">
        <v>1507</v>
      </c>
      <c r="G98" s="512"/>
      <c r="H98" s="512"/>
      <c r="I98" s="512"/>
      <c r="J98" s="512"/>
      <c r="K98" s="512"/>
      <c r="L98" s="512"/>
      <c r="M98" s="512"/>
      <c r="N98" s="512"/>
      <c r="O98" s="512"/>
      <c r="P98" s="512"/>
      <c r="Q98" s="512"/>
      <c r="R98" s="512"/>
    </row>
    <row r="99" spans="2:18" ht="16.2" customHeight="1" x14ac:dyDescent="0.25">
      <c r="B99" s="505">
        <v>10</v>
      </c>
      <c r="C99" s="489" t="s">
        <v>680</v>
      </c>
      <c r="D99" s="479" t="s">
        <v>1442</v>
      </c>
      <c r="E99" s="493">
        <f t="shared" ca="1" si="19"/>
        <v>1.4903126879380333</v>
      </c>
      <c r="F99" s="562" t="s">
        <v>1508</v>
      </c>
      <c r="G99" s="512"/>
      <c r="H99" s="512"/>
      <c r="I99" s="512"/>
      <c r="J99" s="512"/>
      <c r="K99" s="512"/>
      <c r="L99" s="512"/>
      <c r="M99" s="512"/>
      <c r="N99" s="512"/>
      <c r="O99" s="512"/>
      <c r="P99" s="512"/>
      <c r="Q99" s="512"/>
      <c r="R99" s="512"/>
    </row>
    <row r="100" spans="2:18" ht="16.2" customHeight="1" x14ac:dyDescent="0.25">
      <c r="B100" s="505">
        <v>11</v>
      </c>
      <c r="C100" s="505" t="s">
        <v>678</v>
      </c>
      <c r="D100" s="479" t="s">
        <v>1442</v>
      </c>
      <c r="E100" s="492">
        <f t="shared" ca="1" si="19"/>
        <v>2.1263505885165852</v>
      </c>
      <c r="F100" s="209" t="s">
        <v>1509</v>
      </c>
      <c r="G100" s="512"/>
      <c r="H100" s="512"/>
      <c r="I100" s="512"/>
      <c r="J100" s="512"/>
      <c r="K100" s="512"/>
      <c r="L100" s="512"/>
      <c r="M100" s="512"/>
      <c r="N100" s="512"/>
      <c r="O100" s="512"/>
      <c r="P100" s="512"/>
      <c r="Q100" s="512"/>
      <c r="R100" s="512"/>
    </row>
    <row r="101" spans="2:18" ht="16.2" customHeight="1" x14ac:dyDescent="0.25">
      <c r="B101" s="505">
        <v>12</v>
      </c>
      <c r="C101" s="505" t="s">
        <v>679</v>
      </c>
      <c r="D101" s="479" t="s">
        <v>1442</v>
      </c>
      <c r="E101" s="493">
        <f ca="1">AJ28</f>
        <v>2.1263505885165852</v>
      </c>
      <c r="F101" s="209" t="s">
        <v>1510</v>
      </c>
      <c r="G101" s="512"/>
      <c r="H101" s="512"/>
      <c r="I101" s="512"/>
      <c r="J101" s="512"/>
      <c r="K101" s="512"/>
      <c r="L101" s="512"/>
      <c r="M101" s="512"/>
      <c r="N101" s="512"/>
      <c r="O101" s="512"/>
      <c r="P101" s="512"/>
      <c r="Q101" s="512"/>
      <c r="R101" s="512"/>
    </row>
    <row r="102" spans="2:18" ht="16.2" customHeight="1" x14ac:dyDescent="0.25">
      <c r="B102" s="505">
        <v>13</v>
      </c>
      <c r="C102" s="505" t="s">
        <v>684</v>
      </c>
      <c r="D102" s="479" t="s">
        <v>1442</v>
      </c>
      <c r="E102" s="492">
        <f ca="1">AJ29</f>
        <v>1.8518475122841167</v>
      </c>
      <c r="F102" s="209" t="s">
        <v>1511</v>
      </c>
      <c r="G102" s="512"/>
      <c r="H102" s="512"/>
      <c r="I102" s="512"/>
      <c r="J102" s="512"/>
      <c r="K102" s="512"/>
      <c r="L102" s="512"/>
      <c r="M102" s="512"/>
      <c r="N102" s="512"/>
      <c r="O102" s="512"/>
      <c r="P102" s="512"/>
      <c r="Q102" s="512"/>
      <c r="R102" s="512"/>
    </row>
    <row r="103" spans="2:18" ht="16.2" customHeight="1" x14ac:dyDescent="0.25">
      <c r="B103" s="505">
        <v>14</v>
      </c>
      <c r="C103" s="505" t="s">
        <v>685</v>
      </c>
      <c r="D103" s="479" t="s">
        <v>1442</v>
      </c>
      <c r="E103" s="492">
        <f ca="1">AJ30</f>
        <v>2.2951601672595867</v>
      </c>
      <c r="F103" s="209" t="s">
        <v>1512</v>
      </c>
      <c r="G103" s="512"/>
      <c r="H103" s="512"/>
      <c r="I103" s="512"/>
      <c r="J103" s="512"/>
      <c r="K103" s="512"/>
      <c r="L103" s="512"/>
      <c r="M103" s="512"/>
      <c r="N103" s="512"/>
      <c r="O103" s="512"/>
      <c r="P103" s="512"/>
      <c r="Q103" s="512"/>
      <c r="R103" s="512"/>
    </row>
    <row r="104" spans="2:18" ht="16.2" customHeight="1" x14ac:dyDescent="0.25">
      <c r="B104" s="505">
        <v>15</v>
      </c>
      <c r="C104" s="505" t="s">
        <v>2114</v>
      </c>
      <c r="D104" s="479" t="s">
        <v>1442</v>
      </c>
      <c r="E104" s="492">
        <f ca="1">AJ31</f>
        <v>2.282202044100909</v>
      </c>
      <c r="F104" s="209" t="s">
        <v>1513</v>
      </c>
      <c r="G104" s="512"/>
      <c r="H104" s="512"/>
      <c r="I104" s="512"/>
      <c r="J104" s="512"/>
      <c r="K104" s="512"/>
      <c r="L104" s="512"/>
      <c r="M104" s="512"/>
      <c r="N104" s="512"/>
      <c r="O104" s="512"/>
      <c r="P104" s="512"/>
      <c r="Q104" s="512"/>
      <c r="R104" s="512"/>
    </row>
    <row r="105" spans="2:18" ht="16.2" customHeight="1" x14ac:dyDescent="0.25">
      <c r="B105" s="505">
        <v>16</v>
      </c>
      <c r="C105" s="505" t="s">
        <v>607</v>
      </c>
      <c r="D105" s="479" t="s">
        <v>1442</v>
      </c>
      <c r="E105" s="493">
        <f ca="1">AJ32</f>
        <v>2.330168172395239</v>
      </c>
      <c r="F105" s="563" t="s">
        <v>1342</v>
      </c>
      <c r="G105" s="512"/>
      <c r="H105" s="512"/>
      <c r="I105" s="512"/>
      <c r="J105" s="512"/>
      <c r="K105" s="512"/>
      <c r="L105" s="512"/>
      <c r="M105" s="512"/>
      <c r="N105" s="512"/>
      <c r="O105" s="512"/>
      <c r="P105" s="512"/>
      <c r="Q105" s="512"/>
      <c r="R105" s="512"/>
    </row>
    <row r="106" spans="2:18" x14ac:dyDescent="0.25">
      <c r="B106" s="505">
        <v>17</v>
      </c>
      <c r="C106" s="505" t="s">
        <v>1390</v>
      </c>
      <c r="D106" s="479" t="s">
        <v>1442</v>
      </c>
      <c r="E106" s="493">
        <f ca="1">AJ40</f>
        <v>2.4846049455949877</v>
      </c>
      <c r="F106" s="563" t="s">
        <v>1344</v>
      </c>
    </row>
    <row r="107" spans="2:18" x14ac:dyDescent="0.25">
      <c r="B107" s="505">
        <v>18</v>
      </c>
      <c r="C107" s="505" t="s">
        <v>1408</v>
      </c>
      <c r="D107" s="479" t="s">
        <v>1442</v>
      </c>
      <c r="E107" s="493">
        <f t="shared" ref="E107:E111" ca="1" si="20">AJ41</f>
        <v>2.8950543793369632</v>
      </c>
      <c r="F107" s="563" t="s">
        <v>1514</v>
      </c>
    </row>
    <row r="108" spans="2:18" x14ac:dyDescent="0.25">
      <c r="B108" s="505">
        <v>19</v>
      </c>
      <c r="C108" s="505" t="s">
        <v>1401</v>
      </c>
      <c r="D108" s="479" t="s">
        <v>1442</v>
      </c>
      <c r="E108" s="493">
        <f t="shared" ca="1" si="20"/>
        <v>2.8950543793369636</v>
      </c>
      <c r="F108" s="563" t="s">
        <v>1343</v>
      </c>
    </row>
    <row r="109" spans="2:18" x14ac:dyDescent="0.25">
      <c r="B109" s="505">
        <v>20</v>
      </c>
      <c r="C109" s="505" t="s">
        <v>1407</v>
      </c>
      <c r="D109" s="479" t="s">
        <v>1442</v>
      </c>
      <c r="E109" s="493">
        <f t="shared" ca="1" si="20"/>
        <v>2.6905779840107082</v>
      </c>
      <c r="F109" s="563" t="s">
        <v>1515</v>
      </c>
    </row>
    <row r="110" spans="2:18" x14ac:dyDescent="0.25">
      <c r="B110" s="505">
        <v>21</v>
      </c>
      <c r="C110" s="505" t="s">
        <v>1406</v>
      </c>
      <c r="D110" s="479" t="s">
        <v>1442</v>
      </c>
      <c r="E110" s="493">
        <f t="shared" ca="1" si="20"/>
        <v>2.6472354514793368</v>
      </c>
      <c r="F110" s="209" t="s">
        <v>1516</v>
      </c>
    </row>
    <row r="111" spans="2:18" x14ac:dyDescent="0.25">
      <c r="B111" s="505">
        <v>22</v>
      </c>
      <c r="C111" s="505" t="s">
        <v>1402</v>
      </c>
      <c r="D111" s="479" t="s">
        <v>1442</v>
      </c>
      <c r="E111" s="493">
        <f t="shared" ca="1" si="20"/>
        <v>2.5594019337317184</v>
      </c>
      <c r="F111" s="209" t="s">
        <v>1345</v>
      </c>
    </row>
    <row r="112" spans="2:18" x14ac:dyDescent="0.25">
      <c r="B112" s="505">
        <v>23</v>
      </c>
      <c r="C112" s="505" t="s">
        <v>1409</v>
      </c>
      <c r="D112" s="479" t="s">
        <v>1442</v>
      </c>
      <c r="E112" s="493">
        <f ca="1">AJ47</f>
        <v>2.6163427228653235</v>
      </c>
      <c r="F112" s="209" t="s">
        <v>1347</v>
      </c>
    </row>
    <row r="113" spans="2:6" x14ac:dyDescent="0.25">
      <c r="B113" s="505">
        <v>24</v>
      </c>
      <c r="C113" s="520" t="s">
        <v>1410</v>
      </c>
      <c r="D113" s="479" t="s">
        <v>1442</v>
      </c>
      <c r="E113" s="493">
        <f ca="1">AJ50</f>
        <v>2.6163427228653231</v>
      </c>
      <c r="F113" s="209" t="s">
        <v>1517</v>
      </c>
    </row>
    <row r="114" spans="2:6" x14ac:dyDescent="0.25">
      <c r="B114" s="505">
        <v>25</v>
      </c>
      <c r="C114" s="505" t="s">
        <v>1411</v>
      </c>
      <c r="D114" s="479" t="s">
        <v>1442</v>
      </c>
      <c r="E114" s="492">
        <f ca="1">AJ51</f>
        <v>2.7347461596196214</v>
      </c>
      <c r="F114" s="209" t="s">
        <v>1518</v>
      </c>
    </row>
    <row r="115" spans="2:6" x14ac:dyDescent="0.25">
      <c r="B115" s="505">
        <v>26</v>
      </c>
      <c r="C115" s="497" t="s">
        <v>1412</v>
      </c>
      <c r="D115" s="479" t="s">
        <v>1442</v>
      </c>
      <c r="E115" s="493">
        <f ca="1">AJ55</f>
        <v>2.7347461596196214</v>
      </c>
      <c r="F115" s="209" t="s">
        <v>1461</v>
      </c>
    </row>
    <row r="116" spans="2:6" x14ac:dyDescent="0.25">
      <c r="B116" s="505">
        <v>27</v>
      </c>
      <c r="C116" s="520" t="s">
        <v>1413</v>
      </c>
      <c r="D116" s="479" t="s">
        <v>1442</v>
      </c>
      <c r="E116" s="492">
        <f t="shared" ref="E116:E118" ca="1" si="21">AJ56</f>
        <v>3.1856262433818117</v>
      </c>
      <c r="F116" s="209" t="s">
        <v>1519</v>
      </c>
    </row>
    <row r="117" spans="2:6" x14ac:dyDescent="0.25">
      <c r="B117" s="505">
        <v>28</v>
      </c>
      <c r="C117" s="497" t="s">
        <v>1414</v>
      </c>
      <c r="D117" s="479" t="s">
        <v>1442</v>
      </c>
      <c r="E117" s="493">
        <f t="shared" ca="1" si="21"/>
        <v>3.1856262433818112</v>
      </c>
      <c r="F117" s="209" t="s">
        <v>1463</v>
      </c>
    </row>
    <row r="118" spans="2:6" x14ac:dyDescent="0.25">
      <c r="B118" s="505">
        <v>29</v>
      </c>
      <c r="C118" s="505" t="s">
        <v>1421</v>
      </c>
      <c r="D118" s="479" t="s">
        <v>1442</v>
      </c>
      <c r="E118" s="492">
        <f t="shared" ca="1" si="21"/>
        <v>3.0860048706223626</v>
      </c>
      <c r="F118" s="209" t="s">
        <v>1520</v>
      </c>
    </row>
    <row r="119" spans="2:6" x14ac:dyDescent="0.25">
      <c r="B119" s="505">
        <v>30</v>
      </c>
      <c r="C119" s="505" t="s">
        <v>1419</v>
      </c>
      <c r="D119" s="479" t="s">
        <v>1442</v>
      </c>
      <c r="E119" s="493">
        <f ca="1">AJ60</f>
        <v>2.7750644617036571</v>
      </c>
      <c r="F119" s="209" t="s">
        <v>1521</v>
      </c>
    </row>
    <row r="120" spans="2:6" x14ac:dyDescent="0.25">
      <c r="B120" s="505">
        <v>31</v>
      </c>
      <c r="C120" s="505" t="s">
        <v>1420</v>
      </c>
      <c r="D120" s="479" t="s">
        <v>1442</v>
      </c>
      <c r="E120" s="492">
        <f ca="1">AJ63</f>
        <v>3.05251944625262</v>
      </c>
      <c r="F120" s="209" t="s">
        <v>1522</v>
      </c>
    </row>
    <row r="121" spans="2:6" x14ac:dyDescent="0.25">
      <c r="B121" s="505">
        <v>32</v>
      </c>
      <c r="C121" s="505" t="s">
        <v>1422</v>
      </c>
      <c r="D121" s="479" t="s">
        <v>1442</v>
      </c>
      <c r="E121" s="492">
        <f ca="1">AJ63</f>
        <v>3.05251944625262</v>
      </c>
      <c r="F121" s="209" t="s">
        <v>1523</v>
      </c>
    </row>
    <row r="122" spans="2:6" x14ac:dyDescent="0.25">
      <c r="B122" s="505">
        <v>33</v>
      </c>
      <c r="C122" s="505" t="s">
        <v>1423</v>
      </c>
      <c r="D122" s="479" t="s">
        <v>1442</v>
      </c>
      <c r="E122" s="492">
        <f ca="1">AJ62</f>
        <v>3.05251944625262</v>
      </c>
      <c r="F122" s="389" t="s">
        <v>1528</v>
      </c>
    </row>
    <row r="123" spans="2:6" x14ac:dyDescent="0.25">
      <c r="B123" s="505">
        <v>34</v>
      </c>
      <c r="C123" s="505" t="s">
        <v>1393</v>
      </c>
      <c r="D123" s="479" t="s">
        <v>1442</v>
      </c>
      <c r="E123" s="493">
        <f ca="1">AJ64</f>
        <v>2.8652755767830036</v>
      </c>
      <c r="F123" s="209" t="s">
        <v>1349</v>
      </c>
    </row>
    <row r="124" spans="2:6" x14ac:dyDescent="0.25">
      <c r="B124" s="505">
        <v>35</v>
      </c>
      <c r="C124" s="505" t="s">
        <v>1415</v>
      </c>
      <c r="D124" s="479" t="s">
        <v>1442</v>
      </c>
      <c r="E124" s="492">
        <f ca="1">AJ65</f>
        <v>2.8652755767830036</v>
      </c>
      <c r="F124" s="209" t="s">
        <v>1524</v>
      </c>
    </row>
    <row r="125" spans="2:6" x14ac:dyDescent="0.25">
      <c r="B125" s="505">
        <v>36</v>
      </c>
      <c r="C125" s="520" t="s">
        <v>1418</v>
      </c>
      <c r="D125" s="479" t="s">
        <v>1442</v>
      </c>
      <c r="E125" s="492">
        <f t="shared" ref="E125:E130" ca="1" si="22">AJ68</f>
        <v>3.2725870660044847</v>
      </c>
      <c r="F125" s="209" t="s">
        <v>1525</v>
      </c>
    </row>
    <row r="126" spans="2:6" x14ac:dyDescent="0.25">
      <c r="B126" s="505">
        <v>37</v>
      </c>
      <c r="C126" s="505" t="s">
        <v>1394</v>
      </c>
      <c r="D126" s="479" t="s">
        <v>1442</v>
      </c>
      <c r="E126" s="493">
        <f t="shared" ca="1" si="22"/>
        <v>3.2725870660044847</v>
      </c>
      <c r="F126" s="209" t="s">
        <v>1350</v>
      </c>
    </row>
    <row r="127" spans="2:6" x14ac:dyDescent="0.25">
      <c r="B127" s="505">
        <v>38</v>
      </c>
      <c r="C127" s="505" t="s">
        <v>1395</v>
      </c>
      <c r="D127" s="479" t="s">
        <v>1442</v>
      </c>
      <c r="E127" s="493">
        <f t="shared" ca="1" si="22"/>
        <v>2.9579955683589745</v>
      </c>
      <c r="F127" s="209" t="s">
        <v>1348</v>
      </c>
    </row>
    <row r="128" spans="2:6" x14ac:dyDescent="0.25">
      <c r="B128" s="505">
        <v>39</v>
      </c>
      <c r="C128" s="505" t="s">
        <v>1416</v>
      </c>
      <c r="D128" s="479" t="s">
        <v>1442</v>
      </c>
      <c r="E128" s="493">
        <f t="shared" ca="1" si="22"/>
        <v>2.9701350547624115</v>
      </c>
      <c r="F128" s="562" t="s">
        <v>1526</v>
      </c>
    </row>
    <row r="129" spans="2:8" x14ac:dyDescent="0.25">
      <c r="B129" s="505">
        <v>40</v>
      </c>
      <c r="C129" s="505" t="s">
        <v>1417</v>
      </c>
      <c r="D129" s="479" t="s">
        <v>1442</v>
      </c>
      <c r="E129" s="493">
        <f t="shared" ca="1" si="22"/>
        <v>2.9746286086285827</v>
      </c>
      <c r="F129" s="562" t="s">
        <v>1527</v>
      </c>
    </row>
    <row r="130" spans="2:8" x14ac:dyDescent="0.25">
      <c r="B130" s="505">
        <v>41</v>
      </c>
      <c r="C130" s="505" t="s">
        <v>1397</v>
      </c>
      <c r="D130" s="479" t="s">
        <v>1442</v>
      </c>
      <c r="E130" s="493">
        <f t="shared" ca="1" si="22"/>
        <v>3.5098788288460518</v>
      </c>
      <c r="F130" s="209" t="s">
        <v>178</v>
      </c>
    </row>
    <row r="131" spans="2:8" x14ac:dyDescent="0.25">
      <c r="B131" s="505">
        <v>42</v>
      </c>
      <c r="C131" s="505" t="s">
        <v>1398</v>
      </c>
      <c r="D131" s="479" t="s">
        <v>1442</v>
      </c>
      <c r="E131" s="493">
        <f ca="1">AJ75</f>
        <v>3.5975775733838038</v>
      </c>
      <c r="F131" s="562" t="s">
        <v>179</v>
      </c>
    </row>
    <row r="132" spans="2:8" x14ac:dyDescent="0.25">
      <c r="B132" s="505">
        <v>43</v>
      </c>
      <c r="C132" s="505" t="s">
        <v>1399</v>
      </c>
      <c r="D132" s="479" t="s">
        <v>1442</v>
      </c>
      <c r="E132" s="493">
        <f ca="1">AJ77</f>
        <v>2.8867988601632728</v>
      </c>
      <c r="F132" s="209" t="s">
        <v>1346</v>
      </c>
    </row>
    <row r="133" spans="2:8" x14ac:dyDescent="0.25">
      <c r="B133" s="505">
        <v>44</v>
      </c>
      <c r="C133" s="520" t="s">
        <v>1400</v>
      </c>
      <c r="D133" s="479" t="s">
        <v>1442</v>
      </c>
      <c r="E133" s="493">
        <f ca="1">AJ78</f>
        <v>3.1282025311272124</v>
      </c>
      <c r="F133" s="209" t="s">
        <v>175</v>
      </c>
      <c r="H133" s="561"/>
    </row>
    <row r="134" spans="2:8" x14ac:dyDescent="0.25">
      <c r="B134" s="505">
        <v>45</v>
      </c>
      <c r="C134" s="520" t="s">
        <v>1391</v>
      </c>
      <c r="D134" s="479" t="s">
        <v>1442</v>
      </c>
      <c r="E134" s="493">
        <f ca="1">(E107*F41+E109*F43+E110*F44)/(F41+F43+F44)</f>
        <v>2.7318011840822933</v>
      </c>
      <c r="F134" s="389" t="s">
        <v>1354</v>
      </c>
      <c r="G134" s="498" t="s">
        <v>1492</v>
      </c>
    </row>
    <row r="135" spans="2:8" x14ac:dyDescent="0.25">
      <c r="B135" s="505">
        <v>46</v>
      </c>
      <c r="C135" s="520" t="s">
        <v>1392</v>
      </c>
      <c r="D135" s="479" t="s">
        <v>1442</v>
      </c>
      <c r="E135" s="493">
        <f ca="1">(E115*F55+E117*F57)/(F55+F57)</f>
        <v>2.7418556575778874</v>
      </c>
      <c r="F135" s="389" t="s">
        <v>1353</v>
      </c>
      <c r="G135" s="498" t="s">
        <v>1493</v>
      </c>
      <c r="H135" s="561"/>
    </row>
    <row r="136" spans="2:8" x14ac:dyDescent="0.25">
      <c r="B136" s="505">
        <v>47</v>
      </c>
      <c r="C136" s="520" t="s">
        <v>1396</v>
      </c>
      <c r="D136" s="479" t="s">
        <v>1442</v>
      </c>
      <c r="E136" s="493">
        <f ca="1">(E128*F71+E129*F72)/(F71+F72)</f>
        <v>2.9709919594576948</v>
      </c>
      <c r="F136" s="389" t="s">
        <v>1358</v>
      </c>
      <c r="G136" s="498" t="s">
        <v>1494</v>
      </c>
    </row>
    <row r="140" spans="2:8" ht="16.8" x14ac:dyDescent="0.25">
      <c r="B140" s="513"/>
      <c r="C140" s="514"/>
      <c r="D140" s="514"/>
      <c r="E140" s="515" t="s">
        <v>1102</v>
      </c>
    </row>
    <row r="141" spans="2:8" ht="16.2" customHeight="1" x14ac:dyDescent="0.25">
      <c r="B141" s="1101" t="s">
        <v>1149</v>
      </c>
      <c r="C141" s="1102"/>
      <c r="D141" s="1102"/>
      <c r="E141" s="1103"/>
    </row>
  </sheetData>
  <protectedRanges>
    <protectedRange sqref="F13:F78" name="Range1"/>
  </protectedRanges>
  <mergeCells count="125">
    <mergeCell ref="E81:E84"/>
    <mergeCell ref="J9:J12"/>
    <mergeCell ref="B68:B69"/>
    <mergeCell ref="D68:D69"/>
    <mergeCell ref="B73:B74"/>
    <mergeCell ref="D73:D74"/>
    <mergeCell ref="E73:E74"/>
    <mergeCell ref="B76:B77"/>
    <mergeCell ref="D76:D77"/>
    <mergeCell ref="E76:E77"/>
    <mergeCell ref="B56:B57"/>
    <mergeCell ref="D56:D57"/>
    <mergeCell ref="B59:B60"/>
    <mergeCell ref="D59:D60"/>
    <mergeCell ref="E59:E60"/>
    <mergeCell ref="B62:B63"/>
    <mergeCell ref="D62:D63"/>
    <mergeCell ref="B64:B67"/>
    <mergeCell ref="D64:D67"/>
    <mergeCell ref="E65:E67"/>
    <mergeCell ref="B35:B40"/>
    <mergeCell ref="B41:B42"/>
    <mergeCell ref="B45:B46"/>
    <mergeCell ref="B47:B50"/>
    <mergeCell ref="D47:D50"/>
    <mergeCell ref="E47:E49"/>
    <mergeCell ref="B51:B55"/>
    <mergeCell ref="D51:D55"/>
    <mergeCell ref="E51:E54"/>
    <mergeCell ref="D9:D12"/>
    <mergeCell ref="I9:I12"/>
    <mergeCell ref="E35:E40"/>
    <mergeCell ref="E45:E46"/>
    <mergeCell ref="D35:D40"/>
    <mergeCell ref="D41:D42"/>
    <mergeCell ref="D45:D46"/>
    <mergeCell ref="Q10:U11"/>
    <mergeCell ref="B26:B28"/>
    <mergeCell ref="B15:B16"/>
    <mergeCell ref="D15:D16"/>
    <mergeCell ref="D17:D20"/>
    <mergeCell ref="D23:D24"/>
    <mergeCell ref="D26:D28"/>
    <mergeCell ref="D32:D34"/>
    <mergeCell ref="B32:B34"/>
    <mergeCell ref="E26:E27"/>
    <mergeCell ref="E32:E34"/>
    <mergeCell ref="M23:M24"/>
    <mergeCell ref="L23:L24"/>
    <mergeCell ref="M26:M28"/>
    <mergeCell ref="L26:L28"/>
    <mergeCell ref="M32:M34"/>
    <mergeCell ref="L32:L34"/>
    <mergeCell ref="AK9:AK12"/>
    <mergeCell ref="E9:E12"/>
    <mergeCell ref="F9:F12"/>
    <mergeCell ref="G9:G12"/>
    <mergeCell ref="H9:H12"/>
    <mergeCell ref="B17:B20"/>
    <mergeCell ref="E17:E20"/>
    <mergeCell ref="B23:B24"/>
    <mergeCell ref="B9:B12"/>
    <mergeCell ref="C9:C12"/>
    <mergeCell ref="AJ9:AJ12"/>
    <mergeCell ref="O12:U12"/>
    <mergeCell ref="B13:B14"/>
    <mergeCell ref="D13:D14"/>
    <mergeCell ref="AB12:AH12"/>
    <mergeCell ref="AB10:AH11"/>
    <mergeCell ref="V10:AA11"/>
    <mergeCell ref="V12:AA12"/>
    <mergeCell ref="AI9:AI12"/>
    <mergeCell ref="L13:L14"/>
    <mergeCell ref="L15:L16"/>
    <mergeCell ref="M15:M16"/>
    <mergeCell ref="M17:M20"/>
    <mergeCell ref="L17:L20"/>
    <mergeCell ref="B141:E141"/>
    <mergeCell ref="K9:K12"/>
    <mergeCell ref="L9:L12"/>
    <mergeCell ref="M9:M12"/>
    <mergeCell ref="N9:N12"/>
    <mergeCell ref="N13:N14"/>
    <mergeCell ref="N15:N16"/>
    <mergeCell ref="N17:N20"/>
    <mergeCell ref="N23:N24"/>
    <mergeCell ref="N26:N28"/>
    <mergeCell ref="N32:N34"/>
    <mergeCell ref="N35:N40"/>
    <mergeCell ref="N41:N42"/>
    <mergeCell ref="N45:N46"/>
    <mergeCell ref="N47:N50"/>
    <mergeCell ref="N51:N55"/>
    <mergeCell ref="N56:N57"/>
    <mergeCell ref="N59:N60"/>
    <mergeCell ref="N62:N63"/>
    <mergeCell ref="N64:N67"/>
    <mergeCell ref="N68:N69"/>
    <mergeCell ref="N73:N74"/>
    <mergeCell ref="N76:N77"/>
    <mergeCell ref="M13:M14"/>
    <mergeCell ref="M35:M40"/>
    <mergeCell ref="L35:L40"/>
    <mergeCell ref="M41:M42"/>
    <mergeCell ref="L41:L42"/>
    <mergeCell ref="M45:M46"/>
    <mergeCell ref="L45:L46"/>
    <mergeCell ref="M47:M50"/>
    <mergeCell ref="L47:L50"/>
    <mergeCell ref="M68:M69"/>
    <mergeCell ref="L68:L69"/>
    <mergeCell ref="M73:M74"/>
    <mergeCell ref="L73:L74"/>
    <mergeCell ref="M76:M77"/>
    <mergeCell ref="L76:L77"/>
    <mergeCell ref="M51:M55"/>
    <mergeCell ref="L51:L55"/>
    <mergeCell ref="M56:M57"/>
    <mergeCell ref="L56:L57"/>
    <mergeCell ref="M59:M60"/>
    <mergeCell ref="L59:L60"/>
    <mergeCell ref="M62:M63"/>
    <mergeCell ref="L62:L63"/>
    <mergeCell ref="M64:M67"/>
    <mergeCell ref="L64:L67"/>
  </mergeCells>
  <phoneticPr fontId="19"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6112A-C7AE-484A-B576-5A4A3DDEA8D5}">
  <dimension ref="B3:I105"/>
  <sheetViews>
    <sheetView rightToLeft="1" zoomScale="85" zoomScaleNormal="85" workbookViewId="0">
      <selection activeCell="L24" sqref="L24"/>
    </sheetView>
  </sheetViews>
  <sheetFormatPr defaultColWidth="9.09765625" defaultRowHeight="16.2" x14ac:dyDescent="0.25"/>
  <cols>
    <col min="1" max="1" width="12.09765625" style="3" customWidth="1"/>
    <col min="2" max="2" width="14.8984375" style="24" customWidth="1"/>
    <col min="3" max="3" width="18.296875" style="3" customWidth="1"/>
    <col min="4" max="4" width="35.296875" style="3" customWidth="1"/>
    <col min="5" max="6" width="12.796875" style="3" customWidth="1"/>
    <col min="7" max="7" width="22.19921875" style="3" customWidth="1"/>
    <col min="8" max="8" width="15.296875" style="3" customWidth="1"/>
    <col min="9" max="9" width="26.09765625" style="3" customWidth="1"/>
    <col min="10" max="11" width="13.69921875" style="3" customWidth="1"/>
    <col min="12" max="16384" width="9.09765625" style="3"/>
  </cols>
  <sheetData>
    <row r="3" spans="2:9" ht="16.2" customHeight="1" x14ac:dyDescent="0.25">
      <c r="B3" s="145"/>
      <c r="C3" s="9"/>
      <c r="D3" s="9"/>
      <c r="E3" s="9"/>
      <c r="F3" s="9"/>
      <c r="G3" s="9"/>
      <c r="H3" s="9"/>
    </row>
    <row r="4" spans="2:9" ht="16.2" customHeight="1" x14ac:dyDescent="0.25">
      <c r="B4" s="145"/>
      <c r="C4" s="9"/>
      <c r="D4" s="9"/>
      <c r="E4" s="9"/>
      <c r="F4" s="9"/>
      <c r="G4" s="9"/>
      <c r="H4" s="9"/>
    </row>
    <row r="7" spans="2:9" s="279" customFormat="1" ht="30" customHeight="1" x14ac:dyDescent="0.25">
      <c r="B7" s="370" t="s">
        <v>368</v>
      </c>
      <c r="C7" s="371"/>
      <c r="D7" s="371"/>
      <c r="E7" s="371"/>
      <c r="F7" s="371"/>
      <c r="G7" s="371"/>
      <c r="H7" s="371"/>
      <c r="I7" s="372"/>
    </row>
    <row r="8" spans="2:9" ht="28.2" customHeight="1" x14ac:dyDescent="0.25">
      <c r="B8" s="1013" t="s">
        <v>335</v>
      </c>
      <c r="C8" s="1014" t="s">
        <v>1152</v>
      </c>
      <c r="D8" s="1013" t="s">
        <v>411</v>
      </c>
      <c r="E8" s="1014" t="s">
        <v>398</v>
      </c>
      <c r="F8" s="1013" t="s">
        <v>400</v>
      </c>
      <c r="G8" s="1014" t="s">
        <v>527</v>
      </c>
      <c r="H8" s="374" t="s">
        <v>405</v>
      </c>
      <c r="I8" s="374" t="s">
        <v>406</v>
      </c>
    </row>
    <row r="9" spans="2:9" ht="16.8" customHeight="1" x14ac:dyDescent="0.25">
      <c r="B9" s="1013"/>
      <c r="C9" s="1008"/>
      <c r="D9" s="1013"/>
      <c r="E9" s="1008"/>
      <c r="F9" s="1013"/>
      <c r="G9" s="1008"/>
      <c r="H9" s="355" t="s">
        <v>300</v>
      </c>
      <c r="I9" s="374" t="s">
        <v>222</v>
      </c>
    </row>
    <row r="10" spans="2:9" x14ac:dyDescent="0.25">
      <c r="B10" s="356" t="str">
        <f>VLOOKUP(E10,'Unit List'!$B$9:$E$241,4,0)</f>
        <v>Iron Making</v>
      </c>
      <c r="C10" s="91" t="s">
        <v>368</v>
      </c>
      <c r="D10" s="356" t="str">
        <f>VLOOKUP(E10,'Unit List'!$B$9:$D$241,3,0)</f>
        <v>Yard</v>
      </c>
      <c r="E10" s="414">
        <v>1110</v>
      </c>
      <c r="F10" s="376">
        <v>54110</v>
      </c>
      <c r="G10" s="375">
        <v>56714353</v>
      </c>
      <c r="H10" s="86">
        <f>VLOOKUP(C10,Settings!$B$148:$D$157,3,FALSE)</f>
        <v>7.5226026361338268E-4</v>
      </c>
      <c r="I10" s="88">
        <f>H10*G10</f>
        <v>42663.954138442437</v>
      </c>
    </row>
    <row r="11" spans="2:9" x14ac:dyDescent="0.25">
      <c r="B11" s="356" t="str">
        <f>VLOOKUP(E11,'Unit List'!$B$9:$E$241,4,0)</f>
        <v>Iron Making</v>
      </c>
      <c r="C11" s="91" t="s">
        <v>368</v>
      </c>
      <c r="D11" s="356" t="str">
        <f>VLOOKUP(E11,'Unit List'!$B$9:$D$241,3,0)</f>
        <v>Lime Making</v>
      </c>
      <c r="E11" s="414">
        <v>1120</v>
      </c>
      <c r="F11" s="376">
        <v>54110</v>
      </c>
      <c r="G11" s="375">
        <v>7336275.3490000004</v>
      </c>
      <c r="H11" s="86">
        <f>VLOOKUP(C11,Settings!$B$148:$D$157,3,FALSE)</f>
        <v>7.5226026361338268E-4</v>
      </c>
      <c r="I11" s="88">
        <f t="shared" ref="I11:I74" si="0">H11*G11</f>
        <v>5518.7884279791015</v>
      </c>
    </row>
    <row r="12" spans="2:9" x14ac:dyDescent="0.25">
      <c r="B12" s="356" t="str">
        <f>VLOOKUP(E12,'Unit List'!$B$9:$E$241,4,0)</f>
        <v>Iron Making</v>
      </c>
      <c r="C12" s="91" t="s">
        <v>368</v>
      </c>
      <c r="D12" s="356" t="str">
        <f>VLOOKUP(E12,'Unit List'!$B$9:$D$241,3,0)</f>
        <v>Lime Hydration</v>
      </c>
      <c r="E12" s="414">
        <v>1130</v>
      </c>
      <c r="F12" s="376">
        <v>54110</v>
      </c>
      <c r="G12" s="375">
        <v>1915017.6510000001</v>
      </c>
      <c r="H12" s="86">
        <f>VLOOKUP(C12,Settings!$B$148:$D$157,3,FALSE)</f>
        <v>7.5226026361338268E-4</v>
      </c>
      <c r="I12" s="88">
        <f t="shared" si="0"/>
        <v>1440.5916829655409</v>
      </c>
    </row>
    <row r="13" spans="2:9" x14ac:dyDescent="0.25">
      <c r="B13" s="356" t="str">
        <f>VLOOKUP(E13,'Unit List'!$B$9:$E$241,4,0)</f>
        <v>Iron Making</v>
      </c>
      <c r="C13" s="91" t="s">
        <v>368</v>
      </c>
      <c r="D13" s="356" t="str">
        <f>VLOOKUP(E13,'Unit List'!$B$9:$D$241,3,0)</f>
        <v>Dolomite Making</v>
      </c>
      <c r="E13" s="414">
        <v>1140</v>
      </c>
      <c r="F13" s="376">
        <v>54110</v>
      </c>
      <c r="G13" s="375">
        <v>8703054</v>
      </c>
      <c r="H13" s="86">
        <f>VLOOKUP(C13,Settings!$B$148:$D$157,3,FALSE)</f>
        <v>7.5226026361338268E-4</v>
      </c>
      <c r="I13" s="88">
        <f t="shared" si="0"/>
        <v>6546.9616962815044</v>
      </c>
    </row>
    <row r="14" spans="2:9" x14ac:dyDescent="0.25">
      <c r="B14" s="356" t="str">
        <f>VLOOKUP(E14,'Unit List'!$B$9:$E$241,4,0)</f>
        <v>Iron Making</v>
      </c>
      <c r="C14" s="91" t="s">
        <v>368</v>
      </c>
      <c r="D14" s="356" t="str">
        <f>VLOOKUP(E14,'Unit List'!$B$9:$D$241,3,0)</f>
        <v>Pelletizing</v>
      </c>
      <c r="E14" s="414">
        <v>1210</v>
      </c>
      <c r="F14" s="376" t="s">
        <v>42</v>
      </c>
      <c r="G14" s="375">
        <v>176322821</v>
      </c>
      <c r="H14" s="86">
        <f>VLOOKUP(C14,Settings!$B$148:$D$157,3,FALSE)</f>
        <v>7.5226026361338268E-4</v>
      </c>
      <c r="I14" s="88">
        <f t="shared" si="0"/>
        <v>132640.65180651529</v>
      </c>
    </row>
    <row r="15" spans="2:9" x14ac:dyDescent="0.25">
      <c r="B15" s="356" t="str">
        <f>VLOOKUP(E15,'Unit List'!$B$9:$E$241,4,0)</f>
        <v>Iron Making</v>
      </c>
      <c r="C15" s="91" t="s">
        <v>368</v>
      </c>
      <c r="D15" s="356" t="str">
        <f>VLOOKUP(E15,'Unit List'!$B$9:$D$241,3,0)</f>
        <v>Direct Reduction</v>
      </c>
      <c r="E15" s="414">
        <v>1310</v>
      </c>
      <c r="F15" s="376" t="s">
        <v>42</v>
      </c>
      <c r="G15" s="375">
        <v>437538991.24000001</v>
      </c>
      <c r="H15" s="86">
        <f>VLOOKUP(C15,Settings!$B$148:$D$157,3,FALSE)</f>
        <v>7.5226026361338268E-4</v>
      </c>
      <c r="I15" s="88">
        <f t="shared" si="0"/>
        <v>329143.19689133595</v>
      </c>
    </row>
    <row r="16" spans="2:9" x14ac:dyDescent="0.25">
      <c r="B16" s="356" t="str">
        <f>VLOOKUP(E16,'Unit List'!$B$9:$E$241,4,0)</f>
        <v>Iron Making</v>
      </c>
      <c r="C16" s="91" t="s">
        <v>368</v>
      </c>
      <c r="D16" s="356" t="str">
        <f>VLOOKUP(E16,'Unit List'!$B$9:$D$241,3,0)</f>
        <v>Direct Reduction</v>
      </c>
      <c r="E16" s="414">
        <v>1315</v>
      </c>
      <c r="F16" s="376" t="s">
        <v>42</v>
      </c>
      <c r="G16" s="375">
        <v>247380275.19599998</v>
      </c>
      <c r="H16" s="86">
        <f>VLOOKUP(C16,Settings!$B$148:$D$157,3,FALSE)</f>
        <v>7.5226026361338268E-4</v>
      </c>
      <c r="I16" s="88">
        <f t="shared" si="0"/>
        <v>186094.3510316941</v>
      </c>
    </row>
    <row r="17" spans="2:9" x14ac:dyDescent="0.25">
      <c r="B17" s="356" t="str">
        <f>VLOOKUP(E17,'Unit List'!$B$9:$E$241,4,0)</f>
        <v>Iron Making</v>
      </c>
      <c r="C17" s="91" t="s">
        <v>368</v>
      </c>
      <c r="D17" s="356" t="str">
        <f>VLOOKUP(E17,'Unit List'!$B$9:$D$241,3,0)</f>
        <v>Direct Reduction</v>
      </c>
      <c r="E17" s="414">
        <v>1320</v>
      </c>
      <c r="F17" s="376">
        <v>54110</v>
      </c>
      <c r="G17" s="375">
        <v>54444897.100000009</v>
      </c>
      <c r="H17" s="86">
        <f>VLOOKUP(C17,Settings!$B$148:$D$157,3,FALSE)</f>
        <v>7.5226026361338268E-4</v>
      </c>
      <c r="I17" s="88">
        <f t="shared" si="0"/>
        <v>40956.732644849501</v>
      </c>
    </row>
    <row r="18" spans="2:9" x14ac:dyDescent="0.25">
      <c r="B18" s="356" t="str">
        <f>VLOOKUP(E18,'Unit List'!$B$9:$E$241,4,0)</f>
        <v>Iron Making</v>
      </c>
      <c r="C18" s="91" t="s">
        <v>368</v>
      </c>
      <c r="D18" s="356" t="str">
        <f>VLOOKUP(E18,'Unit List'!$B$9:$D$241,3,0)</f>
        <v>Direct Reduction</v>
      </c>
      <c r="E18" s="414">
        <v>1325</v>
      </c>
      <c r="F18" s="376" t="s">
        <v>42</v>
      </c>
      <c r="G18" s="375">
        <v>21795618.960000001</v>
      </c>
      <c r="H18" s="86">
        <f>VLOOKUP(C18,Settings!$B$148:$D$157,3,FALSE)</f>
        <v>7.5226026361338268E-4</v>
      </c>
      <c r="I18" s="88">
        <f t="shared" si="0"/>
        <v>16395.978064466442</v>
      </c>
    </row>
    <row r="19" spans="2:9" x14ac:dyDescent="0.25">
      <c r="B19" s="356" t="str">
        <f>VLOOKUP(E19,'Unit List'!$B$9:$E$241,4,0)</f>
        <v>Iron Making</v>
      </c>
      <c r="C19" s="91" t="s">
        <v>368</v>
      </c>
      <c r="D19" s="356" t="str">
        <f>VLOOKUP(E19,'Unit List'!$B$9:$D$241,3,0)</f>
        <v>Briquetting</v>
      </c>
      <c r="E19" s="414">
        <v>1330</v>
      </c>
      <c r="F19" s="376" t="s">
        <v>42</v>
      </c>
      <c r="G19" s="375">
        <v>2969721.66</v>
      </c>
      <c r="H19" s="86">
        <f>VLOOKUP(C19,Settings!$B$148:$D$157,3,FALSE)</f>
        <v>7.5226026361338268E-4</v>
      </c>
      <c r="I19" s="88">
        <f t="shared" si="0"/>
        <v>2234.0035988099726</v>
      </c>
    </row>
    <row r="20" spans="2:9" x14ac:dyDescent="0.25">
      <c r="B20" s="356" t="str">
        <f>VLOOKUP(E20,'Unit List'!$B$9:$E$241,4,0)</f>
        <v>Iron Making</v>
      </c>
      <c r="C20" s="91" t="s">
        <v>368</v>
      </c>
      <c r="D20" s="356" t="str">
        <f>VLOOKUP(E20,'Unit List'!$B$9:$D$241,3,0)</f>
        <v>Briquetting</v>
      </c>
      <c r="E20" s="414">
        <v>1335</v>
      </c>
      <c r="F20" s="376" t="s">
        <v>42</v>
      </c>
      <c r="G20" s="375">
        <v>3269342.8439999996</v>
      </c>
      <c r="H20" s="86">
        <f>VLOOKUP(C20,Settings!$B$148:$D$157,3,FALSE)</f>
        <v>7.5226026361338268E-4</v>
      </c>
      <c r="I20" s="88">
        <f t="shared" si="0"/>
        <v>2459.3967096699657</v>
      </c>
    </row>
    <row r="21" spans="2:9" x14ac:dyDescent="0.25">
      <c r="B21" s="356" t="str">
        <f>VLOOKUP(E21,'Unit List'!$B$9:$E$241,4,0)</f>
        <v>Steel Making</v>
      </c>
      <c r="C21" s="91" t="s">
        <v>368</v>
      </c>
      <c r="D21" s="356" t="str">
        <f>VLOOKUP(E21,'Unit List'!$B$9:$D$241,3,0)</f>
        <v>EAFs</v>
      </c>
      <c r="E21" s="414">
        <v>2110</v>
      </c>
      <c r="F21" s="376" t="s">
        <v>42</v>
      </c>
      <c r="G21" s="375">
        <v>5734270.2400000002</v>
      </c>
      <c r="H21" s="86">
        <f>VLOOKUP(C21,Settings!$B$148:$D$157,3,FALSE)</f>
        <v>7.5226026361338268E-4</v>
      </c>
      <c r="I21" s="88">
        <f t="shared" si="0"/>
        <v>4313.663642372775</v>
      </c>
    </row>
    <row r="22" spans="2:9" x14ac:dyDescent="0.25">
      <c r="B22" s="356" t="str">
        <f>VLOOKUP(E22,'Unit List'!$B$9:$E$241,4,0)</f>
        <v>Steel Making</v>
      </c>
      <c r="C22" s="91" t="s">
        <v>368</v>
      </c>
      <c r="D22" s="356" t="str">
        <f>VLOOKUP(E22,'Unit List'!$B$9:$D$241,3,0)</f>
        <v>EAFs</v>
      </c>
      <c r="E22" s="414">
        <v>2120</v>
      </c>
      <c r="F22" s="376" t="s">
        <v>42</v>
      </c>
      <c r="G22" s="375">
        <v>7167837.7999999998</v>
      </c>
      <c r="H22" s="86">
        <f>VLOOKUP(C22,Settings!$B$148:$D$157,3,FALSE)</f>
        <v>7.5226026361338268E-4</v>
      </c>
      <c r="I22" s="88">
        <f t="shared" si="0"/>
        <v>5392.079552965969</v>
      </c>
    </row>
    <row r="23" spans="2:9" x14ac:dyDescent="0.25">
      <c r="B23" s="356" t="str">
        <f>VLOOKUP(E23,'Unit List'!$B$9:$E$241,4,0)</f>
        <v>Steel Making</v>
      </c>
      <c r="C23" s="91" t="s">
        <v>368</v>
      </c>
      <c r="D23" s="356" t="str">
        <f>VLOOKUP(E23,'Unit List'!$B$9:$D$241,3,0)</f>
        <v>EAFs</v>
      </c>
      <c r="E23" s="414">
        <v>2130</v>
      </c>
      <c r="F23" s="376" t="s">
        <v>42</v>
      </c>
      <c r="G23" s="375">
        <v>86014053.599999994</v>
      </c>
      <c r="H23" s="86">
        <f>VLOOKUP(C23,Settings!$B$148:$D$157,3,FALSE)</f>
        <v>7.5226026361338268E-4</v>
      </c>
      <c r="I23" s="88">
        <f t="shared" si="0"/>
        <v>64704.954635591625</v>
      </c>
    </row>
    <row r="24" spans="2:9" x14ac:dyDescent="0.25">
      <c r="B24" s="356" t="str">
        <f>VLOOKUP(E24,'Unit List'!$B$9:$E$241,4,0)</f>
        <v>Steel Making</v>
      </c>
      <c r="C24" s="91" t="s">
        <v>368</v>
      </c>
      <c r="D24" s="356" t="str">
        <f>VLOOKUP(E24,'Unit List'!$B$9:$D$241,3,0)</f>
        <v>EAFs</v>
      </c>
      <c r="E24" s="414">
        <v>2210</v>
      </c>
      <c r="F24" s="376" t="s">
        <v>133</v>
      </c>
      <c r="G24" s="375">
        <v>187797350.36000001</v>
      </c>
      <c r="H24" s="86">
        <f>VLOOKUP(C24,Settings!$B$148:$D$157,3,FALSE)</f>
        <v>7.5226026361338268E-4</v>
      </c>
      <c r="I24" s="88">
        <f t="shared" si="0"/>
        <v>141272.48428770839</v>
      </c>
    </row>
    <row r="25" spans="2:9" x14ac:dyDescent="0.25">
      <c r="B25" s="356" t="str">
        <f>VLOOKUP(E25,'Unit List'!$B$9:$E$241,4,0)</f>
        <v>Steel Making</v>
      </c>
      <c r="C25" s="91" t="s">
        <v>368</v>
      </c>
      <c r="D25" s="356" t="str">
        <f>VLOOKUP(E25,'Unit List'!$B$9:$D$241,3,0)</f>
        <v>De-gassing</v>
      </c>
      <c r="E25" s="414">
        <v>2220</v>
      </c>
      <c r="F25" s="376" t="s">
        <v>42</v>
      </c>
      <c r="G25" s="375">
        <v>9697254.2400000002</v>
      </c>
      <c r="H25" s="86">
        <f>VLOOKUP(C25,Settings!$B$148:$D$157,3,FALSE)</f>
        <v>7.5226026361338268E-4</v>
      </c>
      <c r="I25" s="88">
        <f t="shared" si="0"/>
        <v>7294.8590309083929</v>
      </c>
    </row>
    <row r="26" spans="2:9" x14ac:dyDescent="0.25">
      <c r="B26" s="356" t="str">
        <f>VLOOKUP(E26,'Unit List'!$B$9:$E$241,4,0)</f>
        <v>Steel Making</v>
      </c>
      <c r="C26" s="91" t="s">
        <v>368</v>
      </c>
      <c r="D26" s="356" t="str">
        <f>VLOOKUP(E26,'Unit List'!$B$9:$D$241,3,0)</f>
        <v>Laddle Furnaces</v>
      </c>
      <c r="E26" s="414">
        <v>2240</v>
      </c>
      <c r="F26" s="376" t="s">
        <v>42</v>
      </c>
      <c r="G26" s="375">
        <v>42782004</v>
      </c>
      <c r="H26" s="86">
        <f>VLOOKUP(C26,Settings!$B$148:$D$157,3,FALSE)</f>
        <v>7.5226026361338268E-4</v>
      </c>
      <c r="I26" s="88">
        <f t="shared" si="0"/>
        <v>32183.201606948791</v>
      </c>
    </row>
    <row r="27" spans="2:9" x14ac:dyDescent="0.25">
      <c r="B27" s="356" t="str">
        <f>VLOOKUP(E27,'Unit List'!$B$9:$E$241,4,0)</f>
        <v>Steel Making</v>
      </c>
      <c r="C27" s="91" t="s">
        <v>368</v>
      </c>
      <c r="D27" s="356" t="str">
        <f>VLOOKUP(E27,'Unit List'!$B$9:$D$241,3,0)</f>
        <v>Laddle Furnaces</v>
      </c>
      <c r="E27" s="414">
        <v>2301</v>
      </c>
      <c r="F27" s="376" t="s">
        <v>42</v>
      </c>
      <c r="G27" s="375">
        <v>4563413.76</v>
      </c>
      <c r="H27" s="86">
        <f>VLOOKUP(C27,Settings!$B$148:$D$157,3,FALSE)</f>
        <v>7.5226026361338268E-4</v>
      </c>
      <c r="I27" s="88">
        <f t="shared" si="0"/>
        <v>3432.8748380745378</v>
      </c>
    </row>
    <row r="28" spans="2:9" x14ac:dyDescent="0.25">
      <c r="B28" s="356" t="str">
        <f>VLOOKUP(E28,'Unit List'!$B$9:$E$241,4,0)</f>
        <v>Steel Making</v>
      </c>
      <c r="C28" s="91" t="s">
        <v>368</v>
      </c>
      <c r="D28" s="356" t="str">
        <f>VLOOKUP(E28,'Unit List'!$B$9:$D$241,3,0)</f>
        <v>Casting Machines</v>
      </c>
      <c r="E28" s="414">
        <v>2410</v>
      </c>
      <c r="F28" s="376" t="s">
        <v>42</v>
      </c>
      <c r="G28" s="375">
        <v>95888702</v>
      </c>
      <c r="H28" s="86">
        <f>VLOOKUP(C28,Settings!$B$148:$D$157,3,FALSE)</f>
        <v>7.5226026361338268E-4</v>
      </c>
      <c r="I28" s="88">
        <f t="shared" si="0"/>
        <v>72133.260244065095</v>
      </c>
    </row>
    <row r="29" spans="2:9" x14ac:dyDescent="0.25">
      <c r="B29" s="356" t="str">
        <f>VLOOKUP(E29,'Unit List'!$B$9:$E$241,4,0)</f>
        <v>Steel Making</v>
      </c>
      <c r="C29" s="91" t="s">
        <v>368</v>
      </c>
      <c r="D29" s="356" t="str">
        <f>VLOOKUP(E29,'Unit List'!$B$9:$D$241,3,0)</f>
        <v>Slab Cooling</v>
      </c>
      <c r="E29" s="414">
        <v>2510</v>
      </c>
      <c r="F29" s="376" t="s">
        <v>42</v>
      </c>
      <c r="G29" s="375">
        <v>35976826</v>
      </c>
      <c r="H29" s="86">
        <f>VLOOKUP(C29,Settings!$B$148:$D$157,3,FALSE)</f>
        <v>7.5226026361338268E-4</v>
      </c>
      <c r="I29" s="88">
        <f t="shared" si="0"/>
        <v>27063.936610732799</v>
      </c>
    </row>
    <row r="30" spans="2:9" x14ac:dyDescent="0.25">
      <c r="B30" s="356" t="str">
        <f>VLOOKUP(E30,'Unit List'!$B$9:$E$241,4,0)</f>
        <v>Hot Rolling</v>
      </c>
      <c r="C30" s="91" t="s">
        <v>368</v>
      </c>
      <c r="D30" s="356" t="str">
        <f>VLOOKUP(E30,'Unit List'!$B$9:$D$241,3,0)</f>
        <v>Hot Rolling Mill</v>
      </c>
      <c r="E30" s="414">
        <v>3101</v>
      </c>
      <c r="F30" s="376" t="s">
        <v>42</v>
      </c>
      <c r="G30" s="375">
        <v>12310554.165000001</v>
      </c>
      <c r="H30" s="86">
        <f>VLOOKUP(C30,Settings!$B$148:$D$157,3,FALSE)</f>
        <v>7.5226026361338268E-4</v>
      </c>
      <c r="I30" s="88">
        <f t="shared" si="0"/>
        <v>9260.7407213897277</v>
      </c>
    </row>
    <row r="31" spans="2:9" x14ac:dyDescent="0.25">
      <c r="B31" s="356" t="str">
        <f>VLOOKUP(E31,'Unit List'!$B$9:$E$241,4,0)</f>
        <v>Hot Rolling</v>
      </c>
      <c r="C31" s="91" t="s">
        <v>368</v>
      </c>
      <c r="D31" s="356" t="str">
        <f>VLOOKUP(E31,'Unit List'!$B$9:$D$241,3,0)</f>
        <v>Hot Rolling Mill</v>
      </c>
      <c r="E31" s="414">
        <v>3210</v>
      </c>
      <c r="F31" s="376" t="s">
        <v>42</v>
      </c>
      <c r="G31" s="375">
        <v>38690313.089999996</v>
      </c>
      <c r="H31" s="86">
        <f>VLOOKUP(C31,Settings!$B$148:$D$157,3,FALSE)</f>
        <v>7.5226026361338268E-4</v>
      </c>
      <c r="I31" s="88">
        <f t="shared" si="0"/>
        <v>29105.185124367708</v>
      </c>
    </row>
    <row r="32" spans="2:9" x14ac:dyDescent="0.25">
      <c r="B32" s="356" t="str">
        <f>VLOOKUP(E32,'Unit List'!$B$9:$E$241,4,0)</f>
        <v>Hot Rolling</v>
      </c>
      <c r="C32" s="91" t="s">
        <v>368</v>
      </c>
      <c r="D32" s="356" t="str">
        <f>VLOOKUP(E32,'Unit List'!$B$9:$D$241,3,0)</f>
        <v>Hot Rolling Mill</v>
      </c>
      <c r="E32" s="414">
        <v>3310</v>
      </c>
      <c r="F32" s="376" t="s">
        <v>42</v>
      </c>
      <c r="G32" s="375">
        <v>237417830.32499999</v>
      </c>
      <c r="H32" s="86">
        <f>VLOOKUP(C32,Settings!$B$148:$D$157,3,FALSE)</f>
        <v>7.5226026361338268E-4</v>
      </c>
      <c r="I32" s="88">
        <f t="shared" si="0"/>
        <v>178599.99962680184</v>
      </c>
    </row>
    <row r="33" spans="2:9" x14ac:dyDescent="0.25">
      <c r="B33" s="356" t="str">
        <f>VLOOKUP(E33,'Unit List'!$B$9:$E$241,4,0)</f>
        <v>Hot Rolling</v>
      </c>
      <c r="C33" s="91" t="s">
        <v>368</v>
      </c>
      <c r="D33" s="356" t="str">
        <f>VLOOKUP(E33,'Unit List'!$B$9:$D$241,3,0)</f>
        <v>Shearing Line 1</v>
      </c>
      <c r="E33" s="414">
        <v>3410</v>
      </c>
      <c r="F33" s="376" t="s">
        <v>42</v>
      </c>
      <c r="G33" s="375">
        <v>3869031.3089999999</v>
      </c>
      <c r="H33" s="86">
        <f>VLOOKUP(C33,Settings!$B$148:$D$157,3,FALSE)</f>
        <v>7.5226026361338268E-4</v>
      </c>
      <c r="I33" s="88">
        <f t="shared" si="0"/>
        <v>2910.5185124367708</v>
      </c>
    </row>
    <row r="34" spans="2:9" x14ac:dyDescent="0.25">
      <c r="B34" s="356" t="str">
        <f>VLOOKUP(E34,'Unit List'!$B$9:$E$241,4,0)</f>
        <v>Hot Rolling</v>
      </c>
      <c r="C34" s="91" t="s">
        <v>368</v>
      </c>
      <c r="D34" s="356" t="str">
        <f>VLOOKUP(E34,'Unit List'!$B$9:$D$241,3,0)</f>
        <v>Shearing Line 1</v>
      </c>
      <c r="E34" s="414">
        <v>3420</v>
      </c>
      <c r="F34" s="376" t="s">
        <v>42</v>
      </c>
      <c r="G34" s="375">
        <v>14069204.759999998</v>
      </c>
      <c r="H34" s="86">
        <f>VLOOKUP(C34,Settings!$B$148:$D$157,3,FALSE)</f>
        <v>7.5226026361338268E-4</v>
      </c>
      <c r="I34" s="88">
        <f t="shared" si="0"/>
        <v>10583.703681588257</v>
      </c>
    </row>
    <row r="35" spans="2:9" x14ac:dyDescent="0.25">
      <c r="B35" s="356" t="str">
        <f>VLOOKUP(E35,'Unit List'!$B$9:$E$241,4,0)</f>
        <v>Hot Rolling</v>
      </c>
      <c r="C35" s="91" t="s">
        <v>368</v>
      </c>
      <c r="D35" s="356" t="str">
        <f>VLOOKUP(E35,'Unit List'!$B$9:$D$241,3,0)</f>
        <v>Shearing Line 2</v>
      </c>
      <c r="E35" s="414">
        <v>3430</v>
      </c>
      <c r="F35" s="376" t="s">
        <v>42</v>
      </c>
      <c r="G35" s="375">
        <v>11255363.808</v>
      </c>
      <c r="H35" s="86">
        <f>VLOOKUP(C35,Settings!$B$148:$D$157,3,FALSE)</f>
        <v>7.5226026361338268E-4</v>
      </c>
      <c r="I35" s="88">
        <f t="shared" si="0"/>
        <v>8466.9629452706067</v>
      </c>
    </row>
    <row r="36" spans="2:9" x14ac:dyDescent="0.25">
      <c r="B36" s="356" t="str">
        <f>VLOOKUP(E36,'Unit List'!$B$9:$E$241,4,0)</f>
        <v>Hot Rolling</v>
      </c>
      <c r="C36" s="91" t="s">
        <v>368</v>
      </c>
      <c r="D36" s="356" t="str">
        <f>VLOOKUP(E36,'Unit List'!$B$9:$D$241,3,0)</f>
        <v>Heavy Shearing Line</v>
      </c>
      <c r="E36" s="414">
        <v>3440</v>
      </c>
      <c r="F36" s="376" t="s">
        <v>42</v>
      </c>
      <c r="G36" s="375">
        <v>15124395.117000002</v>
      </c>
      <c r="H36" s="86">
        <f>VLOOKUP(C36,Settings!$B$148:$D$157,3,FALSE)</f>
        <v>7.5226026361338268E-4</v>
      </c>
      <c r="I36" s="88">
        <f t="shared" si="0"/>
        <v>11377.481457707379</v>
      </c>
    </row>
    <row r="37" spans="2:9" x14ac:dyDescent="0.25">
      <c r="B37" s="356" t="str">
        <f>VLOOKUP(E37,'Unit List'!$B$9:$E$241,4,0)</f>
        <v>Hot Rolling</v>
      </c>
      <c r="C37" s="91" t="s">
        <v>368</v>
      </c>
      <c r="D37" s="356" t="str">
        <f>VLOOKUP(E37,'Unit List'!$B$9:$D$241,3,0)</f>
        <v>Skin Pass Mill</v>
      </c>
      <c r="E37" s="414">
        <v>3450</v>
      </c>
      <c r="F37" s="376" t="s">
        <v>42</v>
      </c>
      <c r="G37" s="375">
        <v>8441522.8559999987</v>
      </c>
      <c r="H37" s="86">
        <f>VLOOKUP(C37,Settings!$B$148:$D$157,3,FALSE)</f>
        <v>7.5226026361338268E-4</v>
      </c>
      <c r="I37" s="88">
        <f t="shared" si="0"/>
        <v>6350.2222089529541</v>
      </c>
    </row>
    <row r="38" spans="2:9" x14ac:dyDescent="0.25">
      <c r="B38" s="356" t="str">
        <f>VLOOKUP(E38,'Unit List'!$B$9:$E$241,4,0)</f>
        <v>Hot Rolling</v>
      </c>
      <c r="C38" s="91" t="s">
        <v>368</v>
      </c>
      <c r="D38" s="356" t="str">
        <f>VLOOKUP(E38,'Unit List'!$B$9:$D$241,3,0)</f>
        <v>Skin Pass Mill</v>
      </c>
      <c r="E38" s="414">
        <v>3460</v>
      </c>
      <c r="F38" s="376" t="s">
        <v>42</v>
      </c>
      <c r="G38" s="375">
        <v>3517301.1899999995</v>
      </c>
      <c r="H38" s="86">
        <f>VLOOKUP(C38,Settings!$B$148:$D$157,3,FALSE)</f>
        <v>7.5226026361338268E-4</v>
      </c>
      <c r="I38" s="88">
        <f t="shared" si="0"/>
        <v>2645.9259203970641</v>
      </c>
    </row>
    <row r="39" spans="2:9" x14ac:dyDescent="0.25">
      <c r="B39" s="356" t="str">
        <f>VLOOKUP(E39,'Unit List'!$B$9:$E$241,4,0)</f>
        <v>Hot Rolling</v>
      </c>
      <c r="C39" s="91" t="s">
        <v>368</v>
      </c>
      <c r="D39" s="356" t="str">
        <f>VLOOKUP(E39,'Unit List'!$B$9:$D$241,3,0)</f>
        <v>Services of HSM Area</v>
      </c>
      <c r="E39" s="414">
        <v>3901</v>
      </c>
      <c r="F39" s="376" t="s">
        <v>42</v>
      </c>
      <c r="G39" s="375">
        <v>7034602.379999999</v>
      </c>
      <c r="H39" s="86">
        <f>VLOOKUP(C39,Settings!$B$148:$D$157,3,FALSE)</f>
        <v>7.5226026361338268E-4</v>
      </c>
      <c r="I39" s="88">
        <f t="shared" si="0"/>
        <v>5291.8518407941283</v>
      </c>
    </row>
    <row r="40" spans="2:9" x14ac:dyDescent="0.25">
      <c r="B40" s="356" t="str">
        <f>VLOOKUP(E40,'Unit List'!$B$9:$E$241,4,0)</f>
        <v>Cold Rolling</v>
      </c>
      <c r="C40" s="91" t="s">
        <v>368</v>
      </c>
      <c r="D40" s="356" t="str">
        <f>VLOOKUP(E40,'Unit List'!$B$9:$D$241,3,0)</f>
        <v>Pickling Line 1,2</v>
      </c>
      <c r="E40" s="414">
        <v>4101</v>
      </c>
      <c r="F40" s="376" t="s">
        <v>42</v>
      </c>
      <c r="G40" s="375">
        <v>1205159.0429999998</v>
      </c>
      <c r="H40" s="86">
        <f>VLOOKUP(C40,Settings!$B$148:$D$157,3,FALSE)</f>
        <v>7.5226026361338268E-4</v>
      </c>
      <c r="I40" s="88">
        <f t="shared" si="0"/>
        <v>906.59325938323184</v>
      </c>
    </row>
    <row r="41" spans="2:9" x14ac:dyDescent="0.25">
      <c r="B41" s="356" t="str">
        <f>VLOOKUP(E41,'Unit List'!$B$9:$E$241,4,0)</f>
        <v>Cold Rolling</v>
      </c>
      <c r="C41" s="91" t="s">
        <v>368</v>
      </c>
      <c r="D41" s="356" t="str">
        <f>VLOOKUP(E41,'Unit List'!$B$9:$D$241,3,0)</f>
        <v>Pickling Line 1,2</v>
      </c>
      <c r="E41" s="414">
        <v>4102</v>
      </c>
      <c r="F41" s="376" t="s">
        <v>42</v>
      </c>
      <c r="G41" s="375">
        <v>6952.8420000000006</v>
      </c>
      <c r="H41" s="86">
        <f>VLOOKUP(C41,Settings!$B$148:$D$157,3,FALSE)</f>
        <v>7.5226026361338268E-4</v>
      </c>
      <c r="I41" s="88">
        <f t="shared" si="0"/>
        <v>5.2303467557821994</v>
      </c>
    </row>
    <row r="42" spans="2:9" x14ac:dyDescent="0.25">
      <c r="B42" s="356" t="str">
        <f>VLOOKUP(E42,'Unit List'!$B$9:$E$241,4,0)</f>
        <v>Cold Rolling</v>
      </c>
      <c r="C42" s="91" t="s">
        <v>368</v>
      </c>
      <c r="D42" s="356" t="str">
        <f>VLOOKUP(E42,'Unit List'!$B$9:$D$241,3,0)</f>
        <v>Pickling Line 1,2</v>
      </c>
      <c r="E42" s="414">
        <v>4220</v>
      </c>
      <c r="F42" s="376" t="s">
        <v>42</v>
      </c>
      <c r="G42" s="375">
        <v>11611243.835999999</v>
      </c>
      <c r="H42" s="86">
        <f>VLOOKUP(C42,Settings!$B$148:$D$157,3,FALSE)</f>
        <v>7.5226026361338268E-4</v>
      </c>
      <c r="I42" s="88">
        <f t="shared" si="0"/>
        <v>8734.6773489486241</v>
      </c>
    </row>
    <row r="43" spans="2:9" x14ac:dyDescent="0.25">
      <c r="B43" s="356" t="str">
        <f>VLOOKUP(E43,'Unit List'!$B$9:$E$241,4,0)</f>
        <v>Cold Rolling</v>
      </c>
      <c r="C43" s="91" t="s">
        <v>368</v>
      </c>
      <c r="D43" s="356" t="str">
        <f>VLOOKUP(E43,'Unit List'!$B$9:$D$241,3,0)</f>
        <v>Pickling Line 1,2</v>
      </c>
      <c r="E43" s="414">
        <v>4225</v>
      </c>
      <c r="F43" s="376" t="s">
        <v>42</v>
      </c>
      <c r="G43" s="375">
        <v>4542522.5389999999</v>
      </c>
      <c r="H43" s="86">
        <f>VLOOKUP(C43,Settings!$B$148:$D$157,3,FALSE)</f>
        <v>7.5226026361338268E-4</v>
      </c>
      <c r="I43" s="88">
        <f t="shared" si="0"/>
        <v>3417.1592026578724</v>
      </c>
    </row>
    <row r="44" spans="2:9" x14ac:dyDescent="0.25">
      <c r="B44" s="356" t="str">
        <f>VLOOKUP(E44,'Unit List'!$B$9:$E$241,4,0)</f>
        <v>Cold Rolling</v>
      </c>
      <c r="C44" s="91" t="s">
        <v>368</v>
      </c>
      <c r="D44" s="356" t="str">
        <f>VLOOKUP(E44,'Unit List'!$B$9:$D$241,3,0)</f>
        <v>Tandem Mill</v>
      </c>
      <c r="E44" s="414">
        <v>4310</v>
      </c>
      <c r="F44" s="376" t="s">
        <v>42</v>
      </c>
      <c r="G44" s="375">
        <v>120515904.07999998</v>
      </c>
      <c r="H44" s="86">
        <f>VLOOKUP(C44,Settings!$B$148:$D$157,3,FALSE)</f>
        <v>7.5226026361338268E-4</v>
      </c>
      <c r="I44" s="88">
        <f t="shared" si="0"/>
        <v>90659.325772825934</v>
      </c>
    </row>
    <row r="45" spans="2:9" x14ac:dyDescent="0.25">
      <c r="B45" s="356" t="str">
        <f>VLOOKUP(E45,'Unit List'!$B$9:$E$241,4,0)</f>
        <v>Cold Rolling</v>
      </c>
      <c r="C45" s="91" t="s">
        <v>368</v>
      </c>
      <c r="D45" s="356" t="str">
        <f>VLOOKUP(E45,'Unit List'!$B$9:$D$241,3,0)</f>
        <v>Two Stand Reversible Mill</v>
      </c>
      <c r="E45" s="414">
        <v>4315</v>
      </c>
      <c r="F45" s="376" t="s">
        <v>42</v>
      </c>
      <c r="G45" s="375">
        <v>31287782.789999995</v>
      </c>
      <c r="H45" s="86">
        <f>VLOOKUP(C45,Settings!$B$148:$D$157,3,FALSE)</f>
        <v>7.5226026361338268E-4</v>
      </c>
      <c r="I45" s="88">
        <f t="shared" si="0"/>
        <v>23536.555729483654</v>
      </c>
    </row>
    <row r="46" spans="2:9" x14ac:dyDescent="0.25">
      <c r="B46" s="356" t="str">
        <f>VLOOKUP(E46,'Unit List'!$B$9:$E$241,4,0)</f>
        <v>Cold Rolling</v>
      </c>
      <c r="C46" s="91" t="s">
        <v>368</v>
      </c>
      <c r="D46" s="356" t="str">
        <f>VLOOKUP(E46,'Unit List'!$B$9:$D$241,3,0)</f>
        <v>Electrolytic Cleaning Line</v>
      </c>
      <c r="E46" s="414">
        <v>4405</v>
      </c>
      <c r="F46" s="376" t="s">
        <v>42</v>
      </c>
      <c r="G46" s="375">
        <v>16223.293</v>
      </c>
      <c r="H46" s="86">
        <f>VLOOKUP(C46,Settings!$B$148:$D$157,3,FALSE)</f>
        <v>7.5226026361338268E-4</v>
      </c>
      <c r="I46" s="88">
        <f t="shared" si="0"/>
        <v>12.204138668857146</v>
      </c>
    </row>
    <row r="47" spans="2:9" x14ac:dyDescent="0.25">
      <c r="B47" s="356" t="str">
        <f>VLOOKUP(E47,'Unit List'!$B$9:$E$241,4,0)</f>
        <v>Cold Rolling</v>
      </c>
      <c r="C47" s="91" t="s">
        <v>368</v>
      </c>
      <c r="D47" s="356" t="str">
        <f>VLOOKUP(E47,'Unit List'!$B$9:$D$241,3,0)</f>
        <v>Box Annealing 1</v>
      </c>
      <c r="E47" s="414">
        <v>4410</v>
      </c>
      <c r="F47" s="376" t="s">
        <v>42</v>
      </c>
      <c r="G47" s="375">
        <v>1019749.9569999999</v>
      </c>
      <c r="H47" s="86">
        <f>VLOOKUP(C47,Settings!$B$148:$D$157,3,FALSE)</f>
        <v>7.5226026361338268E-4</v>
      </c>
      <c r="I47" s="88">
        <f t="shared" si="0"/>
        <v>767.11737147255565</v>
      </c>
    </row>
    <row r="48" spans="2:9" x14ac:dyDescent="0.25">
      <c r="B48" s="356" t="str">
        <f>VLOOKUP(E48,'Unit List'!$B$9:$E$241,4,0)</f>
        <v>Cold Rolling</v>
      </c>
      <c r="C48" s="91" t="s">
        <v>368</v>
      </c>
      <c r="D48" s="356" t="str">
        <f>VLOOKUP(E48,'Unit List'!$B$9:$D$241,3,0)</f>
        <v>Box Annealing 3</v>
      </c>
      <c r="E48" s="414">
        <v>4415</v>
      </c>
      <c r="F48" s="376" t="s">
        <v>42</v>
      </c>
      <c r="G48" s="375">
        <v>0</v>
      </c>
      <c r="H48" s="86">
        <f>VLOOKUP(C48,Settings!$B$148:$D$157,3,FALSE)</f>
        <v>7.5226026361338268E-4</v>
      </c>
      <c r="I48" s="88">
        <f t="shared" si="0"/>
        <v>0</v>
      </c>
    </row>
    <row r="49" spans="2:9" x14ac:dyDescent="0.25">
      <c r="B49" s="356" t="str">
        <f>VLOOKUP(E49,'Unit List'!$B$9:$E$241,4,0)</f>
        <v>Cold Rolling</v>
      </c>
      <c r="C49" s="91" t="s">
        <v>368</v>
      </c>
      <c r="D49" s="356" t="str">
        <f>VLOOKUP(E49,'Unit List'!$B$9:$D$241,3,0)</f>
        <v>Box Annealing 2</v>
      </c>
      <c r="E49" s="414">
        <v>4420</v>
      </c>
      <c r="F49" s="376" t="s">
        <v>42</v>
      </c>
      <c r="G49" s="375">
        <v>22017328.630000003</v>
      </c>
      <c r="H49" s="86">
        <f>VLOOKUP(C49,Settings!$B$148:$D$157,3,FALSE)</f>
        <v>7.5226026361338268E-4</v>
      </c>
      <c r="I49" s="88">
        <f t="shared" si="0"/>
        <v>16562.76143926628</v>
      </c>
    </row>
    <row r="50" spans="2:9" x14ac:dyDescent="0.25">
      <c r="B50" s="356" t="str">
        <f>VLOOKUP(E50,'Unit List'!$B$9:$E$241,4,0)</f>
        <v>Cold Rolling</v>
      </c>
      <c r="C50" s="91" t="s">
        <v>368</v>
      </c>
      <c r="D50" s="356" t="str">
        <f>VLOOKUP(E50,'Unit List'!$B$9:$D$241,3,0)</f>
        <v>Skin Pass Line 1,2</v>
      </c>
      <c r="E50" s="414">
        <v>4510</v>
      </c>
      <c r="F50" s="376" t="s">
        <v>42</v>
      </c>
      <c r="G50" s="375">
        <v>3012897.602</v>
      </c>
      <c r="H50" s="86">
        <f>VLOOKUP(C50,Settings!$B$148:$D$157,3,FALSE)</f>
        <v>7.5226026361338268E-4</v>
      </c>
      <c r="I50" s="88">
        <f t="shared" si="0"/>
        <v>2266.4831443206485</v>
      </c>
    </row>
    <row r="51" spans="2:9" x14ac:dyDescent="0.25">
      <c r="B51" s="356" t="str">
        <f>VLOOKUP(E51,'Unit List'!$B$9:$E$241,4,0)</f>
        <v>Cold Rolling</v>
      </c>
      <c r="C51" s="91" t="s">
        <v>368</v>
      </c>
      <c r="D51" s="356" t="str">
        <f>VLOOKUP(E51,'Unit List'!$B$9:$D$241,3,0)</f>
        <v>Skin Pass Line 1,2</v>
      </c>
      <c r="E51" s="414">
        <v>4515</v>
      </c>
      <c r="F51" s="376" t="s">
        <v>42</v>
      </c>
      <c r="G51" s="375">
        <v>1923619.237</v>
      </c>
      <c r="H51" s="86">
        <f>VLOOKUP(C51,Settings!$B$148:$D$157,3,FALSE)</f>
        <v>7.5226026361338268E-4</v>
      </c>
      <c r="I51" s="88">
        <f t="shared" si="0"/>
        <v>1447.0623143173941</v>
      </c>
    </row>
    <row r="52" spans="2:9" x14ac:dyDescent="0.25">
      <c r="B52" s="356" t="str">
        <f>VLOOKUP(E52,'Unit List'!$B$9:$E$241,4,0)</f>
        <v>Cold Rolling</v>
      </c>
      <c r="C52" s="91" t="s">
        <v>368</v>
      </c>
      <c r="D52" s="356" t="str">
        <f>VLOOKUP(E52,'Unit List'!$B$9:$D$241,3,0)</f>
        <v>Temper Mill</v>
      </c>
      <c r="E52" s="414">
        <v>4520</v>
      </c>
      <c r="F52" s="376" t="s">
        <v>42</v>
      </c>
      <c r="G52" s="375">
        <v>12746874.470000003</v>
      </c>
      <c r="H52" s="86">
        <f>VLOOKUP(C52,Settings!$B$148:$D$157,3,FALSE)</f>
        <v>7.5226026361338268E-4</v>
      </c>
      <c r="I52" s="88">
        <f t="shared" si="0"/>
        <v>9588.9671490489</v>
      </c>
    </row>
    <row r="53" spans="2:9" x14ac:dyDescent="0.25">
      <c r="B53" s="356" t="str">
        <f>VLOOKUP(E53,'Unit List'!$B$9:$E$241,4,0)</f>
        <v>Cold Rolling</v>
      </c>
      <c r="C53" s="91" t="s">
        <v>368</v>
      </c>
      <c r="D53" s="356" t="str">
        <f>VLOOKUP(E53,'Unit List'!$B$9:$D$241,3,0)</f>
        <v>Corrective Line 1-4</v>
      </c>
      <c r="E53" s="414">
        <v>4610</v>
      </c>
      <c r="F53" s="376" t="s">
        <v>42</v>
      </c>
      <c r="G53" s="375">
        <v>5469567.9550000001</v>
      </c>
      <c r="H53" s="86">
        <f>VLOOKUP(C53,Settings!$B$148:$D$157,3,FALSE)</f>
        <v>7.5226026361338268E-4</v>
      </c>
      <c r="I53" s="88">
        <f t="shared" si="0"/>
        <v>4114.5386316796103</v>
      </c>
    </row>
    <row r="54" spans="2:9" x14ac:dyDescent="0.25">
      <c r="B54" s="356" t="str">
        <f>VLOOKUP(E54,'Unit List'!$B$9:$E$241,4,0)</f>
        <v>Cold Rolling</v>
      </c>
      <c r="C54" s="91" t="s">
        <v>368</v>
      </c>
      <c r="D54" s="356" t="str">
        <f>VLOOKUP(E54,'Unit List'!$B$9:$D$241,3,0)</f>
        <v>Corrective Line 1-4</v>
      </c>
      <c r="E54" s="414">
        <v>4615</v>
      </c>
      <c r="F54" s="376" t="s">
        <v>42</v>
      </c>
      <c r="G54" s="375">
        <v>2155380.591</v>
      </c>
      <c r="H54" s="86">
        <f>VLOOKUP(C54,Settings!$B$148:$D$157,3,FALSE)</f>
        <v>7.5226026361338268E-4</v>
      </c>
      <c r="I54" s="88">
        <f t="shared" si="0"/>
        <v>1621.4071715728285</v>
      </c>
    </row>
    <row r="55" spans="2:9" x14ac:dyDescent="0.25">
      <c r="B55" s="356" t="str">
        <f>VLOOKUP(E55,'Unit List'!$B$9:$E$241,4,0)</f>
        <v>Cold Rolling</v>
      </c>
      <c r="C55" s="91" t="s">
        <v>368</v>
      </c>
      <c r="D55" s="356" t="str">
        <f>VLOOKUP(E55,'Unit List'!$B$9:$D$241,3,0)</f>
        <v>Corrective Line 1-4</v>
      </c>
      <c r="E55" s="414">
        <v>4616</v>
      </c>
      <c r="F55" s="376" t="s">
        <v>42</v>
      </c>
      <c r="G55" s="375">
        <v>1900443.105</v>
      </c>
      <c r="H55" s="86">
        <f>VLOOKUP(C55,Settings!$B$148:$D$157,3,FALSE)</f>
        <v>7.5226026361338268E-4</v>
      </c>
      <c r="I55" s="88">
        <f t="shared" si="0"/>
        <v>1429.6278311495355</v>
      </c>
    </row>
    <row r="56" spans="2:9" x14ac:dyDescent="0.25">
      <c r="B56" s="356" t="str">
        <f>VLOOKUP(E56,'Unit List'!$B$9:$E$241,4,0)</f>
        <v>Cold Rolling</v>
      </c>
      <c r="C56" s="91" t="s">
        <v>368</v>
      </c>
      <c r="D56" s="356" t="str">
        <f>VLOOKUP(E56,'Unit List'!$B$9:$D$241,3,0)</f>
        <v>Corrective Line 1-4</v>
      </c>
      <c r="E56" s="414">
        <v>4618</v>
      </c>
      <c r="F56" s="376" t="s">
        <v>42</v>
      </c>
      <c r="G56" s="375">
        <v>1900443.105</v>
      </c>
      <c r="H56" s="86">
        <f>VLOOKUP(C56,Settings!$B$148:$D$157,3,FALSE)</f>
        <v>7.5226026361338268E-4</v>
      </c>
      <c r="I56" s="88">
        <f t="shared" si="0"/>
        <v>1429.6278311495355</v>
      </c>
    </row>
    <row r="57" spans="2:9" x14ac:dyDescent="0.25">
      <c r="B57" s="356" t="str">
        <f>VLOOKUP(E57,'Unit List'!$B$9:$E$241,4,0)</f>
        <v>Cold Rolling</v>
      </c>
      <c r="C57" s="91" t="s">
        <v>368</v>
      </c>
      <c r="D57" s="356" t="str">
        <f>VLOOKUP(E57,'Unit List'!$B$9:$D$241,3,0)</f>
        <v>Slitting Line</v>
      </c>
      <c r="E57" s="414">
        <v>4620</v>
      </c>
      <c r="F57" s="376" t="s">
        <v>42</v>
      </c>
      <c r="G57" s="375">
        <v>139056.81299999997</v>
      </c>
      <c r="H57" s="86">
        <f>VLOOKUP(C57,Settings!$B$148:$D$157,3,FALSE)</f>
        <v>7.5226026361338268E-4</v>
      </c>
      <c r="I57" s="88">
        <f t="shared" si="0"/>
        <v>104.60691480461684</v>
      </c>
    </row>
    <row r="58" spans="2:9" x14ac:dyDescent="0.25">
      <c r="B58" s="356" t="str">
        <f>VLOOKUP(E58,'Unit List'!$B$9:$E$241,4,0)</f>
        <v>Cold Rolling</v>
      </c>
      <c r="C58" s="91" t="s">
        <v>368</v>
      </c>
      <c r="D58" s="356" t="str">
        <f>VLOOKUP(E58,'Unit List'!$B$9:$D$241,3,0)</f>
        <v>Light Shearing Line (CRM)</v>
      </c>
      <c r="E58" s="414">
        <v>4630</v>
      </c>
      <c r="F58" s="376" t="s">
        <v>42</v>
      </c>
      <c r="G58" s="375">
        <v>672107.92599999998</v>
      </c>
      <c r="H58" s="86">
        <f>VLOOKUP(C58,Settings!$B$148:$D$157,3,FALSE)</f>
        <v>7.5226026361338268E-4</v>
      </c>
      <c r="I58" s="88">
        <f t="shared" si="0"/>
        <v>505.60008558940388</v>
      </c>
    </row>
    <row r="59" spans="2:9" x14ac:dyDescent="0.25">
      <c r="B59" s="356" t="str">
        <f>VLOOKUP(E59,'Unit List'!$B$9:$E$241,4,0)</f>
        <v>Cold Rolling</v>
      </c>
      <c r="C59" s="91" t="s">
        <v>368</v>
      </c>
      <c r="D59" s="356" t="str">
        <f>VLOOKUP(E59,'Unit List'!$B$9:$D$241,3,0)</f>
        <v>Heavy Shearing Line (CRM)</v>
      </c>
      <c r="E59" s="414">
        <v>4640</v>
      </c>
      <c r="F59" s="376" t="s">
        <v>42</v>
      </c>
      <c r="G59" s="375">
        <v>370818.16699999996</v>
      </c>
      <c r="H59" s="86">
        <f>VLOOKUP(C59,Settings!$B$148:$D$157,3,FALSE)</f>
        <v>7.5226026361338268E-4</v>
      </c>
      <c r="I59" s="88">
        <f t="shared" si="0"/>
        <v>278.95177206005133</v>
      </c>
    </row>
    <row r="60" spans="2:9" x14ac:dyDescent="0.25">
      <c r="B60" s="356" t="str">
        <f>VLOOKUP(E60,'Unit List'!$B$9:$E$241,4,0)</f>
        <v>Cold Rolling</v>
      </c>
      <c r="C60" s="91" t="s">
        <v>368</v>
      </c>
      <c r="D60" s="356" t="str">
        <f>VLOOKUP(E60,'Unit List'!$B$9:$D$241,3,0)</f>
        <v>Packaging</v>
      </c>
      <c r="E60" s="414">
        <v>4660</v>
      </c>
      <c r="F60" s="376" t="s">
        <v>42</v>
      </c>
      <c r="G60" s="375">
        <v>23176.135999999999</v>
      </c>
      <c r="H60" s="86">
        <f>VLOOKUP(C60,Settings!$B$148:$D$157,3,FALSE)</f>
        <v>7.5226026361338268E-4</v>
      </c>
      <c r="I60" s="88">
        <f t="shared" si="0"/>
        <v>17.434486176899608</v>
      </c>
    </row>
    <row r="61" spans="2:9" x14ac:dyDescent="0.25">
      <c r="B61" s="356" t="str">
        <f>VLOOKUP(E61,'Unit List'!$B$9:$E$241,4,0)</f>
        <v>Cold Rolling</v>
      </c>
      <c r="C61" s="91" t="s">
        <v>368</v>
      </c>
      <c r="D61" s="356" t="str">
        <f>VLOOKUP(E61,'Unit List'!$B$9:$D$241,3,0)</f>
        <v>Tinning Line</v>
      </c>
      <c r="E61" s="414">
        <v>4710</v>
      </c>
      <c r="F61" s="376" t="s">
        <v>42</v>
      </c>
      <c r="G61" s="375">
        <v>4264408.9129999997</v>
      </c>
      <c r="H61" s="86">
        <f>VLOOKUP(C61,Settings!$B$148:$D$157,3,FALSE)</f>
        <v>7.5226026361338268E-4</v>
      </c>
      <c r="I61" s="88">
        <f t="shared" si="0"/>
        <v>3207.9453730486384</v>
      </c>
    </row>
    <row r="62" spans="2:9" x14ac:dyDescent="0.25">
      <c r="B62" s="356" t="str">
        <f>VLOOKUP(E62,'Unit List'!$B$9:$E$241,4,0)</f>
        <v>Cold Rolling</v>
      </c>
      <c r="C62" s="91" t="s">
        <v>368</v>
      </c>
      <c r="D62" s="356" t="str">
        <f>VLOOKUP(E62,'Unit List'!$B$9:$D$241,3,0)</f>
        <v>Shearing Line of Tinning 1,2</v>
      </c>
      <c r="E62" s="414">
        <v>4720</v>
      </c>
      <c r="F62" s="376" t="s">
        <v>42</v>
      </c>
      <c r="G62" s="375">
        <v>139056.81299999997</v>
      </c>
      <c r="H62" s="86">
        <f>VLOOKUP(C62,Settings!$B$148:$D$157,3,FALSE)</f>
        <v>7.5226026361338268E-4</v>
      </c>
      <c r="I62" s="88">
        <f t="shared" si="0"/>
        <v>104.60691480461684</v>
      </c>
    </row>
    <row r="63" spans="2:9" x14ac:dyDescent="0.25">
      <c r="B63" s="356" t="str">
        <f>VLOOKUP(E63,'Unit List'!$B$9:$E$241,4,0)</f>
        <v>Cold Rolling</v>
      </c>
      <c r="C63" s="91" t="s">
        <v>368</v>
      </c>
      <c r="D63" s="356" t="str">
        <f>VLOOKUP(E63,'Unit List'!$B$9:$D$241,3,0)</f>
        <v>Shearing Line of Tinning 1,2</v>
      </c>
      <c r="E63" s="414">
        <v>4730</v>
      </c>
      <c r="F63" s="376" t="s">
        <v>42</v>
      </c>
      <c r="G63" s="375">
        <v>185409.08100000001</v>
      </c>
      <c r="H63" s="86">
        <f>VLOOKUP(C63,Settings!$B$148:$D$157,3,FALSE)</f>
        <v>7.5226026361338268E-4</v>
      </c>
      <c r="I63" s="88">
        <f t="shared" si="0"/>
        <v>139.47588414937502</v>
      </c>
    </row>
    <row r="64" spans="2:9" x14ac:dyDescent="0.25">
      <c r="B64" s="356" t="str">
        <f>VLOOKUP(E64,'Unit List'!$B$9:$E$241,4,0)</f>
        <v>Cold Rolling</v>
      </c>
      <c r="C64" s="91" t="s">
        <v>368</v>
      </c>
      <c r="D64" s="356" t="str">
        <f>VLOOKUP(E64,'Unit List'!$B$9:$D$241,3,0)</f>
        <v>Galvanizing Line</v>
      </c>
      <c r="E64" s="414">
        <v>4810</v>
      </c>
      <c r="F64" s="376" t="s">
        <v>42</v>
      </c>
      <c r="G64" s="375">
        <v>2317613.5400000005</v>
      </c>
      <c r="H64" s="86">
        <f>VLOOKUP(C64,Settings!$B$148:$D$157,3,FALSE)</f>
        <v>7.5226026361338268E-4</v>
      </c>
      <c r="I64" s="88">
        <f t="shared" si="0"/>
        <v>1743.4485725543454</v>
      </c>
    </row>
    <row r="65" spans="2:9" x14ac:dyDescent="0.25">
      <c r="B65" s="356" t="str">
        <f>VLOOKUP(E65,'Unit List'!$B$9:$E$241,4,0)</f>
        <v>Cold Rolling</v>
      </c>
      <c r="C65" s="91" t="s">
        <v>368</v>
      </c>
      <c r="D65" s="356" t="str">
        <f>VLOOKUP(E65,'Unit List'!$B$9:$D$241,3,0)</f>
        <v>Coating Line</v>
      </c>
      <c r="E65" s="414">
        <v>4820</v>
      </c>
      <c r="F65" s="376" t="s">
        <v>42</v>
      </c>
      <c r="G65" s="375">
        <v>2317613.5400000005</v>
      </c>
      <c r="H65" s="86">
        <f>VLOOKUP(C65,Settings!$B$148:$D$157,3,FALSE)</f>
        <v>7.5226026361338268E-4</v>
      </c>
      <c r="I65" s="88">
        <f t="shared" si="0"/>
        <v>1743.4485725543454</v>
      </c>
    </row>
    <row r="66" spans="2:9" x14ac:dyDescent="0.25">
      <c r="B66" s="356" t="str">
        <f>VLOOKUP(E66,'Unit List'!$B$9:$E$241,4,0)</f>
        <v>Utility</v>
      </c>
      <c r="C66" s="91" t="s">
        <v>368</v>
      </c>
      <c r="D66" s="356" t="str">
        <f>VLOOKUP(E66,'Unit List'!$B$9:$D$241,3,0)</f>
        <v>RO3</v>
      </c>
      <c r="E66" s="414">
        <v>5105</v>
      </c>
      <c r="F66" s="376" t="s">
        <v>42</v>
      </c>
      <c r="G66" s="375">
        <v>1689497</v>
      </c>
      <c r="H66" s="86">
        <f>VLOOKUP(C66,Settings!$B$148:$D$157,3,FALSE)</f>
        <v>7.5226026361338268E-4</v>
      </c>
      <c r="I66" s="88">
        <f t="shared" si="0"/>
        <v>1270.9414585940192</v>
      </c>
    </row>
    <row r="67" spans="2:9" x14ac:dyDescent="0.25">
      <c r="B67" s="356" t="str">
        <f>VLOOKUP(E67,'Unit List'!$B$9:$E$241,4,0)</f>
        <v>Utility</v>
      </c>
      <c r="C67" s="91" t="s">
        <v>368</v>
      </c>
      <c r="D67" s="356" t="str">
        <f>VLOOKUP(E67,'Unit List'!$B$9:$D$241,3,0)</f>
        <v>DM Water Production</v>
      </c>
      <c r="E67" s="414">
        <v>5110</v>
      </c>
      <c r="F67" s="376" t="s">
        <v>42</v>
      </c>
      <c r="G67" s="375">
        <v>1667141</v>
      </c>
      <c r="H67" s="86">
        <f>VLOOKUP(C67,Settings!$B$148:$D$157,3,FALSE)</f>
        <v>7.5226026361338268E-4</v>
      </c>
      <c r="I67" s="88">
        <f t="shared" si="0"/>
        <v>1254.1239281406783</v>
      </c>
    </row>
    <row r="68" spans="2:9" x14ac:dyDescent="0.25">
      <c r="B68" s="356" t="str">
        <f>VLOOKUP(E68,'Unit List'!$B$9:$E$241,4,0)</f>
        <v>Utility</v>
      </c>
      <c r="C68" s="91" t="s">
        <v>368</v>
      </c>
      <c r="D68" s="356" t="str">
        <f>VLOOKUP(E68,'Unit List'!$B$9:$D$241,3,0)</f>
        <v>Steam Production</v>
      </c>
      <c r="E68" s="414">
        <v>5120</v>
      </c>
      <c r="F68" s="376" t="s">
        <v>42</v>
      </c>
      <c r="G68" s="375">
        <v>49115031</v>
      </c>
      <c r="H68" s="86">
        <f>VLOOKUP(C68,Settings!$B$148:$D$157,3,FALSE)</f>
        <v>7.5226026361338268E-4</v>
      </c>
      <c r="I68" s="88">
        <f t="shared" si="0"/>
        <v>36947.286167439459</v>
      </c>
    </row>
    <row r="69" spans="2:9" x14ac:dyDescent="0.25">
      <c r="B69" s="356" t="str">
        <f>VLOOKUP(E69,'Unit List'!$B$9:$E$241,4,0)</f>
        <v>Utility</v>
      </c>
      <c r="C69" s="91" t="s">
        <v>368</v>
      </c>
      <c r="D69" s="356" t="str">
        <f>VLOOKUP(E69,'Unit List'!$B$9:$D$241,3,0)</f>
        <v>PowerPlant 1</v>
      </c>
      <c r="E69" s="414">
        <v>5130</v>
      </c>
      <c r="F69" s="376" t="s">
        <v>42</v>
      </c>
      <c r="G69" s="375">
        <v>39632607</v>
      </c>
      <c r="H69" s="86">
        <f>VLOOKUP(C69,Settings!$B$148:$D$157,3,FALSE)</f>
        <v>7.5226026361338268E-4</v>
      </c>
      <c r="I69" s="88">
        <f t="shared" si="0"/>
        <v>29814.035389505596</v>
      </c>
    </row>
    <row r="70" spans="2:9" x14ac:dyDescent="0.25">
      <c r="B70" s="356" t="str">
        <f>VLOOKUP(E70,'Unit List'!$B$9:$E$241,4,0)</f>
        <v>Utility</v>
      </c>
      <c r="C70" s="91" t="s">
        <v>368</v>
      </c>
      <c r="D70" s="356" t="str">
        <f>VLOOKUP(E70,'Unit List'!$B$9:$D$241,3,0)</f>
        <v>PowerPlant 2</v>
      </c>
      <c r="E70" s="414">
        <v>5140</v>
      </c>
      <c r="F70" s="376" t="s">
        <v>42</v>
      </c>
      <c r="G70" s="375">
        <v>2037926</v>
      </c>
      <c r="H70" s="86">
        <f>VLOOKUP(C70,Settings!$B$148:$D$157,3,FALSE)</f>
        <v>7.5226026361338268E-4</v>
      </c>
      <c r="I70" s="88">
        <f t="shared" si="0"/>
        <v>1533.0507499845664</v>
      </c>
    </row>
    <row r="71" spans="2:9" x14ac:dyDescent="0.25">
      <c r="B71" s="356" t="str">
        <f>VLOOKUP(E71,'Unit List'!$B$9:$E$241,4,0)</f>
        <v>Utility</v>
      </c>
      <c r="C71" s="91" t="s">
        <v>368</v>
      </c>
      <c r="D71" s="356" t="str">
        <f>VLOOKUP(E71,'Unit List'!$B$9:$D$241,3,0)</f>
        <v>PowerPlant 3</v>
      </c>
      <c r="E71" s="414">
        <v>5150</v>
      </c>
      <c r="F71" s="376" t="s">
        <v>42</v>
      </c>
      <c r="G71" s="375">
        <v>0</v>
      </c>
      <c r="H71" s="86">
        <f>VLOOKUP(C71,Settings!$B$148:$D$157,3,FALSE)</f>
        <v>7.5226026361338268E-4</v>
      </c>
      <c r="I71" s="88">
        <f t="shared" si="0"/>
        <v>0</v>
      </c>
    </row>
    <row r="72" spans="2:9" x14ac:dyDescent="0.25">
      <c r="B72" s="356" t="str">
        <f>VLOOKUP(E72,'Unit List'!$B$9:$E$241,4,0)</f>
        <v>Utility</v>
      </c>
      <c r="C72" s="91" t="s">
        <v>368</v>
      </c>
      <c r="D72" s="356" t="str">
        <f>VLOOKUP(E72,'Unit List'!$B$9:$D$241,3,0)</f>
        <v>Compressed Air Production</v>
      </c>
      <c r="E72" s="414">
        <v>5210</v>
      </c>
      <c r="F72" s="376" t="s">
        <v>42</v>
      </c>
      <c r="G72" s="375">
        <v>112705340</v>
      </c>
      <c r="H72" s="86">
        <f>VLOOKUP(C72,Settings!$B$148:$D$157,3,FALSE)</f>
        <v>7.5226026361338268E-4</v>
      </c>
      <c r="I72" s="88">
        <f t="shared" si="0"/>
        <v>84783.74877903593</v>
      </c>
    </row>
    <row r="73" spans="2:9" x14ac:dyDescent="0.25">
      <c r="B73" s="356" t="str">
        <f>VLOOKUP(E73,'Unit List'!$B$9:$E$241,4,0)</f>
        <v>Utility</v>
      </c>
      <c r="C73" s="91" t="s">
        <v>368</v>
      </c>
      <c r="D73" s="356" t="str">
        <f>VLOOKUP(E73,'Unit List'!$B$9:$D$241,3,0)</f>
        <v>Oxygen &amp; Hydrogen</v>
      </c>
      <c r="E73" s="414">
        <v>5220</v>
      </c>
      <c r="F73" s="376" t="s">
        <v>42</v>
      </c>
      <c r="G73" s="375">
        <v>384231795</v>
      </c>
      <c r="H73" s="86">
        <f>VLOOKUP(C73,Settings!$B$148:$D$157,3,FALSE)</f>
        <v>7.5226026361338268E-4</v>
      </c>
      <c r="I73" s="88">
        <f t="shared" si="0"/>
        <v>289042.31139534322</v>
      </c>
    </row>
    <row r="74" spans="2:9" x14ac:dyDescent="0.25">
      <c r="B74" s="356" t="str">
        <f>VLOOKUP(E74,'Unit List'!$B$9:$E$241,4,0)</f>
        <v>Utility</v>
      </c>
      <c r="C74" s="91" t="s">
        <v>368</v>
      </c>
      <c r="D74" s="356" t="str">
        <f>VLOOKUP(E74,'Unit List'!$B$9:$D$241,3,0)</f>
        <v>Industrial Water Production</v>
      </c>
      <c r="E74" s="414">
        <v>5310</v>
      </c>
      <c r="F74" s="376" t="s">
        <v>42</v>
      </c>
      <c r="G74" s="375">
        <v>22099350</v>
      </c>
      <c r="H74" s="86">
        <f>VLOOKUP(C74,Settings!$B$148:$D$157,3,FALSE)</f>
        <v>7.5226026361338268E-4</v>
      </c>
      <c r="I74" s="88">
        <f t="shared" si="0"/>
        <v>16624.462856684408</v>
      </c>
    </row>
    <row r="75" spans="2:9" x14ac:dyDescent="0.25">
      <c r="B75" s="356" t="str">
        <f>VLOOKUP(E75,'Unit List'!$B$9:$E$241,4,0)</f>
        <v>Utility</v>
      </c>
      <c r="C75" s="91" t="s">
        <v>368</v>
      </c>
      <c r="D75" s="356" t="str">
        <f>VLOOKUP(E75,'Unit List'!$B$9:$D$241,3,0)</f>
        <v>Industrial Water Distribution</v>
      </c>
      <c r="E75" s="414">
        <v>5311</v>
      </c>
      <c r="F75" s="376" t="s">
        <v>42</v>
      </c>
      <c r="G75" s="375">
        <v>7955425</v>
      </c>
      <c r="H75" s="86">
        <f>VLOOKUP(C75,Settings!$B$148:$D$157,3,FALSE)</f>
        <v>7.5226026361338268E-4</v>
      </c>
      <c r="I75" s="88">
        <f t="shared" ref="I75:I104" si="1">H75*G75</f>
        <v>5984.5501076564951</v>
      </c>
    </row>
    <row r="76" spans="2:9" x14ac:dyDescent="0.25">
      <c r="B76" s="356" t="str">
        <f>VLOOKUP(E76,'Unit List'!$B$9:$E$241,4,0)</f>
        <v>Utility</v>
      </c>
      <c r="C76" s="91" t="s">
        <v>368</v>
      </c>
      <c r="D76" s="356" t="str">
        <f>VLOOKUP(E76,'Unit List'!$B$9:$D$241,3,0)</f>
        <v>Drinking Water</v>
      </c>
      <c r="E76" s="414">
        <v>5320</v>
      </c>
      <c r="F76" s="376" t="s">
        <v>42</v>
      </c>
      <c r="G76" s="375">
        <v>2651888</v>
      </c>
      <c r="H76" s="86">
        <f>VLOOKUP(C76,Settings!$B$148:$D$157,3,FALSE)</f>
        <v>7.5226026361338268E-4</v>
      </c>
      <c r="I76" s="88">
        <f t="shared" si="1"/>
        <v>1994.9099659531662</v>
      </c>
    </row>
    <row r="77" spans="2:9" x14ac:dyDescent="0.25">
      <c r="B77" s="356" t="str">
        <f>VLOOKUP(E77,'Unit List'!$B$9:$E$241,4,0)</f>
        <v>Utility</v>
      </c>
      <c r="C77" s="91" t="s">
        <v>368</v>
      </c>
      <c r="D77" s="356" t="str">
        <f>VLOOKUP(E77,'Unit List'!$B$9:$D$241,3,0)</f>
        <v>Water Conditioning</v>
      </c>
      <c r="E77" s="414">
        <v>5330</v>
      </c>
      <c r="F77" s="376" t="s">
        <v>42</v>
      </c>
      <c r="G77" s="375">
        <v>20609614</v>
      </c>
      <c r="H77" s="86">
        <f>VLOOKUP(C77,Settings!$B$148:$D$157,3,FALSE)</f>
        <v>7.5226026361338268E-4</v>
      </c>
      <c r="I77" s="88">
        <f t="shared" si="1"/>
        <v>15503.793660610063</v>
      </c>
    </row>
    <row r="78" spans="2:9" x14ac:dyDescent="0.25">
      <c r="B78" s="356" t="str">
        <f>VLOOKUP(E78,'Unit List'!$B$9:$E$241,4,0)</f>
        <v>Utility</v>
      </c>
      <c r="C78" s="91" t="s">
        <v>368</v>
      </c>
      <c r="D78" s="356" t="str">
        <f>VLOOKUP(E78,'Unit List'!$B$9:$D$241,3,0)</f>
        <v>Water Conditioning</v>
      </c>
      <c r="E78" s="414">
        <v>5335</v>
      </c>
      <c r="F78" s="376" t="s">
        <v>42</v>
      </c>
      <c r="G78" s="375">
        <v>0</v>
      </c>
      <c r="H78" s="86">
        <f>VLOOKUP(C78,Settings!$B$148:$D$157,3,FALSE)</f>
        <v>7.5226026361338268E-4</v>
      </c>
      <c r="I78" s="88">
        <f t="shared" si="1"/>
        <v>0</v>
      </c>
    </row>
    <row r="79" spans="2:9" x14ac:dyDescent="0.25">
      <c r="B79" s="356" t="str">
        <f>VLOOKUP(E79,'Unit List'!$B$9:$E$241,4,0)</f>
        <v>Utility</v>
      </c>
      <c r="C79" s="91" t="s">
        <v>368</v>
      </c>
      <c r="D79" s="356" t="str">
        <f>VLOOKUP(E79,'Unit List'!$B$9:$D$241,3,0)</f>
        <v>Hot Strip Mill Treatment</v>
      </c>
      <c r="E79" s="414">
        <v>5340</v>
      </c>
      <c r="F79" s="376" t="s">
        <v>42</v>
      </c>
      <c r="G79" s="375">
        <v>66351297</v>
      </c>
      <c r="H79" s="86">
        <f>VLOOKUP(C79,Settings!$B$148:$D$157,3,FALSE)</f>
        <v>7.5226026361338268E-4</v>
      </c>
      <c r="I79" s="88">
        <f t="shared" si="1"/>
        <v>49913.44417230985</v>
      </c>
    </row>
    <row r="80" spans="2:9" x14ac:dyDescent="0.25">
      <c r="B80" s="356" t="str">
        <f>VLOOKUP(E80,'Unit List'!$B$9:$E$241,4,0)</f>
        <v>Utility</v>
      </c>
      <c r="C80" s="91" t="s">
        <v>368</v>
      </c>
      <c r="D80" s="356" t="str">
        <f>VLOOKUP(E80,'Unit List'!$B$9:$D$241,3,0)</f>
        <v>Sewage Treatment</v>
      </c>
      <c r="E80" s="414">
        <v>5350</v>
      </c>
      <c r="F80" s="376" t="s">
        <v>42</v>
      </c>
      <c r="G80" s="375">
        <v>1944130</v>
      </c>
      <c r="H80" s="86">
        <f>VLOOKUP(C80,Settings!$B$148:$D$157,3,FALSE)</f>
        <v>7.5226026361338268E-4</v>
      </c>
      <c r="I80" s="88">
        <f t="shared" si="1"/>
        <v>1462.4917462986857</v>
      </c>
    </row>
    <row r="81" spans="2:9" x14ac:dyDescent="0.25">
      <c r="B81" s="356" t="str">
        <f>VLOOKUP(E81,'Unit List'!$B$9:$E$241,4,0)</f>
        <v>Utility</v>
      </c>
      <c r="C81" s="91" t="s">
        <v>368</v>
      </c>
      <c r="D81" s="356" t="str">
        <f>VLOOKUP(E81,'Unit List'!$B$9:$D$241,3,0)</f>
        <v>Emulsion Breaking System</v>
      </c>
      <c r="E81" s="414">
        <v>5360</v>
      </c>
      <c r="F81" s="376" t="s">
        <v>42</v>
      </c>
      <c r="G81" s="375">
        <v>342150</v>
      </c>
      <c r="H81" s="86">
        <f>VLOOKUP(C81,Settings!$B$148:$D$157,3,FALSE)</f>
        <v>7.5226026361338268E-4</v>
      </c>
      <c r="I81" s="88">
        <f t="shared" si="1"/>
        <v>257.38584919531888</v>
      </c>
    </row>
    <row r="82" spans="2:9" x14ac:dyDescent="0.25">
      <c r="B82" s="356" t="str">
        <f>VLOOKUP(E82,'Unit List'!$B$9:$E$241,4,0)</f>
        <v>Utility</v>
      </c>
      <c r="C82" s="91" t="s">
        <v>368</v>
      </c>
      <c r="D82" s="356" t="str">
        <f>VLOOKUP(E82,'Unit List'!$B$9:$D$241,3,0)</f>
        <v>Water Production (PU:55)</v>
      </c>
      <c r="E82" s="414">
        <v>5361</v>
      </c>
      <c r="F82" s="376" t="s">
        <v>42</v>
      </c>
      <c r="G82" s="375">
        <v>4000</v>
      </c>
      <c r="H82" s="86">
        <f>VLOOKUP(C82,Settings!$B$148:$D$157,3,FALSE)</f>
        <v>7.5226026361338268E-4</v>
      </c>
      <c r="I82" s="88">
        <f t="shared" si="1"/>
        <v>3.0090410544535309</v>
      </c>
    </row>
    <row r="83" spans="2:9" x14ac:dyDescent="0.25">
      <c r="B83" s="356" t="str">
        <f>VLOOKUP(E83,'Unit List'!$B$9:$E$241,4,0)</f>
        <v>Utility</v>
      </c>
      <c r="C83" s="91" t="s">
        <v>368</v>
      </c>
      <c r="D83" s="356" t="str">
        <f>VLOOKUP(E83,'Unit List'!$B$9:$D$241,3,0)</f>
        <v>Steam Production (PU:55)</v>
      </c>
      <c r="E83" s="414">
        <v>5362</v>
      </c>
      <c r="F83" s="376" t="s">
        <v>42</v>
      </c>
      <c r="G83" s="375">
        <v>8000</v>
      </c>
      <c r="H83" s="86">
        <f>VLOOKUP(C83,Settings!$B$148:$D$157,3,FALSE)</f>
        <v>7.5226026361338268E-4</v>
      </c>
      <c r="I83" s="88">
        <f t="shared" si="1"/>
        <v>6.0180821089070617</v>
      </c>
    </row>
    <row r="84" spans="2:9" x14ac:dyDescent="0.25">
      <c r="B84" s="356" t="str">
        <f>VLOOKUP(E84,'Unit List'!$B$9:$E$241,4,0)</f>
        <v>Utility</v>
      </c>
      <c r="C84" s="91" t="s">
        <v>368</v>
      </c>
      <c r="D84" s="356" t="str">
        <f>VLOOKUP(E84,'Unit List'!$B$9:$D$241,3,0)</f>
        <v>Cold Roll Mill Treatment</v>
      </c>
      <c r="E84" s="414">
        <v>5363</v>
      </c>
      <c r="F84" s="376" t="s">
        <v>42</v>
      </c>
      <c r="G84" s="375">
        <v>9605244</v>
      </c>
      <c r="H84" s="86">
        <f>VLOOKUP(C84,Settings!$B$148:$D$157,3,FALSE)</f>
        <v>7.5226026361338268E-4</v>
      </c>
      <c r="I84" s="88">
        <f t="shared" si="1"/>
        <v>7225.6433835108619</v>
      </c>
    </row>
    <row r="85" spans="2:9" x14ac:dyDescent="0.25">
      <c r="B85" s="356" t="str">
        <f>VLOOKUP(E85,'Unit List'!$B$9:$E$241,4,0)</f>
        <v>Utility</v>
      </c>
      <c r="C85" s="91" t="s">
        <v>368</v>
      </c>
      <c r="D85" s="356" t="str">
        <f>VLOOKUP(E85,'Unit List'!$B$9:$D$241,3,0)</f>
        <v>RO1</v>
      </c>
      <c r="E85" s="414">
        <v>5364</v>
      </c>
      <c r="F85" s="376" t="s">
        <v>42</v>
      </c>
      <c r="G85" s="375">
        <v>955775</v>
      </c>
      <c r="H85" s="86">
        <f>VLOOKUP(C85,Settings!$B$148:$D$157,3,FALSE)</f>
        <v>7.5226026361338268E-4</v>
      </c>
      <c r="I85" s="88">
        <f t="shared" si="1"/>
        <v>718.99155345508086</v>
      </c>
    </row>
    <row r="86" spans="2:9" x14ac:dyDescent="0.25">
      <c r="B86" s="356" t="str">
        <f>VLOOKUP(E86,'Unit List'!$B$9:$E$241,4,0)</f>
        <v>Utility</v>
      </c>
      <c r="C86" s="91" t="s">
        <v>368</v>
      </c>
      <c r="D86" s="356" t="str">
        <f>VLOOKUP(E86,'Unit List'!$B$9:$D$241,3,0)</f>
        <v>RO2</v>
      </c>
      <c r="E86" s="414">
        <v>5365</v>
      </c>
      <c r="F86" s="376" t="s">
        <v>42</v>
      </c>
      <c r="G86" s="375">
        <v>855203</v>
      </c>
      <c r="H86" s="86">
        <f>VLOOKUP(C86,Settings!$B$148:$D$157,3,FALSE)</f>
        <v>7.5226026361338268E-4</v>
      </c>
      <c r="I86" s="88">
        <f t="shared" si="1"/>
        <v>643.33523422295571</v>
      </c>
    </row>
    <row r="87" spans="2:9" x14ac:dyDescent="0.25">
      <c r="B87" s="356" t="str">
        <f>VLOOKUP(E87,'Unit List'!$B$9:$E$241,4,0)</f>
        <v>Utility</v>
      </c>
      <c r="C87" s="91" t="s">
        <v>368</v>
      </c>
      <c r="D87" s="356" t="str">
        <f>VLOOKUP(E87,'Unit List'!$B$9:$D$241,3,0)</f>
        <v>Chemical Infusion</v>
      </c>
      <c r="E87" s="414">
        <v>5366</v>
      </c>
      <c r="F87" s="376" t="s">
        <v>42</v>
      </c>
      <c r="G87" s="375">
        <v>1341386</v>
      </c>
      <c r="H87" s="86">
        <f>VLOOKUP(C87,Settings!$B$148:$D$157,3,FALSE)</f>
        <v>7.5226026361338268E-4</v>
      </c>
      <c r="I87" s="88">
        <f t="shared" si="1"/>
        <v>1009.0713859673009</v>
      </c>
    </row>
    <row r="88" spans="2:9" x14ac:dyDescent="0.25">
      <c r="B88" s="356" t="str">
        <f>VLOOKUP(E88,'Unit List'!$B$9:$E$241,4,0)</f>
        <v>Utility</v>
      </c>
      <c r="C88" s="91" t="s">
        <v>368</v>
      </c>
      <c r="D88" s="356" t="str">
        <f>VLOOKUP(E88,'Unit List'!$B$9:$D$241,3,0)</f>
        <v>Sewage System</v>
      </c>
      <c r="E88" s="414">
        <v>5415</v>
      </c>
      <c r="F88" s="376" t="s">
        <v>42</v>
      </c>
      <c r="G88" s="375">
        <v>0</v>
      </c>
      <c r="H88" s="86">
        <f>VLOOKUP(C88,Settings!$B$148:$D$157,3,FALSE)</f>
        <v>7.5226026361338268E-4</v>
      </c>
      <c r="I88" s="88">
        <f t="shared" si="1"/>
        <v>0</v>
      </c>
    </row>
    <row r="89" spans="2:9" x14ac:dyDescent="0.25">
      <c r="B89" s="356" t="str">
        <f>VLOOKUP(E89,'Unit List'!$B$9:$E$241,4,0)</f>
        <v>Utility</v>
      </c>
      <c r="C89" s="91" t="s">
        <v>368</v>
      </c>
      <c r="D89" s="356" t="str">
        <f>VLOOKUP(E89,'Unit List'!$B$9:$D$241,3,0)</f>
        <v>Electricity Distribution</v>
      </c>
      <c r="E89" s="414">
        <v>5430</v>
      </c>
      <c r="F89" s="376" t="s">
        <v>42</v>
      </c>
      <c r="G89" s="375">
        <v>18792480</v>
      </c>
      <c r="H89" s="86">
        <f>VLOOKUP(C89,Settings!$B$148:$D$157,3,FALSE)</f>
        <v>7.5226026361338268E-4</v>
      </c>
      <c r="I89" s="88">
        <f t="shared" si="1"/>
        <v>14136.835958749221</v>
      </c>
    </row>
    <row r="90" spans="2:9" x14ac:dyDescent="0.25">
      <c r="B90" s="356" t="str">
        <f>VLOOKUP(E90,'Unit List'!$B$9:$E$241,4,0)</f>
        <v>Maintenance</v>
      </c>
      <c r="C90" s="91" t="s">
        <v>368</v>
      </c>
      <c r="D90" s="356" t="str">
        <f>VLOOKUP(E90,'Unit List'!$B$9:$D$241,3,0)</f>
        <v>-</v>
      </c>
      <c r="E90" s="414">
        <v>7301</v>
      </c>
      <c r="F90" s="376" t="s">
        <v>42</v>
      </c>
      <c r="G90" s="375">
        <v>214247.15000000002</v>
      </c>
      <c r="H90" s="86">
        <f>VLOOKUP(C90,Settings!$B$148:$D$157,3,FALSE)</f>
        <v>7.5226026361338268E-4</v>
      </c>
      <c r="I90" s="88">
        <f t="shared" si="1"/>
        <v>161.16961753741595</v>
      </c>
    </row>
    <row r="91" spans="2:9" x14ac:dyDescent="0.25">
      <c r="B91" s="356" t="str">
        <f>VLOOKUP(E91,'Unit List'!$B$9:$E$241,4,0)</f>
        <v>Maintenance</v>
      </c>
      <c r="C91" s="91" t="s">
        <v>368</v>
      </c>
      <c r="D91" s="356" t="str">
        <f>VLOOKUP(E91,'Unit List'!$B$9:$D$241,3,0)</f>
        <v>-</v>
      </c>
      <c r="E91" s="414">
        <v>7310</v>
      </c>
      <c r="F91" s="376" t="s">
        <v>42</v>
      </c>
      <c r="G91" s="375">
        <v>428494.30000000005</v>
      </c>
      <c r="H91" s="86">
        <f>VLOOKUP(C91,Settings!$B$148:$D$157,3,FALSE)</f>
        <v>7.5226026361338268E-4</v>
      </c>
      <c r="I91" s="88">
        <f t="shared" si="1"/>
        <v>322.33923507483189</v>
      </c>
    </row>
    <row r="92" spans="2:9" x14ac:dyDescent="0.25">
      <c r="B92" s="356" t="str">
        <f>VLOOKUP(E92,'Unit List'!$B$9:$E$241,4,0)</f>
        <v>Maintenance</v>
      </c>
      <c r="C92" s="91" t="s">
        <v>368</v>
      </c>
      <c r="D92" s="356" t="str">
        <f>VLOOKUP(E92,'Unit List'!$B$9:$D$241,3,0)</f>
        <v>-</v>
      </c>
      <c r="E92" s="414">
        <v>7330</v>
      </c>
      <c r="F92" s="376" t="s">
        <v>42</v>
      </c>
      <c r="G92" s="375">
        <v>856988.60000000009</v>
      </c>
      <c r="H92" s="86">
        <f>VLOOKUP(C92,Settings!$B$148:$D$157,3,FALSE)</f>
        <v>7.5226026361338268E-4</v>
      </c>
      <c r="I92" s="88">
        <f t="shared" si="1"/>
        <v>644.67847014966378</v>
      </c>
    </row>
    <row r="93" spans="2:9" x14ac:dyDescent="0.25">
      <c r="B93" s="356" t="str">
        <f>VLOOKUP(E93,'Unit List'!$B$9:$E$241,4,0)</f>
        <v>Maintenance</v>
      </c>
      <c r="C93" s="91" t="s">
        <v>368</v>
      </c>
      <c r="D93" s="356" t="str">
        <f>VLOOKUP(E93,'Unit List'!$B$9:$D$241,3,0)</f>
        <v>-</v>
      </c>
      <c r="E93" s="414">
        <v>7340</v>
      </c>
      <c r="F93" s="376" t="s">
        <v>42</v>
      </c>
      <c r="G93" s="637">
        <v>1499730.05</v>
      </c>
      <c r="H93" s="86">
        <f>VLOOKUP(C93,Settings!$B$148:$D$157,3,FALSE)</f>
        <v>7.5226026361338268E-4</v>
      </c>
      <c r="I93" s="88">
        <f t="shared" si="1"/>
        <v>1128.1873227619117</v>
      </c>
    </row>
    <row r="94" spans="2:9" x14ac:dyDescent="0.25">
      <c r="B94" s="356" t="str">
        <f>VLOOKUP(E94,'Unit List'!$B$9:$E$241,4,0)</f>
        <v>Maintenance</v>
      </c>
      <c r="C94" s="91" t="s">
        <v>368</v>
      </c>
      <c r="D94" s="356" t="str">
        <f>VLOOKUP(E94,'Unit List'!$B$9:$D$241,3,0)</f>
        <v>-</v>
      </c>
      <c r="E94" s="414">
        <v>7360</v>
      </c>
      <c r="F94" s="376">
        <v>54110</v>
      </c>
      <c r="G94" s="637">
        <v>1285482.9000000001</v>
      </c>
      <c r="H94" s="86">
        <f>VLOOKUP(C94,Settings!$B$148:$D$157,3,FALSE)</f>
        <v>7.5226026361338268E-4</v>
      </c>
      <c r="I94" s="88">
        <f t="shared" si="1"/>
        <v>967.01770522449578</v>
      </c>
    </row>
    <row r="95" spans="2:9" x14ac:dyDescent="0.25">
      <c r="B95" s="356" t="str">
        <f>VLOOKUP(E95,'Unit List'!$B$9:$E$241,4,0)</f>
        <v>TAS</v>
      </c>
      <c r="C95" s="91" t="s">
        <v>368</v>
      </c>
      <c r="D95" s="356" t="str">
        <f>VLOOKUP(E95,'Unit List'!$B$9:$D$241,3,0)</f>
        <v>-</v>
      </c>
      <c r="E95" s="414">
        <v>9595</v>
      </c>
      <c r="F95" s="376">
        <v>54110</v>
      </c>
      <c r="G95" s="637">
        <v>2668971</v>
      </c>
      <c r="H95" s="86">
        <f>VLOOKUP(C95,Settings!$B$148:$D$157,3,FALSE)</f>
        <v>7.5226026361338268E-4</v>
      </c>
      <c r="I95" s="88">
        <f t="shared" si="1"/>
        <v>2007.7608280364736</v>
      </c>
    </row>
    <row r="96" spans="2:9" x14ac:dyDescent="0.25">
      <c r="B96" s="356" t="str">
        <f>VLOOKUP(E96,'Unit List'!$B$9:$E$241,4,0)</f>
        <v>Steel Making</v>
      </c>
      <c r="C96" s="91" t="s">
        <v>368</v>
      </c>
      <c r="D96" s="356" t="str">
        <f>VLOOKUP(E96,'Unit List'!$B$9:$D$241,3,0)</f>
        <v>EAFs</v>
      </c>
      <c r="E96" s="414">
        <v>2210</v>
      </c>
      <c r="F96" s="376">
        <v>23140</v>
      </c>
      <c r="G96" s="637">
        <v>4667188901</v>
      </c>
      <c r="H96" s="86">
        <f>VLOOKUP(C96,Settings!$B$148:$D$157,3,FALSE)</f>
        <v>7.5226026361338268E-4</v>
      </c>
      <c r="I96" s="88">
        <f t="shared" si="1"/>
        <v>3510940.7529997136</v>
      </c>
    </row>
    <row r="97" spans="2:9" x14ac:dyDescent="0.25">
      <c r="B97" s="356" t="str">
        <f>VLOOKUP(E97,'Unit List'!$B$9:$E$241,4,0)</f>
        <v>Steel Making</v>
      </c>
      <c r="C97" s="91" t="s">
        <v>368</v>
      </c>
      <c r="D97" s="356" t="str">
        <f>VLOOKUP(E97,'Unit List'!$B$9:$D$241,3,0)</f>
        <v>Laddle Furnaces</v>
      </c>
      <c r="E97" s="414">
        <v>2240</v>
      </c>
      <c r="F97" s="376">
        <v>23140</v>
      </c>
      <c r="G97" s="637">
        <v>149846198</v>
      </c>
      <c r="H97" s="86">
        <f>VLOOKUP(C97,Settings!$B$148:$D$157,3,FALSE)</f>
        <v>7.5226026361338268E-4</v>
      </c>
      <c r="I97" s="88">
        <f t="shared" si="1"/>
        <v>112723.34040894314</v>
      </c>
    </row>
    <row r="98" spans="2:9" x14ac:dyDescent="0.25">
      <c r="B98" s="356" t="e">
        <f>VLOOKUP(E98,'Unit List'!$B$9:$E$241,4,0)</f>
        <v>#N/A</v>
      </c>
      <c r="C98" s="91" t="s">
        <v>368</v>
      </c>
      <c r="D98" s="356" t="e">
        <f>VLOOKUP(E98,'Unit List'!$B$9:$D$241,3,0)</f>
        <v>#N/A</v>
      </c>
      <c r="E98" s="414"/>
      <c r="F98" s="376"/>
      <c r="G98" s="637"/>
      <c r="H98" s="86">
        <f>VLOOKUP(C98,Settings!$B$148:$D$157,3,FALSE)</f>
        <v>7.5226026361338268E-4</v>
      </c>
      <c r="I98" s="88">
        <f t="shared" si="1"/>
        <v>0</v>
      </c>
    </row>
    <row r="99" spans="2:9" x14ac:dyDescent="0.25">
      <c r="B99" s="356" t="e">
        <f>VLOOKUP(E99,'Unit List'!$B$9:$E$241,4,0)</f>
        <v>#N/A</v>
      </c>
      <c r="C99" s="91" t="s">
        <v>368</v>
      </c>
      <c r="D99" s="356" t="e">
        <f>VLOOKUP(E99,'Unit List'!$B$9:$D$241,3,0)</f>
        <v>#N/A</v>
      </c>
      <c r="E99" s="414"/>
      <c r="F99" s="376"/>
      <c r="G99" s="637"/>
      <c r="H99" s="86">
        <f>VLOOKUP(C99,Settings!$B$148:$D$157,3,FALSE)</f>
        <v>7.5226026361338268E-4</v>
      </c>
      <c r="I99" s="88">
        <f t="shared" si="1"/>
        <v>0</v>
      </c>
    </row>
    <row r="100" spans="2:9" x14ac:dyDescent="0.25">
      <c r="B100" s="356" t="e">
        <f>VLOOKUP(E100,'Unit List'!$B$9:$E$241,4,0)</f>
        <v>#N/A</v>
      </c>
      <c r="C100" s="91" t="s">
        <v>368</v>
      </c>
      <c r="D100" s="356" t="e">
        <f>VLOOKUP(E100,'Unit List'!$B$9:$D$241,3,0)</f>
        <v>#N/A</v>
      </c>
      <c r="E100" s="414"/>
      <c r="F100" s="376"/>
      <c r="G100" s="637"/>
      <c r="H100" s="86">
        <f>VLOOKUP(C100,Settings!$B$148:$D$157,3,FALSE)</f>
        <v>7.5226026361338268E-4</v>
      </c>
      <c r="I100" s="88">
        <f t="shared" si="1"/>
        <v>0</v>
      </c>
    </row>
    <row r="101" spans="2:9" x14ac:dyDescent="0.25">
      <c r="B101" s="356" t="e">
        <f>VLOOKUP(E101,'Unit List'!$B$9:$E$241,4,0)</f>
        <v>#N/A</v>
      </c>
      <c r="C101" s="91" t="s">
        <v>368</v>
      </c>
      <c r="D101" s="356" t="e">
        <f>VLOOKUP(E101,'Unit List'!$B$9:$D$241,3,0)</f>
        <v>#N/A</v>
      </c>
      <c r="E101" s="414"/>
      <c r="F101" s="376"/>
      <c r="G101" s="375"/>
      <c r="H101" s="86">
        <f>VLOOKUP(C101,Settings!$B$148:$D$157,3,FALSE)</f>
        <v>7.5226026361338268E-4</v>
      </c>
      <c r="I101" s="88">
        <f t="shared" si="1"/>
        <v>0</v>
      </c>
    </row>
    <row r="102" spans="2:9" x14ac:dyDescent="0.25">
      <c r="B102" s="356" t="e">
        <f>VLOOKUP(E102,'Unit List'!$B$9:$E$241,4,0)</f>
        <v>#N/A</v>
      </c>
      <c r="C102" s="91" t="s">
        <v>368</v>
      </c>
      <c r="D102" s="356" t="e">
        <f>VLOOKUP(E102,'Unit List'!$B$9:$D$241,3,0)</f>
        <v>#N/A</v>
      </c>
      <c r="E102" s="414"/>
      <c r="F102" s="376"/>
      <c r="G102" s="375"/>
      <c r="H102" s="86">
        <f>VLOOKUP(C102,Settings!$B$148:$D$157,3,FALSE)</f>
        <v>7.5226026361338268E-4</v>
      </c>
      <c r="I102" s="88">
        <f t="shared" si="1"/>
        <v>0</v>
      </c>
    </row>
    <row r="103" spans="2:9" x14ac:dyDescent="0.25">
      <c r="B103" s="356" t="e">
        <f>VLOOKUP(E103,'Unit List'!$B$9:$E$241,4,0)</f>
        <v>#N/A</v>
      </c>
      <c r="C103" s="91" t="s">
        <v>368</v>
      </c>
      <c r="D103" s="356" t="e">
        <f>VLOOKUP(E103,'Unit List'!$B$9:$D$241,3,0)</f>
        <v>#N/A</v>
      </c>
      <c r="E103" s="414"/>
      <c r="F103" s="733"/>
      <c r="G103" s="375"/>
      <c r="H103" s="86">
        <f>VLOOKUP(C103,Settings!$B$148:$D$157,3,FALSE)</f>
        <v>7.5226026361338268E-4</v>
      </c>
      <c r="I103" s="88">
        <f t="shared" si="1"/>
        <v>0</v>
      </c>
    </row>
    <row r="104" spans="2:9" x14ac:dyDescent="0.25">
      <c r="B104" s="356" t="e">
        <f>VLOOKUP(E104,'Unit List'!$B$9:$E$241,4,0)</f>
        <v>#N/A</v>
      </c>
      <c r="C104" s="91" t="s">
        <v>368</v>
      </c>
      <c r="D104" s="356" t="e">
        <f>VLOOKUP(E104,'Unit List'!$B$9:$D$241,3,0)</f>
        <v>#N/A</v>
      </c>
      <c r="E104" s="414"/>
      <c r="F104" s="733"/>
      <c r="G104" s="375"/>
      <c r="H104" s="86">
        <f>VLOOKUP(C104,Settings!$B$148:$D$157,3,FALSE)</f>
        <v>7.5226026361338268E-4</v>
      </c>
      <c r="I104" s="88">
        <f t="shared" si="1"/>
        <v>0</v>
      </c>
    </row>
    <row r="105" spans="2:9" ht="30" customHeight="1" x14ac:dyDescent="0.25">
      <c r="B105" s="355" t="s">
        <v>410</v>
      </c>
      <c r="C105" s="378"/>
      <c r="D105" s="378"/>
      <c r="E105" s="378"/>
      <c r="F105" s="378"/>
      <c r="G105" s="378"/>
      <c r="H105" s="378"/>
      <c r="I105" s="394">
        <f>_xlfn.AGGREGATE(9,6,I10:I104)</f>
        <v>5751848.0578937884</v>
      </c>
    </row>
  </sheetData>
  <protectedRanges>
    <protectedRange sqref="E10:G104" name="Range1"/>
  </protectedRanges>
  <mergeCells count="6">
    <mergeCell ref="G8:G9"/>
    <mergeCell ref="F8:F9"/>
    <mergeCell ref="B8:B9"/>
    <mergeCell ref="C8:C9"/>
    <mergeCell ref="D8:D9"/>
    <mergeCell ref="E8:E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97E14A23-D954-4A71-8845-C173E4267E6A}">
          <x14:formula1>
            <xm:f>Settings!$B$148:$B$157</xm:f>
          </x14:formula1>
          <xm:sqref>C10:C104</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8B660-A4A1-46D0-81FD-0BD83BDCA36E}">
  <dimension ref="B3:I30"/>
  <sheetViews>
    <sheetView rightToLeft="1" zoomScale="85" zoomScaleNormal="85" workbookViewId="0">
      <selection activeCell="L16" sqref="L16:L17"/>
    </sheetView>
  </sheetViews>
  <sheetFormatPr defaultColWidth="9.09765625" defaultRowHeight="16.2" x14ac:dyDescent="0.25"/>
  <cols>
    <col min="1" max="1" width="12.09765625" style="3" customWidth="1"/>
    <col min="2" max="2" width="13.796875" style="3" customWidth="1"/>
    <col min="3" max="3" width="19.8984375" style="3" customWidth="1"/>
    <col min="4" max="4" width="33.59765625" style="3" customWidth="1"/>
    <col min="5" max="6" width="12.796875" style="3" customWidth="1"/>
    <col min="7" max="7" width="17.3984375"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51</v>
      </c>
      <c r="C7" s="381"/>
      <c r="D7" s="381"/>
      <c r="E7" s="381"/>
      <c r="F7" s="381"/>
      <c r="G7" s="381"/>
      <c r="H7" s="381"/>
      <c r="I7" s="381"/>
    </row>
    <row r="8" spans="2:9" s="80" customFormat="1" ht="29.4" customHeight="1" x14ac:dyDescent="0.25">
      <c r="B8" s="1013" t="s">
        <v>335</v>
      </c>
      <c r="C8" s="1014" t="s">
        <v>1152</v>
      </c>
      <c r="D8" s="1013" t="s">
        <v>411</v>
      </c>
      <c r="E8" s="1014" t="s">
        <v>398</v>
      </c>
      <c r="F8" s="1013" t="s">
        <v>400</v>
      </c>
      <c r="G8" s="1014" t="s">
        <v>526</v>
      </c>
      <c r="H8" s="374" t="s">
        <v>405</v>
      </c>
      <c r="I8" s="374" t="s">
        <v>406</v>
      </c>
    </row>
    <row r="9" spans="2:9" s="80" customFormat="1" ht="17.25" customHeight="1" x14ac:dyDescent="0.25">
      <c r="B9" s="1013"/>
      <c r="C9" s="1008"/>
      <c r="D9" s="1013"/>
      <c r="E9" s="1008"/>
      <c r="F9" s="1013"/>
      <c r="G9" s="1008"/>
      <c r="H9" s="374" t="s">
        <v>270</v>
      </c>
      <c r="I9" s="374" t="s">
        <v>222</v>
      </c>
    </row>
    <row r="10" spans="2:9" ht="17.25" customHeight="1" x14ac:dyDescent="0.25">
      <c r="B10" s="356" t="str">
        <f>VLOOKUP(E10,'Unit List'!$B$9:$E$241,4,0)</f>
        <v>Steel Making</v>
      </c>
      <c r="C10" s="414" t="s">
        <v>458</v>
      </c>
      <c r="D10" s="356" t="str">
        <f>VLOOKUP(E10,'Unit List'!$B$9:$D$241,3,0)</f>
        <v>De-gassing</v>
      </c>
      <c r="E10" s="414">
        <v>2220</v>
      </c>
      <c r="F10" s="376" t="s">
        <v>151</v>
      </c>
      <c r="G10" s="375">
        <v>41542</v>
      </c>
      <c r="H10" s="87">
        <f>VLOOKUP(C10,Settings!B$148:D$157,3,FALSE)</f>
        <v>0.15762189674642696</v>
      </c>
      <c r="I10" s="65">
        <f t="shared" ref="I10:I29" si="0">G10*H10</f>
        <v>6547.928834640069</v>
      </c>
    </row>
    <row r="11" spans="2:9" ht="17.25" customHeight="1" x14ac:dyDescent="0.25">
      <c r="B11" s="356" t="str">
        <f>VLOOKUP(E11,'Unit List'!$B$9:$E$241,4,0)</f>
        <v>Cold Rolling</v>
      </c>
      <c r="C11" s="414" t="s">
        <v>459</v>
      </c>
      <c r="D11" s="356" t="str">
        <f>VLOOKUP(E11,'Unit List'!$B$9:$D$241,3,0)</f>
        <v>Pickling Line 1,2</v>
      </c>
      <c r="E11" s="414">
        <v>4220</v>
      </c>
      <c r="F11" s="376" t="s">
        <v>159</v>
      </c>
      <c r="G11" s="375">
        <v>42522.675000000003</v>
      </c>
      <c r="H11" s="87">
        <f>VLOOKUP(C11,Settings!B$148:D$157,3,FALSE)</f>
        <v>0.2</v>
      </c>
      <c r="I11" s="65">
        <f t="shared" si="0"/>
        <v>8504.5350000000017</v>
      </c>
    </row>
    <row r="12" spans="2:9" ht="17.25" customHeight="1" x14ac:dyDescent="0.25">
      <c r="B12" s="356" t="str">
        <f>VLOOKUP(E12,'Unit List'!$B$9:$E$241,4,0)</f>
        <v>Cold Rolling</v>
      </c>
      <c r="C12" s="414" t="s">
        <v>459</v>
      </c>
      <c r="D12" s="356" t="str">
        <f>VLOOKUP(E12,'Unit List'!$B$9:$D$241,3,0)</f>
        <v>Pickling Line 1,2</v>
      </c>
      <c r="E12" s="414">
        <v>4225</v>
      </c>
      <c r="F12" s="376" t="s">
        <v>159</v>
      </c>
      <c r="G12" s="375">
        <v>31706.003000000001</v>
      </c>
      <c r="H12" s="87">
        <f>VLOOKUP(C12,Settings!B$148:D$157,3,FALSE)</f>
        <v>0.2</v>
      </c>
      <c r="I12" s="65">
        <f t="shared" si="0"/>
        <v>6341.2006000000001</v>
      </c>
    </row>
    <row r="13" spans="2:9" x14ac:dyDescent="0.25">
      <c r="B13" s="356" t="str">
        <f>VLOOKUP(E13,'Unit List'!$B$9:$E$241,4,0)</f>
        <v>Cold Rolling</v>
      </c>
      <c r="C13" s="414" t="s">
        <v>459</v>
      </c>
      <c r="D13" s="356" t="str">
        <f>VLOOKUP(E13,'Unit List'!$B$9:$D$241,3,0)</f>
        <v>Tandem Mill</v>
      </c>
      <c r="E13" s="414">
        <v>4310</v>
      </c>
      <c r="F13" s="376" t="s">
        <v>159</v>
      </c>
      <c r="G13" s="375">
        <v>19935.485000000001</v>
      </c>
      <c r="H13" s="87">
        <f>VLOOKUP(C13,Settings!B$148:D$157,3,FALSE)</f>
        <v>0.2</v>
      </c>
      <c r="I13" s="65">
        <f t="shared" si="0"/>
        <v>3987.0970000000002</v>
      </c>
    </row>
    <row r="14" spans="2:9" x14ac:dyDescent="0.25">
      <c r="B14" s="356" t="str">
        <f>VLOOKUP(E14,'Unit List'!$B$9:$E$241,4,0)</f>
        <v>Cold Rolling</v>
      </c>
      <c r="C14" s="414" t="s">
        <v>459</v>
      </c>
      <c r="D14" s="356" t="str">
        <f>VLOOKUP(E14,'Unit List'!$B$9:$D$241,3,0)</f>
        <v>Two Stand Reversible Mill</v>
      </c>
      <c r="E14" s="414">
        <v>4315</v>
      </c>
      <c r="F14" s="376" t="s">
        <v>159</v>
      </c>
      <c r="G14" s="375">
        <v>4464.0210000000006</v>
      </c>
      <c r="H14" s="87">
        <f>VLOOKUP(C14,Settings!B$148:D$157,3,FALSE)</f>
        <v>0.2</v>
      </c>
      <c r="I14" s="65">
        <f t="shared" si="0"/>
        <v>892.80420000000015</v>
      </c>
    </row>
    <row r="15" spans="2:9" x14ac:dyDescent="0.25">
      <c r="B15" s="356" t="str">
        <f>VLOOKUP(E15,'Unit List'!$B$9:$E$241,4,0)</f>
        <v>Cold Rolling</v>
      </c>
      <c r="C15" s="414" t="s">
        <v>459</v>
      </c>
      <c r="D15" s="356" t="str">
        <f>VLOOKUP(E15,'Unit List'!$B$9:$D$241,3,0)</f>
        <v>Electrolytic Cleaning Line</v>
      </c>
      <c r="E15" s="414">
        <v>4405</v>
      </c>
      <c r="F15" s="376" t="s">
        <v>159</v>
      </c>
      <c r="G15" s="375">
        <v>55342.430999999997</v>
      </c>
      <c r="H15" s="87">
        <f>VLOOKUP(C15,Settings!B$148:D$157,3,FALSE)</f>
        <v>0.2</v>
      </c>
      <c r="I15" s="65">
        <f t="shared" si="0"/>
        <v>11068.486199999999</v>
      </c>
    </row>
    <row r="16" spans="2:9" x14ac:dyDescent="0.25">
      <c r="B16" s="356" t="str">
        <f>VLOOKUP(E16,'Unit List'!$B$9:$E$241,4,0)</f>
        <v>Cold Rolling</v>
      </c>
      <c r="C16" s="414" t="s">
        <v>459</v>
      </c>
      <c r="D16" s="356" t="str">
        <f>VLOOKUP(E16,'Unit List'!$B$9:$D$241,3,0)</f>
        <v>Temper Mill</v>
      </c>
      <c r="E16" s="414">
        <v>4520</v>
      </c>
      <c r="F16" s="376" t="s">
        <v>159</v>
      </c>
      <c r="G16" s="375">
        <v>2098.4700000000003</v>
      </c>
      <c r="H16" s="87">
        <f>VLOOKUP(C16,Settings!B$148:D$157,3,FALSE)</f>
        <v>0.2</v>
      </c>
      <c r="I16" s="65">
        <f t="shared" si="0"/>
        <v>419.69400000000007</v>
      </c>
    </row>
    <row r="17" spans="2:9" x14ac:dyDescent="0.25">
      <c r="B17" s="356" t="str">
        <f>VLOOKUP(E17,'Unit List'!$B$9:$E$241,4,0)</f>
        <v>Cold Rolling</v>
      </c>
      <c r="C17" s="414" t="s">
        <v>459</v>
      </c>
      <c r="D17" s="356" t="str">
        <f>VLOOKUP(E17,'Unit List'!$B$9:$D$241,3,0)</f>
        <v>Tinning Line</v>
      </c>
      <c r="E17" s="414">
        <v>4710</v>
      </c>
      <c r="F17" s="376" t="s">
        <v>159</v>
      </c>
      <c r="G17" s="375">
        <v>34701.098000000005</v>
      </c>
      <c r="H17" s="87">
        <f>VLOOKUP(C17,Settings!B$148:D$157,3,FALSE)</f>
        <v>0.2</v>
      </c>
      <c r="I17" s="65">
        <f t="shared" si="0"/>
        <v>6940.2196000000013</v>
      </c>
    </row>
    <row r="18" spans="2:9" x14ac:dyDescent="0.25">
      <c r="B18" s="356" t="str">
        <f>VLOOKUP(E18,'Unit List'!$B$9:$E$241,4,0)</f>
        <v>Cold Rolling</v>
      </c>
      <c r="C18" s="414" t="s">
        <v>459</v>
      </c>
      <c r="D18" s="356" t="str">
        <f>VLOOKUP(E18,'Unit List'!$B$9:$D$241,3,0)</f>
        <v>Galvanizing Line</v>
      </c>
      <c r="E18" s="414">
        <v>4810</v>
      </c>
      <c r="F18" s="376" t="s">
        <v>159</v>
      </c>
      <c r="G18" s="375">
        <v>0</v>
      </c>
      <c r="H18" s="87">
        <f>VLOOKUP(C18,Settings!B$148:D$157,3,FALSE)</f>
        <v>0.2</v>
      </c>
      <c r="I18" s="65">
        <f t="shared" si="0"/>
        <v>0</v>
      </c>
    </row>
    <row r="19" spans="2:9" x14ac:dyDescent="0.25">
      <c r="B19" s="356" t="str">
        <f>VLOOKUP(E19,'Unit List'!$B$9:$E$241,4,0)</f>
        <v>Cold Rolling</v>
      </c>
      <c r="C19" s="414" t="s">
        <v>459</v>
      </c>
      <c r="D19" s="356" t="str">
        <f>VLOOKUP(E19,'Unit List'!$B$9:$D$241,3,0)</f>
        <v>Coating Line</v>
      </c>
      <c r="E19" s="414">
        <v>4820</v>
      </c>
      <c r="F19" s="376" t="s">
        <v>159</v>
      </c>
      <c r="G19" s="375">
        <v>76440</v>
      </c>
      <c r="H19" s="87">
        <f>VLOOKUP(C19,Settings!B$148:D$157,3,FALSE)</f>
        <v>0.2</v>
      </c>
      <c r="I19" s="65">
        <f t="shared" si="0"/>
        <v>15288</v>
      </c>
    </row>
    <row r="20" spans="2:9" x14ac:dyDescent="0.25">
      <c r="B20" s="356" t="str">
        <f>VLOOKUP(E20,'Unit List'!$B$9:$E$241,4,0)</f>
        <v>Utility</v>
      </c>
      <c r="C20" s="414" t="s">
        <v>458</v>
      </c>
      <c r="D20" s="356" t="str">
        <f>VLOOKUP(E20,'Unit List'!$B$9:$D$241,3,0)</f>
        <v>Steam Production</v>
      </c>
      <c r="E20" s="414">
        <v>5120</v>
      </c>
      <c r="F20" s="376" t="s">
        <v>151</v>
      </c>
      <c r="G20" s="375">
        <v>28382</v>
      </c>
      <c r="H20" s="87">
        <f>VLOOKUP(C20,Settings!B$148:D$157,3,FALSE)</f>
        <v>0.15762189674642696</v>
      </c>
      <c r="I20" s="65">
        <f t="shared" si="0"/>
        <v>4473.6246734570896</v>
      </c>
    </row>
    <row r="21" spans="2:9" x14ac:dyDescent="0.25">
      <c r="B21" s="356" t="str">
        <f>VLOOKUP(E21,'Unit List'!$B$9:$E$241,4,0)</f>
        <v>Utility</v>
      </c>
      <c r="C21" s="414" t="s">
        <v>458</v>
      </c>
      <c r="D21" s="356" t="str">
        <f>VLOOKUP(E21,'Unit List'!$B$9:$D$241,3,0)</f>
        <v>Oxygen &amp; Hydrogen</v>
      </c>
      <c r="E21" s="414">
        <v>5220</v>
      </c>
      <c r="F21" s="376" t="s">
        <v>151</v>
      </c>
      <c r="G21" s="375">
        <v>38701</v>
      </c>
      <c r="H21" s="87">
        <f>VLOOKUP(C21,Settings!B$148:D$157,3,FALSE)</f>
        <v>0.15762189674642696</v>
      </c>
      <c r="I21" s="65">
        <f t="shared" si="0"/>
        <v>6100.1250259834696</v>
      </c>
    </row>
    <row r="22" spans="2:9" x14ac:dyDescent="0.25">
      <c r="B22" s="356" t="str">
        <f>VLOOKUP(E22,'Unit List'!$B$9:$E$241,4,0)</f>
        <v>Utility</v>
      </c>
      <c r="C22" s="414" t="s">
        <v>459</v>
      </c>
      <c r="D22" s="356" t="str">
        <f>VLOOKUP(E22,'Unit List'!$B$9:$D$241,3,0)</f>
        <v>Emulsion Breaking System</v>
      </c>
      <c r="E22" s="414">
        <v>5360</v>
      </c>
      <c r="F22" s="376" t="s">
        <v>159</v>
      </c>
      <c r="G22" s="375">
        <v>3496.806</v>
      </c>
      <c r="H22" s="87">
        <f>VLOOKUP(C22,Settings!B$148:D$157,3,FALSE)</f>
        <v>0.2</v>
      </c>
      <c r="I22" s="65">
        <f t="shared" si="0"/>
        <v>699.36120000000005</v>
      </c>
    </row>
    <row r="23" spans="2:9" x14ac:dyDescent="0.25">
      <c r="B23" s="356" t="str">
        <f>VLOOKUP(E23,'Unit List'!$B$9:$E$241,4,0)</f>
        <v>Utility</v>
      </c>
      <c r="C23" s="376" t="s">
        <v>458</v>
      </c>
      <c r="D23" s="356" t="str">
        <f>VLOOKUP(E23,'Unit List'!$B$9:$D$241,3,0)</f>
        <v>PowerPlant 1</v>
      </c>
      <c r="E23" s="376">
        <v>5130</v>
      </c>
      <c r="F23" s="734" t="s">
        <v>1996</v>
      </c>
      <c r="G23" s="375">
        <v>4400573</v>
      </c>
      <c r="H23" s="87">
        <f>VLOOKUP(C23,Settings!B$148:D$157,3,FALSE)</f>
        <v>0.15762189674642696</v>
      </c>
      <c r="I23" s="65">
        <f t="shared" si="0"/>
        <v>693626.66303111438</v>
      </c>
    </row>
    <row r="24" spans="2:9" x14ac:dyDescent="0.25">
      <c r="B24" s="356" t="e">
        <f>VLOOKUP(E24,'Unit List'!$B$9:$E$241,4,0)</f>
        <v>#N/A</v>
      </c>
      <c r="C24" s="376"/>
      <c r="D24" s="356" t="e">
        <f>VLOOKUP(E24,'Unit List'!$B$9:$D$241,3,0)</f>
        <v>#N/A</v>
      </c>
      <c r="E24" s="376"/>
      <c r="F24" s="751"/>
      <c r="G24" s="375"/>
      <c r="H24" s="87" t="e">
        <f>VLOOKUP(C24,Settings!B$148:D$157,3,FALSE)</f>
        <v>#N/A</v>
      </c>
      <c r="I24" s="65" t="e">
        <f t="shared" si="0"/>
        <v>#N/A</v>
      </c>
    </row>
    <row r="25" spans="2:9" x14ac:dyDescent="0.25">
      <c r="B25" s="356" t="e">
        <f>VLOOKUP(E25,'Unit List'!$B$9:$E$241,4,0)</f>
        <v>#N/A</v>
      </c>
      <c r="C25" s="376"/>
      <c r="D25" s="356" t="e">
        <f>VLOOKUP(E25,'Unit List'!$B$9:$D$241,3,0)</f>
        <v>#N/A</v>
      </c>
      <c r="E25" s="376"/>
      <c r="F25" s="751"/>
      <c r="G25" s="375"/>
      <c r="H25" s="87" t="e">
        <f>VLOOKUP(C25,Settings!B$148:D$157,3,FALSE)</f>
        <v>#N/A</v>
      </c>
      <c r="I25" s="65" t="e">
        <f t="shared" si="0"/>
        <v>#N/A</v>
      </c>
    </row>
    <row r="26" spans="2:9" x14ac:dyDescent="0.25">
      <c r="B26" s="356" t="e">
        <f>VLOOKUP(E26,'Unit List'!$B$9:$E$241,4,0)</f>
        <v>#N/A</v>
      </c>
      <c r="C26" s="376"/>
      <c r="D26" s="356" t="e">
        <f>VLOOKUP(E26,'Unit List'!$B$9:$D$241,3,0)</f>
        <v>#N/A</v>
      </c>
      <c r="E26" s="376"/>
      <c r="F26" s="751"/>
      <c r="G26" s="375"/>
      <c r="H26" s="87" t="e">
        <f>VLOOKUP(C26,Settings!B$148:D$157,3,FALSE)</f>
        <v>#N/A</v>
      </c>
      <c r="I26" s="65" t="e">
        <f t="shared" si="0"/>
        <v>#N/A</v>
      </c>
    </row>
    <row r="27" spans="2:9" x14ac:dyDescent="0.25">
      <c r="B27" s="356" t="e">
        <f>VLOOKUP(E27,'Unit List'!$B$9:$E$241,4,0)</f>
        <v>#N/A</v>
      </c>
      <c r="C27" s="376"/>
      <c r="D27" s="356" t="e">
        <f>VLOOKUP(E27,'Unit List'!$B$9:$D$241,3,0)</f>
        <v>#N/A</v>
      </c>
      <c r="E27" s="376"/>
      <c r="F27" s="376"/>
      <c r="G27" s="406"/>
      <c r="H27" s="87" t="e">
        <f>VLOOKUP(C27,Settings!B$148:D$157,3,FALSE)</f>
        <v>#N/A</v>
      </c>
      <c r="I27" s="65" t="e">
        <f t="shared" si="0"/>
        <v>#N/A</v>
      </c>
    </row>
    <row r="28" spans="2:9" x14ac:dyDescent="0.25">
      <c r="B28" s="356" t="e">
        <f>VLOOKUP(E28,'Unit List'!$B$9:$E$241,4,0)</f>
        <v>#N/A</v>
      </c>
      <c r="C28" s="376"/>
      <c r="D28" s="356" t="e">
        <f>VLOOKUP(E28,'Unit List'!$B$9:$D$241,3,0)</f>
        <v>#N/A</v>
      </c>
      <c r="E28" s="376"/>
      <c r="F28" s="376"/>
      <c r="G28" s="406"/>
      <c r="H28" s="87" t="e">
        <f>VLOOKUP(C28,Settings!B$148:D$157,3,FALSE)</f>
        <v>#N/A</v>
      </c>
      <c r="I28" s="65" t="e">
        <f t="shared" si="0"/>
        <v>#N/A</v>
      </c>
    </row>
    <row r="29" spans="2:9" x14ac:dyDescent="0.25">
      <c r="B29" s="356" t="e">
        <f>VLOOKUP(E29,'Unit List'!$B$9:$E$241,4,0)</f>
        <v>#N/A</v>
      </c>
      <c r="C29" s="376"/>
      <c r="D29" s="356" t="e">
        <f>VLOOKUP(E29,'Unit List'!$B$9:$D$241,3,0)</f>
        <v>#N/A</v>
      </c>
      <c r="E29" s="376"/>
      <c r="F29" s="376"/>
      <c r="G29" s="406"/>
      <c r="H29" s="87" t="e">
        <f>VLOOKUP(C29,Settings!B$148:D$157,3,FALSE)</f>
        <v>#N/A</v>
      </c>
      <c r="I29" s="65" t="e">
        <f t="shared" si="0"/>
        <v>#N/A</v>
      </c>
    </row>
    <row r="30" spans="2:9" ht="30" customHeight="1" x14ac:dyDescent="0.25">
      <c r="B30" s="355" t="s">
        <v>410</v>
      </c>
      <c r="C30" s="355"/>
      <c r="D30" s="355"/>
      <c r="E30" s="355"/>
      <c r="F30" s="355"/>
      <c r="G30" s="355"/>
      <c r="H30" s="355"/>
      <c r="I30" s="394">
        <f>_xlfn.AGGREGATE(9,6,I10:I29)</f>
        <v>764889.73936519504</v>
      </c>
    </row>
  </sheetData>
  <protectedRanges>
    <protectedRange sqref="E10:G29 C10:C29" name="Range1"/>
  </protectedRanges>
  <mergeCells count="6">
    <mergeCell ref="B8:B9"/>
    <mergeCell ref="E8:E9"/>
    <mergeCell ref="G8:G9"/>
    <mergeCell ref="D8:D9"/>
    <mergeCell ref="C8:C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C9E52E99-ABEF-4F2E-A7C4-247AB1B566EE}">
          <x14:formula1>
            <xm:f>Settings!$B$148:$B$157</xm:f>
          </x14:formula1>
          <xm:sqref>C10:C29</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5CB6-E0AE-464F-B6E9-E206B237D23D}">
  <dimension ref="B3:I72"/>
  <sheetViews>
    <sheetView rightToLeft="1" zoomScale="85" zoomScaleNormal="85" workbookViewId="0">
      <selection activeCell="L63" sqref="L63"/>
    </sheetView>
  </sheetViews>
  <sheetFormatPr defaultColWidth="9.09765625" defaultRowHeight="16.2" x14ac:dyDescent="0.25"/>
  <cols>
    <col min="1" max="1" width="12.09765625" style="3" customWidth="1"/>
    <col min="2" max="2" width="12.8984375" style="24" customWidth="1"/>
    <col min="3" max="3" width="16.3984375" style="3" customWidth="1"/>
    <col min="4" max="4" width="28" style="3" customWidth="1"/>
    <col min="5" max="6" width="12.796875" style="3" customWidth="1"/>
    <col min="7" max="7" width="21.8984375"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395</v>
      </c>
      <c r="C7" s="381"/>
      <c r="D7" s="381"/>
      <c r="E7" s="381"/>
      <c r="F7" s="381"/>
      <c r="G7" s="381"/>
      <c r="H7" s="381"/>
      <c r="I7" s="381"/>
    </row>
    <row r="8" spans="2:9" ht="28.2" customHeight="1" x14ac:dyDescent="0.25">
      <c r="B8" s="1013" t="s">
        <v>335</v>
      </c>
      <c r="C8" s="1014" t="s">
        <v>1152</v>
      </c>
      <c r="D8" s="1013" t="s">
        <v>411</v>
      </c>
      <c r="E8" s="1014" t="s">
        <v>398</v>
      </c>
      <c r="F8" s="1013" t="s">
        <v>400</v>
      </c>
      <c r="G8" s="1014" t="s">
        <v>528</v>
      </c>
      <c r="H8" s="374" t="s">
        <v>405</v>
      </c>
      <c r="I8" s="374" t="s">
        <v>406</v>
      </c>
    </row>
    <row r="9" spans="2:9" ht="17.25" customHeight="1" x14ac:dyDescent="0.25">
      <c r="B9" s="1013"/>
      <c r="C9" s="1008"/>
      <c r="D9" s="1013"/>
      <c r="E9" s="1008"/>
      <c r="F9" s="1013"/>
      <c r="G9" s="1008"/>
      <c r="H9" s="374" t="s">
        <v>269</v>
      </c>
      <c r="I9" s="355" t="s">
        <v>222</v>
      </c>
    </row>
    <row r="10" spans="2:9" ht="17.25" customHeight="1" x14ac:dyDescent="0.25">
      <c r="B10" s="356" t="str">
        <f>VLOOKUP(E10,'Unit List'!$B$9:$E$241,4,0)</f>
        <v>Iron Making</v>
      </c>
      <c r="C10" s="91" t="s">
        <v>395</v>
      </c>
      <c r="D10" s="356" t="str">
        <f>VLOOKUP(E10,'Unit List'!$B$9:$D$241,3,0)</f>
        <v>Yard</v>
      </c>
      <c r="E10" s="414">
        <v>1110</v>
      </c>
      <c r="F10" s="376">
        <v>55010</v>
      </c>
      <c r="G10" s="375">
        <v>32083439</v>
      </c>
      <c r="H10" s="87">
        <f>VLOOKUP(C10,Settings!$B$148:$D$157,3,FALSE)</f>
        <v>1.0580813208312243E-4</v>
      </c>
      <c r="I10" s="65">
        <f>G10*H10</f>
        <v>3394.6887513928014</v>
      </c>
    </row>
    <row r="11" spans="2:9" ht="17.25" customHeight="1" x14ac:dyDescent="0.25">
      <c r="B11" s="356" t="str">
        <f>VLOOKUP(E11,'Unit List'!$B$9:$E$241,4,0)</f>
        <v>Iron Making</v>
      </c>
      <c r="C11" s="91" t="s">
        <v>395</v>
      </c>
      <c r="D11" s="356" t="str">
        <f>VLOOKUP(E11,'Unit List'!$B$9:$D$241,3,0)</f>
        <v>Lime Making</v>
      </c>
      <c r="E11" s="414">
        <v>1120</v>
      </c>
      <c r="F11" s="376">
        <v>55010</v>
      </c>
      <c r="G11" s="375">
        <v>72303397</v>
      </c>
      <c r="H11" s="87">
        <f>VLOOKUP(C11,Settings!$B$148:$D$157,3,FALSE)</f>
        <v>1.0580813208312243E-4</v>
      </c>
      <c r="I11" s="65">
        <f t="shared" ref="I11:I64" si="0">G11*H11</f>
        <v>7650.2873798344381</v>
      </c>
    </row>
    <row r="12" spans="2:9" ht="17.25" customHeight="1" x14ac:dyDescent="0.25">
      <c r="B12" s="356" t="str">
        <f>VLOOKUP(E12,'Unit List'!$B$9:$E$241,4,0)</f>
        <v>Iron Making</v>
      </c>
      <c r="C12" s="91" t="s">
        <v>395</v>
      </c>
      <c r="D12" s="356" t="str">
        <f>VLOOKUP(E12,'Unit List'!$B$9:$D$241,3,0)</f>
        <v>Lime Hydration</v>
      </c>
      <c r="E12" s="414">
        <v>1130</v>
      </c>
      <c r="F12" s="376">
        <v>55010</v>
      </c>
      <c r="G12" s="375">
        <v>12759423.000000002</v>
      </c>
      <c r="H12" s="87">
        <f>VLOOKUP(C12,Settings!$B$148:$D$157,3,FALSE)</f>
        <v>1.0580813208312243E-4</v>
      </c>
      <c r="I12" s="65">
        <f t="shared" si="0"/>
        <v>1350.0507140884306</v>
      </c>
    </row>
    <row r="13" spans="2:9" x14ac:dyDescent="0.25">
      <c r="B13" s="356" t="str">
        <f>VLOOKUP(E13,'Unit List'!$B$9:$E$241,4,0)</f>
        <v>Iron Making</v>
      </c>
      <c r="C13" s="91" t="s">
        <v>395</v>
      </c>
      <c r="D13" s="356" t="str">
        <f>VLOOKUP(E13,'Unit List'!$B$9:$D$241,3,0)</f>
        <v>Pelletizing</v>
      </c>
      <c r="E13" s="414">
        <v>1210</v>
      </c>
      <c r="F13" s="376" t="s">
        <v>78</v>
      </c>
      <c r="G13" s="375">
        <v>93500074</v>
      </c>
      <c r="H13" s="87">
        <f>VLOOKUP(C13,Settings!$B$148:$D$157,3,FALSE)</f>
        <v>1.0580813208312243E-4</v>
      </c>
      <c r="I13" s="65">
        <f t="shared" si="0"/>
        <v>9893.0681795737219</v>
      </c>
    </row>
    <row r="14" spans="2:9" x14ac:dyDescent="0.25">
      <c r="B14" s="356" t="str">
        <f>VLOOKUP(E14,'Unit List'!$B$9:$E$241,4,0)</f>
        <v>Iron Making</v>
      </c>
      <c r="C14" s="91" t="s">
        <v>395</v>
      </c>
      <c r="D14" s="356" t="str">
        <f>VLOOKUP(E14,'Unit List'!$B$9:$D$241,3,0)</f>
        <v>Direct Reduction</v>
      </c>
      <c r="E14" s="414">
        <v>1310</v>
      </c>
      <c r="F14" s="376" t="s">
        <v>78</v>
      </c>
      <c r="G14" s="375">
        <v>66871408.978</v>
      </c>
      <c r="H14" s="87">
        <f>VLOOKUP(C14,Settings!$B$148:$D$157,3,FALSE)</f>
        <v>1.0580813208312243E-4</v>
      </c>
      <c r="I14" s="65">
        <f t="shared" si="0"/>
        <v>7075.538873728723</v>
      </c>
    </row>
    <row r="15" spans="2:9" x14ac:dyDescent="0.25">
      <c r="B15" s="356" t="str">
        <f>VLOOKUP(E15,'Unit List'!$B$9:$E$241,4,0)</f>
        <v>Iron Making</v>
      </c>
      <c r="C15" s="91" t="s">
        <v>395</v>
      </c>
      <c r="D15" s="356" t="str">
        <f>VLOOKUP(E15,'Unit List'!$B$9:$D$241,3,0)</f>
        <v>Direct Reduction</v>
      </c>
      <c r="E15" s="414">
        <v>1315</v>
      </c>
      <c r="F15" s="376" t="s">
        <v>78</v>
      </c>
      <c r="G15" s="375">
        <v>7749553.4820000008</v>
      </c>
      <c r="H15" s="87">
        <f>VLOOKUP(C15,Settings!$B$148:$D$157,3,FALSE)</f>
        <v>1.0580813208312243E-4</v>
      </c>
      <c r="I15" s="65">
        <f t="shared" si="0"/>
        <v>819.96577840867747</v>
      </c>
    </row>
    <row r="16" spans="2:9" x14ac:dyDescent="0.25">
      <c r="B16" s="356" t="str">
        <f>VLOOKUP(E16,'Unit List'!$B$9:$E$241,4,0)</f>
        <v>Iron Making</v>
      </c>
      <c r="C16" s="91" t="s">
        <v>395</v>
      </c>
      <c r="D16" s="356" t="str">
        <f>VLOOKUP(E16,'Unit List'!$B$9:$D$241,3,0)</f>
        <v>Direct Reduction</v>
      </c>
      <c r="E16" s="414">
        <v>1320</v>
      </c>
      <c r="F16" s="376" t="s">
        <v>78</v>
      </c>
      <c r="G16" s="375">
        <v>1696526.2319999998</v>
      </c>
      <c r="H16" s="87">
        <f>VLOOKUP(C16,Settings!$B$148:$D$157,3,FALSE)</f>
        <v>1.0580813208312243E-4</v>
      </c>
      <c r="I16" s="65">
        <f t="shared" si="0"/>
        <v>179.506271637938</v>
      </c>
    </row>
    <row r="17" spans="2:9" x14ac:dyDescent="0.25">
      <c r="B17" s="356" t="str">
        <f>VLOOKUP(E17,'Unit List'!$B$9:$E$241,4,0)</f>
        <v>Iron Making</v>
      </c>
      <c r="C17" s="91" t="s">
        <v>395</v>
      </c>
      <c r="D17" s="356" t="str">
        <f>VLOOKUP(E17,'Unit List'!$B$9:$D$241,3,0)</f>
        <v>Direct Reduction</v>
      </c>
      <c r="E17" s="414">
        <v>1325</v>
      </c>
      <c r="F17" s="376" t="s">
        <v>78</v>
      </c>
      <c r="G17" s="375">
        <v>196606.008</v>
      </c>
      <c r="H17" s="87">
        <f>VLOOKUP(C17,Settings!$B$148:$D$157,3,FALSE)</f>
        <v>1.0580813208312243E-4</v>
      </c>
      <c r="I17" s="65">
        <f t="shared" si="0"/>
        <v>20.802514462799426</v>
      </c>
    </row>
    <row r="18" spans="2:9" x14ac:dyDescent="0.25">
      <c r="B18" s="356" t="str">
        <f>VLOOKUP(E18,'Unit List'!$B$9:$E$241,4,0)</f>
        <v>Iron Making</v>
      </c>
      <c r="C18" s="91" t="s">
        <v>395</v>
      </c>
      <c r="D18" s="356" t="str">
        <f>VLOOKUP(E18,'Unit List'!$B$9:$D$241,3,0)</f>
        <v>Briquetting</v>
      </c>
      <c r="E18" s="414">
        <v>1330</v>
      </c>
      <c r="F18" s="376" t="s">
        <v>78</v>
      </c>
      <c r="G18" s="375">
        <v>2120657.79</v>
      </c>
      <c r="H18" s="87">
        <f>VLOOKUP(C18,Settings!$B$148:$D$157,3,FALSE)</f>
        <v>1.0580813208312243E-4</v>
      </c>
      <c r="I18" s="65">
        <f t="shared" si="0"/>
        <v>224.38283954742252</v>
      </c>
    </row>
    <row r="19" spans="2:9" x14ac:dyDescent="0.25">
      <c r="B19" s="356" t="str">
        <f>VLOOKUP(E19,'Unit List'!$B$9:$E$241,4,0)</f>
        <v>Iron Making</v>
      </c>
      <c r="C19" s="91" t="s">
        <v>395</v>
      </c>
      <c r="D19" s="356" t="str">
        <f>VLOOKUP(E19,'Unit List'!$B$9:$D$241,3,0)</f>
        <v>Briquetting</v>
      </c>
      <c r="E19" s="414">
        <v>1335</v>
      </c>
      <c r="F19" s="376" t="s">
        <v>78</v>
      </c>
      <c r="G19" s="375">
        <v>245757.51000000004</v>
      </c>
      <c r="H19" s="87">
        <f>VLOOKUP(C19,Settings!$B$148:$D$157,3,FALSE)</f>
        <v>1.0580813208312243E-4</v>
      </c>
      <c r="I19" s="65">
        <f t="shared" si="0"/>
        <v>26.003143078499285</v>
      </c>
    </row>
    <row r="20" spans="2:9" x14ac:dyDescent="0.25">
      <c r="B20" s="356" t="str">
        <f>VLOOKUP(E20,'Unit List'!$B$9:$E$241,4,0)</f>
        <v>Steel Making</v>
      </c>
      <c r="C20" s="91" t="s">
        <v>395</v>
      </c>
      <c r="D20" s="356" t="str">
        <f>VLOOKUP(E20,'Unit List'!$B$9:$D$241,3,0)</f>
        <v>EAFs</v>
      </c>
      <c r="E20" s="414">
        <v>2120</v>
      </c>
      <c r="F20" s="376" t="s">
        <v>78</v>
      </c>
      <c r="G20" s="375">
        <v>1335400.4850000001</v>
      </c>
      <c r="H20" s="87">
        <f>VLOOKUP(C20,Settings!$B$148:$D$157,3,FALSE)</f>
        <v>1.0580813208312243E-4</v>
      </c>
      <c r="I20" s="65">
        <f t="shared" si="0"/>
        <v>141.29623090074577</v>
      </c>
    </row>
    <row r="21" spans="2:9" x14ac:dyDescent="0.25">
      <c r="B21" s="356" t="str">
        <f>VLOOKUP(E21,'Unit List'!$B$9:$E$241,4,0)</f>
        <v>Steel Making</v>
      </c>
      <c r="C21" s="91" t="s">
        <v>395</v>
      </c>
      <c r="D21" s="356" t="str">
        <f>VLOOKUP(E21,'Unit List'!$B$9:$D$241,3,0)</f>
        <v>EAFs</v>
      </c>
      <c r="E21" s="414">
        <v>2130</v>
      </c>
      <c r="F21" s="376" t="s">
        <v>78</v>
      </c>
      <c r="G21" s="375">
        <v>24064186.539999999</v>
      </c>
      <c r="H21" s="87">
        <f>VLOOKUP(C21,Settings!$B$148:$D$157,3,FALSE)</f>
        <v>1.0580813208312243E-4</v>
      </c>
      <c r="I21" s="65">
        <f t="shared" si="0"/>
        <v>2546.186627897217</v>
      </c>
    </row>
    <row r="22" spans="2:9" x14ac:dyDescent="0.25">
      <c r="B22" s="356" t="str">
        <f>VLOOKUP(E22,'Unit List'!$B$9:$E$241,4,0)</f>
        <v>Steel Making</v>
      </c>
      <c r="C22" s="91" t="s">
        <v>395</v>
      </c>
      <c r="D22" s="356" t="str">
        <f>VLOOKUP(E22,'Unit List'!$B$9:$D$241,3,0)</f>
        <v>EAFs</v>
      </c>
      <c r="E22" s="414">
        <v>2210</v>
      </c>
      <c r="F22" s="376" t="s">
        <v>78</v>
      </c>
      <c r="G22" s="375">
        <v>53469975.023999996</v>
      </c>
      <c r="H22" s="87">
        <f>VLOOKUP(C22,Settings!$B$148:$D$157,3,FALSE)</f>
        <v>1.0580813208312243E-4</v>
      </c>
      <c r="I22" s="65">
        <f t="shared" si="0"/>
        <v>5657.5581798206495</v>
      </c>
    </row>
    <row r="23" spans="2:9" x14ac:dyDescent="0.25">
      <c r="B23" s="356" t="str">
        <f>VLOOKUP(E23,'Unit List'!$B$9:$E$241,4,0)</f>
        <v>Steel Making</v>
      </c>
      <c r="C23" s="91" t="s">
        <v>395</v>
      </c>
      <c r="D23" s="356" t="str">
        <f>VLOOKUP(E23,'Unit List'!$B$9:$D$241,3,0)</f>
        <v>De-gassing</v>
      </c>
      <c r="E23" s="414">
        <v>2220</v>
      </c>
      <c r="F23" s="376" t="s">
        <v>78</v>
      </c>
      <c r="G23" s="375">
        <v>6016046.6339999996</v>
      </c>
      <c r="H23" s="87">
        <f>VLOOKUP(C23,Settings!$B$148:$D$157,3,FALSE)</f>
        <v>1.0580813208312243E-4</v>
      </c>
      <c r="I23" s="65">
        <f t="shared" si="0"/>
        <v>636.54665686849614</v>
      </c>
    </row>
    <row r="24" spans="2:9" x14ac:dyDescent="0.25">
      <c r="B24" s="356" t="str">
        <f>VLOOKUP(E24,'Unit List'!$B$9:$E$241,4,0)</f>
        <v>Steel Making</v>
      </c>
      <c r="C24" s="91" t="s">
        <v>395</v>
      </c>
      <c r="D24" s="356" t="str">
        <f>VLOOKUP(E24,'Unit List'!$B$9:$D$241,3,0)</f>
        <v>Laddle Furnaces</v>
      </c>
      <c r="E24" s="414">
        <v>2240</v>
      </c>
      <c r="F24" s="376" t="s">
        <v>78</v>
      </c>
      <c r="G24" s="375">
        <v>14041938.447999999</v>
      </c>
      <c r="H24" s="87">
        <f>VLOOKUP(C24,Settings!$B$148:$D$157,3,FALSE)</f>
        <v>1.0580813208312243E-4</v>
      </c>
      <c r="I24" s="65">
        <f t="shared" si="0"/>
        <v>1485.7512780090592</v>
      </c>
    </row>
    <row r="25" spans="2:9" x14ac:dyDescent="0.25">
      <c r="B25" s="356" t="str">
        <f>VLOOKUP(E25,'Unit List'!$B$9:$E$241,4,0)</f>
        <v>Steel Making</v>
      </c>
      <c r="C25" s="91" t="s">
        <v>395</v>
      </c>
      <c r="D25" s="356" t="str">
        <f>VLOOKUP(E25,'Unit List'!$B$9:$D$241,3,0)</f>
        <v>Casting Machines</v>
      </c>
      <c r="E25" s="414">
        <v>2410</v>
      </c>
      <c r="F25" s="376" t="s">
        <v>78</v>
      </c>
      <c r="G25" s="375">
        <v>27665721.185999997</v>
      </c>
      <c r="H25" s="87">
        <f>VLOOKUP(C25,Settings!$B$148:$D$157,3,FALSE)</f>
        <v>1.0580813208312243E-4</v>
      </c>
      <c r="I25" s="65">
        <f t="shared" si="0"/>
        <v>2927.2582814231264</v>
      </c>
    </row>
    <row r="26" spans="2:9" x14ac:dyDescent="0.25">
      <c r="B26" s="356" t="str">
        <f>VLOOKUP(E26,'Unit List'!$B$9:$E$241,4,0)</f>
        <v>Steel Making</v>
      </c>
      <c r="C26" s="91" t="s">
        <v>395</v>
      </c>
      <c r="D26" s="356" t="str">
        <f>VLOOKUP(E26,'Unit List'!$B$9:$D$241,3,0)</f>
        <v>Slab Cooling</v>
      </c>
      <c r="E26" s="414">
        <v>2510</v>
      </c>
      <c r="F26" s="376" t="s">
        <v>78</v>
      </c>
      <c r="G26" s="375">
        <v>8295669.6899999995</v>
      </c>
      <c r="H26" s="87">
        <f>VLOOKUP(C26,Settings!$B$148:$D$157,3,FALSE)</f>
        <v>1.0580813208312243E-4</v>
      </c>
      <c r="I26" s="65">
        <f t="shared" si="0"/>
        <v>877.74931427747526</v>
      </c>
    </row>
    <row r="27" spans="2:9" x14ac:dyDescent="0.25">
      <c r="B27" s="356" t="str">
        <f>VLOOKUP(E27,'Unit List'!$B$9:$E$241,4,0)</f>
        <v>Hot Rolling</v>
      </c>
      <c r="C27" s="91" t="s">
        <v>395</v>
      </c>
      <c r="D27" s="356" t="str">
        <f>VLOOKUP(E27,'Unit List'!$B$9:$D$241,3,0)</f>
        <v>Hot Rolling Mill</v>
      </c>
      <c r="E27" s="414">
        <v>3101</v>
      </c>
      <c r="F27" s="376" t="s">
        <v>78</v>
      </c>
      <c r="G27" s="375">
        <v>23996100.099999998</v>
      </c>
      <c r="H27" s="87">
        <f>VLOOKUP(C27,Settings!$B$148:$D$157,3,FALSE)</f>
        <v>1.0580813208312243E-4</v>
      </c>
      <c r="I27" s="65">
        <f t="shared" si="0"/>
        <v>2538.9825288606271</v>
      </c>
    </row>
    <row r="28" spans="2:9" x14ac:dyDescent="0.25">
      <c r="B28" s="356" t="str">
        <f>VLOOKUP(E28,'Unit List'!$B$9:$E$241,4,0)</f>
        <v>Hot Rolling</v>
      </c>
      <c r="C28" s="91" t="s">
        <v>395</v>
      </c>
      <c r="D28" s="356" t="str">
        <f>VLOOKUP(E28,'Unit List'!$B$9:$D$241,3,0)</f>
        <v>Hot Rolling Mill</v>
      </c>
      <c r="E28" s="414">
        <v>3210</v>
      </c>
      <c r="F28" s="376" t="s">
        <v>78</v>
      </c>
      <c r="G28" s="375">
        <v>28795320.120000005</v>
      </c>
      <c r="H28" s="87">
        <f>VLOOKUP(C28,Settings!$B$148:$D$157,3,FALSE)</f>
        <v>1.0580813208312243E-4</v>
      </c>
      <c r="I28" s="65">
        <f t="shared" si="0"/>
        <v>3046.7790346327533</v>
      </c>
    </row>
    <row r="29" spans="2:9" x14ac:dyDescent="0.25">
      <c r="B29" s="356" t="str">
        <f>VLOOKUP(E29,'Unit List'!$B$9:$E$241,4,0)</f>
        <v>Hot Rolling</v>
      </c>
      <c r="C29" s="91" t="s">
        <v>395</v>
      </c>
      <c r="D29" s="356" t="str">
        <f>VLOOKUP(E29,'Unit List'!$B$9:$D$241,3,0)</f>
        <v>Hot Rolling Mill</v>
      </c>
      <c r="E29" s="414">
        <v>3310</v>
      </c>
      <c r="F29" s="376" t="s">
        <v>78</v>
      </c>
      <c r="G29" s="375">
        <v>131978550.54999998</v>
      </c>
      <c r="H29" s="87">
        <f>VLOOKUP(C29,Settings!$B$148:$D$157,3,FALSE)</f>
        <v>1.0580813208312243E-4</v>
      </c>
      <c r="I29" s="65">
        <f t="shared" si="0"/>
        <v>13964.403908733449</v>
      </c>
    </row>
    <row r="30" spans="2:9" x14ac:dyDescent="0.25">
      <c r="B30" s="356" t="str">
        <f>VLOOKUP(E30,'Unit List'!$B$9:$E$241,4,0)</f>
        <v>Hot Rolling</v>
      </c>
      <c r="C30" s="91" t="s">
        <v>395</v>
      </c>
      <c r="D30" s="356" t="str">
        <f>VLOOKUP(E30,'Unit List'!$B$9:$D$241,3,0)</f>
        <v>Shearing Line 1</v>
      </c>
      <c r="E30" s="414">
        <v>3410</v>
      </c>
      <c r="F30" s="376" t="s">
        <v>78</v>
      </c>
      <c r="G30" s="375">
        <v>7198830.0300000012</v>
      </c>
      <c r="H30" s="87">
        <f>VLOOKUP(C30,Settings!$B$148:$D$157,3,FALSE)</f>
        <v>1.0580813208312243E-4</v>
      </c>
      <c r="I30" s="65">
        <f t="shared" si="0"/>
        <v>761.69475865818833</v>
      </c>
    </row>
    <row r="31" spans="2:9" x14ac:dyDescent="0.25">
      <c r="B31" s="356" t="str">
        <f>VLOOKUP(E31,'Unit List'!$B$9:$E$241,4,0)</f>
        <v>Hot Rolling</v>
      </c>
      <c r="C31" s="91" t="s">
        <v>395</v>
      </c>
      <c r="D31" s="356" t="str">
        <f>VLOOKUP(E31,'Unit List'!$B$9:$D$241,3,0)</f>
        <v>Shearing Line 1</v>
      </c>
      <c r="E31" s="414">
        <v>3420</v>
      </c>
      <c r="F31" s="376" t="s">
        <v>78</v>
      </c>
      <c r="G31" s="375">
        <v>4799220.0199999996</v>
      </c>
      <c r="H31" s="87">
        <f>VLOOKUP(C31,Settings!$B$148:$D$157,3,FALSE)</f>
        <v>1.0580813208312243E-4</v>
      </c>
      <c r="I31" s="65">
        <f t="shared" si="0"/>
        <v>507.79650577212544</v>
      </c>
    </row>
    <row r="32" spans="2:9" x14ac:dyDescent="0.25">
      <c r="B32" s="356" t="str">
        <f>VLOOKUP(E32,'Unit List'!$B$9:$E$241,4,0)</f>
        <v>Hot Rolling</v>
      </c>
      <c r="C32" s="91" t="s">
        <v>395</v>
      </c>
      <c r="D32" s="356" t="str">
        <f>VLOOKUP(E32,'Unit List'!$B$9:$D$241,3,0)</f>
        <v>Shearing Line 2</v>
      </c>
      <c r="E32" s="414">
        <v>3430</v>
      </c>
      <c r="F32" s="376" t="s">
        <v>78</v>
      </c>
      <c r="G32" s="375">
        <v>4799220.0199999996</v>
      </c>
      <c r="H32" s="87">
        <f>VLOOKUP(C32,Settings!$B$148:$D$157,3,FALSE)</f>
        <v>1.0580813208312243E-4</v>
      </c>
      <c r="I32" s="65">
        <f t="shared" si="0"/>
        <v>507.79650577212544</v>
      </c>
    </row>
    <row r="33" spans="2:9" x14ac:dyDescent="0.25">
      <c r="B33" s="356" t="str">
        <f>VLOOKUP(E33,'Unit List'!$B$9:$E$241,4,0)</f>
        <v>Hot Rolling</v>
      </c>
      <c r="C33" s="91" t="s">
        <v>395</v>
      </c>
      <c r="D33" s="356" t="str">
        <f>VLOOKUP(E33,'Unit List'!$B$9:$D$241,3,0)</f>
        <v>Heavy Shearing Line</v>
      </c>
      <c r="E33" s="414">
        <v>3440</v>
      </c>
      <c r="F33" s="376" t="s">
        <v>78</v>
      </c>
      <c r="G33" s="375">
        <v>19196880.080000002</v>
      </c>
      <c r="H33" s="87">
        <f>VLOOKUP(C33,Settings!$B$148:$D$157,3,FALSE)</f>
        <v>1.0580813208312243E-4</v>
      </c>
      <c r="I33" s="65">
        <f t="shared" si="0"/>
        <v>2031.1860230885022</v>
      </c>
    </row>
    <row r="34" spans="2:9" x14ac:dyDescent="0.25">
      <c r="B34" s="356" t="str">
        <f>VLOOKUP(E34,'Unit List'!$B$9:$E$241,4,0)</f>
        <v>Hot Rolling</v>
      </c>
      <c r="C34" s="91" t="s">
        <v>395</v>
      </c>
      <c r="D34" s="356" t="str">
        <f>VLOOKUP(E34,'Unit List'!$B$9:$D$241,3,0)</f>
        <v>Skin Pass Mill</v>
      </c>
      <c r="E34" s="414">
        <v>3450</v>
      </c>
      <c r="F34" s="376" t="s">
        <v>78</v>
      </c>
      <c r="G34" s="375">
        <v>7198830.0300000012</v>
      </c>
      <c r="H34" s="87">
        <f>VLOOKUP(C34,Settings!$B$148:$D$157,3,FALSE)</f>
        <v>1.0580813208312243E-4</v>
      </c>
      <c r="I34" s="65">
        <f t="shared" si="0"/>
        <v>761.69475865818833</v>
      </c>
    </row>
    <row r="35" spans="2:9" x14ac:dyDescent="0.25">
      <c r="B35" s="356" t="str">
        <f>VLOOKUP(E35,'Unit List'!$B$9:$E$241,4,0)</f>
        <v>Hot Rolling</v>
      </c>
      <c r="C35" s="91" t="s">
        <v>395</v>
      </c>
      <c r="D35" s="356" t="str">
        <f>VLOOKUP(E35,'Unit List'!$B$9:$D$241,3,0)</f>
        <v>Skin Pass Mill</v>
      </c>
      <c r="E35" s="414">
        <v>3460</v>
      </c>
      <c r="F35" s="376" t="s">
        <v>78</v>
      </c>
      <c r="G35" s="375">
        <v>11998050.049999999</v>
      </c>
      <c r="H35" s="87">
        <f>VLOOKUP(C35,Settings!$B$148:$D$157,3,FALSE)</f>
        <v>1.0580813208312243E-4</v>
      </c>
      <c r="I35" s="65">
        <f t="shared" si="0"/>
        <v>1269.4912644303135</v>
      </c>
    </row>
    <row r="36" spans="2:9" x14ac:dyDescent="0.25">
      <c r="B36" s="356" t="str">
        <f>VLOOKUP(E36,'Unit List'!$B$9:$E$241,4,0)</f>
        <v>Cold Rolling</v>
      </c>
      <c r="C36" s="91" t="s">
        <v>395</v>
      </c>
      <c r="D36" s="356" t="str">
        <f>VLOOKUP(E36,'Unit List'!$B$9:$D$241,3,0)</f>
        <v>Pickling Line 1,2</v>
      </c>
      <c r="E36" s="414">
        <v>4101</v>
      </c>
      <c r="F36" s="376" t="s">
        <v>78</v>
      </c>
      <c r="G36" s="375">
        <v>1337615.5710000002</v>
      </c>
      <c r="H36" s="87">
        <f>VLOOKUP(C36,Settings!$B$148:$D$157,3,FALSE)</f>
        <v>1.0580813208312243E-4</v>
      </c>
      <c r="I36" s="65">
        <f t="shared" si="0"/>
        <v>141.53060501280925</v>
      </c>
    </row>
    <row r="37" spans="2:9" x14ac:dyDescent="0.25">
      <c r="B37" s="356" t="str">
        <f>VLOOKUP(E37,'Unit List'!$B$9:$E$241,4,0)</f>
        <v>Cold Rolling</v>
      </c>
      <c r="C37" s="91" t="s">
        <v>395</v>
      </c>
      <c r="D37" s="356" t="str">
        <f>VLOOKUP(E37,'Unit List'!$B$9:$D$241,3,0)</f>
        <v>Pickling Line 1,2</v>
      </c>
      <c r="E37" s="414">
        <v>4102</v>
      </c>
      <c r="F37" s="376" t="s">
        <v>78</v>
      </c>
      <c r="G37" s="375">
        <v>1188991.6170000001</v>
      </c>
      <c r="H37" s="87">
        <f>VLOOKUP(C37,Settings!$B$148:$D$157,3,FALSE)</f>
        <v>1.0580813208312243E-4</v>
      </c>
      <c r="I37" s="65">
        <f t="shared" si="0"/>
        <v>125.80498205726133</v>
      </c>
    </row>
    <row r="38" spans="2:9" x14ac:dyDescent="0.25">
      <c r="B38" s="356" t="str">
        <f>VLOOKUP(E38,'Unit List'!$B$9:$E$241,4,0)</f>
        <v>Cold Rolling</v>
      </c>
      <c r="C38" s="91" t="s">
        <v>395</v>
      </c>
      <c r="D38" s="356" t="str">
        <f>VLOOKUP(E38,'Unit List'!$B$9:$D$241,3,0)</f>
        <v>Pickling Line 1,2</v>
      </c>
      <c r="E38" s="414">
        <v>4220</v>
      </c>
      <c r="F38" s="376" t="s">
        <v>78</v>
      </c>
      <c r="G38" s="375">
        <v>6413695.165</v>
      </c>
      <c r="H38" s="87">
        <f>VLOOKUP(C38,Settings!$B$148:$D$157,3,FALSE)</f>
        <v>1.0580813208312243E-4</v>
      </c>
      <c r="I38" s="65">
        <f t="shared" si="0"/>
        <v>678.62110515920369</v>
      </c>
    </row>
    <row r="39" spans="2:9" x14ac:dyDescent="0.25">
      <c r="B39" s="356" t="str">
        <f>VLOOKUP(E39,'Unit List'!$B$9:$E$241,4,0)</f>
        <v>Cold Rolling</v>
      </c>
      <c r="C39" s="91" t="s">
        <v>395</v>
      </c>
      <c r="D39" s="356" t="str">
        <f>VLOOKUP(E39,'Unit List'!$B$9:$D$241,3,0)</f>
        <v>Pickling Line 1,2</v>
      </c>
      <c r="E39" s="414">
        <v>4225</v>
      </c>
      <c r="F39" s="376" t="s">
        <v>78</v>
      </c>
      <c r="G39" s="375">
        <v>5922092.8600000003</v>
      </c>
      <c r="H39" s="87">
        <f>VLOOKUP(C39,Settings!$B$148:$D$157,3,FALSE)</f>
        <v>1.0580813208312243E-4</v>
      </c>
      <c r="I39" s="65">
        <f t="shared" si="0"/>
        <v>626.60558353939632</v>
      </c>
    </row>
    <row r="40" spans="2:9" x14ac:dyDescent="0.25">
      <c r="B40" s="356" t="str">
        <f>VLOOKUP(E40,'Unit List'!$B$9:$E$241,4,0)</f>
        <v>Cold Rolling</v>
      </c>
      <c r="C40" s="91" t="s">
        <v>395</v>
      </c>
      <c r="D40" s="356" t="str">
        <f>VLOOKUP(E40,'Unit List'!$B$9:$D$241,3,0)</f>
        <v>Pickling Line 1,2</v>
      </c>
      <c r="E40" s="414">
        <v>4230</v>
      </c>
      <c r="F40" s="376" t="s">
        <v>78</v>
      </c>
      <c r="G40" s="375">
        <v>583063.19799999997</v>
      </c>
      <c r="H40" s="87">
        <f>VLOOKUP(C40,Settings!$B$148:$D$157,3,FALSE)</f>
        <v>1.0580813208312243E-4</v>
      </c>
      <c r="I40" s="65">
        <f t="shared" si="0"/>
        <v>61.692827866791767</v>
      </c>
    </row>
    <row r="41" spans="2:9" x14ac:dyDescent="0.25">
      <c r="B41" s="356" t="str">
        <f>VLOOKUP(E41,'Unit List'!$B$9:$E$241,4,0)</f>
        <v>Cold Rolling</v>
      </c>
      <c r="C41" s="91" t="s">
        <v>395</v>
      </c>
      <c r="D41" s="356" t="str">
        <f>VLOOKUP(E41,'Unit List'!$B$9:$D$241,3,0)</f>
        <v>Pickling Line 1,2</v>
      </c>
      <c r="E41" s="414">
        <v>4235</v>
      </c>
      <c r="F41" s="376" t="s">
        <v>78</v>
      </c>
      <c r="G41" s="375">
        <v>628793.64600000007</v>
      </c>
      <c r="H41" s="87">
        <f>VLOOKUP(C41,Settings!$B$148:$D$157,3,FALSE)</f>
        <v>1.0580813208312243E-4</v>
      </c>
      <c r="I41" s="65">
        <f t="shared" si="0"/>
        <v>66.531481148996136</v>
      </c>
    </row>
    <row r="42" spans="2:9" x14ac:dyDescent="0.25">
      <c r="B42" s="356" t="str">
        <f>VLOOKUP(E42,'Unit List'!$B$9:$E$241,4,0)</f>
        <v>Cold Rolling</v>
      </c>
      <c r="C42" s="91" t="s">
        <v>395</v>
      </c>
      <c r="D42" s="356" t="str">
        <f>VLOOKUP(E42,'Unit List'!$B$9:$D$241,3,0)</f>
        <v>Tandem Mill</v>
      </c>
      <c r="E42" s="414">
        <v>4310</v>
      </c>
      <c r="F42" s="376" t="s">
        <v>78</v>
      </c>
      <c r="G42" s="375">
        <v>20898814.186999999</v>
      </c>
      <c r="H42" s="87">
        <f>VLOOKUP(C42,Settings!$B$148:$D$157,3,FALSE)</f>
        <v>1.0580813208312243E-4</v>
      </c>
      <c r="I42" s="65">
        <f t="shared" si="0"/>
        <v>2211.2644918787287</v>
      </c>
    </row>
    <row r="43" spans="2:9" x14ac:dyDescent="0.25">
      <c r="B43" s="356" t="str">
        <f>VLOOKUP(E43,'Unit List'!$B$9:$E$241,4,0)</f>
        <v>Cold Rolling</v>
      </c>
      <c r="C43" s="91" t="s">
        <v>395</v>
      </c>
      <c r="D43" s="356" t="str">
        <f>VLOOKUP(E43,'Unit List'!$B$9:$D$241,3,0)</f>
        <v>Two Stand Reversible Mill</v>
      </c>
      <c r="E43" s="414">
        <v>4315</v>
      </c>
      <c r="F43" s="376" t="s">
        <v>78</v>
      </c>
      <c r="G43" s="375">
        <v>20887381.578000002</v>
      </c>
      <c r="H43" s="87">
        <f>VLOOKUP(C43,Settings!$B$148:$D$157,3,FALSE)</f>
        <v>1.0580813208312243E-4</v>
      </c>
      <c r="I43" s="65">
        <f t="shared" si="0"/>
        <v>2210.0548288756027</v>
      </c>
    </row>
    <row r="44" spans="2:9" x14ac:dyDescent="0.25">
      <c r="B44" s="356" t="str">
        <f>VLOOKUP(E44,'Unit List'!$B$9:$E$241,4,0)</f>
        <v>Cold Rolling</v>
      </c>
      <c r="C44" s="91" t="s">
        <v>395</v>
      </c>
      <c r="D44" s="356" t="str">
        <f>VLOOKUP(E44,'Unit List'!$B$9:$D$241,3,0)</f>
        <v>Electrolytic Cleaning Line</v>
      </c>
      <c r="E44" s="414">
        <v>4405</v>
      </c>
      <c r="F44" s="376" t="s">
        <v>78</v>
      </c>
      <c r="G44" s="375">
        <v>2286522.34</v>
      </c>
      <c r="H44" s="87">
        <f>VLOOKUP(C44,Settings!$B$148:$D$157,3,FALSE)</f>
        <v>1.0580813208312243E-4</v>
      </c>
      <c r="I44" s="65">
        <f t="shared" si="0"/>
        <v>241.93265776173016</v>
      </c>
    </row>
    <row r="45" spans="2:9" x14ac:dyDescent="0.25">
      <c r="B45" s="356" t="str">
        <f>VLOOKUP(E45,'Unit List'!$B$9:$E$241,4,0)</f>
        <v>Cold Rolling</v>
      </c>
      <c r="C45" s="91" t="s">
        <v>395</v>
      </c>
      <c r="D45" s="356" t="str">
        <f>VLOOKUP(E45,'Unit List'!$B$9:$D$241,3,0)</f>
        <v>Box Annealing 1</v>
      </c>
      <c r="E45" s="414">
        <v>4410</v>
      </c>
      <c r="F45" s="376" t="s">
        <v>78</v>
      </c>
      <c r="G45" s="375">
        <v>0</v>
      </c>
      <c r="H45" s="87">
        <f>VLOOKUP(C45,Settings!$B$148:$D$157,3,FALSE)</f>
        <v>1.0580813208312243E-4</v>
      </c>
      <c r="I45" s="65">
        <f t="shared" si="0"/>
        <v>0</v>
      </c>
    </row>
    <row r="46" spans="2:9" x14ac:dyDescent="0.25">
      <c r="B46" s="356" t="str">
        <f>VLOOKUP(E46,'Unit List'!$B$9:$E$241,4,0)</f>
        <v>Cold Rolling</v>
      </c>
      <c r="C46" s="91" t="s">
        <v>395</v>
      </c>
      <c r="D46" s="356" t="str">
        <f>VLOOKUP(E46,'Unit List'!$B$9:$D$241,3,0)</f>
        <v>Skin Pass Line 1,2</v>
      </c>
      <c r="E46" s="414">
        <v>4510</v>
      </c>
      <c r="F46" s="376" t="s">
        <v>78</v>
      </c>
      <c r="G46" s="375">
        <v>14336495.072000001</v>
      </c>
      <c r="H46" s="87">
        <f>VLOOKUP(C46,Settings!$B$148:$D$157,3,FALSE)</f>
        <v>1.0580813208312243E-4</v>
      </c>
      <c r="I46" s="65">
        <f t="shared" si="0"/>
        <v>1516.91776418721</v>
      </c>
    </row>
    <row r="47" spans="2:9" x14ac:dyDescent="0.25">
      <c r="B47" s="356" t="str">
        <f>VLOOKUP(E47,'Unit List'!$B$9:$E$241,4,0)</f>
        <v>Cold Rolling</v>
      </c>
      <c r="C47" s="91" t="s">
        <v>395</v>
      </c>
      <c r="D47" s="356" t="str">
        <f>VLOOKUP(E47,'Unit List'!$B$9:$D$241,3,0)</f>
        <v>Skin Pass Line 1,2</v>
      </c>
      <c r="E47" s="414">
        <v>4515</v>
      </c>
      <c r="F47" s="376" t="s">
        <v>78</v>
      </c>
      <c r="G47" s="375">
        <v>14485119.026000001</v>
      </c>
      <c r="H47" s="87">
        <f>VLOOKUP(C47,Settings!$B$148:$D$157,3,FALSE)</f>
        <v>1.0580813208312243E-4</v>
      </c>
      <c r="I47" s="65">
        <f t="shared" si="0"/>
        <v>1532.6433871427578</v>
      </c>
    </row>
    <row r="48" spans="2:9" x14ac:dyDescent="0.25">
      <c r="B48" s="356" t="str">
        <f>VLOOKUP(E48,'Unit List'!$B$9:$E$241,4,0)</f>
        <v>Cold Rolling</v>
      </c>
      <c r="C48" s="91" t="s">
        <v>395</v>
      </c>
      <c r="D48" s="356" t="str">
        <f>VLOOKUP(E48,'Unit List'!$B$9:$D$241,3,0)</f>
        <v>Temper Mill</v>
      </c>
      <c r="E48" s="414">
        <v>4520</v>
      </c>
      <c r="F48" s="376" t="s">
        <v>78</v>
      </c>
      <c r="G48" s="375">
        <v>17274676.279999997</v>
      </c>
      <c r="H48" s="87">
        <f>VLOOKUP(C48,Settings!$B$148:$D$157,3,FALSE)</f>
        <v>1.0580813208312243E-4</v>
      </c>
      <c r="I48" s="65">
        <f t="shared" si="0"/>
        <v>1827.8012295274218</v>
      </c>
    </row>
    <row r="49" spans="2:9" x14ac:dyDescent="0.25">
      <c r="B49" s="356" t="str">
        <f>VLOOKUP(E49,'Unit List'!$B$9:$E$241,4,0)</f>
        <v>Cold Rolling</v>
      </c>
      <c r="C49" s="91" t="s">
        <v>395</v>
      </c>
      <c r="D49" s="356" t="str">
        <f>VLOOKUP(E49,'Unit List'!$B$9:$D$241,3,0)</f>
        <v>Corrective Line 1-4</v>
      </c>
      <c r="E49" s="414">
        <v>4610</v>
      </c>
      <c r="F49" s="376" t="s">
        <v>78</v>
      </c>
      <c r="G49" s="375">
        <v>285815.29499999998</v>
      </c>
      <c r="H49" s="87">
        <f>VLOOKUP(C49,Settings!$B$148:$D$157,3,FALSE)</f>
        <v>1.0580813208312243E-4</v>
      </c>
      <c r="I49" s="65">
        <f t="shared" si="0"/>
        <v>30.2415824847366</v>
      </c>
    </row>
    <row r="50" spans="2:9" x14ac:dyDescent="0.25">
      <c r="B50" s="356" t="str">
        <f>VLOOKUP(E50,'Unit List'!$B$9:$E$241,4,0)</f>
        <v>Cold Rolling</v>
      </c>
      <c r="C50" s="91" t="s">
        <v>395</v>
      </c>
      <c r="D50" s="356" t="str">
        <f>VLOOKUP(E50,'Unit List'!$B$9:$D$241,3,0)</f>
        <v>Corrective Line 1-4</v>
      </c>
      <c r="E50" s="414">
        <v>4615</v>
      </c>
      <c r="F50" s="376" t="s">
        <v>78</v>
      </c>
      <c r="G50" s="375">
        <v>285815.29499999998</v>
      </c>
      <c r="H50" s="87">
        <f>VLOOKUP(C50,Settings!$B$148:$D$157,3,FALSE)</f>
        <v>1.0580813208312243E-4</v>
      </c>
      <c r="I50" s="65">
        <f t="shared" si="0"/>
        <v>30.2415824847366</v>
      </c>
    </row>
    <row r="51" spans="2:9" x14ac:dyDescent="0.25">
      <c r="B51" s="356" t="str">
        <f>VLOOKUP(E51,'Unit List'!$B$9:$E$241,4,0)</f>
        <v>Cold Rolling</v>
      </c>
      <c r="C51" s="91" t="s">
        <v>395</v>
      </c>
      <c r="D51" s="356" t="str">
        <f>VLOOKUP(E51,'Unit List'!$B$9:$D$241,3,0)</f>
        <v>Corrective Line 1-4</v>
      </c>
      <c r="E51" s="414">
        <v>4616</v>
      </c>
      <c r="F51" s="376" t="s">
        <v>78</v>
      </c>
      <c r="G51" s="375">
        <v>0</v>
      </c>
      <c r="H51" s="87">
        <f>VLOOKUP(C51,Settings!$B$148:$D$157,3,FALSE)</f>
        <v>1.0580813208312243E-4</v>
      </c>
      <c r="I51" s="65">
        <f t="shared" si="0"/>
        <v>0</v>
      </c>
    </row>
    <row r="52" spans="2:9" x14ac:dyDescent="0.25">
      <c r="B52" s="356" t="str">
        <f>VLOOKUP(E52,'Unit List'!$B$9:$E$241,4,0)</f>
        <v>Cold Rolling</v>
      </c>
      <c r="C52" s="91" t="s">
        <v>395</v>
      </c>
      <c r="D52" s="356" t="str">
        <f>VLOOKUP(E52,'Unit List'!$B$9:$D$241,3,0)</f>
        <v>Corrective Line 1-4</v>
      </c>
      <c r="E52" s="414">
        <v>4618</v>
      </c>
      <c r="F52" s="376" t="s">
        <v>78</v>
      </c>
      <c r="G52" s="375">
        <v>205787.01</v>
      </c>
      <c r="H52" s="87">
        <f>VLOOKUP(C52,Settings!$B$148:$D$157,3,FALSE)</f>
        <v>1.0580813208312243E-4</v>
      </c>
      <c r="I52" s="65">
        <f t="shared" si="0"/>
        <v>21.773939135070837</v>
      </c>
    </row>
    <row r="53" spans="2:9" x14ac:dyDescent="0.25">
      <c r="B53" s="356" t="str">
        <f>VLOOKUP(E53,'Unit List'!$B$9:$E$241,4,0)</f>
        <v>Cold Rolling</v>
      </c>
      <c r="C53" s="91" t="s">
        <v>395</v>
      </c>
      <c r="D53" s="356" t="str">
        <f>VLOOKUP(E53,'Unit List'!$B$9:$D$241,3,0)</f>
        <v>Light Shearing Line (CRM)</v>
      </c>
      <c r="E53" s="414">
        <v>4630</v>
      </c>
      <c r="F53" s="376" t="s">
        <v>78</v>
      </c>
      <c r="G53" s="375">
        <v>297247.90399999998</v>
      </c>
      <c r="H53" s="87">
        <f>VLOOKUP(C53,Settings!$B$148:$D$157,3,FALSE)</f>
        <v>1.0580813208312243E-4</v>
      </c>
      <c r="I53" s="65">
        <f t="shared" si="0"/>
        <v>31.451245487863297</v>
      </c>
    </row>
    <row r="54" spans="2:9" x14ac:dyDescent="0.25">
      <c r="B54" s="356" t="str">
        <f>VLOOKUP(E54,'Unit List'!$B$9:$E$241,4,0)</f>
        <v>Cold Rolling</v>
      </c>
      <c r="C54" s="91" t="s">
        <v>395</v>
      </c>
      <c r="D54" s="356" t="str">
        <f>VLOOKUP(E54,'Unit List'!$B$9:$D$241,3,0)</f>
        <v>Heavy Shearing Line (CRM)</v>
      </c>
      <c r="E54" s="414">
        <v>4640</v>
      </c>
      <c r="F54" s="376" t="s">
        <v>78</v>
      </c>
      <c r="G54" s="375">
        <v>308680.51800000004</v>
      </c>
      <c r="H54" s="87">
        <f>VLOOKUP(C54,Settings!$B$148:$D$157,3,FALSE)</f>
        <v>1.0580813208312243E-4</v>
      </c>
      <c r="I54" s="65">
        <f t="shared" si="0"/>
        <v>32.660909020030658</v>
      </c>
    </row>
    <row r="55" spans="2:9" x14ac:dyDescent="0.25">
      <c r="B55" s="356" t="str">
        <f>VLOOKUP(E55,'Unit List'!$B$9:$E$241,4,0)</f>
        <v>Cold Rolling</v>
      </c>
      <c r="C55" s="91" t="s">
        <v>395</v>
      </c>
      <c r="D55" s="356" t="str">
        <f>VLOOKUP(E55,'Unit List'!$B$9:$D$241,3,0)</f>
        <v>Tinning Line</v>
      </c>
      <c r="E55" s="414">
        <v>4710</v>
      </c>
      <c r="F55" s="376" t="s">
        <v>78</v>
      </c>
      <c r="G55" s="375">
        <v>3978548.8710000003</v>
      </c>
      <c r="H55" s="87">
        <f>VLOOKUP(C55,Settings!$B$148:$D$157,3,FALSE)</f>
        <v>1.0580813208312243E-4</v>
      </c>
      <c r="I55" s="65">
        <f t="shared" si="0"/>
        <v>420.96282444192565</v>
      </c>
    </row>
    <row r="56" spans="2:9" x14ac:dyDescent="0.25">
      <c r="B56" s="356" t="str">
        <f>VLOOKUP(E56,'Unit List'!$B$9:$E$241,4,0)</f>
        <v>Cold Rolling</v>
      </c>
      <c r="C56" s="91" t="s">
        <v>395</v>
      </c>
      <c r="D56" s="356" t="str">
        <f>VLOOKUP(E56,'Unit List'!$B$9:$D$241,3,0)</f>
        <v>Shearing Line of Tinning 1,2</v>
      </c>
      <c r="E56" s="414">
        <v>4720</v>
      </c>
      <c r="F56" s="376" t="s">
        <v>78</v>
      </c>
      <c r="G56" s="375">
        <v>617361.03200000012</v>
      </c>
      <c r="H56" s="87">
        <f>VLOOKUP(C56,Settings!$B$148:$D$157,3,FALSE)</f>
        <v>1.0580813208312243E-4</v>
      </c>
      <c r="I56" s="65">
        <f t="shared" si="0"/>
        <v>65.321817616828795</v>
      </c>
    </row>
    <row r="57" spans="2:9" x14ac:dyDescent="0.25">
      <c r="B57" s="356" t="str">
        <f>VLOOKUP(E57,'Unit List'!$B$9:$E$241,4,0)</f>
        <v>Cold Rolling</v>
      </c>
      <c r="C57" s="91" t="s">
        <v>395</v>
      </c>
      <c r="D57" s="356" t="str">
        <f>VLOOKUP(E57,'Unit List'!$B$9:$D$241,3,0)</f>
        <v>Shearing Line of Tinning 1,2</v>
      </c>
      <c r="E57" s="753">
        <v>4730</v>
      </c>
      <c r="F57" s="751" t="s">
        <v>78</v>
      </c>
      <c r="G57" s="375">
        <v>628793.64600000007</v>
      </c>
      <c r="H57" s="87">
        <f>VLOOKUP(C57,Settings!$B$148:$D$157,3,FALSE)</f>
        <v>1.0580813208312243E-4</v>
      </c>
      <c r="I57" s="65">
        <f t="shared" si="0"/>
        <v>66.531481148996136</v>
      </c>
    </row>
    <row r="58" spans="2:9" x14ac:dyDescent="0.25">
      <c r="B58" s="356" t="str">
        <f>VLOOKUP(E58,'Unit List'!$B$9:$E$241,4,0)</f>
        <v>Cold Rolling</v>
      </c>
      <c r="C58" s="91" t="s">
        <v>395</v>
      </c>
      <c r="D58" s="356" t="str">
        <f>VLOOKUP(E58,'Unit List'!$B$9:$D$241,3,0)</f>
        <v>Galvanizing Line</v>
      </c>
      <c r="E58" s="753">
        <v>4810</v>
      </c>
      <c r="F58" s="751" t="s">
        <v>78</v>
      </c>
      <c r="G58" s="375">
        <v>0</v>
      </c>
      <c r="H58" s="87">
        <f>VLOOKUP(C58,Settings!$B$148:$D$157,3,FALSE)</f>
        <v>1.0580813208312243E-4</v>
      </c>
      <c r="I58" s="65">
        <f t="shared" si="0"/>
        <v>0</v>
      </c>
    </row>
    <row r="59" spans="2:9" x14ac:dyDescent="0.25">
      <c r="B59" s="356" t="str">
        <f>VLOOKUP(E59,'Unit List'!$B$9:$E$241,4,0)</f>
        <v>Cold Rolling</v>
      </c>
      <c r="C59" s="91" t="s">
        <v>395</v>
      </c>
      <c r="D59" s="356" t="str">
        <f>VLOOKUP(E59,'Unit List'!$B$9:$D$241,3,0)</f>
        <v>Coating Line</v>
      </c>
      <c r="E59" s="753">
        <v>4820</v>
      </c>
      <c r="F59" s="751" t="s">
        <v>78</v>
      </c>
      <c r="G59" s="375">
        <v>1474806.9100000001</v>
      </c>
      <c r="H59" s="87">
        <f>VLOOKUP(C59,Settings!$B$148:$D$157,3,FALSE)</f>
        <v>1.0580813208312243E-4</v>
      </c>
      <c r="I59" s="65">
        <f t="shared" si="0"/>
        <v>156.04656433038167</v>
      </c>
    </row>
    <row r="60" spans="2:9" x14ac:dyDescent="0.25">
      <c r="B60" s="356" t="str">
        <f>VLOOKUP(E60,'Unit List'!$B$9:$E$241,4,0)</f>
        <v>Utility</v>
      </c>
      <c r="C60" s="91" t="s">
        <v>395</v>
      </c>
      <c r="D60" s="356" t="str">
        <f>VLOOKUP(E60,'Unit List'!$B$9:$D$241,3,0)</f>
        <v>DM Water Production</v>
      </c>
      <c r="E60" s="414">
        <v>5110</v>
      </c>
      <c r="F60" s="376" t="s">
        <v>78</v>
      </c>
      <c r="G60" s="375">
        <v>541898.07799999998</v>
      </c>
      <c r="H60" s="87">
        <f>VLOOKUP(C60,Settings!$B$148:$D$157,3,FALSE)</f>
        <v>1.0580813208312243E-4</v>
      </c>
      <c r="I60" s="65">
        <f t="shared" si="0"/>
        <v>57.337223412614179</v>
      </c>
    </row>
    <row r="61" spans="2:9" x14ac:dyDescent="0.25">
      <c r="B61" s="356" t="str">
        <f>VLOOKUP(E61,'Unit List'!$B$9:$E$241,4,0)</f>
        <v>Utility</v>
      </c>
      <c r="C61" s="91" t="s">
        <v>395</v>
      </c>
      <c r="D61" s="356" t="str">
        <f>VLOOKUP(E61,'Unit List'!$B$9:$D$241,3,0)</f>
        <v>Steam Production</v>
      </c>
      <c r="E61" s="414">
        <v>5120</v>
      </c>
      <c r="F61" s="376" t="s">
        <v>78</v>
      </c>
      <c r="G61" s="375">
        <v>3060130.3190000001</v>
      </c>
      <c r="H61" s="87">
        <f>VLOOKUP(C61,Settings!$B$148:$D$157,3,FALSE)</f>
        <v>1.0580813208312243E-4</v>
      </c>
      <c r="I61" s="65">
        <f t="shared" si="0"/>
        <v>323.78667298431958</v>
      </c>
    </row>
    <row r="62" spans="2:9" x14ac:dyDescent="0.25">
      <c r="B62" s="356" t="str">
        <f>VLOOKUP(E62,'Unit List'!$B$9:$E$241,4,0)</f>
        <v>Utility</v>
      </c>
      <c r="C62" s="91" t="s">
        <v>395</v>
      </c>
      <c r="D62" s="356" t="str">
        <f>VLOOKUP(E62,'Unit List'!$B$9:$D$241,3,0)</f>
        <v>PowerPlant 1</v>
      </c>
      <c r="E62" s="414">
        <v>5130</v>
      </c>
      <c r="F62" s="376" t="s">
        <v>78</v>
      </c>
      <c r="G62" s="375">
        <v>4571396.6030000001</v>
      </c>
      <c r="H62" s="87">
        <f>VLOOKUP(C62,Settings!$B$148:$D$157,3,FALSE)</f>
        <v>1.0580813208312243E-4</v>
      </c>
      <c r="I62" s="65">
        <f t="shared" si="0"/>
        <v>483.69093557456125</v>
      </c>
    </row>
    <row r="63" spans="2:9" x14ac:dyDescent="0.25">
      <c r="B63" s="356" t="str">
        <f>VLOOKUP(E63,'Unit List'!$B$9:$E$241,4,0)</f>
        <v>Utility</v>
      </c>
      <c r="C63" s="91" t="s">
        <v>395</v>
      </c>
      <c r="D63" s="356" t="str">
        <f>VLOOKUP(E63,'Unit List'!$B$9:$D$241,3,0)</f>
        <v>Emulsion Breaking System</v>
      </c>
      <c r="E63" s="414">
        <v>5360</v>
      </c>
      <c r="F63" s="376" t="s">
        <v>78</v>
      </c>
      <c r="G63" s="375">
        <v>0</v>
      </c>
      <c r="H63" s="87">
        <f>VLOOKUP(C63,Settings!$B$148:$D$157,3,FALSE)</f>
        <v>1.0580813208312243E-4</v>
      </c>
      <c r="I63" s="65">
        <f t="shared" si="0"/>
        <v>0</v>
      </c>
    </row>
    <row r="64" spans="2:9" x14ac:dyDescent="0.25">
      <c r="B64" s="356" t="str">
        <f>VLOOKUP(E64,'Unit List'!$B$9:$E$241,4,0)</f>
        <v>Maintenance</v>
      </c>
      <c r="C64" s="91" t="s">
        <v>395</v>
      </c>
      <c r="D64" s="356" t="str">
        <f>VLOOKUP(E64,'Unit List'!$B$9:$D$241,3,0)</f>
        <v>-</v>
      </c>
      <c r="E64" s="376">
        <v>7310</v>
      </c>
      <c r="F64" s="376" t="s">
        <v>78</v>
      </c>
      <c r="G64" s="375">
        <v>1047795.6000000001</v>
      </c>
      <c r="H64" s="87">
        <f>VLOOKUP(C64,Settings!$B$148:$D$157,3,FALSE)</f>
        <v>1.0580813208312243E-4</v>
      </c>
      <c r="I64" s="65">
        <f t="shared" si="0"/>
        <v>110.86529524091453</v>
      </c>
    </row>
    <row r="65" spans="2:9" x14ac:dyDescent="0.25">
      <c r="B65" s="356" t="str">
        <f>VLOOKUP(E65,'Unit List'!$B$9:$E$241,4,0)</f>
        <v>Maintenance</v>
      </c>
      <c r="C65" s="91" t="s">
        <v>395</v>
      </c>
      <c r="D65" s="356" t="str">
        <f>VLOOKUP(E65,'Unit List'!$B$9:$D$241,3,0)</f>
        <v>-</v>
      </c>
      <c r="E65" s="376">
        <v>7330</v>
      </c>
      <c r="F65" s="376" t="s">
        <v>78</v>
      </c>
      <c r="G65" s="375">
        <v>1047795.6000000001</v>
      </c>
      <c r="H65" s="87">
        <f>VLOOKUP(C65,Settings!$B$148:$D$157,3,FALSE)</f>
        <v>1.0580813208312243E-4</v>
      </c>
      <c r="I65" s="65">
        <f t="shared" ref="I65:I71" si="1">G65*H65</f>
        <v>110.86529524091453</v>
      </c>
    </row>
    <row r="66" spans="2:9" x14ac:dyDescent="0.25">
      <c r="B66" s="356" t="str">
        <f>VLOOKUP(E66,'Unit List'!$B$9:$E$241,4,0)</f>
        <v>Maintenance</v>
      </c>
      <c r="C66" s="91" t="s">
        <v>395</v>
      </c>
      <c r="D66" s="356" t="str">
        <f>VLOOKUP(E66,'Unit List'!$B$9:$D$241,3,0)</f>
        <v>-</v>
      </c>
      <c r="E66" s="376">
        <v>7340</v>
      </c>
      <c r="F66" s="376" t="s">
        <v>78</v>
      </c>
      <c r="G66" s="375">
        <v>1833642.3</v>
      </c>
      <c r="H66" s="87">
        <f>VLOOKUP(C66,Settings!$B$148:$D$157,3,FALSE)</f>
        <v>1.0580813208312243E-4</v>
      </c>
      <c r="I66" s="65">
        <f t="shared" si="1"/>
        <v>194.01426667160041</v>
      </c>
    </row>
    <row r="67" spans="2:9" x14ac:dyDescent="0.25">
      <c r="B67" s="356" t="str">
        <f>VLOOKUP(E67,'Unit List'!$B$9:$E$241,4,0)</f>
        <v>Maintenance</v>
      </c>
      <c r="C67" s="91" t="s">
        <v>395</v>
      </c>
      <c r="D67" s="356" t="str">
        <f>VLOOKUP(E67,'Unit List'!$B$9:$D$241,3,0)</f>
        <v>-</v>
      </c>
      <c r="E67" s="376">
        <v>7360</v>
      </c>
      <c r="F67" s="376" t="s">
        <v>78</v>
      </c>
      <c r="G67" s="375">
        <v>1309744.5</v>
      </c>
      <c r="H67" s="87">
        <f>VLOOKUP(C67,Settings!$B$148:$D$157,3,FALSE)</f>
        <v>1.0580813208312243E-4</v>
      </c>
      <c r="I67" s="65">
        <f t="shared" si="1"/>
        <v>138.58161905114315</v>
      </c>
    </row>
    <row r="68" spans="2:9" x14ac:dyDescent="0.25">
      <c r="B68" s="356" t="e">
        <f>VLOOKUP(E68,'Unit List'!$B$9:$E$241,4,0)</f>
        <v>#N/A</v>
      </c>
      <c r="C68" s="91" t="s">
        <v>395</v>
      </c>
      <c r="D68" s="356" t="e">
        <f>VLOOKUP(E68,'Unit List'!$B$9:$D$241,3,0)</f>
        <v>#N/A</v>
      </c>
      <c r="E68" s="376"/>
      <c r="F68" s="751"/>
      <c r="G68" s="637"/>
      <c r="H68" s="638">
        <f>VLOOKUP(C68,Settings!$B$148:$D$157,3,FALSE)</f>
        <v>1.0580813208312243E-4</v>
      </c>
      <c r="I68" s="65">
        <f t="shared" si="1"/>
        <v>0</v>
      </c>
    </row>
    <row r="69" spans="2:9" x14ac:dyDescent="0.25">
      <c r="B69" s="356" t="e">
        <f>VLOOKUP(E69,'Unit List'!$B$9:$E$241,4,0)</f>
        <v>#N/A</v>
      </c>
      <c r="C69" s="91" t="s">
        <v>395</v>
      </c>
      <c r="D69" s="356" t="e">
        <f>VLOOKUP(E69,'Unit List'!$B$9:$D$241,3,0)</f>
        <v>#N/A</v>
      </c>
      <c r="E69" s="376"/>
      <c r="F69" s="751"/>
      <c r="G69" s="637"/>
      <c r="H69" s="638">
        <f>VLOOKUP(C69,Settings!$B$148:$D$157,3,FALSE)</f>
        <v>1.0580813208312243E-4</v>
      </c>
      <c r="I69" s="65">
        <f t="shared" si="1"/>
        <v>0</v>
      </c>
    </row>
    <row r="70" spans="2:9" x14ac:dyDescent="0.25">
      <c r="B70" s="356" t="e">
        <f>VLOOKUP(E70,'Unit List'!$B$9:$E$241,4,0)</f>
        <v>#N/A</v>
      </c>
      <c r="C70" s="91" t="s">
        <v>395</v>
      </c>
      <c r="D70" s="356" t="e">
        <f>VLOOKUP(E70,'Unit List'!$B$9:$D$241,3,0)</f>
        <v>#N/A</v>
      </c>
      <c r="E70" s="376"/>
      <c r="F70" s="754"/>
      <c r="G70" s="375"/>
      <c r="H70" s="87">
        <f>VLOOKUP(C70,Settings!$B$148:$D$157,3,FALSE)</f>
        <v>1.0580813208312243E-4</v>
      </c>
      <c r="I70" s="65">
        <f t="shared" si="1"/>
        <v>0</v>
      </c>
    </row>
    <row r="71" spans="2:9" x14ac:dyDescent="0.25">
      <c r="B71" s="356" t="e">
        <f>VLOOKUP(E71,'Unit List'!$B$9:$E$241,4,0)</f>
        <v>#N/A</v>
      </c>
      <c r="C71" s="91" t="s">
        <v>395</v>
      </c>
      <c r="D71" s="356" t="e">
        <f>VLOOKUP(E71,'Unit List'!$B$9:$D$241,3,0)</f>
        <v>#N/A</v>
      </c>
      <c r="E71" s="733"/>
      <c r="F71" s="733"/>
      <c r="G71" s="406"/>
      <c r="H71" s="87">
        <f>VLOOKUP(C71,Settings!$B$148:$D$157,3,FALSE)</f>
        <v>1.0580813208312243E-4</v>
      </c>
      <c r="I71" s="65">
        <f t="shared" si="1"/>
        <v>0</v>
      </c>
    </row>
    <row r="72" spans="2:9" ht="30" customHeight="1" x14ac:dyDescent="0.25">
      <c r="B72" s="355" t="s">
        <v>410</v>
      </c>
      <c r="C72" s="355"/>
      <c r="D72" s="355"/>
      <c r="E72" s="355"/>
      <c r="F72" s="355"/>
      <c r="G72" s="394">
        <f>SUM(G10:G71)</f>
        <v>792115302.02799988</v>
      </c>
      <c r="H72" s="355"/>
      <c r="I72" s="394">
        <f>_xlfn.AGGREGATE(9,6,I10:I71)</f>
        <v>83812.240502041081</v>
      </c>
    </row>
  </sheetData>
  <protectedRanges>
    <protectedRange sqref="E10:G71" name="Range1"/>
  </protectedRanges>
  <mergeCells count="6">
    <mergeCell ref="B8:B9"/>
    <mergeCell ref="E8:E9"/>
    <mergeCell ref="G8:G9"/>
    <mergeCell ref="C8:C9"/>
    <mergeCell ref="D8:D9"/>
    <mergeCell ref="F8:F9"/>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09EF420-0FC1-46E5-9A8C-7ACEB158F683}">
          <x14:formula1>
            <xm:f>Settings!$B$148:$B$157</xm:f>
          </x14:formula1>
          <xm:sqref>C10:C71</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DA97D-A986-4F0F-98E2-0FBB573A158C}">
  <dimension ref="B3:I50"/>
  <sheetViews>
    <sheetView rightToLeft="1" zoomScale="85" zoomScaleNormal="85" workbookViewId="0">
      <selection activeCell="N50" sqref="N50"/>
    </sheetView>
  </sheetViews>
  <sheetFormatPr defaultColWidth="9.09765625" defaultRowHeight="16.2" x14ac:dyDescent="0.25"/>
  <cols>
    <col min="1" max="1" width="12.09765625" style="3" customWidth="1"/>
    <col min="2" max="2" width="13.19921875" style="24" customWidth="1"/>
    <col min="3" max="3" width="16.3984375" style="3" customWidth="1"/>
    <col min="4" max="4" width="28" style="3" customWidth="1"/>
    <col min="5" max="6" width="12.796875" style="3" customWidth="1"/>
    <col min="7" max="7" width="21.8984375"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364</v>
      </c>
      <c r="C7" s="381"/>
      <c r="D7" s="381"/>
      <c r="E7" s="381"/>
      <c r="F7" s="381"/>
      <c r="G7" s="381"/>
      <c r="H7" s="381"/>
      <c r="I7" s="381"/>
    </row>
    <row r="8" spans="2:9" ht="29.4" customHeight="1" x14ac:dyDescent="0.25">
      <c r="B8" s="1013" t="s">
        <v>335</v>
      </c>
      <c r="C8" s="1014" t="s">
        <v>1152</v>
      </c>
      <c r="D8" s="1013" t="s">
        <v>411</v>
      </c>
      <c r="E8" s="1014" t="s">
        <v>398</v>
      </c>
      <c r="F8" s="1013" t="s">
        <v>400</v>
      </c>
      <c r="G8" s="1014" t="s">
        <v>528</v>
      </c>
      <c r="H8" s="374" t="s">
        <v>405</v>
      </c>
      <c r="I8" s="374" t="s">
        <v>406</v>
      </c>
    </row>
    <row r="9" spans="2:9" ht="17.25" customHeight="1" x14ac:dyDescent="0.25">
      <c r="B9" s="1013"/>
      <c r="C9" s="1008"/>
      <c r="D9" s="1013"/>
      <c r="E9" s="1008"/>
      <c r="F9" s="1013"/>
      <c r="G9" s="1008"/>
      <c r="H9" s="374" t="s">
        <v>269</v>
      </c>
      <c r="I9" s="355" t="s">
        <v>222</v>
      </c>
    </row>
    <row r="10" spans="2:9" ht="17.25" customHeight="1" x14ac:dyDescent="0.25">
      <c r="B10" s="356" t="str">
        <f>VLOOKUP(E10,'Unit List'!$B$9:$E$241,4,0)</f>
        <v>Iron Making</v>
      </c>
      <c r="C10" s="91" t="s">
        <v>364</v>
      </c>
      <c r="D10" s="356" t="str">
        <f>VLOOKUP(E10,'Unit List'!$B$9:$D$241,3,0)</f>
        <v>Pelletizing</v>
      </c>
      <c r="E10" s="414">
        <v>1210</v>
      </c>
      <c r="F10" s="376">
        <v>55020</v>
      </c>
      <c r="G10" s="375">
        <v>10775.429</v>
      </c>
      <c r="H10" s="87">
        <f>VLOOKUP(C10,Settings!$B$148:$D$157,3,FALSE)</f>
        <v>4.0242608599150845E-4</v>
      </c>
      <c r="I10" s="65">
        <f>G10*H10</f>
        <v>4.3363137173493937</v>
      </c>
    </row>
    <row r="11" spans="2:9" ht="17.25" customHeight="1" x14ac:dyDescent="0.25">
      <c r="B11" s="356" t="str">
        <f>VLOOKUP(E11,'Unit List'!$B$9:$E$241,4,0)</f>
        <v>Iron Making</v>
      </c>
      <c r="C11" s="91" t="s">
        <v>364</v>
      </c>
      <c r="D11" s="356" t="str">
        <f>VLOOKUP(E11,'Unit List'!$B$9:$D$241,3,0)</f>
        <v>Direct Reduction</v>
      </c>
      <c r="E11" s="414">
        <v>1310</v>
      </c>
      <c r="F11" s="376">
        <v>55020</v>
      </c>
      <c r="G11" s="375">
        <v>13458509.571</v>
      </c>
      <c r="H11" s="87">
        <f>VLOOKUP(C11,Settings!$B$148:$D$157,3,FALSE)</f>
        <v>4.0242608599150845E-4</v>
      </c>
      <c r="I11" s="65">
        <f t="shared" ref="I11:I47" si="0">G11*H11</f>
        <v>5416.0553299367857</v>
      </c>
    </row>
    <row r="12" spans="2:9" ht="17.25" customHeight="1" x14ac:dyDescent="0.25">
      <c r="B12" s="356" t="str">
        <f>VLOOKUP(E12,'Unit List'!$B$9:$E$241,4,0)</f>
        <v>Steel Making</v>
      </c>
      <c r="C12" s="91" t="s">
        <v>364</v>
      </c>
      <c r="D12" s="356" t="str">
        <f>VLOOKUP(E12,'Unit List'!$B$9:$D$241,3,0)</f>
        <v>EAFs</v>
      </c>
      <c r="E12" s="414">
        <v>2110</v>
      </c>
      <c r="F12" s="376">
        <v>55020</v>
      </c>
      <c r="G12" s="375">
        <v>19273076</v>
      </c>
      <c r="H12" s="87">
        <f>VLOOKUP(C12,Settings!$B$148:$D$157,3,FALSE)</f>
        <v>4.0242608599150845E-4</v>
      </c>
      <c r="I12" s="65">
        <f t="shared" si="0"/>
        <v>7755.9885396968775</v>
      </c>
    </row>
    <row r="13" spans="2:9" x14ac:dyDescent="0.25">
      <c r="B13" s="356" t="str">
        <f>VLOOKUP(E13,'Unit List'!$B$9:$E$241,4,0)</f>
        <v>Steel Making</v>
      </c>
      <c r="C13" s="91" t="s">
        <v>364</v>
      </c>
      <c r="D13" s="356" t="str">
        <f>VLOOKUP(E13,'Unit List'!$B$9:$D$241,3,0)</f>
        <v>EAFs</v>
      </c>
      <c r="E13" s="414">
        <v>2210</v>
      </c>
      <c r="F13" s="376">
        <v>55020</v>
      </c>
      <c r="G13" s="375">
        <v>221957933.90399995</v>
      </c>
      <c r="H13" s="87">
        <f>VLOOKUP(C13,Settings!$B$148:$D$157,3,FALSE)</f>
        <v>4.0242608599150845E-4</v>
      </c>
      <c r="I13" s="65">
        <f t="shared" si="0"/>
        <v>89321.662595748639</v>
      </c>
    </row>
    <row r="14" spans="2:9" x14ac:dyDescent="0.25">
      <c r="B14" s="356" t="str">
        <f>VLOOKUP(E14,'Unit List'!$B$9:$E$241,4,0)</f>
        <v>Steel Making</v>
      </c>
      <c r="C14" s="91" t="s">
        <v>364</v>
      </c>
      <c r="D14" s="356" t="str">
        <f>VLOOKUP(E14,'Unit List'!$B$9:$D$241,3,0)</f>
        <v>De-gassing</v>
      </c>
      <c r="E14" s="414">
        <v>2220</v>
      </c>
      <c r="F14" s="376">
        <v>55020</v>
      </c>
      <c r="G14" s="375">
        <v>2706804.0719999997</v>
      </c>
      <c r="H14" s="87">
        <f>VLOOKUP(C14,Settings!$B$148:$D$157,3,FALSE)</f>
        <v>4.0242608599150845E-4</v>
      </c>
      <c r="I14" s="65">
        <f t="shared" si="0"/>
        <v>1089.2885682408371</v>
      </c>
    </row>
    <row r="15" spans="2:9" x14ac:dyDescent="0.25">
      <c r="B15" s="356" t="str">
        <f>VLOOKUP(E15,'Unit List'!$B$9:$E$241,4,0)</f>
        <v>Steel Making</v>
      </c>
      <c r="C15" s="91" t="s">
        <v>364</v>
      </c>
      <c r="D15" s="356" t="str">
        <f>VLOOKUP(E15,'Unit List'!$B$9:$D$241,3,0)</f>
        <v>Laddle Furnaces</v>
      </c>
      <c r="E15" s="414">
        <v>2301</v>
      </c>
      <c r="F15" s="376">
        <v>55020</v>
      </c>
      <c r="G15" s="375">
        <v>902268.02400000009</v>
      </c>
      <c r="H15" s="87">
        <f>VLOOKUP(C15,Settings!$B$148:$D$157,3,FALSE)</f>
        <v>4.0242608599150845E-4</v>
      </c>
      <c r="I15" s="65">
        <f t="shared" si="0"/>
        <v>363.09618941361248</v>
      </c>
    </row>
    <row r="16" spans="2:9" x14ac:dyDescent="0.25">
      <c r="B16" s="356" t="str">
        <f>VLOOKUP(E16,'Unit List'!$B$9:$E$241,4,0)</f>
        <v>Steel Making</v>
      </c>
      <c r="C16" s="91" t="s">
        <v>364</v>
      </c>
      <c r="D16" s="356" t="str">
        <f>VLOOKUP(E16,'Unit List'!$B$9:$D$241,3,0)</f>
        <v>Casting Machines</v>
      </c>
      <c r="E16" s="414">
        <v>2410</v>
      </c>
      <c r="F16" s="376">
        <v>55020</v>
      </c>
      <c r="G16" s="375">
        <v>24339908</v>
      </c>
      <c r="H16" s="87">
        <f>VLOOKUP(C16,Settings!$B$148:$D$157,3,FALSE)</f>
        <v>4.0242608599150845E-4</v>
      </c>
      <c r="I16" s="65">
        <f t="shared" si="0"/>
        <v>9795.0139098334039</v>
      </c>
    </row>
    <row r="17" spans="2:9" x14ac:dyDescent="0.25">
      <c r="B17" s="356" t="str">
        <f>VLOOKUP(E17,'Unit List'!$B$9:$E$241,4,0)</f>
        <v>Steel Making</v>
      </c>
      <c r="C17" s="91" t="s">
        <v>364</v>
      </c>
      <c r="D17" s="356" t="str">
        <f>VLOOKUP(E17,'Unit List'!$B$9:$D$241,3,0)</f>
        <v>Slab Cooling</v>
      </c>
      <c r="E17" s="414">
        <v>2510</v>
      </c>
      <c r="F17" s="376">
        <v>55020</v>
      </c>
      <c r="G17" s="375">
        <v>15562615</v>
      </c>
      <c r="H17" s="87">
        <f>VLOOKUP(C17,Settings!$B$148:$D$157,3,FALSE)</f>
        <v>4.0242608599150845E-4</v>
      </c>
      <c r="I17" s="65">
        <f t="shared" si="0"/>
        <v>6262.8022422427393</v>
      </c>
    </row>
    <row r="18" spans="2:9" x14ac:dyDescent="0.25">
      <c r="B18" s="356" t="str">
        <f>VLOOKUP(E18,'Unit List'!$B$9:$E$241,4,0)</f>
        <v>Hot Rolling</v>
      </c>
      <c r="C18" s="91" t="s">
        <v>364</v>
      </c>
      <c r="D18" s="356" t="str">
        <f>VLOOKUP(E18,'Unit List'!$B$9:$D$241,3,0)</f>
        <v>Hot Rolling Mill</v>
      </c>
      <c r="E18" s="414">
        <v>3101</v>
      </c>
      <c r="F18" s="376">
        <v>55020</v>
      </c>
      <c r="G18" s="375">
        <v>85892.1</v>
      </c>
      <c r="H18" s="87">
        <f>VLOOKUP(C18,Settings!$B$148:$D$157,3,FALSE)</f>
        <v>4.0242608599150845E-4</v>
      </c>
      <c r="I18" s="65">
        <f t="shared" si="0"/>
        <v>34.565221620591245</v>
      </c>
    </row>
    <row r="19" spans="2:9" x14ac:dyDescent="0.25">
      <c r="B19" s="356" t="str">
        <f>VLOOKUP(E19,'Unit List'!$B$9:$E$241,4,0)</f>
        <v>Hot Rolling</v>
      </c>
      <c r="C19" s="91" t="s">
        <v>364</v>
      </c>
      <c r="D19" s="356" t="str">
        <f>VLOOKUP(E19,'Unit List'!$B$9:$D$241,3,0)</f>
        <v>Hot Rolling Mill</v>
      </c>
      <c r="E19" s="414">
        <v>3210</v>
      </c>
      <c r="F19" s="376">
        <v>55020</v>
      </c>
      <c r="G19" s="375">
        <v>85892.1</v>
      </c>
      <c r="H19" s="87">
        <f>VLOOKUP(C19,Settings!$B$148:$D$157,3,FALSE)</f>
        <v>4.0242608599150845E-4</v>
      </c>
      <c r="I19" s="65">
        <f t="shared" si="0"/>
        <v>34.565221620591245</v>
      </c>
    </row>
    <row r="20" spans="2:9" x14ac:dyDescent="0.25">
      <c r="B20" s="356" t="str">
        <f>VLOOKUP(E20,'Unit List'!$B$9:$E$241,4,0)</f>
        <v>Hot Rolling</v>
      </c>
      <c r="C20" s="91" t="s">
        <v>364</v>
      </c>
      <c r="D20" s="356" t="str">
        <f>VLOOKUP(E20,'Unit List'!$B$9:$D$241,3,0)</f>
        <v>Hot Rolling Mill</v>
      </c>
      <c r="E20" s="414">
        <v>3310</v>
      </c>
      <c r="F20" s="376">
        <v>55020</v>
      </c>
      <c r="G20" s="375">
        <v>687136.8</v>
      </c>
      <c r="H20" s="87">
        <f>VLOOKUP(C20,Settings!$B$148:$D$157,3,FALSE)</f>
        <v>4.0242608599150845E-4</v>
      </c>
      <c r="I20" s="65">
        <f t="shared" si="0"/>
        <v>276.52177296472996</v>
      </c>
    </row>
    <row r="21" spans="2:9" x14ac:dyDescent="0.25">
      <c r="B21" s="356" t="str">
        <f>VLOOKUP(E21,'Unit List'!$B$9:$E$241,4,0)</f>
        <v>Hot Rolling</v>
      </c>
      <c r="C21" s="91" t="s">
        <v>364</v>
      </c>
      <c r="D21" s="356" t="str">
        <f>VLOOKUP(E21,'Unit List'!$B$9:$D$241,3,0)</f>
        <v>Shearing Line 1</v>
      </c>
      <c r="E21" s="414">
        <v>3410</v>
      </c>
      <c r="F21" s="376">
        <v>55020</v>
      </c>
      <c r="G21" s="375">
        <v>429460.5</v>
      </c>
      <c r="H21" s="87">
        <f>VLOOKUP(C21,Settings!$B$148:$D$157,3,FALSE)</f>
        <v>4.0242608599150845E-4</v>
      </c>
      <c r="I21" s="65">
        <f t="shared" si="0"/>
        <v>172.82610810295623</v>
      </c>
    </row>
    <row r="22" spans="2:9" x14ac:dyDescent="0.25">
      <c r="B22" s="356" t="e">
        <f>VLOOKUP(E22,'Unit List'!$B$9:$E$241,4,0)</f>
        <v>#N/A</v>
      </c>
      <c r="C22" s="91" t="s">
        <v>364</v>
      </c>
      <c r="D22" s="356" t="e">
        <f>VLOOKUP(E22,'Unit List'!$B$9:$D$241,3,0)</f>
        <v>#N/A</v>
      </c>
      <c r="E22" s="414">
        <v>320</v>
      </c>
      <c r="F22" s="376">
        <v>55020</v>
      </c>
      <c r="G22" s="375">
        <v>85892.1</v>
      </c>
      <c r="H22" s="87">
        <f>VLOOKUP(C22,Settings!$B$148:$D$157,3,FALSE)</f>
        <v>4.0242608599150845E-4</v>
      </c>
      <c r="I22" s="65">
        <f t="shared" si="0"/>
        <v>34.565221620591245</v>
      </c>
    </row>
    <row r="23" spans="2:9" x14ac:dyDescent="0.25">
      <c r="B23" s="356" t="str">
        <f>VLOOKUP(E23,'Unit List'!$B$9:$E$241,4,0)</f>
        <v>Hot Rolling</v>
      </c>
      <c r="C23" s="91" t="s">
        <v>364</v>
      </c>
      <c r="D23" s="356" t="str">
        <f>VLOOKUP(E23,'Unit List'!$B$9:$D$241,3,0)</f>
        <v>Shearing Line 2</v>
      </c>
      <c r="E23" s="414">
        <v>3430</v>
      </c>
      <c r="F23" s="376">
        <v>55020</v>
      </c>
      <c r="G23" s="375">
        <v>85892.1</v>
      </c>
      <c r="H23" s="87">
        <f>VLOOKUP(C23,Settings!$B$148:$D$157,3,FALSE)</f>
        <v>4.0242608599150845E-4</v>
      </c>
      <c r="I23" s="65">
        <f t="shared" si="0"/>
        <v>34.565221620591245</v>
      </c>
    </row>
    <row r="24" spans="2:9" x14ac:dyDescent="0.25">
      <c r="B24" s="356" t="str">
        <f>VLOOKUP(E24,'Unit List'!$B$9:$E$241,4,0)</f>
        <v>Hot Rolling</v>
      </c>
      <c r="C24" s="91" t="s">
        <v>364</v>
      </c>
      <c r="D24" s="356" t="str">
        <f>VLOOKUP(E24,'Unit List'!$B$9:$D$241,3,0)</f>
        <v>Heavy Shearing Line</v>
      </c>
      <c r="E24" s="414">
        <v>3440</v>
      </c>
      <c r="F24" s="376">
        <v>55020</v>
      </c>
      <c r="G24" s="375">
        <v>85892.1</v>
      </c>
      <c r="H24" s="87">
        <f>VLOOKUP(C24,Settings!$B$148:$D$157,3,FALSE)</f>
        <v>4.0242608599150845E-4</v>
      </c>
      <c r="I24" s="65">
        <f t="shared" si="0"/>
        <v>34.565221620591245</v>
      </c>
    </row>
    <row r="25" spans="2:9" x14ac:dyDescent="0.25">
      <c r="B25" s="356" t="str">
        <f>VLOOKUP(E25,'Unit List'!$B$9:$E$241,4,0)</f>
        <v>Hot Rolling</v>
      </c>
      <c r="C25" s="91" t="s">
        <v>364</v>
      </c>
      <c r="D25" s="356" t="str">
        <f>VLOOKUP(E25,'Unit List'!$B$9:$D$241,3,0)</f>
        <v>Skin Pass Mill</v>
      </c>
      <c r="E25" s="414">
        <v>3450</v>
      </c>
      <c r="F25" s="376">
        <v>55020</v>
      </c>
      <c r="G25" s="375">
        <v>85892.1</v>
      </c>
      <c r="H25" s="87">
        <f>VLOOKUP(C25,Settings!$B$148:$D$157,3,FALSE)</f>
        <v>4.0242608599150845E-4</v>
      </c>
      <c r="I25" s="65">
        <f t="shared" si="0"/>
        <v>34.565221620591245</v>
      </c>
    </row>
    <row r="26" spans="2:9" x14ac:dyDescent="0.25">
      <c r="B26" s="356" t="str">
        <f>VLOOKUP(E26,'Unit List'!$B$9:$E$241,4,0)</f>
        <v>Hot Rolling</v>
      </c>
      <c r="C26" s="91" t="s">
        <v>364</v>
      </c>
      <c r="D26" s="356" t="str">
        <f>VLOOKUP(E26,'Unit List'!$B$9:$D$241,3,0)</f>
        <v>Skin Pass Mill</v>
      </c>
      <c r="E26" s="414">
        <v>3460</v>
      </c>
      <c r="F26" s="376">
        <v>55020</v>
      </c>
      <c r="G26" s="375">
        <v>85892.1</v>
      </c>
      <c r="H26" s="87">
        <f>VLOOKUP(C26,Settings!$B$148:$D$157,3,FALSE)</f>
        <v>4.0242608599150845E-4</v>
      </c>
      <c r="I26" s="65">
        <f t="shared" si="0"/>
        <v>34.565221620591245</v>
      </c>
    </row>
    <row r="27" spans="2:9" x14ac:dyDescent="0.25">
      <c r="B27" s="356" t="str">
        <f>VLOOKUP(E27,'Unit List'!$B$9:$E$241,4,0)</f>
        <v>Cold Rolling</v>
      </c>
      <c r="C27" s="91" t="s">
        <v>364</v>
      </c>
      <c r="D27" s="356" t="str">
        <f>VLOOKUP(E27,'Unit List'!$B$9:$D$241,3,0)</f>
        <v>Pickling Line 1,2</v>
      </c>
      <c r="E27" s="414">
        <v>4220</v>
      </c>
      <c r="F27" s="376">
        <v>55020</v>
      </c>
      <c r="G27" s="375">
        <v>814838</v>
      </c>
      <c r="H27" s="87">
        <f>VLOOKUP(C27,Settings!$B$148:$D$157,3,FALSE)</f>
        <v>4.0242608599150845E-4</v>
      </c>
      <c r="I27" s="65">
        <f t="shared" si="0"/>
        <v>327.91206705714876</v>
      </c>
    </row>
    <row r="28" spans="2:9" x14ac:dyDescent="0.25">
      <c r="B28" s="356" t="str">
        <f>VLOOKUP(E28,'Unit List'!$B$9:$E$241,4,0)</f>
        <v>Cold Rolling</v>
      </c>
      <c r="C28" s="91" t="s">
        <v>364</v>
      </c>
      <c r="D28" s="356" t="str">
        <f>VLOOKUP(E28,'Unit List'!$B$9:$D$241,3,0)</f>
        <v>Pickling Line 1,2</v>
      </c>
      <c r="E28" s="414">
        <v>4225</v>
      </c>
      <c r="F28" s="376">
        <v>55020</v>
      </c>
      <c r="G28" s="375">
        <v>0</v>
      </c>
      <c r="H28" s="87">
        <f>VLOOKUP(C28,Settings!$B$148:$D$157,3,FALSE)</f>
        <v>4.0242608599150845E-4</v>
      </c>
      <c r="I28" s="65">
        <f t="shared" si="0"/>
        <v>0</v>
      </c>
    </row>
    <row r="29" spans="2:9" x14ac:dyDescent="0.25">
      <c r="B29" s="356" t="str">
        <f>VLOOKUP(E29,'Unit List'!$B$9:$E$241,4,0)</f>
        <v>Cold Rolling</v>
      </c>
      <c r="C29" s="91" t="s">
        <v>364</v>
      </c>
      <c r="D29" s="356" t="str">
        <f>VLOOKUP(E29,'Unit List'!$B$9:$D$241,3,0)</f>
        <v>Skin Pass Line 1,2</v>
      </c>
      <c r="E29" s="414">
        <v>4510</v>
      </c>
      <c r="F29" s="376">
        <v>55020</v>
      </c>
      <c r="G29" s="375">
        <v>0</v>
      </c>
      <c r="H29" s="87">
        <f>VLOOKUP(C29,Settings!$B$148:$D$157,3,FALSE)</f>
        <v>4.0242608599150845E-4</v>
      </c>
      <c r="I29" s="65">
        <f t="shared" si="0"/>
        <v>0</v>
      </c>
    </row>
    <row r="30" spans="2:9" x14ac:dyDescent="0.25">
      <c r="B30" s="356" t="str">
        <f>VLOOKUP(E30,'Unit List'!$B$9:$E$241,4,0)</f>
        <v>Cold Rolling</v>
      </c>
      <c r="C30" s="91" t="s">
        <v>364</v>
      </c>
      <c r="D30" s="356" t="str">
        <f>VLOOKUP(E30,'Unit List'!$B$9:$D$241,3,0)</f>
        <v>Skin Pass Line 1,2</v>
      </c>
      <c r="E30" s="414">
        <v>4515</v>
      </c>
      <c r="F30" s="376">
        <v>55020</v>
      </c>
      <c r="G30" s="375">
        <v>0</v>
      </c>
      <c r="H30" s="87">
        <f>VLOOKUP(C30,Settings!$B$148:$D$157,3,FALSE)</f>
        <v>4.0242608599150845E-4</v>
      </c>
      <c r="I30" s="65">
        <f t="shared" si="0"/>
        <v>0</v>
      </c>
    </row>
    <row r="31" spans="2:9" x14ac:dyDescent="0.25">
      <c r="B31" s="356" t="str">
        <f>VLOOKUP(E31,'Unit List'!$B$9:$E$241,4,0)</f>
        <v>Cold Rolling</v>
      </c>
      <c r="C31" s="91" t="s">
        <v>364</v>
      </c>
      <c r="D31" s="356" t="str">
        <f>VLOOKUP(E31,'Unit List'!$B$9:$D$241,3,0)</f>
        <v>Temper Mill</v>
      </c>
      <c r="E31" s="414">
        <v>4520</v>
      </c>
      <c r="F31" s="376">
        <v>55020</v>
      </c>
      <c r="G31" s="375">
        <v>0</v>
      </c>
      <c r="H31" s="87">
        <f>VLOOKUP(C31,Settings!$B$148:$D$157,3,FALSE)</f>
        <v>4.0242608599150845E-4</v>
      </c>
      <c r="I31" s="65">
        <f t="shared" si="0"/>
        <v>0</v>
      </c>
    </row>
    <row r="32" spans="2:9" x14ac:dyDescent="0.25">
      <c r="B32" s="356" t="str">
        <f>VLOOKUP(E32,'Unit List'!$B$9:$E$241,4,0)</f>
        <v>Cold Rolling</v>
      </c>
      <c r="C32" s="91" t="s">
        <v>364</v>
      </c>
      <c r="D32" s="356" t="str">
        <f>VLOOKUP(E32,'Unit List'!$B$9:$D$241,3,0)</f>
        <v>Corrective Line 1-4</v>
      </c>
      <c r="E32" s="414">
        <v>4616</v>
      </c>
      <c r="F32" s="376">
        <v>55020</v>
      </c>
      <c r="G32" s="375">
        <v>0</v>
      </c>
      <c r="H32" s="87">
        <f>VLOOKUP(C32,Settings!$B$148:$D$157,3,FALSE)</f>
        <v>4.0242608599150845E-4</v>
      </c>
      <c r="I32" s="65">
        <f t="shared" si="0"/>
        <v>0</v>
      </c>
    </row>
    <row r="33" spans="2:9" x14ac:dyDescent="0.25">
      <c r="B33" s="356" t="str">
        <f>VLOOKUP(E33,'Unit List'!$B$9:$E$241,4,0)</f>
        <v>Cold Rolling</v>
      </c>
      <c r="C33" s="91" t="s">
        <v>364</v>
      </c>
      <c r="D33" s="356" t="str">
        <f>VLOOKUP(E33,'Unit List'!$B$9:$D$241,3,0)</f>
        <v>Corrective Line 1-4</v>
      </c>
      <c r="E33" s="414">
        <v>4618</v>
      </c>
      <c r="F33" s="376">
        <v>55020</v>
      </c>
      <c r="G33" s="375">
        <v>0</v>
      </c>
      <c r="H33" s="87">
        <f>VLOOKUP(C33,Settings!$B$148:$D$157,3,FALSE)</f>
        <v>4.0242608599150845E-4</v>
      </c>
      <c r="I33" s="65">
        <f t="shared" si="0"/>
        <v>0</v>
      </c>
    </row>
    <row r="34" spans="2:9" x14ac:dyDescent="0.25">
      <c r="B34" s="356" t="str">
        <f>VLOOKUP(E34,'Unit List'!$B$9:$E$241,4,0)</f>
        <v>Cold Rolling</v>
      </c>
      <c r="C34" s="91" t="s">
        <v>364</v>
      </c>
      <c r="D34" s="356" t="str">
        <f>VLOOKUP(E34,'Unit List'!$B$9:$D$241,3,0)</f>
        <v>Slitting Line</v>
      </c>
      <c r="E34" s="414">
        <v>4620</v>
      </c>
      <c r="F34" s="376">
        <v>55020</v>
      </c>
      <c r="G34" s="375">
        <v>0</v>
      </c>
      <c r="H34" s="87">
        <f>VLOOKUP(C34,Settings!$B$148:$D$157,3,FALSE)</f>
        <v>4.0242608599150845E-4</v>
      </c>
      <c r="I34" s="65">
        <f t="shared" si="0"/>
        <v>0</v>
      </c>
    </row>
    <row r="35" spans="2:9" x14ac:dyDescent="0.25">
      <c r="B35" s="356" t="str">
        <f>VLOOKUP(E35,'Unit List'!$B$9:$E$241,4,0)</f>
        <v>Cold Rolling</v>
      </c>
      <c r="C35" s="91" t="s">
        <v>364</v>
      </c>
      <c r="D35" s="356" t="str">
        <f>VLOOKUP(E35,'Unit List'!$B$9:$D$241,3,0)</f>
        <v>Light Shearing Line (CRM)</v>
      </c>
      <c r="E35" s="414">
        <v>4630</v>
      </c>
      <c r="F35" s="376">
        <v>55020</v>
      </c>
      <c r="G35" s="375">
        <v>0</v>
      </c>
      <c r="H35" s="87">
        <f>VLOOKUP(C35,Settings!$B$148:$D$157,3,FALSE)</f>
        <v>4.0242608599150845E-4</v>
      </c>
      <c r="I35" s="65">
        <f t="shared" si="0"/>
        <v>0</v>
      </c>
    </row>
    <row r="36" spans="2:9" x14ac:dyDescent="0.25">
      <c r="B36" s="356" t="str">
        <f>VLOOKUP(E36,'Unit List'!$B$9:$E$241,4,0)</f>
        <v>Cold Rolling</v>
      </c>
      <c r="C36" s="91" t="s">
        <v>364</v>
      </c>
      <c r="D36" s="356" t="str">
        <f>VLOOKUP(E36,'Unit List'!$B$9:$D$241,3,0)</f>
        <v>Heavy Shearing Line (CRM)</v>
      </c>
      <c r="E36" s="414">
        <v>4640</v>
      </c>
      <c r="F36" s="376">
        <v>55020</v>
      </c>
      <c r="G36" s="375">
        <v>0</v>
      </c>
      <c r="H36" s="87">
        <f>VLOOKUP(C36,Settings!$B$148:$D$157,3,FALSE)</f>
        <v>4.0242608599150845E-4</v>
      </c>
      <c r="I36" s="65">
        <f t="shared" si="0"/>
        <v>0</v>
      </c>
    </row>
    <row r="37" spans="2:9" x14ac:dyDescent="0.25">
      <c r="B37" s="356" t="str">
        <f>VLOOKUP(E37,'Unit List'!$B$9:$E$241,4,0)</f>
        <v>Maintenance</v>
      </c>
      <c r="C37" s="91" t="s">
        <v>364</v>
      </c>
      <c r="D37" s="356" t="str">
        <f>VLOOKUP(E37,'Unit List'!$B$9:$D$241,3,0)</f>
        <v>-</v>
      </c>
      <c r="E37" s="414">
        <v>7310</v>
      </c>
      <c r="F37" s="376">
        <v>55020</v>
      </c>
      <c r="G37" s="375">
        <v>338544</v>
      </c>
      <c r="H37" s="87">
        <f>VLOOKUP(C37,Settings!$B$148:$D$157,3,FALSE)</f>
        <v>4.0242608599150845E-4</v>
      </c>
      <c r="I37" s="65">
        <f t="shared" si="0"/>
        <v>136.23893685590923</v>
      </c>
    </row>
    <row r="38" spans="2:9" x14ac:dyDescent="0.25">
      <c r="B38" s="356" t="str">
        <f>VLOOKUP(E38,'Unit List'!$B$9:$E$241,4,0)</f>
        <v>Maintenance</v>
      </c>
      <c r="C38" s="91" t="s">
        <v>364</v>
      </c>
      <c r="D38" s="356" t="str">
        <f>VLOOKUP(E38,'Unit List'!$B$9:$D$241,3,0)</f>
        <v>-</v>
      </c>
      <c r="E38" s="414">
        <v>7330</v>
      </c>
      <c r="F38" s="376">
        <v>55020</v>
      </c>
      <c r="G38" s="375">
        <v>67708.800000000003</v>
      </c>
      <c r="H38" s="87">
        <f>VLOOKUP(C38,Settings!$B$148:$D$157,3,FALSE)</f>
        <v>4.0242608599150845E-4</v>
      </c>
      <c r="I38" s="65">
        <f t="shared" si="0"/>
        <v>27.24778737118185</v>
      </c>
    </row>
    <row r="39" spans="2:9" x14ac:dyDescent="0.25">
      <c r="B39" s="356" t="str">
        <f>VLOOKUP(E39,'Unit List'!$B$9:$E$241,4,0)</f>
        <v>Maintenance</v>
      </c>
      <c r="C39" s="91" t="s">
        <v>364</v>
      </c>
      <c r="D39" s="356" t="str">
        <f>VLOOKUP(E39,'Unit List'!$B$9:$D$241,3,0)</f>
        <v>-</v>
      </c>
      <c r="E39" s="414">
        <v>7340</v>
      </c>
      <c r="F39" s="376">
        <v>55020</v>
      </c>
      <c r="G39" s="375">
        <v>270835.20000000001</v>
      </c>
      <c r="H39" s="87">
        <f>VLOOKUP(C39,Settings!$B$148:$D$157,3,FALSE)</f>
        <v>4.0242608599150845E-4</v>
      </c>
      <c r="I39" s="65">
        <f t="shared" si="0"/>
        <v>108.9911494847274</v>
      </c>
    </row>
    <row r="40" spans="2:9" x14ac:dyDescent="0.25">
      <c r="B40" s="356" t="str">
        <f>VLOOKUP(E40,'Unit List'!$B$9:$E$241,4,0)</f>
        <v>TAS</v>
      </c>
      <c r="C40" s="91" t="s">
        <v>364</v>
      </c>
      <c r="D40" s="356" t="str">
        <f>VLOOKUP(E40,'Unit List'!$B$9:$D$241,3,0)</f>
        <v>-</v>
      </c>
      <c r="E40" s="414">
        <v>9640</v>
      </c>
      <c r="F40" s="376">
        <v>55020</v>
      </c>
      <c r="G40" s="375">
        <v>16765</v>
      </c>
      <c r="H40" s="87">
        <f>VLOOKUP(C40,Settings!$B$148:$D$157,3,FALSE)</f>
        <v>4.0242608599150845E-4</v>
      </c>
      <c r="I40" s="65">
        <f t="shared" si="0"/>
        <v>6.7466733316476395</v>
      </c>
    </row>
    <row r="41" spans="2:9" x14ac:dyDescent="0.25">
      <c r="B41" s="356" t="e">
        <f>VLOOKUP(E41,'Unit List'!$B$9:$E$241,4,0)</f>
        <v>#N/A</v>
      </c>
      <c r="C41" s="91" t="s">
        <v>364</v>
      </c>
      <c r="D41" s="356" t="e">
        <f>VLOOKUP(E41,'Unit List'!$B$9:$D$241,3,0)</f>
        <v>#N/A</v>
      </c>
      <c r="E41" s="414"/>
      <c r="F41" s="376"/>
      <c r="G41" s="375"/>
      <c r="H41" s="87">
        <f>VLOOKUP(C41,Settings!$B$148:$D$157,3,FALSE)</f>
        <v>4.0242608599150845E-4</v>
      </c>
      <c r="I41" s="65">
        <f t="shared" si="0"/>
        <v>0</v>
      </c>
    </row>
    <row r="42" spans="2:9" x14ac:dyDescent="0.25">
      <c r="B42" s="356" t="e">
        <f>VLOOKUP(E42,'Unit List'!$B$9:$E$241,4,0)</f>
        <v>#N/A</v>
      </c>
      <c r="C42" s="91" t="s">
        <v>364</v>
      </c>
      <c r="D42" s="356" t="e">
        <f>VLOOKUP(E42,'Unit List'!$B$9:$D$241,3,0)</f>
        <v>#N/A</v>
      </c>
      <c r="E42" s="414"/>
      <c r="F42" s="376"/>
      <c r="G42" s="375"/>
      <c r="H42" s="87">
        <f>VLOOKUP(C42,Settings!$B$148:$D$157,3,FALSE)</f>
        <v>4.0242608599150845E-4</v>
      </c>
      <c r="I42" s="65">
        <f t="shared" si="0"/>
        <v>0</v>
      </c>
    </row>
    <row r="43" spans="2:9" x14ac:dyDescent="0.25">
      <c r="B43" s="356" t="e">
        <f>VLOOKUP(E43,'Unit List'!$B$9:$E$241,4,0)</f>
        <v>#N/A</v>
      </c>
      <c r="C43" s="91" t="s">
        <v>364</v>
      </c>
      <c r="D43" s="356" t="e">
        <f>VLOOKUP(E43,'Unit List'!$B$9:$D$241,3,0)</f>
        <v>#N/A</v>
      </c>
      <c r="E43" s="414"/>
      <c r="F43" s="376"/>
      <c r="G43" s="375"/>
      <c r="H43" s="87">
        <f>VLOOKUP(C43,Settings!$B$148:$D$157,3,FALSE)</f>
        <v>4.0242608599150845E-4</v>
      </c>
      <c r="I43" s="65">
        <f t="shared" si="0"/>
        <v>0</v>
      </c>
    </row>
    <row r="44" spans="2:9" x14ac:dyDescent="0.25">
      <c r="B44" s="356" t="e">
        <f>VLOOKUP(E44,'Unit List'!$B$9:$E$241,4,0)</f>
        <v>#N/A</v>
      </c>
      <c r="C44" s="91" t="s">
        <v>364</v>
      </c>
      <c r="D44" s="356" t="e">
        <f>VLOOKUP(E44,'Unit List'!$B$9:$D$241,3,0)</f>
        <v>#N/A</v>
      </c>
      <c r="E44" s="414"/>
      <c r="F44" s="376"/>
      <c r="G44" s="375"/>
      <c r="H44" s="87">
        <f>VLOOKUP(C44,Settings!$B$148:$D$157,3,FALSE)</f>
        <v>4.0242608599150845E-4</v>
      </c>
      <c r="I44" s="65">
        <f t="shared" si="0"/>
        <v>0</v>
      </c>
    </row>
    <row r="45" spans="2:9" x14ac:dyDescent="0.25">
      <c r="B45" s="356" t="e">
        <f>VLOOKUP(E45,'Unit List'!$B$9:$E$241,4,0)</f>
        <v>#N/A</v>
      </c>
      <c r="C45" s="91" t="s">
        <v>364</v>
      </c>
      <c r="D45" s="356" t="e">
        <f>VLOOKUP(E45,'Unit List'!$B$9:$D$241,3,0)</f>
        <v>#N/A</v>
      </c>
      <c r="E45" s="414"/>
      <c r="F45" s="376"/>
      <c r="G45" s="375"/>
      <c r="H45" s="87">
        <f>VLOOKUP(C45,Settings!$B$148:$D$157,3,FALSE)</f>
        <v>4.0242608599150845E-4</v>
      </c>
      <c r="I45" s="65">
        <f t="shared" si="0"/>
        <v>0</v>
      </c>
    </row>
    <row r="46" spans="2:9" x14ac:dyDescent="0.25">
      <c r="B46" s="356" t="e">
        <f>VLOOKUP(E46,'Unit List'!$B$9:$E$241,4,0)</f>
        <v>#N/A</v>
      </c>
      <c r="C46" s="91" t="s">
        <v>364</v>
      </c>
      <c r="D46" s="356" t="e">
        <f>VLOOKUP(E46,'Unit List'!$B$9:$D$241,3,0)</f>
        <v>#N/A</v>
      </c>
      <c r="E46" s="414"/>
      <c r="F46" s="376"/>
      <c r="G46" s="375"/>
      <c r="H46" s="87">
        <f>VLOOKUP(C46,Settings!$B$148:$D$157,3,FALSE)</f>
        <v>4.0242608599150845E-4</v>
      </c>
      <c r="I46" s="65">
        <f t="shared" si="0"/>
        <v>0</v>
      </c>
    </row>
    <row r="47" spans="2:9" x14ac:dyDescent="0.25">
      <c r="B47" s="356" t="e">
        <f>VLOOKUP(E47,'Unit List'!$B$9:$E$241,4,0)</f>
        <v>#N/A</v>
      </c>
      <c r="C47" s="91" t="s">
        <v>364</v>
      </c>
      <c r="D47" s="356" t="e">
        <f>VLOOKUP(E47,'Unit List'!$B$9:$D$241,3,0)</f>
        <v>#N/A</v>
      </c>
      <c r="E47" s="414"/>
      <c r="F47" s="376"/>
      <c r="G47" s="375"/>
      <c r="H47" s="87">
        <f>VLOOKUP(C47,Settings!$B$148:$D$157,3,FALSE)</f>
        <v>4.0242608599150845E-4</v>
      </c>
      <c r="I47" s="65">
        <f t="shared" si="0"/>
        <v>0</v>
      </c>
    </row>
    <row r="48" spans="2:9" x14ac:dyDescent="0.25">
      <c r="B48" s="356" t="e">
        <f>VLOOKUP(E48,'Unit List'!$B$9:$E$241,4,0)</f>
        <v>#N/A</v>
      </c>
      <c r="C48" s="91" t="s">
        <v>364</v>
      </c>
      <c r="D48" s="356" t="e">
        <f>VLOOKUP(E48,'Unit List'!$B$9:$D$241,3,0)</f>
        <v>#N/A</v>
      </c>
      <c r="E48" s="376"/>
      <c r="F48" s="754"/>
      <c r="G48" s="375"/>
      <c r="H48" s="87">
        <f>VLOOKUP(C48,Settings!$B$148:$D$157,3,FALSE)</f>
        <v>4.0242608599150845E-4</v>
      </c>
      <c r="I48" s="65">
        <f t="shared" ref="I48:I49" si="1">G48*H48</f>
        <v>0</v>
      </c>
    </row>
    <row r="49" spans="2:9" x14ac:dyDescent="0.25">
      <c r="B49" s="356" t="e">
        <f>VLOOKUP(E49,'Unit List'!$B$9:$E$241,4,0)</f>
        <v>#N/A</v>
      </c>
      <c r="C49" s="91" t="s">
        <v>364</v>
      </c>
      <c r="D49" s="356" t="e">
        <f>VLOOKUP(E49,'Unit List'!$B$9:$D$241,3,0)</f>
        <v>#N/A</v>
      </c>
      <c r="E49" s="733"/>
      <c r="F49" s="733"/>
      <c r="G49" s="406"/>
      <c r="H49" s="87">
        <f>VLOOKUP(C49,Settings!$B$148:$D$157,3,FALSE)</f>
        <v>4.0242608599150845E-4</v>
      </c>
      <c r="I49" s="65">
        <f t="shared" si="1"/>
        <v>0</v>
      </c>
    </row>
    <row r="50" spans="2:9" ht="30" customHeight="1" x14ac:dyDescent="0.25">
      <c r="B50" s="355" t="s">
        <v>410</v>
      </c>
      <c r="C50" s="355"/>
      <c r="D50" s="355"/>
      <c r="E50" s="355"/>
      <c r="F50" s="355"/>
      <c r="G50" s="394">
        <f>SUM(G10:G49)</f>
        <v>301438423.00000012</v>
      </c>
      <c r="H50" s="355"/>
      <c r="I50" s="394">
        <f>_xlfn.AGGREGATE(9,6,I10:I49)</f>
        <v>121306.6847353427</v>
      </c>
    </row>
  </sheetData>
  <protectedRanges>
    <protectedRange sqref="E10:G49" name="Range1"/>
  </protectedRanges>
  <mergeCells count="6">
    <mergeCell ref="G8:G9"/>
    <mergeCell ref="B8:B9"/>
    <mergeCell ref="C8:C9"/>
    <mergeCell ref="D8:D9"/>
    <mergeCell ref="E8:E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5642343-8775-4C61-999B-578633900E0D}">
          <x14:formula1>
            <xm:f>Settings!$B$148:$B$157</xm:f>
          </x14:formula1>
          <xm:sqref>C10:C49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C39F58-9818-46A8-A3DD-90C04F770111}">
  <dimension ref="B3:I46"/>
  <sheetViews>
    <sheetView rightToLeft="1" zoomScale="85" zoomScaleNormal="85" workbookViewId="0">
      <selection activeCell="N35" sqref="N35"/>
    </sheetView>
  </sheetViews>
  <sheetFormatPr defaultColWidth="9.09765625" defaultRowHeight="16.2" x14ac:dyDescent="0.25"/>
  <cols>
    <col min="1" max="1" width="12.09765625" style="3" customWidth="1"/>
    <col min="2" max="2" width="14.09765625" style="24" customWidth="1"/>
    <col min="3" max="3" width="16.3984375" style="3" customWidth="1"/>
    <col min="4" max="4" width="28" style="3" customWidth="1"/>
    <col min="5" max="6" width="12.796875" style="3" customWidth="1"/>
    <col min="7" max="7" width="21.8984375"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365</v>
      </c>
      <c r="C7" s="381"/>
      <c r="D7" s="381"/>
      <c r="E7" s="381"/>
      <c r="F7" s="381"/>
      <c r="G7" s="381"/>
      <c r="H7" s="381"/>
      <c r="I7" s="381"/>
    </row>
    <row r="8" spans="2:9" ht="28.2" customHeight="1" x14ac:dyDescent="0.25">
      <c r="B8" s="1013" t="s">
        <v>335</v>
      </c>
      <c r="C8" s="1014" t="s">
        <v>1152</v>
      </c>
      <c r="D8" s="1013" t="s">
        <v>411</v>
      </c>
      <c r="E8" s="1014" t="s">
        <v>398</v>
      </c>
      <c r="F8" s="1013" t="s">
        <v>400</v>
      </c>
      <c r="G8" s="1014" t="s">
        <v>528</v>
      </c>
      <c r="H8" s="374" t="s">
        <v>405</v>
      </c>
      <c r="I8" s="374" t="s">
        <v>406</v>
      </c>
    </row>
    <row r="9" spans="2:9" ht="17.25" customHeight="1" x14ac:dyDescent="0.25">
      <c r="B9" s="1013"/>
      <c r="C9" s="1008"/>
      <c r="D9" s="1013"/>
      <c r="E9" s="1008"/>
      <c r="F9" s="1013"/>
      <c r="G9" s="1008"/>
      <c r="H9" s="374" t="s">
        <v>269</v>
      </c>
      <c r="I9" s="355" t="s">
        <v>222</v>
      </c>
    </row>
    <row r="10" spans="2:9" ht="17.25" customHeight="1" x14ac:dyDescent="0.25">
      <c r="B10" s="356" t="str">
        <f>VLOOKUP(E10,'Unit List'!$B$9:$E$241,4,0)</f>
        <v>Iron Making</v>
      </c>
      <c r="C10" s="91" t="s">
        <v>365</v>
      </c>
      <c r="D10" s="356" t="str">
        <f>VLOOKUP(E10,'Unit List'!$B$9:$D$241,3,0)</f>
        <v>Direct Reduction</v>
      </c>
      <c r="E10" s="414">
        <v>1310</v>
      </c>
      <c r="F10" s="376">
        <v>55030</v>
      </c>
      <c r="G10" s="375">
        <v>42178834.540000007</v>
      </c>
      <c r="H10" s="166">
        <f>VLOOKUP(C10,Settings!$B$148:$D$157,3,FALSE)</f>
        <v>4.022620665563955E-4</v>
      </c>
      <c r="I10" s="65">
        <f>G10*H10</f>
        <v>16966.945147000675</v>
      </c>
    </row>
    <row r="11" spans="2:9" ht="17.25" customHeight="1" x14ac:dyDescent="0.25">
      <c r="B11" s="356" t="str">
        <f>VLOOKUP(E11,'Unit List'!$B$9:$E$241,4,0)</f>
        <v>Iron Making</v>
      </c>
      <c r="C11" s="91" t="s">
        <v>365</v>
      </c>
      <c r="D11" s="356" t="str">
        <f>VLOOKUP(E11,'Unit List'!$B$9:$D$241,3,0)</f>
        <v>Direct Reduction</v>
      </c>
      <c r="E11" s="414">
        <v>1315</v>
      </c>
      <c r="F11" s="376">
        <v>55030</v>
      </c>
      <c r="G11" s="375">
        <v>33299079.899999999</v>
      </c>
      <c r="H11" s="166">
        <f>VLOOKUP(C11,Settings!$B$148:$D$157,3,FALSE)</f>
        <v>4.022620665563955E-4</v>
      </c>
      <c r="I11" s="65">
        <f t="shared" ref="I11:I43" si="0">G11*H11</f>
        <v>13394.956695000532</v>
      </c>
    </row>
    <row r="12" spans="2:9" ht="17.25" customHeight="1" x14ac:dyDescent="0.25">
      <c r="B12" s="356" t="str">
        <f>VLOOKUP(E12,'Unit List'!$B$9:$E$241,4,0)</f>
        <v>Iron Making</v>
      </c>
      <c r="C12" s="91" t="s">
        <v>365</v>
      </c>
      <c r="D12" s="356" t="str">
        <f>VLOOKUP(E12,'Unit List'!$B$9:$D$241,3,0)</f>
        <v>Direct Reduction</v>
      </c>
      <c r="E12" s="414">
        <v>1320</v>
      </c>
      <c r="F12" s="376">
        <v>55030</v>
      </c>
      <c r="G12" s="375">
        <v>117656748.98</v>
      </c>
      <c r="H12" s="166">
        <f>VLOOKUP(C12,Settings!$B$148:$D$157,3,FALSE)</f>
        <v>4.022620665563955E-4</v>
      </c>
      <c r="I12" s="65">
        <f t="shared" si="0"/>
        <v>47328.846989001882</v>
      </c>
    </row>
    <row r="13" spans="2:9" x14ac:dyDescent="0.25">
      <c r="B13" s="356" t="str">
        <f>VLOOKUP(E13,'Unit List'!$B$9:$E$241,4,0)</f>
        <v>Iron Making</v>
      </c>
      <c r="C13" s="91" t="s">
        <v>365</v>
      </c>
      <c r="D13" s="356" t="str">
        <f>VLOOKUP(E13,'Unit List'!$B$9:$D$241,3,0)</f>
        <v>Direct Reduction</v>
      </c>
      <c r="E13" s="414">
        <v>1325</v>
      </c>
      <c r="F13" s="376">
        <v>55030</v>
      </c>
      <c r="G13" s="375">
        <v>22199386.600000001</v>
      </c>
      <c r="H13" s="166">
        <f>VLOOKUP(C13,Settings!$B$148:$D$157,3,FALSE)</f>
        <v>4.022620665563955E-4</v>
      </c>
      <c r="I13" s="65">
        <f t="shared" si="0"/>
        <v>8929.9711300003546</v>
      </c>
    </row>
    <row r="14" spans="2:9" x14ac:dyDescent="0.25">
      <c r="B14" s="356" t="str">
        <f>VLOOKUP(E14,'Unit List'!$B$9:$E$241,4,0)</f>
        <v>Iron Making</v>
      </c>
      <c r="C14" s="91" t="s">
        <v>365</v>
      </c>
      <c r="D14" s="356" t="str">
        <f>VLOOKUP(E14,'Unit List'!$B$9:$D$241,3,0)</f>
        <v>Briquetting</v>
      </c>
      <c r="E14" s="414">
        <v>1330</v>
      </c>
      <c r="F14" s="376">
        <v>55030</v>
      </c>
      <c r="G14" s="375">
        <v>4217883.4539999999</v>
      </c>
      <c r="H14" s="166">
        <f>VLOOKUP(C14,Settings!$B$148:$D$157,3,FALSE)</f>
        <v>4.022620665563955E-4</v>
      </c>
      <c r="I14" s="65">
        <f t="shared" si="0"/>
        <v>1696.6945147000674</v>
      </c>
    </row>
    <row r="15" spans="2:9" x14ac:dyDescent="0.25">
      <c r="B15" s="356" t="str">
        <f>VLOOKUP(E15,'Unit List'!$B$9:$E$241,4,0)</f>
        <v>Iron Making</v>
      </c>
      <c r="C15" s="91" t="s">
        <v>365</v>
      </c>
      <c r="D15" s="356" t="str">
        <f>VLOOKUP(E15,'Unit List'!$B$9:$D$241,3,0)</f>
        <v>Briquetting</v>
      </c>
      <c r="E15" s="414">
        <v>1335</v>
      </c>
      <c r="F15" s="376">
        <v>55030</v>
      </c>
      <c r="G15" s="375">
        <v>2441932.5260000001</v>
      </c>
      <c r="H15" s="166">
        <f>VLOOKUP(C15,Settings!$B$148:$D$157,3,FALSE)</f>
        <v>4.022620665563955E-4</v>
      </c>
      <c r="I15" s="65">
        <f t="shared" si="0"/>
        <v>982.29682430003902</v>
      </c>
    </row>
    <row r="16" spans="2:9" x14ac:dyDescent="0.25">
      <c r="B16" s="356" t="str">
        <f>VLOOKUP(E16,'Unit List'!$B$9:$E$241,4,0)</f>
        <v>Steel Making</v>
      </c>
      <c r="C16" s="91" t="s">
        <v>365</v>
      </c>
      <c r="D16" s="356" t="str">
        <f>VLOOKUP(E16,'Unit List'!$B$9:$D$241,3,0)</f>
        <v>EAFs</v>
      </c>
      <c r="E16" s="414">
        <v>2210</v>
      </c>
      <c r="F16" s="376">
        <v>55030</v>
      </c>
      <c r="G16" s="375">
        <v>129655530.63900003</v>
      </c>
      <c r="H16" s="166">
        <f>VLOOKUP(C16,Settings!$B$148:$D$157,3,FALSE)</f>
        <v>4.022620665563955E-4</v>
      </c>
      <c r="I16" s="65">
        <f t="shared" si="0"/>
        <v>52155.501695310209</v>
      </c>
    </row>
    <row r="17" spans="2:9" x14ac:dyDescent="0.25">
      <c r="B17" s="356" t="str">
        <f>VLOOKUP(E17,'Unit List'!$B$9:$E$241,4,0)</f>
        <v>Steel Making</v>
      </c>
      <c r="C17" s="91" t="s">
        <v>365</v>
      </c>
      <c r="D17" s="356" t="str">
        <f>VLOOKUP(E17,'Unit List'!$B$9:$D$241,3,0)</f>
        <v>De-gassing</v>
      </c>
      <c r="E17" s="414">
        <v>2220</v>
      </c>
      <c r="F17" s="376">
        <v>55030</v>
      </c>
      <c r="G17" s="375">
        <v>20003721.379000001</v>
      </c>
      <c r="H17" s="166">
        <f>VLOOKUP(C17,Settings!$B$148:$D$157,3,FALSE)</f>
        <v>4.022620665563955E-4</v>
      </c>
      <c r="I17" s="65">
        <f t="shared" si="0"/>
        <v>8046.7383007348899</v>
      </c>
    </row>
    <row r="18" spans="2:9" x14ac:dyDescent="0.25">
      <c r="B18" s="356" t="str">
        <f>VLOOKUP(E18,'Unit List'!$B$9:$E$241,4,0)</f>
        <v>Steel Making</v>
      </c>
      <c r="C18" s="91" t="s">
        <v>365</v>
      </c>
      <c r="D18" s="356" t="str">
        <f>VLOOKUP(E18,'Unit List'!$B$9:$D$241,3,0)</f>
        <v>Laddle Furnaces</v>
      </c>
      <c r="E18" s="414">
        <v>2240</v>
      </c>
      <c r="F18" s="376">
        <v>55030</v>
      </c>
      <c r="G18" s="375">
        <v>4007155.7249999996</v>
      </c>
      <c r="H18" s="166">
        <f>VLOOKUP(C18,Settings!$B$148:$D$157,3,FALSE)</f>
        <v>4.022620665563955E-4</v>
      </c>
      <c r="I18" s="65">
        <f t="shared" si="0"/>
        <v>1611.9267429517911</v>
      </c>
    </row>
    <row r="19" spans="2:9" x14ac:dyDescent="0.25">
      <c r="B19" s="356" t="str">
        <f>VLOOKUP(E19,'Unit List'!$B$9:$E$241,4,0)</f>
        <v>Steel Making</v>
      </c>
      <c r="C19" s="91" t="s">
        <v>365</v>
      </c>
      <c r="D19" s="356" t="str">
        <f>VLOOKUP(E19,'Unit List'!$B$9:$D$241,3,0)</f>
        <v>Casting Machines</v>
      </c>
      <c r="E19" s="414">
        <v>2410</v>
      </c>
      <c r="F19" s="376">
        <v>55030</v>
      </c>
      <c r="G19" s="375">
        <v>4968873.0989999995</v>
      </c>
      <c r="H19" s="166">
        <f>VLOOKUP(C19,Settings!$B$148:$D$157,3,FALSE)</f>
        <v>4.022620665563955E-4</v>
      </c>
      <c r="I19" s="65">
        <f t="shared" si="0"/>
        <v>1998.7891612602209</v>
      </c>
    </row>
    <row r="20" spans="2:9" x14ac:dyDescent="0.25">
      <c r="B20" s="356" t="str">
        <f>VLOOKUP(E20,'Unit List'!$B$9:$E$241,4,0)</f>
        <v>Steel Making</v>
      </c>
      <c r="C20" s="91" t="s">
        <v>365</v>
      </c>
      <c r="D20" s="356" t="str">
        <f>VLOOKUP(E20,'Unit List'!$B$9:$D$241,3,0)</f>
        <v>Slab Cooling</v>
      </c>
      <c r="E20" s="414">
        <v>2510</v>
      </c>
      <c r="F20" s="376">
        <v>55030</v>
      </c>
      <c r="G20" s="375">
        <v>1650948.16</v>
      </c>
      <c r="H20" s="166">
        <f>VLOOKUP(C20,Settings!$B$148:$D$157,3,FALSE)</f>
        <v>4.022620665563955E-4</v>
      </c>
      <c r="I20" s="65">
        <f t="shared" si="0"/>
        <v>664.11381861907864</v>
      </c>
    </row>
    <row r="21" spans="2:9" x14ac:dyDescent="0.25">
      <c r="B21" s="356" t="str">
        <f>VLOOKUP(E21,'Unit List'!$B$9:$E$241,4,0)</f>
        <v>Hot Rolling</v>
      </c>
      <c r="C21" s="91" t="s">
        <v>365</v>
      </c>
      <c r="D21" s="356" t="str">
        <f>VLOOKUP(E21,'Unit List'!$B$9:$D$241,3,0)</f>
        <v>Hot Rolling Mill</v>
      </c>
      <c r="E21" s="414">
        <v>3101</v>
      </c>
      <c r="F21" s="376">
        <v>55030</v>
      </c>
      <c r="G21" s="375">
        <v>8309.0360000000001</v>
      </c>
      <c r="H21" s="166">
        <f>VLOOKUP(C21,Settings!$B$148:$D$157,3,FALSE)</f>
        <v>4.022620665563955E-4</v>
      </c>
      <c r="I21" s="65">
        <f t="shared" si="0"/>
        <v>3.3424099924514863</v>
      </c>
    </row>
    <row r="22" spans="2:9" x14ac:dyDescent="0.25">
      <c r="B22" s="356" t="str">
        <f>VLOOKUP(E22,'Unit List'!$B$9:$E$241,4,0)</f>
        <v>Hot Rolling</v>
      </c>
      <c r="C22" s="91" t="s">
        <v>365</v>
      </c>
      <c r="D22" s="356" t="str">
        <f>VLOOKUP(E22,'Unit List'!$B$9:$D$241,3,0)</f>
        <v>Hot Rolling Mill</v>
      </c>
      <c r="E22" s="414">
        <v>3210</v>
      </c>
      <c r="F22" s="376">
        <v>55030</v>
      </c>
      <c r="G22" s="375">
        <v>4071427.64</v>
      </c>
      <c r="H22" s="166">
        <f>VLOOKUP(C22,Settings!$B$148:$D$157,3,FALSE)</f>
        <v>4.022620665563955E-4</v>
      </c>
      <c r="I22" s="65">
        <f t="shared" si="0"/>
        <v>1637.7808963012283</v>
      </c>
    </row>
    <row r="23" spans="2:9" x14ac:dyDescent="0.25">
      <c r="B23" s="356" t="str">
        <f>VLOOKUP(E23,'Unit List'!$B$9:$E$241,4,0)</f>
        <v>Hot Rolling</v>
      </c>
      <c r="C23" s="91" t="s">
        <v>365</v>
      </c>
      <c r="D23" s="356" t="str">
        <f>VLOOKUP(E23,'Unit List'!$B$9:$D$241,3,0)</f>
        <v>Hot Rolling Mill</v>
      </c>
      <c r="E23" s="414">
        <v>3310</v>
      </c>
      <c r="F23" s="376">
        <v>55030</v>
      </c>
      <c r="G23" s="375">
        <v>24927.108</v>
      </c>
      <c r="H23" s="166">
        <f>VLOOKUP(C23,Settings!$B$148:$D$157,3,FALSE)</f>
        <v>4.022620665563955E-4</v>
      </c>
      <c r="I23" s="65">
        <f t="shared" si="0"/>
        <v>10.027229977354459</v>
      </c>
    </row>
    <row r="24" spans="2:9" x14ac:dyDescent="0.25">
      <c r="B24" s="356" t="str">
        <f>VLOOKUP(E24,'Unit List'!$B$9:$E$241,4,0)</f>
        <v>Hot Rolling</v>
      </c>
      <c r="C24" s="91" t="s">
        <v>365</v>
      </c>
      <c r="D24" s="356" t="str">
        <f>VLOOKUP(E24,'Unit List'!$B$9:$D$241,3,0)</f>
        <v>Shearing Line 1</v>
      </c>
      <c r="E24" s="414">
        <v>3410</v>
      </c>
      <c r="F24" s="376">
        <v>55030</v>
      </c>
      <c r="G24" s="375">
        <v>8309.0360000000001</v>
      </c>
      <c r="H24" s="166">
        <f>VLOOKUP(C24,Settings!$B$148:$D$157,3,FALSE)</f>
        <v>4.022620665563955E-4</v>
      </c>
      <c r="I24" s="65">
        <f t="shared" si="0"/>
        <v>3.3424099924514863</v>
      </c>
    </row>
    <row r="25" spans="2:9" x14ac:dyDescent="0.25">
      <c r="B25" s="356" t="str">
        <f>VLOOKUP(E25,'Unit List'!$B$9:$E$241,4,0)</f>
        <v>Hot Rolling</v>
      </c>
      <c r="C25" s="91" t="s">
        <v>365</v>
      </c>
      <c r="D25" s="356" t="str">
        <f>VLOOKUP(E25,'Unit List'!$B$9:$D$241,3,0)</f>
        <v>Shearing Line 1</v>
      </c>
      <c r="E25" s="414">
        <v>3420</v>
      </c>
      <c r="F25" s="376">
        <v>55030</v>
      </c>
      <c r="G25" s="375">
        <v>8309.0360000000001</v>
      </c>
      <c r="H25" s="166">
        <f>VLOOKUP(C25,Settings!$B$148:$D$157,3,FALSE)</f>
        <v>4.022620665563955E-4</v>
      </c>
      <c r="I25" s="65">
        <f t="shared" si="0"/>
        <v>3.3424099924514863</v>
      </c>
    </row>
    <row r="26" spans="2:9" x14ac:dyDescent="0.25">
      <c r="B26" s="356" t="str">
        <f>VLOOKUP(E26,'Unit List'!$B$9:$E$241,4,0)</f>
        <v>Hot Rolling</v>
      </c>
      <c r="C26" s="91" t="s">
        <v>365</v>
      </c>
      <c r="D26" s="356" t="str">
        <f>VLOOKUP(E26,'Unit List'!$B$9:$D$241,3,0)</f>
        <v>Shearing Line 2</v>
      </c>
      <c r="E26" s="414">
        <v>3430</v>
      </c>
      <c r="F26" s="376">
        <v>55030</v>
      </c>
      <c r="G26" s="375">
        <v>8309.0360000000001</v>
      </c>
      <c r="H26" s="166">
        <f>VLOOKUP(C26,Settings!$B$148:$D$157,3,FALSE)</f>
        <v>4.022620665563955E-4</v>
      </c>
      <c r="I26" s="65">
        <f t="shared" si="0"/>
        <v>3.3424099924514863</v>
      </c>
    </row>
    <row r="27" spans="2:9" x14ac:dyDescent="0.25">
      <c r="B27" s="356" t="str">
        <f>VLOOKUP(E27,'Unit List'!$B$9:$E$241,4,0)</f>
        <v>Hot Rolling</v>
      </c>
      <c r="C27" s="91" t="s">
        <v>365</v>
      </c>
      <c r="D27" s="356" t="str">
        <f>VLOOKUP(E27,'Unit List'!$B$9:$D$241,3,0)</f>
        <v>Heavy Shearing Line</v>
      </c>
      <c r="E27" s="414">
        <v>3440</v>
      </c>
      <c r="F27" s="376">
        <v>55030</v>
      </c>
      <c r="G27" s="375">
        <v>8309.0360000000001</v>
      </c>
      <c r="H27" s="166">
        <f>VLOOKUP(C27,Settings!$B$148:$D$157,3,FALSE)</f>
        <v>4.022620665563955E-4</v>
      </c>
      <c r="I27" s="65">
        <f t="shared" si="0"/>
        <v>3.3424099924514863</v>
      </c>
    </row>
    <row r="28" spans="2:9" x14ac:dyDescent="0.25">
      <c r="B28" s="356" t="str">
        <f>VLOOKUP(E28,'Unit List'!$B$9:$E$241,4,0)</f>
        <v>Hot Rolling</v>
      </c>
      <c r="C28" s="91" t="s">
        <v>365</v>
      </c>
      <c r="D28" s="356" t="str">
        <f>VLOOKUP(E28,'Unit List'!$B$9:$D$241,3,0)</f>
        <v>Skin Pass Mill</v>
      </c>
      <c r="E28" s="414">
        <v>3450</v>
      </c>
      <c r="F28" s="376">
        <v>55030</v>
      </c>
      <c r="G28" s="375">
        <v>8309.0360000000001</v>
      </c>
      <c r="H28" s="166">
        <f>VLOOKUP(C28,Settings!$B$148:$D$157,3,FALSE)</f>
        <v>4.022620665563955E-4</v>
      </c>
      <c r="I28" s="65">
        <f t="shared" si="0"/>
        <v>3.3424099924514863</v>
      </c>
    </row>
    <row r="29" spans="2:9" x14ac:dyDescent="0.25">
      <c r="B29" s="356" t="str">
        <f>VLOOKUP(E29,'Unit List'!$B$9:$E$241,4,0)</f>
        <v>Hot Rolling</v>
      </c>
      <c r="C29" s="91" t="s">
        <v>365</v>
      </c>
      <c r="D29" s="356" t="str">
        <f>VLOOKUP(E29,'Unit List'!$B$9:$D$241,3,0)</f>
        <v>Skin Pass Mill</v>
      </c>
      <c r="E29" s="414">
        <v>3460</v>
      </c>
      <c r="F29" s="376">
        <v>55030</v>
      </c>
      <c r="G29" s="375">
        <v>8309.0360000000001</v>
      </c>
      <c r="H29" s="166">
        <f>VLOOKUP(C29,Settings!$B$148:$D$157,3,FALSE)</f>
        <v>4.022620665563955E-4</v>
      </c>
      <c r="I29" s="65">
        <f t="shared" si="0"/>
        <v>3.3424099924514863</v>
      </c>
    </row>
    <row r="30" spans="2:9" x14ac:dyDescent="0.25">
      <c r="B30" s="356" t="str">
        <f>VLOOKUP(E30,'Unit List'!$B$9:$E$241,4,0)</f>
        <v>Cold Rolling</v>
      </c>
      <c r="C30" s="91" t="s">
        <v>365</v>
      </c>
      <c r="D30" s="356" t="str">
        <f>VLOOKUP(E30,'Unit List'!$B$9:$D$241,3,0)</f>
        <v>Tandem Mill</v>
      </c>
      <c r="E30" s="414">
        <v>4310</v>
      </c>
      <c r="F30" s="376">
        <v>55030</v>
      </c>
      <c r="G30" s="375">
        <v>768808.06599999988</v>
      </c>
      <c r="H30" s="166">
        <f>VLOOKUP(C30,Settings!$B$148:$D$157,3,FALSE)</f>
        <v>4.022620665563955E-4</v>
      </c>
      <c r="I30" s="65">
        <f t="shared" si="0"/>
        <v>309.26232141438567</v>
      </c>
    </row>
    <row r="31" spans="2:9" x14ac:dyDescent="0.25">
      <c r="B31" s="356" t="str">
        <f>VLOOKUP(E31,'Unit List'!$B$9:$E$241,4,0)</f>
        <v>Cold Rolling</v>
      </c>
      <c r="C31" s="91" t="s">
        <v>365</v>
      </c>
      <c r="D31" s="356" t="str">
        <f>VLOOKUP(E31,'Unit List'!$B$9:$D$241,3,0)</f>
        <v>Box Annealing 1</v>
      </c>
      <c r="E31" s="414">
        <v>4410</v>
      </c>
      <c r="F31" s="376">
        <v>55030</v>
      </c>
      <c r="G31" s="375">
        <v>44094.142000000007</v>
      </c>
      <c r="H31" s="166">
        <f>VLOOKUP(C31,Settings!$B$148:$D$157,3,FALSE)</f>
        <v>4.022620665563955E-4</v>
      </c>
      <c r="I31" s="65">
        <f t="shared" si="0"/>
        <v>17.737400683951158</v>
      </c>
    </row>
    <row r="32" spans="2:9" x14ac:dyDescent="0.25">
      <c r="B32" s="356" t="str">
        <f>VLOOKUP(E32,'Unit List'!$B$9:$E$241,4,0)</f>
        <v>Cold Rolling</v>
      </c>
      <c r="C32" s="91" t="s">
        <v>365</v>
      </c>
      <c r="D32" s="356" t="str">
        <f>VLOOKUP(E32,'Unit List'!$B$9:$D$241,3,0)</f>
        <v>Box Annealing 3</v>
      </c>
      <c r="E32" s="414">
        <v>4415</v>
      </c>
      <c r="F32" s="376">
        <v>55030</v>
      </c>
      <c r="G32" s="375">
        <v>879210.44200000004</v>
      </c>
      <c r="H32" s="166">
        <f>VLOOKUP(C32,Settings!$B$148:$D$157,3,FALSE)</f>
        <v>4.022620665563955E-4</v>
      </c>
      <c r="I32" s="65">
        <f t="shared" si="0"/>
        <v>353.67300933688193</v>
      </c>
    </row>
    <row r="33" spans="2:9" x14ac:dyDescent="0.25">
      <c r="B33" s="356" t="str">
        <f>VLOOKUP(E33,'Unit List'!$B$9:$E$241,4,0)</f>
        <v>Cold Rolling</v>
      </c>
      <c r="C33" s="91" t="s">
        <v>365</v>
      </c>
      <c r="D33" s="356" t="str">
        <f>VLOOKUP(E33,'Unit List'!$B$9:$D$241,3,0)</f>
        <v>Box Annealing 2</v>
      </c>
      <c r="E33" s="414">
        <v>4420</v>
      </c>
      <c r="F33" s="376">
        <v>55030</v>
      </c>
      <c r="G33" s="375">
        <v>4681327.9309999999</v>
      </c>
      <c r="H33" s="166">
        <f>VLOOKUP(C33,Settings!$B$148:$D$157,3,FALSE)</f>
        <v>4.022620665563955E-4</v>
      </c>
      <c r="I33" s="65">
        <f t="shared" si="0"/>
        <v>1883.1206477522353</v>
      </c>
    </row>
    <row r="34" spans="2:9" x14ac:dyDescent="0.25">
      <c r="B34" s="356" t="str">
        <f>VLOOKUP(E34,'Unit List'!$B$9:$E$241,4,0)</f>
        <v>Cold Rolling</v>
      </c>
      <c r="C34" s="91" t="s">
        <v>365</v>
      </c>
      <c r="D34" s="356" t="str">
        <f>VLOOKUP(E34,'Unit List'!$B$9:$D$241,3,0)</f>
        <v>Galvanizing Line</v>
      </c>
      <c r="E34" s="414">
        <v>4810</v>
      </c>
      <c r="F34" s="376">
        <v>55030</v>
      </c>
      <c r="G34" s="375">
        <v>1977638.9089999998</v>
      </c>
      <c r="H34" s="166">
        <f>VLOOKUP(C34,Settings!$B$148:$D$157,3,FALSE)</f>
        <v>4.022620665563955E-4</v>
      </c>
      <c r="I34" s="65">
        <f t="shared" si="0"/>
        <v>795.52911443667529</v>
      </c>
    </row>
    <row r="35" spans="2:9" x14ac:dyDescent="0.25">
      <c r="B35" s="356" t="str">
        <f>VLOOKUP(E35,'Unit List'!$B$9:$E$241,4,0)</f>
        <v>Utility</v>
      </c>
      <c r="C35" s="91" t="s">
        <v>365</v>
      </c>
      <c r="D35" s="356" t="str">
        <f>VLOOKUP(E35,'Unit List'!$B$9:$D$241,3,0)</f>
        <v>Steam Production</v>
      </c>
      <c r="E35" s="414">
        <v>5120</v>
      </c>
      <c r="F35" s="376">
        <v>55030</v>
      </c>
      <c r="G35" s="375">
        <v>3755951</v>
      </c>
      <c r="H35" s="166">
        <f>VLOOKUP(C35,Settings!$B$148:$D$157,3,FALSE)</f>
        <v>4.022620665563955E-4</v>
      </c>
      <c r="I35" s="65">
        <f t="shared" si="0"/>
        <v>1510.8766111445602</v>
      </c>
    </row>
    <row r="36" spans="2:9" x14ac:dyDescent="0.25">
      <c r="B36" s="356" t="str">
        <f>VLOOKUP(E36,'Unit List'!$B$9:$E$241,4,0)</f>
        <v>Utility</v>
      </c>
      <c r="C36" s="91" t="s">
        <v>365</v>
      </c>
      <c r="D36" s="356" t="str">
        <f>VLOOKUP(E36,'Unit List'!$B$9:$D$241,3,0)</f>
        <v>Oxygen &amp; Hydrogen</v>
      </c>
      <c r="E36" s="414">
        <v>5220</v>
      </c>
      <c r="F36" s="376">
        <v>55030</v>
      </c>
      <c r="G36" s="375">
        <v>1336950.42</v>
      </c>
      <c r="H36" s="166">
        <f>VLOOKUP(C36,Settings!$B$148:$D$157,3,FALSE)</f>
        <v>4.022620665563955E-4</v>
      </c>
      <c r="I36" s="65">
        <f t="shared" si="0"/>
        <v>537.80443883264093</v>
      </c>
    </row>
    <row r="37" spans="2:9" x14ac:dyDescent="0.25">
      <c r="B37" s="356" t="str">
        <f>VLOOKUP(E37,'Unit List'!$B$9:$E$241,4,0)</f>
        <v>Maintenance</v>
      </c>
      <c r="C37" s="91" t="s">
        <v>365</v>
      </c>
      <c r="D37" s="356" t="str">
        <f>VLOOKUP(E37,'Unit List'!$B$9:$D$241,3,0)</f>
        <v>-</v>
      </c>
      <c r="E37" s="414">
        <v>7310</v>
      </c>
      <c r="F37" s="376">
        <v>55030</v>
      </c>
      <c r="G37" s="375">
        <v>830180.79999999993</v>
      </c>
      <c r="H37" s="166">
        <f>VLOOKUP(C37,Settings!$B$148:$D$157,3,FALSE)</f>
        <v>4.022620665563955E-4</v>
      </c>
      <c r="I37" s="65">
        <f t="shared" si="0"/>
        <v>333.95024422344164</v>
      </c>
    </row>
    <row r="38" spans="2:9" x14ac:dyDescent="0.25">
      <c r="B38" s="356" t="str">
        <f>VLOOKUP(E38,'Unit List'!$B$9:$E$241,4,0)</f>
        <v>Maintenance</v>
      </c>
      <c r="C38" s="91" t="s">
        <v>365</v>
      </c>
      <c r="D38" s="356" t="str">
        <f>VLOOKUP(E38,'Unit List'!$B$9:$D$241,3,0)</f>
        <v>-</v>
      </c>
      <c r="E38" s="414">
        <v>7330</v>
      </c>
      <c r="F38" s="376">
        <v>55030</v>
      </c>
      <c r="G38" s="375">
        <v>415090.39999999997</v>
      </c>
      <c r="H38" s="166">
        <f>VLOOKUP(C38,Settings!$B$148:$D$157,3,FALSE)</f>
        <v>4.022620665563955E-4</v>
      </c>
      <c r="I38" s="65">
        <f t="shared" si="0"/>
        <v>166.97512211172082</v>
      </c>
    </row>
    <row r="39" spans="2:9" x14ac:dyDescent="0.25">
      <c r="B39" s="356" t="str">
        <f>VLOOKUP(E39,'Unit List'!$B$9:$E$241,4,0)</f>
        <v>Maintenance</v>
      </c>
      <c r="C39" s="91" t="s">
        <v>365</v>
      </c>
      <c r="D39" s="356" t="str">
        <f>VLOOKUP(E39,'Unit List'!$B$9:$D$241,3,0)</f>
        <v>-</v>
      </c>
      <c r="E39" s="414">
        <v>7340</v>
      </c>
      <c r="F39" s="376">
        <v>55030</v>
      </c>
      <c r="G39" s="375">
        <v>830180.79999999993</v>
      </c>
      <c r="H39" s="166">
        <f>VLOOKUP(C39,Settings!$B$148:$D$157,3,FALSE)</f>
        <v>4.022620665563955E-4</v>
      </c>
      <c r="I39" s="65">
        <f t="shared" si="0"/>
        <v>333.95024422344164</v>
      </c>
    </row>
    <row r="40" spans="2:9" x14ac:dyDescent="0.25">
      <c r="B40" s="356" t="e">
        <f>VLOOKUP(E40,'Unit List'!$B$9:$E$241,4,0)</f>
        <v>#N/A</v>
      </c>
      <c r="C40" s="91" t="s">
        <v>365</v>
      </c>
      <c r="D40" s="356" t="e">
        <f>VLOOKUP(E40,'Unit List'!$B$9:$D$241,3,0)</f>
        <v>#N/A</v>
      </c>
      <c r="E40" s="414"/>
      <c r="F40" s="376"/>
      <c r="G40" s="375"/>
      <c r="H40" s="166">
        <f>VLOOKUP(C40,Settings!$B$148:$D$157,3,FALSE)</f>
        <v>4.022620665563955E-4</v>
      </c>
      <c r="I40" s="65">
        <f t="shared" si="0"/>
        <v>0</v>
      </c>
    </row>
    <row r="41" spans="2:9" x14ac:dyDescent="0.25">
      <c r="B41" s="356" t="e">
        <f>VLOOKUP(E41,'Unit List'!$B$9:$E$241,4,0)</f>
        <v>#N/A</v>
      </c>
      <c r="C41" s="91" t="s">
        <v>365</v>
      </c>
      <c r="D41" s="356" t="e">
        <f>VLOOKUP(E41,'Unit List'!$B$9:$D$241,3,0)</f>
        <v>#N/A</v>
      </c>
      <c r="E41" s="414"/>
      <c r="F41" s="376"/>
      <c r="G41" s="375"/>
      <c r="H41" s="166">
        <f>VLOOKUP(C41,Settings!$B$148:$D$157,3,FALSE)</f>
        <v>4.022620665563955E-4</v>
      </c>
      <c r="I41" s="65">
        <f t="shared" si="0"/>
        <v>0</v>
      </c>
    </row>
    <row r="42" spans="2:9" x14ac:dyDescent="0.25">
      <c r="B42" s="356" t="e">
        <f>VLOOKUP(E42,'Unit List'!$B$9:$E$241,4,0)</f>
        <v>#N/A</v>
      </c>
      <c r="C42" s="91" t="s">
        <v>365</v>
      </c>
      <c r="D42" s="356" t="e">
        <f>VLOOKUP(E42,'Unit List'!$B$9:$D$241,3,0)</f>
        <v>#N/A</v>
      </c>
      <c r="E42" s="414"/>
      <c r="F42" s="376"/>
      <c r="G42" s="375"/>
      <c r="H42" s="166">
        <f>VLOOKUP(C42,Settings!$B$148:$D$157,3,FALSE)</f>
        <v>4.022620665563955E-4</v>
      </c>
      <c r="I42" s="65">
        <f t="shared" si="0"/>
        <v>0</v>
      </c>
    </row>
    <row r="43" spans="2:9" x14ac:dyDescent="0.25">
      <c r="B43" s="356" t="e">
        <f>VLOOKUP(E43,'Unit List'!$B$9:$E$241,4,0)</f>
        <v>#N/A</v>
      </c>
      <c r="C43" s="91" t="s">
        <v>365</v>
      </c>
      <c r="D43" s="356" t="e">
        <f>VLOOKUP(E43,'Unit List'!$B$9:$D$241,3,0)</f>
        <v>#N/A</v>
      </c>
      <c r="E43" s="414"/>
      <c r="F43" s="376"/>
      <c r="G43" s="375"/>
      <c r="H43" s="166">
        <f>VLOOKUP(C43,Settings!$B$148:$D$157,3,FALSE)</f>
        <v>4.022620665563955E-4</v>
      </c>
      <c r="I43" s="65">
        <f t="shared" si="0"/>
        <v>0</v>
      </c>
    </row>
    <row r="44" spans="2:9" x14ac:dyDescent="0.25">
      <c r="B44" s="356" t="e">
        <f>VLOOKUP(E44,'Unit List'!$B$9:$E$241,4,0)</f>
        <v>#N/A</v>
      </c>
      <c r="C44" s="91" t="s">
        <v>365</v>
      </c>
      <c r="D44" s="356" t="e">
        <f>VLOOKUP(E44,'Unit List'!$B$9:$D$241,3,0)</f>
        <v>#N/A</v>
      </c>
      <c r="E44" s="376"/>
      <c r="F44" s="754"/>
      <c r="G44" s="375"/>
      <c r="H44" s="166">
        <f>VLOOKUP(C44,Settings!$B$148:$D$157,3,FALSE)</f>
        <v>4.022620665563955E-4</v>
      </c>
      <c r="I44" s="65">
        <f t="shared" ref="I44:I45" si="1">G44*H44</f>
        <v>0</v>
      </c>
    </row>
    <row r="45" spans="2:9" x14ac:dyDescent="0.25">
      <c r="B45" s="356" t="e">
        <f>VLOOKUP(E45,'Unit List'!$B$9:$E$241,4,0)</f>
        <v>#N/A</v>
      </c>
      <c r="C45" s="91" t="s">
        <v>365</v>
      </c>
      <c r="D45" s="356" t="e">
        <f>VLOOKUP(E45,'Unit List'!$B$9:$D$241,3,0)</f>
        <v>#N/A</v>
      </c>
      <c r="E45" s="733"/>
      <c r="F45" s="733"/>
      <c r="G45" s="406"/>
      <c r="H45" s="166">
        <f>VLOOKUP(C45,Settings!$B$148:$D$157,3,FALSE)</f>
        <v>4.022620665563955E-4</v>
      </c>
      <c r="I45" s="65">
        <f t="shared" si="1"/>
        <v>0</v>
      </c>
    </row>
    <row r="46" spans="2:9" ht="30" customHeight="1" x14ac:dyDescent="0.25">
      <c r="B46" s="355" t="s">
        <v>410</v>
      </c>
      <c r="C46" s="355"/>
      <c r="D46" s="355"/>
      <c r="E46" s="355"/>
      <c r="F46" s="355"/>
      <c r="G46" s="394">
        <f>SUM(G10:G45)</f>
        <v>401954045.91200012</v>
      </c>
      <c r="H46" s="355"/>
      <c r="I46" s="394">
        <f>_xlfn.AGGREGATE(9,6,I10:I45)</f>
        <v>161690.86516926539</v>
      </c>
    </row>
  </sheetData>
  <protectedRanges>
    <protectedRange sqref="E10:G45" name="Range1"/>
  </protectedRanges>
  <mergeCells count="6">
    <mergeCell ref="G8:G9"/>
    <mergeCell ref="B8:B9"/>
    <mergeCell ref="C8:C9"/>
    <mergeCell ref="D8:D9"/>
    <mergeCell ref="E8:E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443D8591-ADFB-41A0-AD3F-241E870AA8B6}">
          <x14:formula1>
            <xm:f>Settings!$B$148:$B$157</xm:f>
          </x14:formula1>
          <xm:sqref>C10:C45</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9B820-CFFA-490F-B39A-96DB0A1E549D}">
  <dimension ref="B3:I17"/>
  <sheetViews>
    <sheetView rightToLeft="1" zoomScale="85" zoomScaleNormal="85" workbookViewId="0">
      <selection activeCell="L18" sqref="L18"/>
    </sheetView>
  </sheetViews>
  <sheetFormatPr defaultColWidth="9.09765625" defaultRowHeight="16.2" x14ac:dyDescent="0.25"/>
  <cols>
    <col min="1" max="1" width="12.09765625" style="3" customWidth="1"/>
    <col min="2" max="2" width="13.69921875" style="24" customWidth="1"/>
    <col min="3" max="3" width="16.3984375" style="3" customWidth="1"/>
    <col min="4" max="4" width="28" style="3" customWidth="1"/>
    <col min="5" max="6" width="12.796875" style="3" customWidth="1"/>
    <col min="7" max="7" width="21.8984375"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366</v>
      </c>
      <c r="C7" s="381"/>
      <c r="D7" s="381"/>
      <c r="E7" s="381"/>
      <c r="F7" s="381"/>
      <c r="G7" s="381"/>
      <c r="H7" s="381"/>
      <c r="I7" s="381"/>
    </row>
    <row r="8" spans="2:9" ht="29.4" customHeight="1" x14ac:dyDescent="0.25">
      <c r="B8" s="1013" t="s">
        <v>335</v>
      </c>
      <c r="C8" s="1014" t="s">
        <v>1152</v>
      </c>
      <c r="D8" s="1013" t="s">
        <v>411</v>
      </c>
      <c r="E8" s="1014" t="s">
        <v>398</v>
      </c>
      <c r="F8" s="1013" t="s">
        <v>400</v>
      </c>
      <c r="G8" s="1014" t="s">
        <v>528</v>
      </c>
      <c r="H8" s="374" t="s">
        <v>405</v>
      </c>
      <c r="I8" s="374" t="s">
        <v>406</v>
      </c>
    </row>
    <row r="9" spans="2:9" ht="17.25" customHeight="1" x14ac:dyDescent="0.25">
      <c r="B9" s="1013"/>
      <c r="C9" s="1008"/>
      <c r="D9" s="1013"/>
      <c r="E9" s="1008"/>
      <c r="F9" s="1013"/>
      <c r="G9" s="1008"/>
      <c r="H9" s="374" t="s">
        <v>269</v>
      </c>
      <c r="I9" s="355" t="s">
        <v>222</v>
      </c>
    </row>
    <row r="10" spans="2:9" ht="17.25" customHeight="1" x14ac:dyDescent="0.25">
      <c r="B10" s="356" t="str">
        <f>VLOOKUP(E10,'Unit List'!$B$9:$E$241,4,0)</f>
        <v>Steel Making</v>
      </c>
      <c r="C10" s="91" t="s">
        <v>366</v>
      </c>
      <c r="D10" s="399" t="str">
        <f>VLOOKUP(E10,'Unit List'!$B$9:$D$241,3,0)</f>
        <v>EAFs</v>
      </c>
      <c r="E10" s="414">
        <v>2210</v>
      </c>
      <c r="F10" s="376">
        <v>55110</v>
      </c>
      <c r="G10" s="375">
        <v>164036.93400000004</v>
      </c>
      <c r="H10" s="165">
        <f>VLOOKUP(C10,Settings!$B$148:$D$157,3,FALSE)</f>
        <v>4.3863217817136931E-4</v>
      </c>
      <c r="I10" s="65">
        <f>G10*H10</f>
        <v>71.951877660973167</v>
      </c>
    </row>
    <row r="11" spans="2:9" ht="17.25" customHeight="1" x14ac:dyDescent="0.25">
      <c r="B11" s="356" t="str">
        <f>VLOOKUP(E11,'Unit List'!$B$9:$E$241,4,0)</f>
        <v>Steel Making</v>
      </c>
      <c r="C11" s="91" t="s">
        <v>366</v>
      </c>
      <c r="D11" s="399" t="str">
        <f>VLOOKUP(E11,'Unit List'!$B$9:$D$241,3,0)</f>
        <v>De-gassing</v>
      </c>
      <c r="E11" s="414">
        <v>2220</v>
      </c>
      <c r="F11" s="376">
        <v>55110</v>
      </c>
      <c r="G11" s="375">
        <v>820074.93300000008</v>
      </c>
      <c r="H11" s="165">
        <f>VLOOKUP(C11,Settings!$B$148:$D$157,3,FALSE)</f>
        <v>4.3863217817136931E-4</v>
      </c>
      <c r="I11" s="65">
        <f t="shared" ref="I11:I16" si="0">G11*H11</f>
        <v>359.71125412552976</v>
      </c>
    </row>
    <row r="12" spans="2:9" ht="17.25" customHeight="1" x14ac:dyDescent="0.25">
      <c r="B12" s="356" t="str">
        <f>VLOOKUP(E12,'Unit List'!$B$9:$E$241,4,0)</f>
        <v>Steel Making</v>
      </c>
      <c r="C12" s="91" t="s">
        <v>366</v>
      </c>
      <c r="D12" s="399" t="str">
        <f>VLOOKUP(E12,'Unit List'!$B$9:$D$241,3,0)</f>
        <v>Laddle Furnaces</v>
      </c>
      <c r="E12" s="414">
        <v>2240</v>
      </c>
      <c r="F12" s="376">
        <v>55110</v>
      </c>
      <c r="G12" s="375">
        <v>3901164</v>
      </c>
      <c r="H12" s="165">
        <f>VLOOKUP(C12,Settings!$B$148:$D$157,3,FALSE)</f>
        <v>4.3863217817136931E-4</v>
      </c>
      <c r="I12" s="65">
        <f t="shared" si="0"/>
        <v>1711.1760627237318</v>
      </c>
    </row>
    <row r="13" spans="2:9" x14ac:dyDescent="0.25">
      <c r="B13" s="356" t="str">
        <f>VLOOKUP(E13,'Unit List'!$B$9:$E$241,4,0)</f>
        <v>Steel Making</v>
      </c>
      <c r="C13" s="91" t="s">
        <v>366</v>
      </c>
      <c r="D13" s="399" t="str">
        <f>VLOOKUP(E13,'Unit List'!$B$9:$D$241,3,0)</f>
        <v>Casting Machines</v>
      </c>
      <c r="E13" s="414">
        <v>2410</v>
      </c>
      <c r="F13" s="376">
        <v>55110</v>
      </c>
      <c r="G13" s="375">
        <v>113125.13600000001</v>
      </c>
      <c r="H13" s="165">
        <f>VLOOKUP(C13,Settings!$B$148:$D$157,3,FALSE)</f>
        <v>4.3863217817136931E-4</v>
      </c>
      <c r="I13" s="65">
        <f t="shared" si="0"/>
        <v>49.620324809612391</v>
      </c>
    </row>
    <row r="14" spans="2:9" x14ac:dyDescent="0.25">
      <c r="B14" s="356" t="e">
        <f>VLOOKUP(E14,'Unit List'!$B$9:$E$241,4,0)</f>
        <v>#N/A</v>
      </c>
      <c r="C14" s="91" t="s">
        <v>366</v>
      </c>
      <c r="D14" s="399" t="e">
        <f>VLOOKUP(E14,'Unit List'!$B$9:$D$241,3,0)</f>
        <v>#N/A</v>
      </c>
      <c r="E14" s="414"/>
      <c r="F14" s="376"/>
      <c r="G14" s="375"/>
      <c r="H14" s="165">
        <f>VLOOKUP(C14,Settings!$B$148:$D$157,3,FALSE)</f>
        <v>4.3863217817136931E-4</v>
      </c>
      <c r="I14" s="65">
        <f t="shared" si="0"/>
        <v>0</v>
      </c>
    </row>
    <row r="15" spans="2:9" x14ac:dyDescent="0.25">
      <c r="B15" s="356" t="e">
        <f>VLOOKUP(E15,'Unit List'!$B$9:$E$241,4,0)</f>
        <v>#N/A</v>
      </c>
      <c r="C15" s="91" t="s">
        <v>366</v>
      </c>
      <c r="D15" s="399" t="e">
        <f>VLOOKUP(E15,'Unit List'!$B$9:$D$241,3,0)</f>
        <v>#N/A</v>
      </c>
      <c r="E15" s="414"/>
      <c r="F15" s="376"/>
      <c r="G15" s="375"/>
      <c r="H15" s="165">
        <f>VLOOKUP(C15,Settings!$B$148:$D$157,3,FALSE)</f>
        <v>4.3863217817136931E-4</v>
      </c>
      <c r="I15" s="65">
        <f t="shared" si="0"/>
        <v>0</v>
      </c>
    </row>
    <row r="16" spans="2:9" x14ac:dyDescent="0.25">
      <c r="B16" s="356" t="e">
        <f>VLOOKUP(E16,'Unit List'!$B$9:$E$241,4,0)</f>
        <v>#N/A</v>
      </c>
      <c r="C16" s="91" t="s">
        <v>366</v>
      </c>
      <c r="D16" s="399" t="e">
        <f>VLOOKUP(E16,'Unit List'!$B$9:$D$241,3,0)</f>
        <v>#N/A</v>
      </c>
      <c r="E16" s="414"/>
      <c r="F16" s="376"/>
      <c r="G16" s="375"/>
      <c r="H16" s="165">
        <f>VLOOKUP(C16,Settings!$B$148:$D$157,3,FALSE)</f>
        <v>4.3863217817136931E-4</v>
      </c>
      <c r="I16" s="65">
        <f t="shared" si="0"/>
        <v>0</v>
      </c>
    </row>
    <row r="17" spans="2:9" ht="30" customHeight="1" x14ac:dyDescent="0.25">
      <c r="B17" s="355" t="s">
        <v>410</v>
      </c>
      <c r="C17" s="355"/>
      <c r="D17" s="355"/>
      <c r="E17" s="355"/>
      <c r="F17" s="355"/>
      <c r="G17" s="394">
        <f>SUM(G10:G16)</f>
        <v>4998401.0030000005</v>
      </c>
      <c r="H17" s="355"/>
      <c r="I17" s="394">
        <f>_xlfn.AGGREGATE(9,6,I10:I16)</f>
        <v>2192.4595193198475</v>
      </c>
    </row>
  </sheetData>
  <protectedRanges>
    <protectedRange sqref="E10:G16" name="Range1"/>
  </protectedRanges>
  <mergeCells count="6">
    <mergeCell ref="G8:G9"/>
    <mergeCell ref="B8:B9"/>
    <mergeCell ref="C8:C9"/>
    <mergeCell ref="D8:D9"/>
    <mergeCell ref="E8:E9"/>
    <mergeCell ref="F8:F9"/>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8AB21FB4-8E84-471B-8E9C-459021DA55FB}">
          <x14:formula1>
            <xm:f>Settings!$B$148:$B$157</xm:f>
          </x14:formula1>
          <xm:sqref>C10:C16</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6388C-95FF-40C5-84B8-6E93EBBBB738}">
  <dimension ref="B3:I93"/>
  <sheetViews>
    <sheetView rightToLeft="1" zoomScale="85" zoomScaleNormal="85" workbookViewId="0">
      <selection activeCell="K83" sqref="K83"/>
    </sheetView>
  </sheetViews>
  <sheetFormatPr defaultColWidth="9.09765625" defaultRowHeight="16.2" x14ac:dyDescent="0.25"/>
  <cols>
    <col min="1" max="1" width="12.09765625" style="3" customWidth="1"/>
    <col min="2" max="2" width="13.296875" style="24" customWidth="1"/>
    <col min="3" max="3" width="16.3984375" style="3" customWidth="1"/>
    <col min="4" max="4" width="28" style="3" customWidth="1"/>
    <col min="5" max="6" width="12.796875" style="3" customWidth="1"/>
    <col min="7" max="7" width="19" style="3" customWidth="1"/>
    <col min="8" max="8" width="16.8984375" style="3" customWidth="1"/>
    <col min="9" max="9" width="28.59765625" style="3" bestFit="1" customWidth="1"/>
    <col min="10" max="16384" width="9.09765625" style="3"/>
  </cols>
  <sheetData>
    <row r="3" spans="2:9" ht="16.2" customHeight="1" x14ac:dyDescent="0.25"/>
    <row r="4" spans="2:9" ht="16.2" customHeight="1" x14ac:dyDescent="0.25"/>
    <row r="5" spans="2:9" ht="16.2" customHeight="1" x14ac:dyDescent="0.25"/>
    <row r="6" spans="2:9" ht="16.2" customHeight="1" x14ac:dyDescent="0.25"/>
    <row r="7" spans="2:9" s="279" customFormat="1" ht="30" customHeight="1" x14ac:dyDescent="0.25">
      <c r="B7" s="381" t="s">
        <v>367</v>
      </c>
      <c r="C7" s="381"/>
      <c r="D7" s="381"/>
      <c r="E7" s="381"/>
      <c r="F7" s="381"/>
      <c r="G7" s="381"/>
      <c r="H7" s="381"/>
      <c r="I7" s="381"/>
    </row>
    <row r="8" spans="2:9" ht="26.4" customHeight="1" x14ac:dyDescent="0.25">
      <c r="B8" s="1013" t="s">
        <v>335</v>
      </c>
      <c r="C8" s="1014" t="s">
        <v>1152</v>
      </c>
      <c r="D8" s="1013" t="s">
        <v>411</v>
      </c>
      <c r="E8" s="1014" t="s">
        <v>398</v>
      </c>
      <c r="F8" s="1013" t="s">
        <v>400</v>
      </c>
      <c r="G8" s="1014" t="s">
        <v>529</v>
      </c>
      <c r="H8" s="374" t="s">
        <v>405</v>
      </c>
      <c r="I8" s="374" t="s">
        <v>406</v>
      </c>
    </row>
    <row r="9" spans="2:9" ht="17.25" customHeight="1" x14ac:dyDescent="0.25">
      <c r="B9" s="1013"/>
      <c r="C9" s="1008"/>
      <c r="D9" s="1013"/>
      <c r="E9" s="1008"/>
      <c r="F9" s="1013"/>
      <c r="G9" s="1008"/>
      <c r="H9" s="374" t="s">
        <v>296</v>
      </c>
      <c r="I9" s="355" t="s">
        <v>222</v>
      </c>
    </row>
    <row r="10" spans="2:9" ht="17.25" customHeight="1" x14ac:dyDescent="0.25">
      <c r="B10" s="356" t="str">
        <f>VLOOKUP(E10,'Unit List'!$B$9:$E$241,4,0)</f>
        <v>Iron Making</v>
      </c>
      <c r="C10" s="414" t="s">
        <v>460</v>
      </c>
      <c r="D10" s="356" t="str">
        <f>VLOOKUP(E10,'Unit List'!$B$9:$D$241,3,0)</f>
        <v>Lime Hydration</v>
      </c>
      <c r="E10" s="414">
        <v>1130</v>
      </c>
      <c r="F10" s="734" t="s">
        <v>1685</v>
      </c>
      <c r="G10" s="375">
        <v>22078</v>
      </c>
      <c r="H10" s="583">
        <f>VLOOKUP(C10,Settings!$B$148:$D$157,3,FALSE)</f>
        <v>9.311605554735877E-4</v>
      </c>
      <c r="I10" s="65">
        <f>G10*H10</f>
        <v>20.558162743745868</v>
      </c>
    </row>
    <row r="11" spans="2:9" ht="17.25" customHeight="1" x14ac:dyDescent="0.25">
      <c r="B11" s="356" t="str">
        <f>VLOOKUP(E11,'Unit List'!$B$9:$E$241,4,0)</f>
        <v>Iron Making</v>
      </c>
      <c r="C11" s="414" t="s">
        <v>460</v>
      </c>
      <c r="D11" s="356" t="str">
        <f>VLOOKUP(E11,'Unit List'!$B$9:$D$241,3,0)</f>
        <v>Dolomite Making</v>
      </c>
      <c r="E11" s="414">
        <v>1140</v>
      </c>
      <c r="F11" s="376" t="s">
        <v>295</v>
      </c>
      <c r="G11" s="375">
        <v>12588</v>
      </c>
      <c r="H11" s="583">
        <f>VLOOKUP(C11,Settings!$B$148:$D$157,3,FALSE)</f>
        <v>9.311605554735877E-4</v>
      </c>
      <c r="I11" s="65">
        <f t="shared" ref="I11:I78" si="0">G11*H11</f>
        <v>11.721449072301523</v>
      </c>
    </row>
    <row r="12" spans="2:9" ht="17.25" customHeight="1" x14ac:dyDescent="0.25">
      <c r="B12" s="356" t="str">
        <f>VLOOKUP(E12,'Unit List'!$B$9:$E$241,4,0)</f>
        <v>Iron Making</v>
      </c>
      <c r="C12" s="414" t="s">
        <v>460</v>
      </c>
      <c r="D12" s="356" t="str">
        <f>VLOOKUP(E12,'Unit List'!$B$9:$D$241,3,0)</f>
        <v>Pelletizing</v>
      </c>
      <c r="E12" s="414">
        <v>1210</v>
      </c>
      <c r="F12" s="376" t="s">
        <v>295</v>
      </c>
      <c r="G12" s="375">
        <v>352300</v>
      </c>
      <c r="H12" s="583">
        <f>VLOOKUP(C12,Settings!$B$148:$D$157,3,FALSE)</f>
        <v>9.311605554735877E-4</v>
      </c>
      <c r="I12" s="65">
        <f t="shared" si="0"/>
        <v>328.04786369334494</v>
      </c>
    </row>
    <row r="13" spans="2:9" ht="17.25" customHeight="1" x14ac:dyDescent="0.25">
      <c r="B13" s="356" t="str">
        <f>VLOOKUP(E13,'Unit List'!$B$9:$E$241,4,0)</f>
        <v>Iron Making</v>
      </c>
      <c r="C13" s="414" t="s">
        <v>460</v>
      </c>
      <c r="D13" s="356" t="str">
        <f>VLOOKUP(E13,'Unit List'!$B$9:$D$241,3,0)</f>
        <v>Direct Reduction</v>
      </c>
      <c r="E13" s="414">
        <v>1310</v>
      </c>
      <c r="F13" s="376" t="s">
        <v>295</v>
      </c>
      <c r="G13" s="375">
        <v>6873060.3880000003</v>
      </c>
      <c r="H13" s="583">
        <f>VLOOKUP(C13,Settings!$B$148:$D$157,3,FALSE)</f>
        <v>9.311605554735877E-4</v>
      </c>
      <c r="I13" s="65">
        <f t="shared" si="0"/>
        <v>6399.922728693592</v>
      </c>
    </row>
    <row r="14" spans="2:9" ht="17.25" customHeight="1" x14ac:dyDescent="0.25">
      <c r="B14" s="356" t="str">
        <f>VLOOKUP(E14,'Unit List'!$B$9:$E$241,4,0)</f>
        <v>Iron Making</v>
      </c>
      <c r="C14" s="414" t="s">
        <v>460</v>
      </c>
      <c r="D14" s="356" t="str">
        <f>VLOOKUP(E14,'Unit List'!$B$9:$D$241,3,0)</f>
        <v>Direct Reduction</v>
      </c>
      <c r="E14" s="414">
        <v>1315</v>
      </c>
      <c r="F14" s="376" t="s">
        <v>295</v>
      </c>
      <c r="G14" s="375">
        <v>2407062.0330000003</v>
      </c>
      <c r="H14" s="583">
        <f>VLOOKUP(C14,Settings!$B$148:$D$157,3,FALSE)</f>
        <v>9.311605554735877E-4</v>
      </c>
      <c r="I14" s="65">
        <f t="shared" si="0"/>
        <v>2241.3612197076636</v>
      </c>
    </row>
    <row r="15" spans="2:9" ht="17.25" customHeight="1" x14ac:dyDescent="0.25">
      <c r="B15" s="356" t="str">
        <f>VLOOKUP(E15,'Unit List'!$B$9:$E$241,4,0)</f>
        <v>Iron Making</v>
      </c>
      <c r="C15" s="414" t="s">
        <v>460</v>
      </c>
      <c r="D15" s="356" t="str">
        <f>VLOOKUP(E15,'Unit List'!$B$9:$D$241,3,0)</f>
        <v>Direct Reduction</v>
      </c>
      <c r="E15" s="414">
        <v>1320</v>
      </c>
      <c r="F15" s="376" t="s">
        <v>295</v>
      </c>
      <c r="G15" s="375">
        <v>312907.99000000005</v>
      </c>
      <c r="H15" s="583">
        <f>VLOOKUP(C15,Settings!$B$148:$D$157,3,FALSE)</f>
        <v>9.311605554735877E-4</v>
      </c>
      <c r="I15" s="65">
        <f t="shared" si="0"/>
        <v>291.36757778052385</v>
      </c>
    </row>
    <row r="16" spans="2:9" ht="17.25" customHeight="1" x14ac:dyDescent="0.25">
      <c r="B16" s="356" t="str">
        <f>VLOOKUP(E16,'Unit List'!$B$9:$E$241,4,0)</f>
        <v>Iron Making</v>
      </c>
      <c r="C16" s="414" t="s">
        <v>460</v>
      </c>
      <c r="D16" s="356" t="str">
        <f>VLOOKUP(E16,'Unit List'!$B$9:$D$241,3,0)</f>
        <v>Direct Reduction</v>
      </c>
      <c r="E16" s="414">
        <v>1325</v>
      </c>
      <c r="F16" s="376" t="s">
        <v>295</v>
      </c>
      <c r="G16" s="375">
        <v>109585.67200000002</v>
      </c>
      <c r="H16" s="583">
        <f>VLOOKUP(C16,Settings!$B$148:$D$157,3,FALSE)</f>
        <v>9.311605554735877E-4</v>
      </c>
      <c r="I16" s="65">
        <f t="shared" si="0"/>
        <v>102.0418552114664</v>
      </c>
    </row>
    <row r="17" spans="2:9" ht="17.25" customHeight="1" x14ac:dyDescent="0.25">
      <c r="B17" s="356" t="str">
        <f>VLOOKUP(E17,'Unit List'!$B$9:$E$241,4,0)</f>
        <v>Iron Making</v>
      </c>
      <c r="C17" s="414" t="s">
        <v>460</v>
      </c>
      <c r="D17" s="356" t="str">
        <f>VLOOKUP(E17,'Unit List'!$B$9:$D$241,3,0)</f>
        <v>Briquetting</v>
      </c>
      <c r="E17" s="414">
        <v>1330</v>
      </c>
      <c r="F17" s="376" t="s">
        <v>295</v>
      </c>
      <c r="G17" s="375">
        <v>90961.628000000012</v>
      </c>
      <c r="H17" s="583">
        <f>VLOOKUP(C17,Settings!$B$148:$D$157,3,FALSE)</f>
        <v>9.311605554735877E-4</v>
      </c>
      <c r="I17" s="65">
        <f t="shared" si="0"/>
        <v>84.699880055261858</v>
      </c>
    </row>
    <row r="18" spans="2:9" ht="17.25" customHeight="1" x14ac:dyDescent="0.25">
      <c r="B18" s="356" t="str">
        <f>VLOOKUP(E18,'Unit List'!$B$9:$E$241,4,0)</f>
        <v>Iron Making</v>
      </c>
      <c r="C18" s="414" t="s">
        <v>460</v>
      </c>
      <c r="D18" s="356" t="str">
        <f>VLOOKUP(E18,'Unit List'!$B$9:$D$241,3,0)</f>
        <v>Briquetting</v>
      </c>
      <c r="E18" s="414">
        <v>1335</v>
      </c>
      <c r="F18" s="376" t="s">
        <v>295</v>
      </c>
      <c r="G18" s="375">
        <v>31856.305</v>
      </c>
      <c r="H18" s="583">
        <f>VLOOKUP(C18,Settings!$B$148:$D$157,3,FALSE)</f>
        <v>9.311605554735877E-4</v>
      </c>
      <c r="I18" s="65">
        <f t="shared" si="0"/>
        <v>29.66333465913603</v>
      </c>
    </row>
    <row r="19" spans="2:9" ht="17.25" customHeight="1" x14ac:dyDescent="0.25">
      <c r="B19" s="356" t="str">
        <f>VLOOKUP(E19,'Unit List'!$B$9:$E$241,4,0)</f>
        <v>Steel Making</v>
      </c>
      <c r="C19" s="414" t="s">
        <v>461</v>
      </c>
      <c r="D19" s="356" t="str">
        <f>VLOOKUP(E19,'Unit List'!$B$9:$D$241,3,0)</f>
        <v>EAFs</v>
      </c>
      <c r="E19" s="414">
        <v>2130</v>
      </c>
      <c r="F19" s="376" t="s">
        <v>297</v>
      </c>
      <c r="G19" s="375">
        <v>345961.84</v>
      </c>
      <c r="H19" s="583">
        <f>VLOOKUP(C19,Settings!$B$148:$D$157,3,FALSE)</f>
        <v>2.8315867747164543E-3</v>
      </c>
      <c r="I19" s="65">
        <f t="shared" si="0"/>
        <v>979.62097070057007</v>
      </c>
    </row>
    <row r="20" spans="2:9" ht="17.25" customHeight="1" x14ac:dyDescent="0.25">
      <c r="B20" s="356" t="str">
        <f>VLOOKUP(E20,'Unit List'!$B$9:$E$241,4,0)</f>
        <v>Steel Making</v>
      </c>
      <c r="C20" s="414" t="s">
        <v>460</v>
      </c>
      <c r="D20" s="356" t="str">
        <f>VLOOKUP(E20,'Unit List'!$B$9:$D$241,3,0)</f>
        <v>EAFs</v>
      </c>
      <c r="E20" s="414">
        <v>2130</v>
      </c>
      <c r="F20" s="376" t="s">
        <v>295</v>
      </c>
      <c r="G20" s="375">
        <v>2376647.128</v>
      </c>
      <c r="H20" s="583">
        <f>VLOOKUP(C20,Settings!$B$148:$D$157,3,FALSE)</f>
        <v>9.311605554735877E-4</v>
      </c>
      <c r="I20" s="65">
        <f t="shared" si="0"/>
        <v>2213.0400598731867</v>
      </c>
    </row>
    <row r="21" spans="2:9" ht="17.25" customHeight="1" x14ac:dyDescent="0.25">
      <c r="B21" s="356" t="str">
        <f>VLOOKUP(E21,'Unit List'!$B$9:$E$241,4,0)</f>
        <v>Steel Making</v>
      </c>
      <c r="C21" s="414" t="s">
        <v>460</v>
      </c>
      <c r="D21" s="356" t="str">
        <f>VLOOKUP(E21,'Unit List'!$B$9:$D$241,3,0)</f>
        <v>De-gassing</v>
      </c>
      <c r="E21" s="414">
        <v>2220</v>
      </c>
      <c r="F21" s="376" t="s">
        <v>295</v>
      </c>
      <c r="G21" s="375">
        <v>527920.20600000001</v>
      </c>
      <c r="H21" s="583">
        <f>VLOOKUP(C21,Settings!$B$148:$D$157,3,FALSE)</f>
        <v>9.311605554735877E-4</v>
      </c>
      <c r="I21" s="65">
        <f t="shared" si="0"/>
        <v>491.57847226469084</v>
      </c>
    </row>
    <row r="22" spans="2:9" ht="17.25" customHeight="1" x14ac:dyDescent="0.25">
      <c r="B22" s="356" t="str">
        <f>VLOOKUP(E22,'Unit List'!$B$9:$E$241,4,0)</f>
        <v>Steel Making</v>
      </c>
      <c r="C22" s="376" t="s">
        <v>461</v>
      </c>
      <c r="D22" s="356" t="str">
        <f>VLOOKUP(E22,'Unit List'!$B$9:$D$241,3,0)</f>
        <v>Laddle Furnaces</v>
      </c>
      <c r="E22" s="414">
        <v>2240</v>
      </c>
      <c r="F22" s="376" t="s">
        <v>297</v>
      </c>
      <c r="G22" s="375">
        <v>76707.167000000016</v>
      </c>
      <c r="H22" s="583">
        <f>VLOOKUP(C22,Settings!$B$148:$D$157,3,FALSE)</f>
        <v>2.8315867747164543E-3</v>
      </c>
      <c r="I22" s="65">
        <f t="shared" si="0"/>
        <v>217.20299960316649</v>
      </c>
    </row>
    <row r="23" spans="2:9" ht="17.25" customHeight="1" x14ac:dyDescent="0.25">
      <c r="B23" s="356" t="str">
        <f>VLOOKUP(E23,'Unit List'!$B$9:$E$241,4,0)</f>
        <v>Steel Making</v>
      </c>
      <c r="C23" s="414" t="s">
        <v>460</v>
      </c>
      <c r="D23" s="356" t="str">
        <f>VLOOKUP(E23,'Unit List'!$B$9:$D$241,3,0)</f>
        <v>Laddle Furnaces</v>
      </c>
      <c r="E23" s="414">
        <v>2240</v>
      </c>
      <c r="F23" s="376" t="s">
        <v>295</v>
      </c>
      <c r="G23" s="375">
        <v>660067.95799999998</v>
      </c>
      <c r="H23" s="583">
        <f>VLOOKUP(C23,Settings!$B$148:$D$157,3,FALSE)</f>
        <v>9.311605554735877E-4</v>
      </c>
      <c r="I23" s="65">
        <f t="shared" si="0"/>
        <v>614.62924642159669</v>
      </c>
    </row>
    <row r="24" spans="2:9" ht="17.25" customHeight="1" x14ac:dyDescent="0.25">
      <c r="B24" s="356" t="str">
        <f>VLOOKUP(E24,'Unit List'!$B$9:$E$241,4,0)</f>
        <v>Steel Making</v>
      </c>
      <c r="C24" s="376" t="s">
        <v>461</v>
      </c>
      <c r="D24" s="356" t="str">
        <f>VLOOKUP(E24,'Unit List'!$B$9:$D$241,3,0)</f>
        <v>Casting Machines</v>
      </c>
      <c r="E24" s="414">
        <v>2410</v>
      </c>
      <c r="F24" s="376" t="s">
        <v>298</v>
      </c>
      <c r="G24" s="375">
        <v>452388</v>
      </c>
      <c r="H24" s="583">
        <f>VLOOKUP(C24,Settings!$B$148:$D$157,3,FALSE)</f>
        <v>2.8315867747164543E-3</v>
      </c>
      <c r="I24" s="65">
        <f t="shared" si="0"/>
        <v>1280.9758778404273</v>
      </c>
    </row>
    <row r="25" spans="2:9" ht="17.25" customHeight="1" x14ac:dyDescent="0.25">
      <c r="B25" s="356" t="str">
        <f>VLOOKUP(E25,'Unit List'!$B$9:$E$241,4,0)</f>
        <v>Steel Making</v>
      </c>
      <c r="C25" s="414" t="s">
        <v>460</v>
      </c>
      <c r="D25" s="356" t="str">
        <f>VLOOKUP(E25,'Unit List'!$B$9:$D$241,3,0)</f>
        <v>Casting Machines</v>
      </c>
      <c r="E25" s="414">
        <v>2410</v>
      </c>
      <c r="F25" s="376" t="s">
        <v>295</v>
      </c>
      <c r="G25" s="375">
        <v>2323653.8680000002</v>
      </c>
      <c r="H25" s="583">
        <f>VLOOKUP(C25,Settings!$B$148:$D$157,3,FALSE)</f>
        <v>9.311605554735877E-4</v>
      </c>
      <c r="I25" s="65">
        <f t="shared" si="0"/>
        <v>2163.6948264552307</v>
      </c>
    </row>
    <row r="26" spans="2:9" ht="17.25" customHeight="1" x14ac:dyDescent="0.25">
      <c r="B26" s="356" t="str">
        <f>VLOOKUP(E26,'Unit List'!$B$9:$E$241,4,0)</f>
        <v>Steel Making</v>
      </c>
      <c r="C26" s="414" t="s">
        <v>460</v>
      </c>
      <c r="D26" s="356" t="str">
        <f>VLOOKUP(E26,'Unit List'!$B$9:$D$241,3,0)</f>
        <v>Slab Cooling</v>
      </c>
      <c r="E26" s="414">
        <v>2510</v>
      </c>
      <c r="F26" s="376" t="s">
        <v>295</v>
      </c>
      <c r="G26" s="375">
        <v>819718.54100000008</v>
      </c>
      <c r="H26" s="583">
        <f>VLOOKUP(C26,Settings!$B$148:$D$157,3,FALSE)</f>
        <v>9.311605554735877E-4</v>
      </c>
      <c r="I26" s="65">
        <f t="shared" si="0"/>
        <v>763.28957196955889</v>
      </c>
    </row>
    <row r="27" spans="2:9" ht="17.25" customHeight="1" x14ac:dyDescent="0.25">
      <c r="B27" s="356" t="str">
        <f>VLOOKUP(E27,'Unit List'!$B$9:$E$241,4,0)</f>
        <v>Hot Rolling</v>
      </c>
      <c r="C27" s="414" t="s">
        <v>461</v>
      </c>
      <c r="D27" s="356" t="str">
        <f>VLOOKUP(E27,'Unit List'!$B$9:$D$241,3,0)</f>
        <v>Hot Rolling Mill</v>
      </c>
      <c r="E27" s="414">
        <v>3210</v>
      </c>
      <c r="F27" s="376" t="s">
        <v>298</v>
      </c>
      <c r="G27" s="375">
        <v>52992</v>
      </c>
      <c r="H27" s="583">
        <f>VLOOKUP(C27,Settings!$B$148:$D$157,3,FALSE)</f>
        <v>2.8315867747164543E-3</v>
      </c>
      <c r="I27" s="65">
        <f t="shared" si="0"/>
        <v>150.05144636577435</v>
      </c>
    </row>
    <row r="28" spans="2:9" ht="17.25" customHeight="1" x14ac:dyDescent="0.25">
      <c r="B28" s="356" t="str">
        <f>VLOOKUP(E28,'Unit List'!$B$9:$E$241,4,0)</f>
        <v>Hot Rolling</v>
      </c>
      <c r="C28" s="414" t="s">
        <v>460</v>
      </c>
      <c r="D28" s="356" t="str">
        <f>VLOOKUP(E28,'Unit List'!$B$9:$D$241,3,0)</f>
        <v>Hot Rolling Mill</v>
      </c>
      <c r="E28" s="414">
        <v>3310</v>
      </c>
      <c r="F28" s="376" t="s">
        <v>295</v>
      </c>
      <c r="G28" s="375">
        <v>1132942.075</v>
      </c>
      <c r="H28" s="583">
        <f>VLOOKUP(C28,Settings!$B$148:$D$157,3,FALSE)</f>
        <v>9.311605554735877E-4</v>
      </c>
      <c r="I28" s="65">
        <f t="shared" si="0"/>
        <v>1054.9509718763991</v>
      </c>
    </row>
    <row r="29" spans="2:9" ht="17.25" customHeight="1" x14ac:dyDescent="0.25">
      <c r="B29" s="356" t="str">
        <f>VLOOKUP(E29,'Unit List'!$B$9:$E$241,4,0)</f>
        <v>Cold Rolling</v>
      </c>
      <c r="C29" s="414" t="s">
        <v>461</v>
      </c>
      <c r="D29" s="356" t="str">
        <f>VLOOKUP(E29,'Unit List'!$B$9:$D$241,3,0)</f>
        <v>Pickling Line 1,2</v>
      </c>
      <c r="E29" s="414">
        <v>4220</v>
      </c>
      <c r="F29" s="376" t="s">
        <v>298</v>
      </c>
      <c r="G29" s="375">
        <v>126560.11600000001</v>
      </c>
      <c r="H29" s="583">
        <f>VLOOKUP(C29,Settings!$B$148:$D$157,3,FALSE)</f>
        <v>2.8315867747164543E-3</v>
      </c>
      <c r="I29" s="65">
        <f t="shared" si="0"/>
        <v>358.36595067218036</v>
      </c>
    </row>
    <row r="30" spans="2:9" ht="17.25" customHeight="1" x14ac:dyDescent="0.25">
      <c r="B30" s="356" t="str">
        <f>VLOOKUP(E30,'Unit List'!$B$9:$E$241,4,0)</f>
        <v>Cold Rolling</v>
      </c>
      <c r="C30" s="376" t="s">
        <v>460</v>
      </c>
      <c r="D30" s="356" t="str">
        <f>VLOOKUP(E30,'Unit List'!$B$9:$D$241,3,0)</f>
        <v>Pickling Line 1,2</v>
      </c>
      <c r="E30" s="414">
        <v>4220</v>
      </c>
      <c r="F30" s="376" t="s">
        <v>295</v>
      </c>
      <c r="G30" s="375">
        <v>126077.046</v>
      </c>
      <c r="H30" s="583">
        <f>VLOOKUP(C30,Settings!$B$148:$D$157,3,FALSE)</f>
        <v>9.311605554735877E-4</v>
      </c>
      <c r="I30" s="65">
        <f t="shared" si="0"/>
        <v>117.39797218582908</v>
      </c>
    </row>
    <row r="31" spans="2:9" ht="17.25" customHeight="1" x14ac:dyDescent="0.25">
      <c r="B31" s="356" t="str">
        <f>VLOOKUP(E31,'Unit List'!$B$9:$E$241,4,0)</f>
        <v>Cold Rolling</v>
      </c>
      <c r="C31" s="414" t="s">
        <v>461</v>
      </c>
      <c r="D31" s="356" t="str">
        <f>VLOOKUP(E31,'Unit List'!$B$9:$D$241,3,0)</f>
        <v>Pickling Line 1,2</v>
      </c>
      <c r="E31" s="414">
        <v>4225</v>
      </c>
      <c r="F31" s="376" t="s">
        <v>298</v>
      </c>
      <c r="G31" s="375">
        <v>145129.18099999998</v>
      </c>
      <c r="H31" s="583">
        <f>VLOOKUP(C31,Settings!$B$148:$D$157,3,FALSE)</f>
        <v>2.8315867747164543E-3</v>
      </c>
      <c r="I31" s="65">
        <f t="shared" si="0"/>
        <v>410.94586954503046</v>
      </c>
    </row>
    <row r="32" spans="2:9" ht="17.25" customHeight="1" x14ac:dyDescent="0.25">
      <c r="B32" s="356" t="str">
        <f>VLOOKUP(E32,'Unit List'!$B$9:$E$241,4,0)</f>
        <v>Cold Rolling</v>
      </c>
      <c r="C32" s="376" t="s">
        <v>460</v>
      </c>
      <c r="D32" s="356" t="str">
        <f>VLOOKUP(E32,'Unit List'!$B$9:$D$241,3,0)</f>
        <v>Pickling Line 1,2</v>
      </c>
      <c r="E32" s="414">
        <v>4225</v>
      </c>
      <c r="F32" s="376" t="s">
        <v>295</v>
      </c>
      <c r="G32" s="375">
        <v>132234.97400000002</v>
      </c>
      <c r="H32" s="583">
        <f>VLOOKUP(C32,Settings!$B$148:$D$157,3,FALSE)</f>
        <v>9.311605554735877E-4</v>
      </c>
      <c r="I32" s="65">
        <f t="shared" si="0"/>
        <v>123.13199184287544</v>
      </c>
    </row>
    <row r="33" spans="2:9" ht="17.25" customHeight="1" x14ac:dyDescent="0.25">
      <c r="B33" s="356" t="str">
        <f>VLOOKUP(E33,'Unit List'!$B$9:$E$241,4,0)</f>
        <v>Cold Rolling</v>
      </c>
      <c r="C33" s="414" t="s">
        <v>460</v>
      </c>
      <c r="D33" s="356" t="str">
        <f>VLOOKUP(E33,'Unit List'!$B$9:$D$241,3,0)</f>
        <v>Pickling Line 1,2</v>
      </c>
      <c r="E33" s="414">
        <v>4230</v>
      </c>
      <c r="F33" s="376" t="s">
        <v>295</v>
      </c>
      <c r="G33" s="375">
        <v>27268.051000000003</v>
      </c>
      <c r="H33" s="583">
        <f>VLOOKUP(C33,Settings!$B$148:$D$157,3,FALSE)</f>
        <v>9.311605554735877E-4</v>
      </c>
      <c r="I33" s="65">
        <f t="shared" si="0"/>
        <v>25.390933515842121</v>
      </c>
    </row>
    <row r="34" spans="2:9" ht="17.25" customHeight="1" x14ac:dyDescent="0.25">
      <c r="B34" s="356" t="str">
        <f>VLOOKUP(E34,'Unit List'!$B$9:$E$241,4,0)</f>
        <v>Cold Rolling</v>
      </c>
      <c r="C34" s="414" t="s">
        <v>460</v>
      </c>
      <c r="D34" s="356" t="str">
        <f>VLOOKUP(E34,'Unit List'!$B$9:$D$241,3,0)</f>
        <v>Pickling Line 1,2</v>
      </c>
      <c r="E34" s="414">
        <v>4235</v>
      </c>
      <c r="F34" s="376" t="s">
        <v>295</v>
      </c>
      <c r="G34" s="375">
        <v>7344.7660000000005</v>
      </c>
      <c r="H34" s="583">
        <f>VLOOKUP(C34,Settings!$B$148:$D$157,3,FALSE)</f>
        <v>9.311605554735877E-4</v>
      </c>
      <c r="I34" s="65">
        <f t="shared" si="0"/>
        <v>6.8391563883835209</v>
      </c>
    </row>
    <row r="35" spans="2:9" ht="17.25" customHeight="1" x14ac:dyDescent="0.25">
      <c r="B35" s="356" t="str">
        <f>VLOOKUP(E35,'Unit List'!$B$9:$E$241,4,0)</f>
        <v>Cold Rolling</v>
      </c>
      <c r="C35" s="414" t="s">
        <v>461</v>
      </c>
      <c r="D35" s="356" t="str">
        <f>VLOOKUP(E35,'Unit List'!$B$9:$D$241,3,0)</f>
        <v>Tandem Mill</v>
      </c>
      <c r="E35" s="414">
        <v>4310</v>
      </c>
      <c r="F35" s="376" t="s">
        <v>298</v>
      </c>
      <c r="G35" s="375">
        <v>204674.68</v>
      </c>
      <c r="H35" s="583">
        <f>VLOOKUP(C35,Settings!$B$148:$D$157,3,FALSE)</f>
        <v>2.8315867747164543E-3</v>
      </c>
      <c r="I35" s="65">
        <f t="shared" si="0"/>
        <v>579.55411700732236</v>
      </c>
    </row>
    <row r="36" spans="2:9" ht="17.25" customHeight="1" x14ac:dyDescent="0.25">
      <c r="B36" s="356" t="str">
        <f>VLOOKUP(E36,'Unit List'!$B$9:$E$241,4,0)</f>
        <v>Cold Rolling</v>
      </c>
      <c r="C36" s="376" t="s">
        <v>460</v>
      </c>
      <c r="D36" s="356" t="str">
        <f>VLOOKUP(E36,'Unit List'!$B$9:$D$241,3,0)</f>
        <v>Tandem Mill</v>
      </c>
      <c r="E36" s="414">
        <v>4310</v>
      </c>
      <c r="F36" s="376" t="s">
        <v>295</v>
      </c>
      <c r="G36" s="375">
        <v>144151.97899999999</v>
      </c>
      <c r="H36" s="583">
        <f>VLOOKUP(C36,Settings!$B$148:$D$157,3,FALSE)</f>
        <v>9.311605554735877E-4</v>
      </c>
      <c r="I36" s="65">
        <f t="shared" si="0"/>
        <v>134.22863683825693</v>
      </c>
    </row>
    <row r="37" spans="2:9" ht="17.25" customHeight="1" x14ac:dyDescent="0.25">
      <c r="B37" s="356" t="str">
        <f>VLOOKUP(E37,'Unit List'!$B$9:$E$241,4,0)</f>
        <v>Cold Rolling</v>
      </c>
      <c r="C37" s="414" t="s">
        <v>461</v>
      </c>
      <c r="D37" s="356" t="str">
        <f>VLOOKUP(E37,'Unit List'!$B$9:$D$241,3,0)</f>
        <v>Two Stand Reversible Mill</v>
      </c>
      <c r="E37" s="414">
        <v>4315</v>
      </c>
      <c r="F37" s="376" t="s">
        <v>298</v>
      </c>
      <c r="G37" s="375">
        <v>63487.533000000003</v>
      </c>
      <c r="H37" s="583">
        <f>VLOOKUP(C37,Settings!$B$148:$D$157,3,FALSE)</f>
        <v>2.8315867747164543E-3</v>
      </c>
      <c r="I37" s="65">
        <f t="shared" si="0"/>
        <v>179.77045880217446</v>
      </c>
    </row>
    <row r="38" spans="2:9" ht="17.25" customHeight="1" x14ac:dyDescent="0.25">
      <c r="B38" s="356" t="str">
        <f>VLOOKUP(E38,'Unit List'!$B$9:$E$241,4,0)</f>
        <v>Cold Rolling</v>
      </c>
      <c r="C38" s="414" t="s">
        <v>460</v>
      </c>
      <c r="D38" s="356" t="str">
        <f>VLOOKUP(E38,'Unit List'!$B$9:$D$241,3,0)</f>
        <v>Two Stand Reversible Mill</v>
      </c>
      <c r="E38" s="414">
        <v>4315</v>
      </c>
      <c r="F38" s="376" t="s">
        <v>295</v>
      </c>
      <c r="G38" s="375">
        <v>3618.8780000000002</v>
      </c>
      <c r="H38" s="583">
        <f>VLOOKUP(C38,Settings!$B$148:$D$157,3,FALSE)</f>
        <v>9.311605554735877E-4</v>
      </c>
      <c r="I38" s="65">
        <f t="shared" si="0"/>
        <v>3.3697564486711462</v>
      </c>
    </row>
    <row r="39" spans="2:9" ht="17.25" customHeight="1" x14ac:dyDescent="0.25">
      <c r="B39" s="356" t="str">
        <f>VLOOKUP(E39,'Unit List'!$B$9:$E$241,4,0)</f>
        <v>Cold Rolling</v>
      </c>
      <c r="C39" s="414" t="s">
        <v>461</v>
      </c>
      <c r="D39" s="356" t="str">
        <f>VLOOKUP(E39,'Unit List'!$B$9:$D$241,3,0)</f>
        <v>Electrolytic Cleaning Line</v>
      </c>
      <c r="E39" s="414">
        <v>4405</v>
      </c>
      <c r="F39" s="376" t="s">
        <v>298</v>
      </c>
      <c r="G39" s="375">
        <v>33196.096000000005</v>
      </c>
      <c r="H39" s="583">
        <f>VLOOKUP(C39,Settings!$B$148:$D$157,3,FALSE)</f>
        <v>2.8315867747164543E-3</v>
      </c>
      <c r="I39" s="65">
        <f t="shared" si="0"/>
        <v>93.997626405817797</v>
      </c>
    </row>
    <row r="40" spans="2:9" ht="17.25" customHeight="1" x14ac:dyDescent="0.25">
      <c r="B40" s="356" t="str">
        <f>VLOOKUP(E40,'Unit List'!$B$9:$E$241,4,0)</f>
        <v>Cold Rolling</v>
      </c>
      <c r="C40" s="414" t="s">
        <v>460</v>
      </c>
      <c r="D40" s="356" t="str">
        <f>VLOOKUP(E40,'Unit List'!$B$9:$D$241,3,0)</f>
        <v>Electrolytic Cleaning Line</v>
      </c>
      <c r="E40" s="414">
        <v>4405</v>
      </c>
      <c r="F40" s="376" t="s">
        <v>295</v>
      </c>
      <c r="G40" s="375">
        <v>72504.028000000006</v>
      </c>
      <c r="H40" s="583">
        <f>VLOOKUP(C40,Settings!$B$148:$D$157,3,FALSE)</f>
        <v>9.311605554735877E-4</v>
      </c>
      <c r="I40" s="65">
        <f t="shared" si="0"/>
        <v>67.512890986552563</v>
      </c>
    </row>
    <row r="41" spans="2:9" ht="17.25" customHeight="1" x14ac:dyDescent="0.25">
      <c r="B41" s="356" t="str">
        <f>VLOOKUP(E41,'Unit List'!$B$9:$E$241,4,0)</f>
        <v>Cold Rolling</v>
      </c>
      <c r="C41" s="414" t="s">
        <v>460</v>
      </c>
      <c r="D41" s="356" t="str">
        <f>VLOOKUP(E41,'Unit List'!$B$9:$D$241,3,0)</f>
        <v>Box Annealing 1</v>
      </c>
      <c r="E41" s="414">
        <v>4410</v>
      </c>
      <c r="F41" s="376" t="s">
        <v>295</v>
      </c>
      <c r="G41" s="375">
        <v>85510.588000000003</v>
      </c>
      <c r="H41" s="583">
        <f>VLOOKUP(C41,Settings!$B$148:$D$157,3,FALSE)</f>
        <v>9.311605554735877E-4</v>
      </c>
      <c r="I41" s="65">
        <f t="shared" si="0"/>
        <v>79.624086620953108</v>
      </c>
    </row>
    <row r="42" spans="2:9" ht="17.25" customHeight="1" x14ac:dyDescent="0.25">
      <c r="B42" s="356" t="str">
        <f>VLOOKUP(E42,'Unit List'!$B$9:$E$241,4,0)</f>
        <v>Cold Rolling</v>
      </c>
      <c r="C42" s="414" t="s">
        <v>461</v>
      </c>
      <c r="D42" s="356" t="str">
        <f>VLOOKUP(E42,'Unit List'!$B$9:$D$241,3,0)</f>
        <v>Box Annealing 2</v>
      </c>
      <c r="E42" s="414">
        <v>4420</v>
      </c>
      <c r="F42" s="376" t="s">
        <v>298</v>
      </c>
      <c r="G42" s="375">
        <v>12656.011</v>
      </c>
      <c r="H42" s="583">
        <f>VLOOKUP(C42,Settings!$B$148:$D$157,3,FALSE)</f>
        <v>2.8315867747164543E-3</v>
      </c>
      <c r="I42" s="65">
        <f t="shared" si="0"/>
        <v>35.836593368265966</v>
      </c>
    </row>
    <row r="43" spans="2:9" ht="17.25" customHeight="1" x14ac:dyDescent="0.25">
      <c r="B43" s="356" t="str">
        <f>VLOOKUP(E43,'Unit List'!$B$9:$E$241,4,0)</f>
        <v>Cold Rolling</v>
      </c>
      <c r="C43" s="414" t="s">
        <v>460</v>
      </c>
      <c r="D43" s="356" t="str">
        <f>VLOOKUP(E43,'Unit List'!$B$9:$D$241,3,0)</f>
        <v>Box Annealing 2</v>
      </c>
      <c r="E43" s="414">
        <v>4420</v>
      </c>
      <c r="F43" s="376" t="s">
        <v>295</v>
      </c>
      <c r="G43" s="375">
        <v>120862.74800000001</v>
      </c>
      <c r="H43" s="583">
        <f>VLOOKUP(C43,Settings!$B$148:$D$157,3,FALSE)</f>
        <v>9.311605554735877E-4</v>
      </c>
      <c r="I43" s="65">
        <f t="shared" si="0"/>
        <v>112.54262356374426</v>
      </c>
    </row>
    <row r="44" spans="2:9" ht="17.25" customHeight="1" x14ac:dyDescent="0.25">
      <c r="B44" s="356" t="str">
        <f>VLOOKUP(E44,'Unit List'!$B$9:$E$241,4,0)</f>
        <v>Cold Rolling</v>
      </c>
      <c r="C44" s="414" t="s">
        <v>461</v>
      </c>
      <c r="D44" s="356" t="str">
        <f>VLOOKUP(E44,'Unit List'!$B$9:$D$241,3,0)</f>
        <v>Skin Pass Line 1,2</v>
      </c>
      <c r="E44" s="414">
        <v>4510</v>
      </c>
      <c r="F44" s="376" t="s">
        <v>298</v>
      </c>
      <c r="G44" s="375">
        <v>3112.134</v>
      </c>
      <c r="H44" s="583">
        <f>VLOOKUP(C44,Settings!$B$148:$D$157,3,FALSE)</f>
        <v>2.8315867747164543E-3</v>
      </c>
      <c r="I44" s="65">
        <f t="shared" si="0"/>
        <v>8.8122774755454181</v>
      </c>
    </row>
    <row r="45" spans="2:9" ht="17.25" customHeight="1" x14ac:dyDescent="0.25">
      <c r="B45" s="356" t="str">
        <f>VLOOKUP(E45,'Unit List'!$B$9:$E$241,4,0)</f>
        <v>Cold Rolling</v>
      </c>
      <c r="C45" s="414" t="s">
        <v>460</v>
      </c>
      <c r="D45" s="356" t="str">
        <f>VLOOKUP(E45,'Unit List'!$B$9:$D$241,3,0)</f>
        <v>Skin Pass Line 1,2</v>
      </c>
      <c r="E45" s="414">
        <v>4510</v>
      </c>
      <c r="F45" s="376" t="s">
        <v>295</v>
      </c>
      <c r="G45" s="375">
        <v>2023.4569999999999</v>
      </c>
      <c r="H45" s="583">
        <f>VLOOKUP(C45,Settings!$B$148:$D$157,3,FALSE)</f>
        <v>9.311605554735877E-4</v>
      </c>
      <c r="I45" s="65">
        <f t="shared" si="0"/>
        <v>1.8841633440969192</v>
      </c>
    </row>
    <row r="46" spans="2:9" ht="17.25" customHeight="1" x14ac:dyDescent="0.25">
      <c r="B46" s="356" t="str">
        <f>VLOOKUP(E46,'Unit List'!$B$9:$E$241,4,0)</f>
        <v>Cold Rolling</v>
      </c>
      <c r="C46" s="414" t="s">
        <v>461</v>
      </c>
      <c r="D46" s="356" t="str">
        <f>VLOOKUP(E46,'Unit List'!$B$9:$D$241,3,0)</f>
        <v>Skin Pass Line 1,2</v>
      </c>
      <c r="E46" s="414">
        <v>4515</v>
      </c>
      <c r="F46" s="376" t="s">
        <v>298</v>
      </c>
      <c r="G46" s="375">
        <v>0</v>
      </c>
      <c r="H46" s="583">
        <f>VLOOKUP(C46,Settings!$B$148:$D$157,3,FALSE)</f>
        <v>2.8315867747164543E-3</v>
      </c>
      <c r="I46" s="65">
        <f t="shared" si="0"/>
        <v>0</v>
      </c>
    </row>
    <row r="47" spans="2:9" ht="17.25" customHeight="1" x14ac:dyDescent="0.25">
      <c r="B47" s="356" t="str">
        <f>VLOOKUP(E47,'Unit List'!$B$9:$E$241,4,0)</f>
        <v>Cold Rolling</v>
      </c>
      <c r="C47" s="414" t="s">
        <v>460</v>
      </c>
      <c r="D47" s="356" t="str">
        <f>VLOOKUP(E47,'Unit List'!$B$9:$D$241,3,0)</f>
        <v>Skin Pass Line 1,2</v>
      </c>
      <c r="E47" s="414">
        <v>4515</v>
      </c>
      <c r="F47" s="376" t="s">
        <v>295</v>
      </c>
      <c r="G47" s="375">
        <v>2042.915</v>
      </c>
      <c r="H47" s="583">
        <f>VLOOKUP(C47,Settings!$B$148:$D$157,3,FALSE)</f>
        <v>9.311605554735877E-4</v>
      </c>
      <c r="I47" s="65">
        <f t="shared" si="0"/>
        <v>1.9022818661853245</v>
      </c>
    </row>
    <row r="48" spans="2:9" ht="17.25" customHeight="1" x14ac:dyDescent="0.25">
      <c r="B48" s="356" t="str">
        <f>VLOOKUP(E48,'Unit List'!$B$9:$E$241,4,0)</f>
        <v>Cold Rolling</v>
      </c>
      <c r="C48" s="414" t="s">
        <v>461</v>
      </c>
      <c r="D48" s="356" t="str">
        <f>VLOOKUP(E48,'Unit List'!$B$9:$D$241,3,0)</f>
        <v>Temper Mill</v>
      </c>
      <c r="E48" s="414">
        <v>4520</v>
      </c>
      <c r="F48" s="376" t="s">
        <v>298</v>
      </c>
      <c r="G48" s="375">
        <v>17842.901000000002</v>
      </c>
      <c r="H48" s="583">
        <f>VLOOKUP(C48,Settings!$B$148:$D$157,3,FALSE)</f>
        <v>2.8315867747164543E-3</v>
      </c>
      <c r="I48" s="65">
        <f t="shared" si="0"/>
        <v>50.523722494175004</v>
      </c>
    </row>
    <row r="49" spans="2:9" ht="17.25" customHeight="1" x14ac:dyDescent="0.25">
      <c r="B49" s="356" t="str">
        <f>VLOOKUP(E49,'Unit List'!$B$9:$E$241,4,0)</f>
        <v>Cold Rolling</v>
      </c>
      <c r="C49" s="414" t="s">
        <v>460</v>
      </c>
      <c r="D49" s="356" t="str">
        <f>VLOOKUP(E49,'Unit List'!$B$9:$D$241,3,0)</f>
        <v>Temper Mill</v>
      </c>
      <c r="E49" s="414">
        <v>4520</v>
      </c>
      <c r="F49" s="376" t="s">
        <v>295</v>
      </c>
      <c r="G49" s="375">
        <v>2714.1590000000006</v>
      </c>
      <c r="H49" s="583">
        <f>VLOOKUP(C49,Settings!$B$148:$D$157,3,FALSE)</f>
        <v>9.311605554735877E-4</v>
      </c>
      <c r="I49" s="65">
        <f t="shared" si="0"/>
        <v>2.5273178020836378</v>
      </c>
    </row>
    <row r="50" spans="2:9" ht="17.25" customHeight="1" x14ac:dyDescent="0.25">
      <c r="B50" s="356" t="str">
        <f>VLOOKUP(E50,'Unit List'!$B$9:$E$241,4,0)</f>
        <v>Cold Rolling</v>
      </c>
      <c r="C50" s="414" t="s">
        <v>460</v>
      </c>
      <c r="D50" s="356" t="str">
        <f>VLOOKUP(E50,'Unit List'!$B$9:$D$241,3,0)</f>
        <v>Corrective Line 1-4</v>
      </c>
      <c r="E50" s="414">
        <v>4610</v>
      </c>
      <c r="F50" s="376" t="s">
        <v>295</v>
      </c>
      <c r="G50" s="375">
        <v>739.34100000000001</v>
      </c>
      <c r="H50" s="583">
        <f>VLOOKUP(C50,Settings!$B$148:$D$157,3,FALSE)</f>
        <v>9.311605554735877E-4</v>
      </c>
      <c r="I50" s="65">
        <f t="shared" si="0"/>
        <v>0.68844517624439783</v>
      </c>
    </row>
    <row r="51" spans="2:9" ht="17.25" customHeight="1" x14ac:dyDescent="0.25">
      <c r="B51" s="356" t="str">
        <f>VLOOKUP(E51,'Unit List'!$B$9:$E$241,4,0)</f>
        <v>Cold Rolling</v>
      </c>
      <c r="C51" s="414" t="s">
        <v>460</v>
      </c>
      <c r="D51" s="356" t="str">
        <f>VLOOKUP(E51,'Unit List'!$B$9:$D$241,3,0)</f>
        <v>Corrective Line 1-4</v>
      </c>
      <c r="E51" s="414">
        <v>4615</v>
      </c>
      <c r="F51" s="376" t="s">
        <v>295</v>
      </c>
      <c r="G51" s="375">
        <v>778.25300000000004</v>
      </c>
      <c r="H51" s="583">
        <f>VLOOKUP(C51,Settings!$B$148:$D$157,3,FALSE)</f>
        <v>9.311605554735877E-4</v>
      </c>
      <c r="I51" s="65">
        <f t="shared" si="0"/>
        <v>0.72467849577898613</v>
      </c>
    </row>
    <row r="52" spans="2:9" ht="17.25" customHeight="1" x14ac:dyDescent="0.25">
      <c r="B52" s="356" t="str">
        <f>VLOOKUP(E52,'Unit List'!$B$9:$E$241,4,0)</f>
        <v>Cold Rolling</v>
      </c>
      <c r="C52" s="414" t="s">
        <v>460</v>
      </c>
      <c r="D52" s="356" t="str">
        <f>VLOOKUP(E52,'Unit List'!$B$9:$D$241,3,0)</f>
        <v>Corrective Line 1-4</v>
      </c>
      <c r="E52" s="414">
        <v>4616</v>
      </c>
      <c r="F52" s="376" t="s">
        <v>295</v>
      </c>
      <c r="G52" s="375">
        <v>0</v>
      </c>
      <c r="H52" s="583">
        <f>VLOOKUP(C52,Settings!$B$148:$D$157,3,FALSE)</f>
        <v>9.311605554735877E-4</v>
      </c>
      <c r="I52" s="65">
        <f t="shared" si="0"/>
        <v>0</v>
      </c>
    </row>
    <row r="53" spans="2:9" ht="17.25" customHeight="1" x14ac:dyDescent="0.25">
      <c r="B53" s="356" t="str">
        <f>VLOOKUP(E53,'Unit List'!$B$9:$E$241,4,0)</f>
        <v>Cold Rolling</v>
      </c>
      <c r="C53" s="414" t="s">
        <v>460</v>
      </c>
      <c r="D53" s="356" t="str">
        <f>VLOOKUP(E53,'Unit List'!$B$9:$D$241,3,0)</f>
        <v>Corrective Line 1-4</v>
      </c>
      <c r="E53" s="414">
        <v>4618</v>
      </c>
      <c r="F53" s="376" t="s">
        <v>295</v>
      </c>
      <c r="G53" s="375">
        <v>525.32100000000003</v>
      </c>
      <c r="H53" s="583">
        <f>VLOOKUP(C53,Settings!$B$148:$D$157,3,FALSE)</f>
        <v>9.311605554735877E-4</v>
      </c>
      <c r="I53" s="65">
        <f t="shared" si="0"/>
        <v>0.48915819416194056</v>
      </c>
    </row>
    <row r="54" spans="2:9" ht="17.25" customHeight="1" x14ac:dyDescent="0.25">
      <c r="B54" s="356" t="str">
        <f>VLOOKUP(E54,'Unit List'!$B$9:$E$241,4,0)</f>
        <v>Cold Rolling</v>
      </c>
      <c r="C54" s="414" t="s">
        <v>460</v>
      </c>
      <c r="D54" s="356" t="str">
        <f>VLOOKUP(E54,'Unit List'!$B$9:$D$241,3,0)</f>
        <v>Light Shearing Line (CRM)</v>
      </c>
      <c r="E54" s="414">
        <v>4630</v>
      </c>
      <c r="F54" s="376" t="s">
        <v>295</v>
      </c>
      <c r="G54" s="375">
        <v>1040.914</v>
      </c>
      <c r="H54" s="583">
        <f>VLOOKUP(C54,Settings!$B$148:$D$157,3,FALSE)</f>
        <v>9.311605554735877E-4</v>
      </c>
      <c r="I54" s="65">
        <f t="shared" si="0"/>
        <v>0.96925805844023405</v>
      </c>
    </row>
    <row r="55" spans="2:9" ht="17.25" customHeight="1" x14ac:dyDescent="0.25">
      <c r="B55" s="356" t="str">
        <f>VLOOKUP(E55,'Unit List'!$B$9:$E$241,4,0)</f>
        <v>Cold Rolling</v>
      </c>
      <c r="C55" s="414" t="s">
        <v>460</v>
      </c>
      <c r="D55" s="356" t="str">
        <f>VLOOKUP(E55,'Unit List'!$B$9:$D$241,3,0)</f>
        <v>Heavy Shearing Line (CRM)</v>
      </c>
      <c r="E55" s="414">
        <v>4640</v>
      </c>
      <c r="F55" s="376" t="s">
        <v>295</v>
      </c>
      <c r="G55" s="375">
        <v>1109.0120000000002</v>
      </c>
      <c r="H55" s="583">
        <f>VLOOKUP(C55,Settings!$B$148:$D$157,3,FALSE)</f>
        <v>9.311605554735877E-4</v>
      </c>
      <c r="I55" s="65">
        <f t="shared" si="0"/>
        <v>1.0326682299468746</v>
      </c>
    </row>
    <row r="56" spans="2:9" ht="17.25" customHeight="1" x14ac:dyDescent="0.25">
      <c r="B56" s="356" t="str">
        <f>VLOOKUP(E56,'Unit List'!$B$9:$E$241,4,0)</f>
        <v>Cold Rolling</v>
      </c>
      <c r="C56" s="414" t="s">
        <v>461</v>
      </c>
      <c r="D56" s="356" t="str">
        <f>VLOOKUP(E56,'Unit List'!$B$9:$D$241,3,0)</f>
        <v>Tinning Line</v>
      </c>
      <c r="E56" s="414">
        <v>4710</v>
      </c>
      <c r="F56" s="376" t="s">
        <v>298</v>
      </c>
      <c r="G56" s="375">
        <v>410179.26</v>
      </c>
      <c r="H56" s="583">
        <f>VLOOKUP(C56,Settings!$B$148:$D$157,3,FALSE)</f>
        <v>2.8315867747164543E-3</v>
      </c>
      <c r="I56" s="65">
        <f t="shared" si="0"/>
        <v>1161.4581678789818</v>
      </c>
    </row>
    <row r="57" spans="2:9" ht="17.25" customHeight="1" x14ac:dyDescent="0.25">
      <c r="B57" s="356" t="str">
        <f>VLOOKUP(E57,'Unit List'!$B$9:$E$241,4,0)</f>
        <v>Cold Rolling</v>
      </c>
      <c r="C57" s="376" t="s">
        <v>461</v>
      </c>
      <c r="D57" s="356" t="str">
        <f>VLOOKUP(E57,'Unit List'!$B$9:$D$241,3,0)</f>
        <v>Galvanizing Line</v>
      </c>
      <c r="E57" s="414">
        <v>4810</v>
      </c>
      <c r="F57" s="376" t="s">
        <v>298</v>
      </c>
      <c r="G57" s="375">
        <v>0</v>
      </c>
      <c r="H57" s="583">
        <f>VLOOKUP(C57,Settings!$B$148:$D$157,3,FALSE)</f>
        <v>2.8315867747164543E-3</v>
      </c>
      <c r="I57" s="65">
        <f t="shared" si="0"/>
        <v>0</v>
      </c>
    </row>
    <row r="58" spans="2:9" ht="17.25" customHeight="1" x14ac:dyDescent="0.25">
      <c r="B58" s="356" t="str">
        <f>VLOOKUP(E58,'Unit List'!$B$9:$E$241,4,0)</f>
        <v>Cold Rolling</v>
      </c>
      <c r="C58" s="414" t="s">
        <v>460</v>
      </c>
      <c r="D58" s="356" t="str">
        <f>VLOOKUP(E58,'Unit List'!$B$9:$D$241,3,0)</f>
        <v>Galvanizing Line</v>
      </c>
      <c r="E58" s="414">
        <v>4810</v>
      </c>
      <c r="F58" s="376" t="s">
        <v>295</v>
      </c>
      <c r="G58" s="375">
        <v>160942.79400000002</v>
      </c>
      <c r="H58" s="583">
        <f>VLOOKUP(C58,Settings!$B$148:$D$157,3,FALSE)</f>
        <v>9.311605554735877E-4</v>
      </c>
      <c r="I58" s="65">
        <f t="shared" si="0"/>
        <v>149.86358146051123</v>
      </c>
    </row>
    <row r="59" spans="2:9" ht="17.25" customHeight="1" x14ac:dyDescent="0.25">
      <c r="B59" s="356" t="str">
        <f>VLOOKUP(E59,'Unit List'!$B$9:$E$241,4,0)</f>
        <v>Cold Rolling</v>
      </c>
      <c r="C59" s="414" t="s">
        <v>461</v>
      </c>
      <c r="D59" s="356" t="str">
        <f>VLOOKUP(E59,'Unit List'!$B$9:$D$241,3,0)</f>
        <v>Coating Line</v>
      </c>
      <c r="E59" s="414">
        <v>4820</v>
      </c>
      <c r="F59" s="376" t="s">
        <v>298</v>
      </c>
      <c r="G59" s="375">
        <v>20540.084999999999</v>
      </c>
      <c r="H59" s="583">
        <f>VLOOKUP(C59,Settings!$B$148:$D$157,3,FALSE)</f>
        <v>2.8315867747164543E-3</v>
      </c>
      <c r="I59" s="65">
        <f t="shared" si="0"/>
        <v>58.161033037551817</v>
      </c>
    </row>
    <row r="60" spans="2:9" ht="17.25" customHeight="1" x14ac:dyDescent="0.25">
      <c r="B60" s="356" t="str">
        <f>VLOOKUP(E60,'Unit List'!$B$9:$E$241,4,0)</f>
        <v>Cold Rolling</v>
      </c>
      <c r="C60" s="414" t="s">
        <v>460</v>
      </c>
      <c r="D60" s="356" t="str">
        <f>VLOOKUP(E60,'Unit List'!$B$9:$D$241,3,0)</f>
        <v>Coating Line</v>
      </c>
      <c r="E60" s="414">
        <v>4820</v>
      </c>
      <c r="F60" s="376" t="s">
        <v>295</v>
      </c>
      <c r="G60" s="375">
        <v>81327.476999999999</v>
      </c>
      <c r="H60" s="583">
        <f>VLOOKUP(C60,Settings!$B$148:$D$157,3,FALSE)</f>
        <v>9.311605554735877E-4</v>
      </c>
      <c r="I60" s="65">
        <f t="shared" si="0"/>
        <v>75.72893865858542</v>
      </c>
    </row>
    <row r="61" spans="2:9" ht="17.25" customHeight="1" x14ac:dyDescent="0.25">
      <c r="B61" s="356" t="str">
        <f>VLOOKUP(E61,'Unit List'!$B$9:$E$241,4,0)</f>
        <v>Utility</v>
      </c>
      <c r="C61" s="414" t="s">
        <v>460</v>
      </c>
      <c r="D61" s="356" t="str">
        <f>VLOOKUP(E61,'Unit List'!$B$9:$D$241,3,0)</f>
        <v>RO3</v>
      </c>
      <c r="E61" s="414">
        <v>5105</v>
      </c>
      <c r="F61" s="376" t="s">
        <v>295</v>
      </c>
      <c r="G61" s="375">
        <v>1574360</v>
      </c>
      <c r="H61" s="583">
        <f>VLOOKUP(C61,Settings!$B$148:$D$157,3,FALSE)</f>
        <v>9.311605554735877E-4</v>
      </c>
      <c r="I61" s="65">
        <f t="shared" si="0"/>
        <v>1465.9819321153975</v>
      </c>
    </row>
    <row r="62" spans="2:9" ht="17.25" customHeight="1" x14ac:dyDescent="0.25">
      <c r="B62" s="356" t="str">
        <f>VLOOKUP(E62,'Unit List'!$B$9:$E$241,4,0)</f>
        <v>Utility</v>
      </c>
      <c r="C62" s="414" t="s">
        <v>462</v>
      </c>
      <c r="D62" s="356" t="str">
        <f>VLOOKUP(E62,'Unit List'!$B$9:$D$241,3,0)</f>
        <v>Steam Production</v>
      </c>
      <c r="E62" s="414">
        <v>5120</v>
      </c>
      <c r="F62" s="376">
        <v>53040</v>
      </c>
      <c r="G62" s="575">
        <v>141712</v>
      </c>
      <c r="H62" s="583">
        <f>VLOOKUP(C62,Settings!$B$148:$D$157,3,FALSE)</f>
        <v>1.0561392382622716E-2</v>
      </c>
      <c r="I62" s="65">
        <f t="shared" si="0"/>
        <v>1496.6760373262302</v>
      </c>
    </row>
    <row r="63" spans="2:9" ht="17.25" customHeight="1" x14ac:dyDescent="0.25">
      <c r="B63" s="356" t="str">
        <f>VLOOKUP(E63,'Unit List'!$B$9:$E$241,4,0)</f>
        <v>Utility</v>
      </c>
      <c r="C63" s="414" t="s">
        <v>460</v>
      </c>
      <c r="D63" s="356" t="str">
        <f>VLOOKUP(E63,'Unit List'!$B$9:$D$241,3,0)</f>
        <v>PowerPlant 1</v>
      </c>
      <c r="E63" s="414">
        <v>5130</v>
      </c>
      <c r="F63" s="376" t="s">
        <v>295</v>
      </c>
      <c r="G63" s="375">
        <v>2954334</v>
      </c>
      <c r="H63" s="583">
        <f>VLOOKUP(C63,Settings!$B$148:$D$157,3,FALSE)</f>
        <v>9.311605554735877E-4</v>
      </c>
      <c r="I63" s="65">
        <f t="shared" si="0"/>
        <v>2750.9592884945064</v>
      </c>
    </row>
    <row r="64" spans="2:9" ht="17.25" customHeight="1" x14ac:dyDescent="0.25">
      <c r="B64" s="356" t="str">
        <f>VLOOKUP(E64,'Unit List'!$B$9:$E$241,4,0)</f>
        <v>Utility</v>
      </c>
      <c r="C64" s="414" t="s">
        <v>460</v>
      </c>
      <c r="D64" s="356" t="str">
        <f>VLOOKUP(E64,'Unit List'!$B$9:$D$241,3,0)</f>
        <v>PowerPlant 2</v>
      </c>
      <c r="E64" s="414">
        <v>5140</v>
      </c>
      <c r="F64" s="376" t="s">
        <v>295</v>
      </c>
      <c r="G64" s="375">
        <v>0</v>
      </c>
      <c r="H64" s="583">
        <f>VLOOKUP(C64,Settings!$B$148:$D$157,3,FALSE)</f>
        <v>9.311605554735877E-4</v>
      </c>
      <c r="I64" s="65">
        <f t="shared" si="0"/>
        <v>0</v>
      </c>
    </row>
    <row r="65" spans="2:9" ht="17.25" customHeight="1" x14ac:dyDescent="0.25">
      <c r="B65" s="356" t="str">
        <f>VLOOKUP(E65,'Unit List'!$B$9:$E$241,4,0)</f>
        <v>Utility</v>
      </c>
      <c r="C65" s="414" t="s">
        <v>460</v>
      </c>
      <c r="D65" s="356" t="str">
        <f>VLOOKUP(E65,'Unit List'!$B$9:$D$241,3,0)</f>
        <v>PowerPlant 3</v>
      </c>
      <c r="E65" s="414">
        <v>5150</v>
      </c>
      <c r="F65" s="376" t="s">
        <v>295</v>
      </c>
      <c r="G65" s="375">
        <v>0</v>
      </c>
      <c r="H65" s="583">
        <f>VLOOKUP(C65,Settings!$B$148:$D$157,3,FALSE)</f>
        <v>9.311605554735877E-4</v>
      </c>
      <c r="I65" s="65">
        <f t="shared" si="0"/>
        <v>0</v>
      </c>
    </row>
    <row r="66" spans="2:9" ht="17.25" customHeight="1" x14ac:dyDescent="0.25">
      <c r="B66" s="356" t="str">
        <f>VLOOKUP(E66,'Unit List'!$B$9:$E$241,4,0)</f>
        <v>Utility</v>
      </c>
      <c r="C66" s="414" t="s">
        <v>460</v>
      </c>
      <c r="D66" s="356" t="str">
        <f>VLOOKUP(E66,'Unit List'!$B$9:$D$241,3,0)</f>
        <v>Compressed Air Production</v>
      </c>
      <c r="E66" s="414">
        <v>5210</v>
      </c>
      <c r="F66" s="376" t="s">
        <v>295</v>
      </c>
      <c r="G66" s="375">
        <v>276897.34100000001</v>
      </c>
      <c r="H66" s="583">
        <f>VLOOKUP(C66,Settings!$B$148:$D$157,3,FALSE)</f>
        <v>9.311605554735877E-4</v>
      </c>
      <c r="I66" s="65">
        <f t="shared" si="0"/>
        <v>257.83588185471945</v>
      </c>
    </row>
    <row r="67" spans="2:9" ht="17.25" customHeight="1" x14ac:dyDescent="0.25">
      <c r="B67" s="356" t="str">
        <f>VLOOKUP(E67,'Unit List'!$B$9:$E$241,4,0)</f>
        <v>Utility</v>
      </c>
      <c r="C67" s="414" t="s">
        <v>461</v>
      </c>
      <c r="D67" s="356" t="str">
        <f>VLOOKUP(E67,'Unit List'!$B$9:$D$241,3,0)</f>
        <v>Oxygen &amp; Hydrogen</v>
      </c>
      <c r="E67" s="414">
        <v>5220</v>
      </c>
      <c r="F67" s="376" t="s">
        <v>298</v>
      </c>
      <c r="G67" s="375">
        <v>8672</v>
      </c>
      <c r="H67" s="583">
        <f>VLOOKUP(C67,Settings!$B$148:$D$157,3,FALSE)</f>
        <v>2.8315867747164543E-3</v>
      </c>
      <c r="I67" s="65">
        <f t="shared" si="0"/>
        <v>24.55552051034109</v>
      </c>
    </row>
    <row r="68" spans="2:9" ht="17.25" customHeight="1" x14ac:dyDescent="0.25">
      <c r="B68" s="356" t="str">
        <f>VLOOKUP(E68,'Unit List'!$B$9:$E$241,4,0)</f>
        <v>Utility</v>
      </c>
      <c r="C68" s="414" t="s">
        <v>460</v>
      </c>
      <c r="D68" s="356" t="str">
        <f>VLOOKUP(E68,'Unit List'!$B$9:$D$241,3,0)</f>
        <v>Oxygen &amp; Hydrogen</v>
      </c>
      <c r="E68" s="414">
        <v>5220</v>
      </c>
      <c r="F68" s="376" t="s">
        <v>295</v>
      </c>
      <c r="G68" s="375">
        <v>857462.65899999999</v>
      </c>
      <c r="H68" s="583">
        <f>VLOOKUP(C68,Settings!$B$148:$D$157,3,FALSE)</f>
        <v>9.311605554735877E-4</v>
      </c>
      <c r="I68" s="65">
        <f t="shared" si="0"/>
        <v>798.43540585229948</v>
      </c>
    </row>
    <row r="69" spans="2:9" ht="17.25" customHeight="1" x14ac:dyDescent="0.25">
      <c r="B69" s="356" t="str">
        <f>VLOOKUP(E69,'Unit List'!$B$9:$E$241,4,0)</f>
        <v>Utility</v>
      </c>
      <c r="C69" s="414" t="s">
        <v>460</v>
      </c>
      <c r="D69" s="356" t="str">
        <f>VLOOKUP(E69,'Unit List'!$B$9:$D$241,3,0)</f>
        <v>Industrial Water Distribution</v>
      </c>
      <c r="E69" s="414">
        <v>5311</v>
      </c>
      <c r="F69" s="376" t="s">
        <v>295</v>
      </c>
      <c r="G69" s="690">
        <v>1566608.5</v>
      </c>
      <c r="H69" s="583">
        <f>VLOOKUP(C69,Settings!$B$148:$D$157,3,FALSE)</f>
        <v>9.311605554735877E-4</v>
      </c>
      <c r="I69" s="65">
        <f t="shared" si="0"/>
        <v>1458.764041069644</v>
      </c>
    </row>
    <row r="70" spans="2:9" ht="17.25" customHeight="1" x14ac:dyDescent="0.25">
      <c r="B70" s="356" t="str">
        <f>VLOOKUP(E70,'Unit List'!$B$9:$E$241,4,0)</f>
        <v>Utility</v>
      </c>
      <c r="C70" s="414" t="s">
        <v>460</v>
      </c>
      <c r="D70" s="356" t="str">
        <f>VLOOKUP(E70,'Unit List'!$B$9:$D$241,3,0)</f>
        <v>Water Conditioning</v>
      </c>
      <c r="E70" s="414">
        <v>5330</v>
      </c>
      <c r="F70" s="376" t="s">
        <v>295</v>
      </c>
      <c r="G70" s="690">
        <v>19103</v>
      </c>
      <c r="H70" s="583">
        <f>VLOOKUP(C70,Settings!$B$148:$D$157,3,FALSE)</f>
        <v>9.311605554735877E-4</v>
      </c>
      <c r="I70" s="65">
        <f t="shared" si="0"/>
        <v>17.787960091211946</v>
      </c>
    </row>
    <row r="71" spans="2:9" ht="17.25" customHeight="1" x14ac:dyDescent="0.25">
      <c r="B71" s="356" t="str">
        <f>VLOOKUP(E71,'Unit List'!$B$9:$E$241,4,0)</f>
        <v>Utility</v>
      </c>
      <c r="C71" s="414" t="s">
        <v>460</v>
      </c>
      <c r="D71" s="356" t="str">
        <f>VLOOKUP(E71,'Unit List'!$B$9:$D$241,3,0)</f>
        <v>Water Conditioning</v>
      </c>
      <c r="E71" s="414">
        <v>5335</v>
      </c>
      <c r="F71" s="376" t="s">
        <v>295</v>
      </c>
      <c r="G71" s="690">
        <v>0</v>
      </c>
      <c r="H71" s="583">
        <f>VLOOKUP(C71,Settings!$B$148:$D$157,3,FALSE)</f>
        <v>9.311605554735877E-4</v>
      </c>
      <c r="I71" s="65">
        <f t="shared" si="0"/>
        <v>0</v>
      </c>
    </row>
    <row r="72" spans="2:9" ht="17.25" customHeight="1" x14ac:dyDescent="0.25">
      <c r="B72" s="356" t="str">
        <f>VLOOKUP(E72,'Unit List'!$B$9:$E$241,4,0)</f>
        <v>Utility</v>
      </c>
      <c r="C72" s="414" t="s">
        <v>460</v>
      </c>
      <c r="D72" s="356" t="str">
        <f>VLOOKUP(E72,'Unit List'!$B$9:$D$241,3,0)</f>
        <v>Hot Strip Mill Treatment</v>
      </c>
      <c r="E72" s="414">
        <v>5340</v>
      </c>
      <c r="F72" s="376" t="s">
        <v>295</v>
      </c>
      <c r="G72" s="375">
        <v>325705.52600000001</v>
      </c>
      <c r="H72" s="583">
        <f>VLOOKUP(C72,Settings!$B$148:$D$157,3,FALSE)</f>
        <v>9.311605554735877E-4</v>
      </c>
      <c r="I72" s="65">
        <f t="shared" si="0"/>
        <v>303.28413851097707</v>
      </c>
    </row>
    <row r="73" spans="2:9" ht="17.25" customHeight="1" x14ac:dyDescent="0.25">
      <c r="B73" s="356" t="str">
        <f>VLOOKUP(E73,'Unit List'!$B$9:$E$241,4,0)</f>
        <v>Utility</v>
      </c>
      <c r="C73" s="414" t="s">
        <v>460</v>
      </c>
      <c r="D73" s="356" t="str">
        <f>VLOOKUP(E73,'Unit List'!$B$9:$D$241,3,0)</f>
        <v>Sewage Treatment</v>
      </c>
      <c r="E73" s="414">
        <v>5350</v>
      </c>
      <c r="F73" s="376" t="s">
        <v>295</v>
      </c>
      <c r="G73" s="375">
        <v>112522</v>
      </c>
      <c r="H73" s="583">
        <f>VLOOKUP(C73,Settings!$B$148:$D$157,3,FALSE)</f>
        <v>9.311605554735877E-4</v>
      </c>
      <c r="I73" s="65">
        <f t="shared" si="0"/>
        <v>104.77604802299903</v>
      </c>
    </row>
    <row r="74" spans="2:9" ht="17.25" customHeight="1" x14ac:dyDescent="0.25">
      <c r="B74" s="356" t="str">
        <f>VLOOKUP(E74,'Unit List'!$B$9:$E$241,4,0)</f>
        <v>Utility</v>
      </c>
      <c r="C74" s="414" t="s">
        <v>460</v>
      </c>
      <c r="D74" s="356" t="str">
        <f>VLOOKUP(E74,'Unit List'!$B$9:$D$241,3,0)</f>
        <v>Emulsion Breaking System</v>
      </c>
      <c r="E74" s="414">
        <v>5360</v>
      </c>
      <c r="F74" s="376" t="s">
        <v>295</v>
      </c>
      <c r="G74" s="375">
        <v>27659</v>
      </c>
      <c r="H74" s="583">
        <f>VLOOKUP(C74,Settings!$B$148:$D$157,3,FALSE)</f>
        <v>9.311605554735877E-4</v>
      </c>
      <c r="I74" s="65">
        <f t="shared" si="0"/>
        <v>25.754969803843963</v>
      </c>
    </row>
    <row r="75" spans="2:9" ht="17.25" customHeight="1" x14ac:dyDescent="0.25">
      <c r="B75" s="356" t="str">
        <f>VLOOKUP(E75,'Unit List'!$B$9:$E$241,4,0)</f>
        <v>Utility</v>
      </c>
      <c r="C75" s="414" t="s">
        <v>461</v>
      </c>
      <c r="D75" s="356" t="str">
        <f>VLOOKUP(E75,'Unit List'!$B$9:$D$241,3,0)</f>
        <v>Steam Production (PU:55)</v>
      </c>
      <c r="E75" s="414">
        <v>5362</v>
      </c>
      <c r="F75" s="376" t="s">
        <v>298</v>
      </c>
      <c r="G75" s="375">
        <v>87386</v>
      </c>
      <c r="H75" s="583">
        <f>VLOOKUP(C75,Settings!$B$148:$D$157,3,FALSE)</f>
        <v>2.8315867747164543E-3</v>
      </c>
      <c r="I75" s="65">
        <f t="shared" si="0"/>
        <v>247.44104189537208</v>
      </c>
    </row>
    <row r="76" spans="2:9" ht="17.25" customHeight="1" x14ac:dyDescent="0.25">
      <c r="B76" s="356" t="str">
        <f>VLOOKUP(E76,'Unit List'!$B$9:$E$241,4,0)</f>
        <v>Utility</v>
      </c>
      <c r="C76" s="414" t="s">
        <v>460</v>
      </c>
      <c r="D76" s="356" t="str">
        <f>VLOOKUP(E76,'Unit List'!$B$9:$D$241,3,0)</f>
        <v>Cold Roll Mill Treatment</v>
      </c>
      <c r="E76" s="414">
        <v>5363</v>
      </c>
      <c r="F76" s="376" t="s">
        <v>295</v>
      </c>
      <c r="G76" s="375">
        <v>182569</v>
      </c>
      <c r="H76" s="583">
        <f>VLOOKUP(C76,Settings!$B$148:$D$157,3,FALSE)</f>
        <v>9.311605554735877E-4</v>
      </c>
      <c r="I76" s="65">
        <f t="shared" si="0"/>
        <v>170.00105145225743</v>
      </c>
    </row>
    <row r="77" spans="2:9" ht="17.25" customHeight="1" x14ac:dyDescent="0.25">
      <c r="B77" s="356" t="str">
        <f>VLOOKUP(E77,'Unit List'!$B$9:$E$241,4,0)</f>
        <v>Utility</v>
      </c>
      <c r="C77" s="376" t="s">
        <v>460</v>
      </c>
      <c r="D77" s="356" t="str">
        <f>VLOOKUP(E77,'Unit List'!$B$9:$D$241,3,0)</f>
        <v>RO1</v>
      </c>
      <c r="E77" s="414">
        <v>5364</v>
      </c>
      <c r="F77" s="376" t="s">
        <v>295</v>
      </c>
      <c r="G77" s="375">
        <v>1043403.3999999999</v>
      </c>
      <c r="H77" s="583">
        <f>VLOOKUP(C77,Settings!$B$148:$D$157,3,FALSE)</f>
        <v>9.311605554735877E-4</v>
      </c>
      <c r="I77" s="65">
        <f t="shared" si="0"/>
        <v>971.57608952702992</v>
      </c>
    </row>
    <row r="78" spans="2:9" ht="17.25" customHeight="1" x14ac:dyDescent="0.25">
      <c r="B78" s="356" t="str">
        <f>VLOOKUP(E78,'Unit List'!$B$9:$E$241,4,0)</f>
        <v>Utility</v>
      </c>
      <c r="C78" s="414" t="s">
        <v>461</v>
      </c>
      <c r="D78" s="356" t="str">
        <f>VLOOKUP(E78,'Unit List'!$B$9:$D$241,3,0)</f>
        <v>RO1</v>
      </c>
      <c r="E78" s="414">
        <v>5364</v>
      </c>
      <c r="F78" s="376" t="s">
        <v>298</v>
      </c>
      <c r="G78" s="375">
        <v>8196</v>
      </c>
      <c r="H78" s="583">
        <f>VLOOKUP(C78,Settings!$B$148:$D$157,3,FALSE)</f>
        <v>2.8315867747164543E-3</v>
      </c>
      <c r="I78" s="65">
        <f t="shared" si="0"/>
        <v>23.207685205576059</v>
      </c>
    </row>
    <row r="79" spans="2:9" ht="17.25" customHeight="1" x14ac:dyDescent="0.25">
      <c r="B79" s="356" t="str">
        <f>VLOOKUP(E79,'Unit List'!$B$9:$E$241,4,0)</f>
        <v>Utility</v>
      </c>
      <c r="C79" s="414" t="s">
        <v>460</v>
      </c>
      <c r="D79" s="356" t="str">
        <f>VLOOKUP(E79,'Unit List'!$B$9:$D$241,3,0)</f>
        <v>RO2</v>
      </c>
      <c r="E79" s="414">
        <v>5365</v>
      </c>
      <c r="F79" s="376" t="s">
        <v>295</v>
      </c>
      <c r="G79" s="375">
        <v>509731.30000000005</v>
      </c>
      <c r="H79" s="583">
        <f>VLOOKUP(C79,Settings!$B$148:$D$157,3,FALSE)</f>
        <v>9.311605554735877E-4</v>
      </c>
      <c r="I79" s="65">
        <f t="shared" ref="I79:I87" si="1">G79*H79</f>
        <v>474.64168045027401</v>
      </c>
    </row>
    <row r="80" spans="2:9" ht="17.25" customHeight="1" x14ac:dyDescent="0.25">
      <c r="B80" s="356" t="str">
        <f>VLOOKUP(E80,'Unit List'!$B$9:$E$241,4,0)</f>
        <v>Utility</v>
      </c>
      <c r="C80" s="376" t="s">
        <v>461</v>
      </c>
      <c r="D80" s="356" t="str">
        <f>VLOOKUP(E80,'Unit List'!$B$9:$D$241,3,0)</f>
        <v>RO2</v>
      </c>
      <c r="E80" s="414">
        <v>5365</v>
      </c>
      <c r="F80" s="376" t="s">
        <v>298</v>
      </c>
      <c r="G80" s="375">
        <v>516</v>
      </c>
      <c r="H80" s="583">
        <f>VLOOKUP(C80,Settings!$B$148:$D$157,3,FALSE)</f>
        <v>2.8315867747164543E-3</v>
      </c>
      <c r="I80" s="65">
        <f t="shared" si="1"/>
        <v>1.4610987757536904</v>
      </c>
    </row>
    <row r="81" spans="2:9" ht="17.25" customHeight="1" x14ac:dyDescent="0.25">
      <c r="B81" s="356" t="str">
        <f>VLOOKUP(E81,'Unit List'!$B$9:$E$241,4,0)</f>
        <v>Utility</v>
      </c>
      <c r="C81" s="414" t="s">
        <v>460</v>
      </c>
      <c r="D81" s="356" t="str">
        <f>VLOOKUP(E81,'Unit List'!$B$9:$D$241,3,0)</f>
        <v>Chemical Infusion</v>
      </c>
      <c r="E81" s="414">
        <v>5366</v>
      </c>
      <c r="F81" s="376" t="s">
        <v>295</v>
      </c>
      <c r="G81" s="375">
        <v>21899.8</v>
      </c>
      <c r="H81" s="583">
        <f>VLOOKUP(C81,Settings!$B$148:$D$157,3,FALSE)</f>
        <v>9.311605554735877E-4</v>
      </c>
      <c r="I81" s="65">
        <f t="shared" si="1"/>
        <v>20.392229932760475</v>
      </c>
    </row>
    <row r="82" spans="2:9" ht="17.25" customHeight="1" x14ac:dyDescent="0.25">
      <c r="B82" s="356" t="str">
        <f>VLOOKUP(E82,'Unit List'!$B$9:$E$241,4,0)</f>
        <v>Maintenance</v>
      </c>
      <c r="C82" s="414" t="s">
        <v>460</v>
      </c>
      <c r="D82" s="356" t="str">
        <f>VLOOKUP(E82,'Unit List'!$B$9:$D$241,3,0)</f>
        <v>-</v>
      </c>
      <c r="E82" s="414">
        <v>7301</v>
      </c>
      <c r="F82" s="376" t="s">
        <v>295</v>
      </c>
      <c r="G82" s="375">
        <v>20903.25</v>
      </c>
      <c r="H82" s="583">
        <f>VLOOKUP(C82,Settings!$B$148:$D$157,3,FALSE)</f>
        <v>9.311605554735877E-4</v>
      </c>
      <c r="I82" s="65">
        <f t="shared" si="1"/>
        <v>19.464281881203274</v>
      </c>
    </row>
    <row r="83" spans="2:9" ht="17.25" customHeight="1" x14ac:dyDescent="0.25">
      <c r="B83" s="356" t="str">
        <f>VLOOKUP(E83,'Unit List'!$B$9:$E$241,4,0)</f>
        <v>Maintenance</v>
      </c>
      <c r="C83" s="414" t="s">
        <v>460</v>
      </c>
      <c r="D83" s="356" t="str">
        <f>VLOOKUP(E83,'Unit List'!$B$9:$D$241,3,0)</f>
        <v>-</v>
      </c>
      <c r="E83" s="414">
        <v>7330</v>
      </c>
      <c r="F83" s="376" t="s">
        <v>295</v>
      </c>
      <c r="G83" s="375">
        <v>5574.2</v>
      </c>
      <c r="H83" s="583">
        <f>VLOOKUP(C83,Settings!$B$148:$D$157,3,FALSE)</f>
        <v>9.311605554735877E-4</v>
      </c>
      <c r="I83" s="65">
        <f t="shared" si="1"/>
        <v>5.1904751683208721</v>
      </c>
    </row>
    <row r="84" spans="2:9" ht="17.25" customHeight="1" x14ac:dyDescent="0.25">
      <c r="B84" s="356" t="str">
        <f>VLOOKUP(E84,'Unit List'!$B$9:$E$241,4,0)</f>
        <v>Maintenance</v>
      </c>
      <c r="C84" s="414" t="s">
        <v>460</v>
      </c>
      <c r="D84" s="356" t="str">
        <f>VLOOKUP(E84,'Unit List'!$B$9:$D$241,3,0)</f>
        <v>-</v>
      </c>
      <c r="E84" s="414">
        <v>7340</v>
      </c>
      <c r="F84" s="376" t="s">
        <v>295</v>
      </c>
      <c r="G84" s="375">
        <v>1393.55</v>
      </c>
      <c r="H84" s="583">
        <f>VLOOKUP(C84,Settings!$B$148:$D$157,3,FALSE)</f>
        <v>9.311605554735877E-4</v>
      </c>
      <c r="I84" s="65">
        <f t="shared" si="1"/>
        <v>1.297618792080218</v>
      </c>
    </row>
    <row r="85" spans="2:9" ht="17.25" customHeight="1" x14ac:dyDescent="0.25">
      <c r="B85" s="356" t="e">
        <f>VLOOKUP(E85,'Unit List'!$B$9:$E$241,4,0)</f>
        <v>#N/A</v>
      </c>
      <c r="C85" s="414"/>
      <c r="D85" s="356" t="e">
        <f>VLOOKUP(E85,'Unit List'!$B$9:$D$241,3,0)</f>
        <v>#N/A</v>
      </c>
      <c r="E85" s="414"/>
      <c r="F85" s="376"/>
      <c r="G85" s="375"/>
      <c r="H85" s="583" t="e">
        <f>VLOOKUP(C85,Settings!$B$148:$D$157,3,FALSE)</f>
        <v>#N/A</v>
      </c>
      <c r="I85" s="65" t="e">
        <f t="shared" si="1"/>
        <v>#N/A</v>
      </c>
    </row>
    <row r="86" spans="2:9" ht="17.25" customHeight="1" x14ac:dyDescent="0.25">
      <c r="B86" s="356" t="e">
        <f>VLOOKUP(E86,'Unit List'!$B$9:$E$241,4,0)</f>
        <v>#N/A</v>
      </c>
      <c r="C86" s="414"/>
      <c r="D86" s="356" t="e">
        <f>VLOOKUP(E86,'Unit List'!$B$9:$D$241,3,0)</f>
        <v>#N/A</v>
      </c>
      <c r="E86" s="414"/>
      <c r="F86" s="376"/>
      <c r="G86" s="375"/>
      <c r="H86" s="583" t="e">
        <f>VLOOKUP(C86,Settings!$B$148:$D$157,3,FALSE)</f>
        <v>#N/A</v>
      </c>
      <c r="I86" s="65" t="e">
        <f t="shared" si="1"/>
        <v>#N/A</v>
      </c>
    </row>
    <row r="87" spans="2:9" ht="17.25" customHeight="1" x14ac:dyDescent="0.25">
      <c r="B87" s="356" t="e">
        <f>VLOOKUP(E87,'Unit List'!$B$9:$E$241,4,0)</f>
        <v>#N/A</v>
      </c>
      <c r="C87" s="414"/>
      <c r="D87" s="356" t="e">
        <f>VLOOKUP(E87,'Unit List'!$B$9:$D$241,3,0)</f>
        <v>#N/A</v>
      </c>
      <c r="E87" s="414"/>
      <c r="F87" s="376"/>
      <c r="G87" s="375"/>
      <c r="H87" s="583" t="e">
        <f>VLOOKUP(C87,Settings!$B$148:$D$157,3,FALSE)</f>
        <v>#N/A</v>
      </c>
      <c r="I87" s="65" t="e">
        <f t="shared" si="1"/>
        <v>#N/A</v>
      </c>
    </row>
    <row r="88" spans="2:9" ht="17.25" customHeight="1" x14ac:dyDescent="0.25">
      <c r="B88" s="356" t="e">
        <f>VLOOKUP(E88,'Unit List'!$B$9:$E$241,4,0)</f>
        <v>#N/A</v>
      </c>
      <c r="C88" s="414"/>
      <c r="D88" s="356" t="e">
        <f>VLOOKUP(E88,'Unit List'!$B$9:$D$241,3,0)</f>
        <v>#N/A</v>
      </c>
      <c r="E88" s="414"/>
      <c r="F88" s="376"/>
      <c r="G88" s="375"/>
      <c r="H88" s="583" t="e">
        <f>VLOOKUP(C88,Settings!$B$148:$D$157,3,FALSE)</f>
        <v>#N/A</v>
      </c>
      <c r="I88" s="65" t="e">
        <f>G88*H88</f>
        <v>#N/A</v>
      </c>
    </row>
    <row r="89" spans="2:9" x14ac:dyDescent="0.25">
      <c r="B89" s="356" t="e">
        <f>VLOOKUP(E89,'Unit List'!$B$9:$E$241,4,0)</f>
        <v>#N/A</v>
      </c>
      <c r="C89" s="414"/>
      <c r="D89" s="356" t="e">
        <f>VLOOKUP(E89,'Unit List'!$B$9:$D$241,3,0)</f>
        <v>#N/A</v>
      </c>
      <c r="E89" s="414"/>
      <c r="F89" s="376"/>
      <c r="G89" s="375"/>
      <c r="H89" s="583" t="e">
        <f>VLOOKUP(C89,Settings!$B$148:$D$157,3,FALSE)</f>
        <v>#N/A</v>
      </c>
      <c r="I89" s="65" t="e">
        <f t="shared" ref="I89:I92" si="2">G89*H89</f>
        <v>#N/A</v>
      </c>
    </row>
    <row r="90" spans="2:9" x14ac:dyDescent="0.25">
      <c r="B90" s="356" t="e">
        <f>VLOOKUP(E90,'Unit List'!$B$9:$E$241,4,0)</f>
        <v>#N/A</v>
      </c>
      <c r="C90" s="414"/>
      <c r="D90" s="356" t="e">
        <f>VLOOKUP(E90,'Unit List'!$B$9:$D$241,3,0)</f>
        <v>#N/A</v>
      </c>
      <c r="E90" s="414"/>
      <c r="F90" s="376"/>
      <c r="G90" s="375"/>
      <c r="H90" s="583" t="e">
        <f>VLOOKUP(C90,Settings!$B$148:$D$157,3,FALSE)</f>
        <v>#N/A</v>
      </c>
      <c r="I90" s="65" t="e">
        <f t="shared" si="2"/>
        <v>#N/A</v>
      </c>
    </row>
    <row r="91" spans="2:9" x14ac:dyDescent="0.25">
      <c r="B91" s="356" t="e">
        <f>VLOOKUP(E91,'Unit List'!$B$9:$E$241,4,0)</f>
        <v>#N/A</v>
      </c>
      <c r="C91" s="414"/>
      <c r="D91" s="356" t="e">
        <f>VLOOKUP(E91,'Unit List'!$B$9:$D$241,3,0)</f>
        <v>#N/A</v>
      </c>
      <c r="E91" s="414"/>
      <c r="F91" s="376"/>
      <c r="G91" s="375"/>
      <c r="H91" s="583" t="e">
        <f>VLOOKUP(C91,Settings!$B$148:$D$157,3,FALSE)</f>
        <v>#N/A</v>
      </c>
      <c r="I91" s="65" t="e">
        <f t="shared" si="2"/>
        <v>#N/A</v>
      </c>
    </row>
    <row r="92" spans="2:9" x14ac:dyDescent="0.25">
      <c r="B92" s="356" t="e">
        <f>VLOOKUP(E92,'Unit List'!$B$9:$E$241,4,0)</f>
        <v>#N/A</v>
      </c>
      <c r="C92" s="414"/>
      <c r="D92" s="356" t="e">
        <f>VLOOKUP(E92,'Unit List'!$B$9:$D$241,3,0)</f>
        <v>#N/A</v>
      </c>
      <c r="E92" s="414"/>
      <c r="F92" s="376"/>
      <c r="G92" s="375"/>
      <c r="H92" s="583" t="e">
        <f>VLOOKUP(C92,Settings!$B$148:$D$157,3,FALSE)</f>
        <v>#N/A</v>
      </c>
      <c r="I92" s="65" t="e">
        <f t="shared" si="2"/>
        <v>#N/A</v>
      </c>
    </row>
    <row r="93" spans="2:9" ht="30" customHeight="1" x14ac:dyDescent="0.25">
      <c r="B93" s="355" t="s">
        <v>410</v>
      </c>
      <c r="C93" s="355"/>
      <c r="D93" s="355"/>
      <c r="E93" s="355"/>
      <c r="F93" s="355"/>
      <c r="G93" s="394">
        <f>SUM(G10:G92)</f>
        <v>30738202.023000002</v>
      </c>
      <c r="H93" s="355"/>
      <c r="I93" s="394">
        <f>_xlfn.AGGREGATE(9,6,I10:I92)</f>
        <v>33921.177348084631</v>
      </c>
    </row>
  </sheetData>
  <protectedRanges>
    <protectedRange sqref="E10:G92 C10:C92" name="Range1"/>
  </protectedRanges>
  <mergeCells count="6">
    <mergeCell ref="G8:G9"/>
    <mergeCell ref="B8:B9"/>
    <mergeCell ref="C8:C9"/>
    <mergeCell ref="D8:D9"/>
    <mergeCell ref="E8:E9"/>
    <mergeCell ref="F8:F9"/>
  </mergeCells>
  <phoneticPr fontId="19" type="noConversion"/>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717CE8CC-2659-4AB8-9231-1426BF2D816E}">
          <x14:formula1>
            <xm:f>Settings!$B$148:$B$157</xm:f>
          </x14:formula1>
          <xm:sqref>C10:C92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34BB4-1BD1-4551-90CF-5007B61F0125}">
  <sheetPr>
    <tabColor rgb="FF00B0F0"/>
  </sheetPr>
  <dimension ref="B3:AB149"/>
  <sheetViews>
    <sheetView rightToLeft="1" zoomScale="70" zoomScaleNormal="70" workbookViewId="0">
      <selection activeCell="H64" sqref="H64"/>
    </sheetView>
  </sheetViews>
  <sheetFormatPr defaultColWidth="9.09765625" defaultRowHeight="13.8" x14ac:dyDescent="0.25"/>
  <cols>
    <col min="1" max="1" width="12.09765625" style="497" customWidth="1"/>
    <col min="2" max="2" width="22" style="497" customWidth="1"/>
    <col min="3" max="15" width="13.69921875" style="497" customWidth="1"/>
    <col min="16" max="16384" width="9.09765625" style="497"/>
  </cols>
  <sheetData>
    <row r="3" spans="2:28" ht="16.2" customHeight="1" x14ac:dyDescent="0.25"/>
    <row r="4" spans="2:28" ht="16.2" customHeight="1" x14ac:dyDescent="0.25"/>
    <row r="8" spans="2:28" ht="20.399999999999999" x14ac:dyDescent="0.25">
      <c r="B8" s="724" t="s">
        <v>2115</v>
      </c>
      <c r="C8" s="725"/>
      <c r="D8" s="725"/>
      <c r="E8" s="725"/>
      <c r="F8" s="725"/>
      <c r="G8" s="725"/>
      <c r="H8" s="725"/>
      <c r="I8" s="725"/>
      <c r="J8" s="725"/>
      <c r="K8" s="725"/>
      <c r="L8" s="725"/>
      <c r="M8" s="725"/>
      <c r="N8" s="725"/>
      <c r="O8" s="725"/>
      <c r="P8" s="725"/>
      <c r="Q8" s="725"/>
      <c r="R8" s="725"/>
      <c r="S8" s="725"/>
      <c r="T8" s="725"/>
      <c r="U8" s="725"/>
      <c r="V8" s="725"/>
      <c r="W8" s="725"/>
      <c r="X8" s="725"/>
      <c r="Y8" s="725"/>
      <c r="Z8" s="725"/>
      <c r="AA8" s="725"/>
      <c r="AB8" s="725"/>
    </row>
    <row r="10" spans="2:28" x14ac:dyDescent="0.25">
      <c r="B10" s="747" t="s">
        <v>2115</v>
      </c>
      <c r="C10" s="748"/>
      <c r="D10" s="748"/>
      <c r="E10" s="748"/>
      <c r="F10" s="748"/>
      <c r="G10" s="748"/>
      <c r="H10" s="748"/>
      <c r="I10" s="748"/>
      <c r="J10" s="748"/>
      <c r="K10" s="748"/>
      <c r="L10" s="748"/>
      <c r="M10" s="749"/>
    </row>
    <row r="11" spans="2:28" x14ac:dyDescent="0.25">
      <c r="B11" s="12" t="s">
        <v>341</v>
      </c>
      <c r="C11" s="12" t="s">
        <v>402</v>
      </c>
      <c r="D11" s="12">
        <v>1</v>
      </c>
      <c r="E11" s="12">
        <v>2</v>
      </c>
      <c r="F11" s="12">
        <v>3</v>
      </c>
      <c r="G11" s="12">
        <v>4</v>
      </c>
      <c r="H11" s="12">
        <v>5</v>
      </c>
      <c r="I11" s="12">
        <v>6</v>
      </c>
      <c r="J11" s="12">
        <v>7</v>
      </c>
      <c r="K11" s="12">
        <v>8</v>
      </c>
      <c r="L11" s="12">
        <v>9</v>
      </c>
      <c r="M11" s="12">
        <v>10</v>
      </c>
    </row>
    <row r="12" spans="2:28" ht="15.6" x14ac:dyDescent="0.25">
      <c r="B12" s="115" t="s">
        <v>507</v>
      </c>
      <c r="C12" s="686" t="s">
        <v>306</v>
      </c>
      <c r="D12" s="730">
        <v>7.1570819464637466E-4</v>
      </c>
      <c r="E12" s="730">
        <v>7.1594330185986764E-4</v>
      </c>
      <c r="F12" s="730">
        <v>7.1595703870308937E-4</v>
      </c>
      <c r="G12" s="730">
        <v>7.1595843708549458E-4</v>
      </c>
      <c r="H12" s="730">
        <v>7.1595866290624101E-4</v>
      </c>
      <c r="I12" s="730"/>
      <c r="J12" s="730"/>
      <c r="K12" s="730"/>
      <c r="L12" s="730"/>
      <c r="M12" s="730"/>
    </row>
    <row r="13" spans="2:28" ht="15.6" x14ac:dyDescent="0.25">
      <c r="B13" s="115" t="s">
        <v>508</v>
      </c>
      <c r="C13" s="686" t="s">
        <v>306</v>
      </c>
      <c r="D13" s="730">
        <v>5.7516147800793535E-4</v>
      </c>
      <c r="E13" s="730">
        <v>5.7534829715114152E-4</v>
      </c>
      <c r="F13" s="730">
        <v>5.7536209733583389E-4</v>
      </c>
      <c r="G13" s="730">
        <v>5.7536352404119657E-4</v>
      </c>
      <c r="H13" s="730">
        <v>5.7536373356149428E-4</v>
      </c>
      <c r="I13" s="730"/>
      <c r="J13" s="730"/>
      <c r="K13" s="730"/>
      <c r="L13" s="730"/>
      <c r="M13" s="730"/>
    </row>
    <row r="14" spans="2:28" ht="15.6" x14ac:dyDescent="0.25">
      <c r="B14" s="115" t="s">
        <v>460</v>
      </c>
      <c r="C14" s="686" t="s">
        <v>306</v>
      </c>
      <c r="D14" s="730">
        <v>9.307825420028211E-4</v>
      </c>
      <c r="E14" s="730">
        <v>9.3112018751186413E-4</v>
      </c>
      <c r="F14" s="730">
        <v>9.3115671018540694E-4</v>
      </c>
      <c r="G14" s="730">
        <v>9.311605554735877E-4</v>
      </c>
      <c r="H14" s="730">
        <v>9.3116105490896703E-4</v>
      </c>
      <c r="I14" s="730"/>
      <c r="J14" s="730"/>
      <c r="K14" s="730"/>
      <c r="L14" s="730"/>
      <c r="M14" s="730"/>
    </row>
    <row r="15" spans="2:28" ht="15.6" x14ac:dyDescent="0.25">
      <c r="B15" s="651" t="s">
        <v>505</v>
      </c>
      <c r="C15" s="686" t="s">
        <v>306</v>
      </c>
      <c r="D15" s="730">
        <v>2.0100315329929582E-3</v>
      </c>
      <c r="E15" s="730">
        <v>2.0117521400135779E-3</v>
      </c>
      <c r="F15" s="730">
        <v>2.0121416833160663E-3</v>
      </c>
      <c r="G15" s="730">
        <v>2.0121861727694151E-3</v>
      </c>
      <c r="H15" s="730">
        <v>2.0121909574554444E-3</v>
      </c>
      <c r="I15" s="730"/>
      <c r="J15" s="730"/>
      <c r="K15" s="730"/>
      <c r="L15" s="730"/>
      <c r="M15" s="730"/>
    </row>
    <row r="16" spans="2:28" x14ac:dyDescent="0.25">
      <c r="B16" s="651" t="s">
        <v>503</v>
      </c>
      <c r="C16" s="686" t="s">
        <v>305</v>
      </c>
      <c r="D16" s="730">
        <v>0.19114451323831766</v>
      </c>
      <c r="E16" s="730">
        <v>0.1911538145864097</v>
      </c>
      <c r="F16" s="730">
        <v>0.19115592040011961</v>
      </c>
      <c r="G16" s="730">
        <v>0.19115616090355067</v>
      </c>
      <c r="H16" s="730">
        <v>0.19115618676885854</v>
      </c>
      <c r="I16" s="730"/>
      <c r="J16" s="730"/>
      <c r="K16" s="730"/>
      <c r="L16" s="730"/>
      <c r="M16" s="730"/>
    </row>
    <row r="17" spans="2:13" ht="15.6" x14ac:dyDescent="0.25">
      <c r="B17" s="651" t="s">
        <v>504</v>
      </c>
      <c r="C17" s="686" t="s">
        <v>306</v>
      </c>
      <c r="D17" s="730">
        <v>3.1206464750703111E-3</v>
      </c>
      <c r="E17" s="730">
        <v>3.1226331316376475E-3</v>
      </c>
      <c r="F17" s="730">
        <v>3.1232215969069972E-3</v>
      </c>
      <c r="G17" s="730">
        <v>3.1232850836065669E-3</v>
      </c>
      <c r="H17" s="730">
        <v>3.1232919176139226E-3</v>
      </c>
      <c r="I17" s="730"/>
      <c r="J17" s="730"/>
      <c r="K17" s="730"/>
      <c r="L17" s="730"/>
      <c r="M17" s="730"/>
    </row>
    <row r="18" spans="2:13" ht="15.6" x14ac:dyDescent="0.25">
      <c r="B18" s="651" t="s">
        <v>506</v>
      </c>
      <c r="C18" s="686" t="s">
        <v>306</v>
      </c>
      <c r="D18" s="730">
        <v>3.3001570038278709E-3</v>
      </c>
      <c r="E18" s="730">
        <v>3.3019210389063922E-3</v>
      </c>
      <c r="F18" s="730">
        <v>3.3023784941265347E-3</v>
      </c>
      <c r="G18" s="730">
        <v>3.3024281511088629E-3</v>
      </c>
      <c r="H18" s="730">
        <v>3.3024335588072401E-3</v>
      </c>
      <c r="I18" s="730"/>
      <c r="J18" s="730"/>
      <c r="K18" s="730"/>
      <c r="L18" s="730"/>
      <c r="M18" s="730"/>
    </row>
    <row r="19" spans="2:13" x14ac:dyDescent="0.25">
      <c r="B19" s="651" t="s">
        <v>501</v>
      </c>
      <c r="C19" s="686" t="s">
        <v>305</v>
      </c>
      <c r="D19" s="730">
        <v>0.19304618472628182</v>
      </c>
      <c r="E19" s="730">
        <v>0.19304730825072142</v>
      </c>
      <c r="F19" s="730">
        <v>0.19304759960667356</v>
      </c>
      <c r="G19" s="730">
        <v>0.19304763123350113</v>
      </c>
      <c r="H19" s="730">
        <v>0.19304763467769639</v>
      </c>
      <c r="I19" s="730"/>
      <c r="J19" s="730"/>
      <c r="K19" s="730"/>
      <c r="L19" s="730"/>
      <c r="M19" s="730"/>
    </row>
    <row r="20" spans="2:13" ht="15.6" x14ac:dyDescent="0.25">
      <c r="B20" s="651" t="s">
        <v>461</v>
      </c>
      <c r="C20" s="686" t="s">
        <v>306</v>
      </c>
      <c r="D20" s="730">
        <v>2.8291910244092342E-3</v>
      </c>
      <c r="E20" s="730">
        <v>2.831040619829315E-3</v>
      </c>
      <c r="F20" s="730">
        <v>2.8315327184546641E-3</v>
      </c>
      <c r="G20" s="730">
        <v>2.8315867747164543E-3</v>
      </c>
      <c r="H20" s="730">
        <v>2.8315926027264421E-3</v>
      </c>
      <c r="I20" s="730"/>
      <c r="J20" s="730"/>
      <c r="K20" s="730"/>
      <c r="L20" s="730"/>
      <c r="M20" s="730"/>
    </row>
    <row r="21" spans="2:13" x14ac:dyDescent="0.25">
      <c r="B21" s="651" t="s">
        <v>502</v>
      </c>
      <c r="C21" s="686" t="s">
        <v>305</v>
      </c>
      <c r="D21" s="730">
        <v>0.21478594531709899</v>
      </c>
      <c r="E21" s="730">
        <v>0.21481903452703741</v>
      </c>
      <c r="F21" s="730">
        <v>0.21482007711442949</v>
      </c>
      <c r="G21" s="730">
        <v>0.21482035437845232</v>
      </c>
      <c r="H21" s="730">
        <v>0.21482038483944196</v>
      </c>
      <c r="I21" s="730"/>
      <c r="J21" s="730"/>
      <c r="K21" s="730"/>
      <c r="L21" s="730"/>
      <c r="M21" s="730"/>
    </row>
    <row r="22" spans="2:13" x14ac:dyDescent="0.25">
      <c r="B22" s="651" t="s">
        <v>459</v>
      </c>
      <c r="C22" s="686" t="s">
        <v>305</v>
      </c>
      <c r="D22" s="730">
        <v>0.20591430976019254</v>
      </c>
      <c r="E22" s="730">
        <v>0.20593493446622874</v>
      </c>
      <c r="F22" s="730">
        <v>0.20593591860588251</v>
      </c>
      <c r="G22" s="730">
        <v>0.20593612119553176</v>
      </c>
      <c r="H22" s="730">
        <v>0.20593614336348284</v>
      </c>
      <c r="I22" s="730"/>
      <c r="J22" s="730"/>
      <c r="K22" s="730"/>
      <c r="L22" s="730"/>
      <c r="M22" s="730"/>
    </row>
    <row r="23" spans="2:13" ht="15.6" x14ac:dyDescent="0.25">
      <c r="B23" s="651" t="s">
        <v>462</v>
      </c>
      <c r="C23" s="686" t="s">
        <v>306</v>
      </c>
      <c r="D23" s="730">
        <v>1.0558856916025554E-2</v>
      </c>
      <c r="E23" s="730">
        <v>1.056105878915823E-2</v>
      </c>
      <c r="F23" s="730">
        <v>1.056136655184747E-2</v>
      </c>
      <c r="G23" s="730">
        <v>1.0561392382622716E-2</v>
      </c>
      <c r="H23" s="730">
        <v>1.0561396062369015E-2</v>
      </c>
      <c r="I23" s="730"/>
      <c r="J23" s="730"/>
      <c r="K23" s="730"/>
      <c r="L23" s="730"/>
      <c r="M23" s="730"/>
    </row>
    <row r="24" spans="2:13" x14ac:dyDescent="0.25">
      <c r="B24" s="651" t="s">
        <v>458</v>
      </c>
      <c r="C24" s="686" t="s">
        <v>305</v>
      </c>
      <c r="D24" s="730">
        <v>0.1576192953279251</v>
      </c>
      <c r="E24" s="730">
        <v>0.15762147967727316</v>
      </c>
      <c r="F24" s="730">
        <v>0.15762186021365393</v>
      </c>
      <c r="G24" s="730">
        <v>0.15762189674642696</v>
      </c>
      <c r="H24" s="730">
        <v>0.15762190125391443</v>
      </c>
      <c r="I24" s="730"/>
      <c r="J24" s="730"/>
      <c r="K24" s="730"/>
      <c r="L24" s="730"/>
      <c r="M24" s="730"/>
    </row>
    <row r="25" spans="2:13" ht="15.6" x14ac:dyDescent="0.25">
      <c r="B25" s="651" t="s">
        <v>395</v>
      </c>
      <c r="C25" s="686" t="s">
        <v>307</v>
      </c>
      <c r="D25" s="730">
        <v>1.0577033973452252E-4</v>
      </c>
      <c r="E25" s="730">
        <v>1.058057446854208E-4</v>
      </c>
      <c r="F25" s="730">
        <v>1.0580791083421649E-4</v>
      </c>
      <c r="G25" s="730">
        <v>1.0580813208312243E-4</v>
      </c>
      <c r="H25" s="730">
        <v>1.0580816710638495E-4</v>
      </c>
      <c r="I25" s="730"/>
      <c r="J25" s="730"/>
      <c r="K25" s="730"/>
      <c r="L25" s="730"/>
      <c r="M25" s="730"/>
    </row>
    <row r="26" spans="2:13" ht="15.6" x14ac:dyDescent="0.25">
      <c r="B26" s="115" t="s">
        <v>364</v>
      </c>
      <c r="C26" s="686" t="s">
        <v>307</v>
      </c>
      <c r="D26" s="730">
        <v>4.0228352026281555E-4</v>
      </c>
      <c r="E26" s="730">
        <v>4.0241746329554192E-4</v>
      </c>
      <c r="F26" s="730">
        <v>4.0242528931846099E-4</v>
      </c>
      <c r="G26" s="730">
        <v>4.0242608599150845E-4</v>
      </c>
      <c r="H26" s="730">
        <v>4.02426214643944E-4</v>
      </c>
      <c r="I26" s="730"/>
      <c r="J26" s="730"/>
      <c r="K26" s="730"/>
      <c r="L26" s="730"/>
      <c r="M26" s="730"/>
    </row>
    <row r="27" spans="2:13" ht="15.6" x14ac:dyDescent="0.25">
      <c r="B27" s="115" t="s">
        <v>365</v>
      </c>
      <c r="C27" s="686" t="s">
        <v>307</v>
      </c>
      <c r="D27" s="730">
        <v>4.021195008277026E-4</v>
      </c>
      <c r="E27" s="730">
        <v>4.0225344386042903E-4</v>
      </c>
      <c r="F27" s="730">
        <v>4.0226126988334804E-4</v>
      </c>
      <c r="G27" s="730">
        <v>4.022620665563955E-4</v>
      </c>
      <c r="H27" s="730">
        <v>4.0226219520883105E-4</v>
      </c>
      <c r="I27" s="730"/>
      <c r="J27" s="730"/>
      <c r="K27" s="730"/>
      <c r="L27" s="730"/>
      <c r="M27" s="730"/>
    </row>
    <row r="28" spans="2:13" ht="15.6" x14ac:dyDescent="0.25">
      <c r="B28" s="115" t="s">
        <v>366</v>
      </c>
      <c r="C28" s="686" t="s">
        <v>307</v>
      </c>
      <c r="D28" s="730">
        <v>4.3848961244267646E-4</v>
      </c>
      <c r="E28" s="730">
        <v>4.3862355547540289E-4</v>
      </c>
      <c r="F28" s="730">
        <v>4.386313814983219E-4</v>
      </c>
      <c r="G28" s="730">
        <v>4.3863217817136931E-4</v>
      </c>
      <c r="H28" s="730">
        <v>4.3863230682380491E-4</v>
      </c>
      <c r="I28" s="730"/>
      <c r="J28" s="730"/>
      <c r="K28" s="730"/>
      <c r="L28" s="730"/>
      <c r="M28" s="730"/>
    </row>
    <row r="29" spans="2:13" x14ac:dyDescent="0.25">
      <c r="B29" s="651" t="s">
        <v>498</v>
      </c>
      <c r="C29" s="686" t="s">
        <v>304</v>
      </c>
      <c r="D29" s="730">
        <v>6.7892880309050445E-4</v>
      </c>
      <c r="E29" s="730">
        <v>6.7903089913191428E-4</v>
      </c>
      <c r="F29" s="730">
        <v>6.7904150393513192E-4</v>
      </c>
      <c r="G29" s="730">
        <v>6.7904323349260041E-4</v>
      </c>
      <c r="H29" s="730">
        <v>6.7904340414439693E-4</v>
      </c>
      <c r="I29" s="730"/>
      <c r="J29" s="730"/>
      <c r="K29" s="730"/>
      <c r="L29" s="730"/>
      <c r="M29" s="730"/>
    </row>
    <row r="30" spans="2:13" x14ac:dyDescent="0.25">
      <c r="B30" s="651" t="s">
        <v>499</v>
      </c>
      <c r="C30" s="686" t="s">
        <v>304</v>
      </c>
      <c r="D30" s="730">
        <v>7.7927301923056715E-4</v>
      </c>
      <c r="E30" s="730">
        <v>7.7927394922995086E-4</v>
      </c>
      <c r="F30" s="730">
        <v>7.7927400356795067E-4</v>
      </c>
      <c r="G30" s="730">
        <v>7.7927400909944737E-4</v>
      </c>
      <c r="H30" s="730">
        <v>7.7927400999271287E-4</v>
      </c>
      <c r="I30" s="730"/>
      <c r="J30" s="730"/>
      <c r="K30" s="730"/>
      <c r="L30" s="730"/>
      <c r="M30" s="730"/>
    </row>
    <row r="31" spans="2:13" x14ac:dyDescent="0.25">
      <c r="B31" s="651" t="s">
        <v>1701</v>
      </c>
      <c r="C31" s="686" t="s">
        <v>304</v>
      </c>
      <c r="D31" s="730">
        <v>6.446347720267927E-4</v>
      </c>
      <c r="E31" s="730">
        <v>6.446347720267927E-4</v>
      </c>
      <c r="F31" s="730">
        <v>6.446347720267927E-4</v>
      </c>
      <c r="G31" s="730">
        <v>6.446347720267927E-4</v>
      </c>
      <c r="H31" s="730">
        <v>6.446347720267927E-4</v>
      </c>
      <c r="I31" s="730"/>
      <c r="J31" s="730"/>
      <c r="K31" s="730"/>
      <c r="L31" s="730"/>
      <c r="M31" s="730"/>
    </row>
    <row r="32" spans="2:13" x14ac:dyDescent="0.25">
      <c r="B32" s="651" t="s">
        <v>368</v>
      </c>
      <c r="C32" s="686" t="s">
        <v>304</v>
      </c>
      <c r="D32" s="730">
        <v>7.5224387864043958E-4</v>
      </c>
      <c r="E32" s="730">
        <v>7.5225853114516106E-4</v>
      </c>
      <c r="F32" s="730">
        <v>7.5226002274002475E-4</v>
      </c>
      <c r="G32" s="730">
        <v>7.5226026361338268E-4</v>
      </c>
      <c r="H32" s="730">
        <v>7.5226028762958533E-4</v>
      </c>
      <c r="I32" s="730"/>
      <c r="J32" s="730"/>
      <c r="K32" s="730"/>
      <c r="L32" s="730"/>
      <c r="M32" s="730"/>
    </row>
    <row r="43" spans="2:28" ht="20.399999999999999" x14ac:dyDescent="0.25">
      <c r="B43" s="724" t="s">
        <v>2118</v>
      </c>
      <c r="C43" s="725"/>
      <c r="D43" s="725"/>
      <c r="E43" s="725"/>
      <c r="F43" s="725"/>
      <c r="G43" s="725"/>
      <c r="H43" s="725"/>
      <c r="I43" s="725"/>
      <c r="J43" s="725"/>
      <c r="K43" s="725"/>
      <c r="L43" s="725"/>
      <c r="M43" s="725"/>
      <c r="N43" s="725"/>
      <c r="O43" s="725"/>
      <c r="P43" s="725"/>
      <c r="Q43" s="725"/>
      <c r="R43" s="725"/>
      <c r="S43" s="725"/>
      <c r="T43" s="725"/>
      <c r="U43" s="725"/>
      <c r="V43" s="725"/>
      <c r="W43" s="725"/>
      <c r="X43" s="725"/>
      <c r="Y43" s="725"/>
      <c r="Z43" s="725"/>
      <c r="AA43" s="725"/>
      <c r="AB43" s="725"/>
    </row>
    <row r="46" spans="2:28" x14ac:dyDescent="0.25">
      <c r="B46" s="727" t="s">
        <v>2120</v>
      </c>
      <c r="C46" s="728"/>
      <c r="D46" s="728"/>
      <c r="E46" s="728"/>
      <c r="F46" s="728"/>
      <c r="G46" s="729"/>
    </row>
    <row r="47" spans="2:28" x14ac:dyDescent="0.25">
      <c r="B47" s="717" t="s">
        <v>849</v>
      </c>
      <c r="C47" s="721">
        <v>1402</v>
      </c>
      <c r="D47" s="721">
        <v>1403</v>
      </c>
      <c r="E47" s="721">
        <v>1404</v>
      </c>
      <c r="F47" s="721">
        <v>1405</v>
      </c>
      <c r="G47" s="721">
        <v>1406</v>
      </c>
    </row>
    <row r="48" spans="2:28" x14ac:dyDescent="0.25">
      <c r="B48" s="716" t="s">
        <v>2122</v>
      </c>
      <c r="C48" s="115">
        <v>18669954</v>
      </c>
      <c r="D48" s="115">
        <f>D70</f>
        <v>20162466.910151437</v>
      </c>
      <c r="E48" s="115"/>
      <c r="F48" s="115"/>
      <c r="G48" s="115"/>
    </row>
    <row r="49" spans="2:7" x14ac:dyDescent="0.25">
      <c r="B49" s="716" t="s">
        <v>2121</v>
      </c>
      <c r="C49" s="115">
        <v>7197766</v>
      </c>
      <c r="D49" s="115">
        <f>'Units CF'!F85</f>
        <v>6959817.4009999996</v>
      </c>
      <c r="E49" s="115"/>
      <c r="F49" s="115"/>
      <c r="G49" s="115"/>
    </row>
    <row r="51" spans="2:7" x14ac:dyDescent="0.25">
      <c r="G51" s="731" t="s">
        <v>2125</v>
      </c>
    </row>
    <row r="55" spans="2:7" x14ac:dyDescent="0.25">
      <c r="D55" s="760"/>
    </row>
    <row r="60" spans="2:7" x14ac:dyDescent="0.25">
      <c r="B60" s="727" t="s">
        <v>2116</v>
      </c>
      <c r="C60" s="728"/>
      <c r="D60" s="728"/>
      <c r="E60" s="728"/>
      <c r="F60" s="728"/>
      <c r="G60" s="729"/>
    </row>
    <row r="61" spans="2:7" x14ac:dyDescent="0.25">
      <c r="B61" s="717" t="s">
        <v>335</v>
      </c>
      <c r="C61" s="721">
        <v>1402</v>
      </c>
      <c r="D61" s="721">
        <v>1403</v>
      </c>
      <c r="E61" s="721">
        <v>1404</v>
      </c>
      <c r="F61" s="721">
        <v>1405</v>
      </c>
      <c r="G61" s="721">
        <v>1406</v>
      </c>
    </row>
    <row r="62" spans="2:7" x14ac:dyDescent="0.25">
      <c r="B62" s="716" t="s">
        <v>337</v>
      </c>
      <c r="C62" s="115">
        <v>6813496.8220420517</v>
      </c>
      <c r="D62" s="115">
        <f>'Tables &amp; Graphs'!E22</f>
        <v>7182736.2314968714</v>
      </c>
      <c r="E62" s="115"/>
      <c r="F62" s="115"/>
      <c r="G62" s="115"/>
    </row>
    <row r="63" spans="2:7" x14ac:dyDescent="0.25">
      <c r="B63" s="716" t="s">
        <v>338</v>
      </c>
      <c r="C63" s="115">
        <v>8166755.206218143</v>
      </c>
      <c r="D63" s="115">
        <f>'Tables &amp; Graphs'!E23</f>
        <v>9305750.0108622964</v>
      </c>
      <c r="E63" s="115"/>
      <c r="F63" s="115"/>
      <c r="G63" s="115"/>
    </row>
    <row r="64" spans="2:7" x14ac:dyDescent="0.25">
      <c r="B64" s="716" t="s">
        <v>339</v>
      </c>
      <c r="C64" s="115">
        <v>640512.76394800656</v>
      </c>
      <c r="D64" s="115">
        <f>'Tables &amp; Graphs'!E24</f>
        <v>463713.19685769925</v>
      </c>
      <c r="E64" s="115"/>
      <c r="F64" s="115"/>
      <c r="G64" s="115"/>
    </row>
    <row r="65" spans="2:7" x14ac:dyDescent="0.25">
      <c r="B65" s="716" t="s">
        <v>340</v>
      </c>
      <c r="C65" s="115">
        <v>241223.08110415033</v>
      </c>
      <c r="D65" s="115">
        <f>'Tables &amp; Graphs'!E25</f>
        <v>260650.52944576315</v>
      </c>
      <c r="E65" s="115"/>
      <c r="F65" s="115"/>
      <c r="G65" s="115"/>
    </row>
    <row r="66" spans="2:7" x14ac:dyDescent="0.25">
      <c r="B66" s="716" t="s">
        <v>341</v>
      </c>
      <c r="C66" s="115">
        <v>2436834.8822107511</v>
      </c>
      <c r="D66" s="115">
        <f>'Tables &amp; Graphs'!E26</f>
        <v>2099578.6974632288</v>
      </c>
      <c r="E66" s="115"/>
      <c r="F66" s="115"/>
      <c r="G66" s="115"/>
    </row>
    <row r="67" spans="2:7" x14ac:dyDescent="0.25">
      <c r="B67" s="716" t="s">
        <v>342</v>
      </c>
      <c r="C67" s="115">
        <v>33573.712883497494</v>
      </c>
      <c r="D67" s="115">
        <f>'Tables &amp; Graphs'!E27</f>
        <v>35746.12735550385</v>
      </c>
      <c r="E67" s="115"/>
      <c r="F67" s="115"/>
      <c r="G67" s="115"/>
    </row>
    <row r="68" spans="2:7" x14ac:dyDescent="0.25">
      <c r="B68" s="716" t="s">
        <v>343</v>
      </c>
      <c r="C68" s="115">
        <v>47427.152190593697</v>
      </c>
      <c r="D68" s="115">
        <f>'Tables &amp; Graphs'!E28</f>
        <v>74832.069815460767</v>
      </c>
      <c r="E68" s="115"/>
      <c r="F68" s="115"/>
      <c r="G68" s="115"/>
    </row>
    <row r="69" spans="2:7" x14ac:dyDescent="0.25">
      <c r="B69" s="716" t="s">
        <v>510</v>
      </c>
      <c r="C69" s="115">
        <v>290131.3217262851</v>
      </c>
      <c r="D69" s="115">
        <f>'Tables &amp; Graphs'!E29</f>
        <v>739460.04685461009</v>
      </c>
      <c r="E69" s="115"/>
      <c r="F69" s="115"/>
      <c r="G69" s="115"/>
    </row>
    <row r="70" spans="2:7" x14ac:dyDescent="0.25">
      <c r="B70" s="720" t="s">
        <v>410</v>
      </c>
      <c r="C70" s="135">
        <f>_xlfn.AGGREGATE(9,6,C62:C69)</f>
        <v>18669954.942323476</v>
      </c>
      <c r="D70" s="135">
        <f t="shared" ref="D70:G70" si="0">_xlfn.AGGREGATE(9,6,D62:D69)</f>
        <v>20162466.910151437</v>
      </c>
      <c r="E70" s="135">
        <f t="shared" si="0"/>
        <v>0</v>
      </c>
      <c r="F70" s="135">
        <f t="shared" si="0"/>
        <v>0</v>
      </c>
      <c r="G70" s="135">
        <f t="shared" si="0"/>
        <v>0</v>
      </c>
    </row>
    <row r="77" spans="2:7" x14ac:dyDescent="0.25">
      <c r="B77" s="727" t="s">
        <v>2116</v>
      </c>
      <c r="C77" s="728"/>
      <c r="D77" s="728"/>
      <c r="E77" s="728"/>
      <c r="F77" s="728"/>
      <c r="G77" s="729"/>
    </row>
    <row r="78" spans="2:7" x14ac:dyDescent="0.25">
      <c r="B78" s="726" t="s">
        <v>590</v>
      </c>
      <c r="C78" s="721">
        <v>1402</v>
      </c>
      <c r="D78" s="721">
        <v>1403</v>
      </c>
      <c r="E78" s="721">
        <v>1404</v>
      </c>
      <c r="F78" s="721">
        <v>1405</v>
      </c>
      <c r="G78" s="721">
        <v>1406</v>
      </c>
    </row>
    <row r="79" spans="2:7" x14ac:dyDescent="0.25">
      <c r="B79" s="723" t="s">
        <v>47</v>
      </c>
      <c r="C79" s="115">
        <v>2149445.2368077454</v>
      </c>
      <c r="D79" s="115">
        <f>'Tables &amp; Graphs'!E42</f>
        <v>1296746.9928550471</v>
      </c>
      <c r="E79" s="115"/>
      <c r="F79" s="115"/>
      <c r="G79" s="115"/>
    </row>
    <row r="80" spans="2:7" x14ac:dyDescent="0.25">
      <c r="B80" s="723" t="s">
        <v>48</v>
      </c>
      <c r="C80" s="115">
        <v>4413962.0951660005</v>
      </c>
      <c r="D80" s="115">
        <f>'Tables &amp; Graphs'!E43</f>
        <v>4293669.2697966658</v>
      </c>
      <c r="E80" s="115"/>
      <c r="F80" s="115"/>
      <c r="G80" s="115"/>
    </row>
    <row r="81" spans="2:7" x14ac:dyDescent="0.25">
      <c r="B81" s="723" t="s">
        <v>49</v>
      </c>
      <c r="C81" s="115">
        <v>19125.060348198269</v>
      </c>
      <c r="D81" s="115">
        <f>'Tables &amp; Graphs'!E44</f>
        <v>13618.732833191651</v>
      </c>
      <c r="E81" s="115"/>
      <c r="F81" s="115"/>
      <c r="G81" s="115"/>
    </row>
    <row r="82" spans="2:7" x14ac:dyDescent="0.25">
      <c r="B82" s="723" t="s">
        <v>1429</v>
      </c>
      <c r="C82" s="115">
        <v>21692.469446353523</v>
      </c>
      <c r="D82" s="115">
        <f>'Tables &amp; Graphs'!E45</f>
        <v>49101.160298873969</v>
      </c>
      <c r="E82" s="115"/>
      <c r="F82" s="115"/>
      <c r="G82" s="115"/>
    </row>
    <row r="83" spans="2:7" x14ac:dyDescent="0.25">
      <c r="B83" s="723" t="s">
        <v>1433</v>
      </c>
      <c r="C83" s="115">
        <v>35354.497514618706</v>
      </c>
      <c r="D83" s="115">
        <f>'Tables &amp; Graphs'!E46</f>
        <v>90516.963409984208</v>
      </c>
      <c r="E83" s="115"/>
      <c r="F83" s="115"/>
      <c r="G83" s="115"/>
    </row>
    <row r="84" spans="2:7" x14ac:dyDescent="0.25">
      <c r="B84" s="723" t="s">
        <v>1123</v>
      </c>
      <c r="C84" s="115">
        <v>554.62080763125005</v>
      </c>
      <c r="D84" s="115">
        <f>'Tables &amp; Graphs'!E47</f>
        <v>597.4327115142097</v>
      </c>
      <c r="E84" s="115"/>
      <c r="F84" s="115"/>
      <c r="G84" s="115"/>
    </row>
    <row r="85" spans="2:7" x14ac:dyDescent="0.25">
      <c r="B85" s="723" t="s">
        <v>50</v>
      </c>
      <c r="C85" s="115">
        <v>3824040.5144772362</v>
      </c>
      <c r="D85" s="115">
        <f>'Tables &amp; Graphs'!E48</f>
        <v>4539539.8536774926</v>
      </c>
      <c r="E85" s="115"/>
      <c r="F85" s="115"/>
      <c r="G85" s="115"/>
    </row>
    <row r="86" spans="2:7" x14ac:dyDescent="0.25">
      <c r="B86" s="723" t="s">
        <v>167</v>
      </c>
      <c r="C86" s="115">
        <v>465236.93796693854</v>
      </c>
      <c r="D86" s="115">
        <f>'Tables &amp; Graphs'!E49</f>
        <v>488422.60977016506</v>
      </c>
      <c r="E86" s="115"/>
      <c r="F86" s="115"/>
      <c r="G86" s="115"/>
    </row>
    <row r="87" spans="2:7" x14ac:dyDescent="0.25">
      <c r="B87" s="723" t="s">
        <v>168</v>
      </c>
      <c r="C87" s="115">
        <v>0</v>
      </c>
      <c r="D87" s="115">
        <f>'Tables &amp; Graphs'!E50</f>
        <v>0</v>
      </c>
      <c r="E87" s="115"/>
      <c r="F87" s="115"/>
      <c r="G87" s="115"/>
    </row>
    <row r="88" spans="2:7" x14ac:dyDescent="0.25">
      <c r="B88" s="723" t="s">
        <v>275</v>
      </c>
      <c r="C88" s="115">
        <v>33815.773952589458</v>
      </c>
      <c r="D88" s="115">
        <f>'Tables &amp; Graphs'!E51</f>
        <v>33906.774135461914</v>
      </c>
      <c r="E88" s="115"/>
      <c r="F88" s="115"/>
      <c r="G88" s="115"/>
    </row>
    <row r="89" spans="2:7" x14ac:dyDescent="0.25">
      <c r="B89" s="723" t="s">
        <v>58</v>
      </c>
      <c r="C89" s="115">
        <v>605.07332191012142</v>
      </c>
      <c r="D89" s="115">
        <f>'Tables &amp; Graphs'!E52</f>
        <v>704949.49694779061</v>
      </c>
      <c r="E89" s="115"/>
      <c r="F89" s="115"/>
      <c r="G89" s="115"/>
    </row>
    <row r="90" spans="2:7" x14ac:dyDescent="0.25">
      <c r="B90" s="723" t="s">
        <v>619</v>
      </c>
      <c r="C90" s="115">
        <v>6440182.5206354195</v>
      </c>
      <c r="D90" s="115">
        <f>'Tables &amp; Graphs'!E53</f>
        <v>7604433.746760278</v>
      </c>
      <c r="E90" s="115"/>
      <c r="F90" s="115"/>
      <c r="G90" s="115"/>
    </row>
    <row r="91" spans="2:7" x14ac:dyDescent="0.25">
      <c r="B91" s="723" t="s">
        <v>966</v>
      </c>
      <c r="C91" s="115">
        <v>26922.945171060965</v>
      </c>
      <c r="D91" s="115">
        <f>'Tables &amp; Graphs'!E54</f>
        <v>26292.178559511394</v>
      </c>
      <c r="E91" s="115"/>
      <c r="F91" s="115"/>
      <c r="G91" s="115"/>
    </row>
    <row r="92" spans="2:7" x14ac:dyDescent="0.25">
      <c r="B92" s="723" t="s">
        <v>962</v>
      </c>
      <c r="C92" s="115">
        <v>11592.845106478173</v>
      </c>
      <c r="D92" s="115">
        <f>'Tables &amp; Graphs'!E55</f>
        <v>14983.340718073214</v>
      </c>
      <c r="E92" s="115"/>
      <c r="F92" s="115"/>
      <c r="G92" s="115"/>
    </row>
    <row r="93" spans="2:7" x14ac:dyDescent="0.25">
      <c r="B93" s="723" t="s">
        <v>1434</v>
      </c>
      <c r="C93" s="115">
        <v>3689.0577408688505</v>
      </c>
      <c r="D93" s="115">
        <f>'Tables &amp; Graphs'!E56</f>
        <v>3843.6711098475207</v>
      </c>
      <c r="E93" s="115"/>
      <c r="F93" s="115"/>
      <c r="G93" s="115"/>
    </row>
    <row r="94" spans="2:7" x14ac:dyDescent="0.25">
      <c r="B94" s="723" t="s">
        <v>59</v>
      </c>
      <c r="C94" s="115">
        <v>1223735.2938604262</v>
      </c>
      <c r="D94" s="115">
        <f>'Tables &amp; Graphs'!E57</f>
        <v>1001844.6865675382</v>
      </c>
      <c r="E94" s="115"/>
      <c r="F94" s="115"/>
      <c r="G94" s="115"/>
    </row>
    <row r="95" spans="2:7" x14ac:dyDescent="0.25">
      <c r="B95" s="721" t="s">
        <v>410</v>
      </c>
      <c r="C95" s="135">
        <f>_xlfn.AGGREGATE(9,6,C79:C94)</f>
        <v>18669954.942323476</v>
      </c>
      <c r="D95" s="135">
        <f t="shared" ref="D95:G95" si="1">_xlfn.AGGREGATE(9,6,D79:D94)</f>
        <v>20162466.910151437</v>
      </c>
      <c r="E95" s="135">
        <f t="shared" si="1"/>
        <v>0</v>
      </c>
      <c r="F95" s="135">
        <f t="shared" si="1"/>
        <v>0</v>
      </c>
      <c r="G95" s="135">
        <f t="shared" si="1"/>
        <v>0</v>
      </c>
    </row>
    <row r="101" spans="2:7" x14ac:dyDescent="0.25">
      <c r="B101" s="727" t="s">
        <v>2116</v>
      </c>
      <c r="C101" s="728"/>
      <c r="D101" s="728"/>
      <c r="E101" s="728"/>
      <c r="F101" s="728"/>
      <c r="G101" s="729"/>
    </row>
    <row r="102" spans="2:7" x14ac:dyDescent="0.25">
      <c r="B102" s="726" t="s">
        <v>330</v>
      </c>
      <c r="C102" s="721">
        <v>1402</v>
      </c>
      <c r="D102" s="721">
        <v>1403</v>
      </c>
      <c r="E102" s="721">
        <v>1404</v>
      </c>
      <c r="F102" s="721">
        <v>1405</v>
      </c>
      <c r="G102" s="721">
        <v>1406</v>
      </c>
    </row>
    <row r="103" spans="2:7" x14ac:dyDescent="0.25">
      <c r="B103" s="723" t="s">
        <v>1060</v>
      </c>
      <c r="C103" s="115">
        <v>6640133.9800905483</v>
      </c>
      <c r="D103" s="115">
        <f>'Tables &amp; Graphs'!E107</f>
        <v>5744250.5519052772</v>
      </c>
      <c r="E103" s="115"/>
      <c r="F103" s="115"/>
      <c r="G103" s="115"/>
    </row>
    <row r="104" spans="2:7" x14ac:dyDescent="0.25">
      <c r="B104" s="723" t="s">
        <v>1061</v>
      </c>
      <c r="C104" s="115">
        <v>3824040.5144772362</v>
      </c>
      <c r="D104" s="115">
        <f>'Tables &amp; Graphs'!E108</f>
        <v>4539539.8536774926</v>
      </c>
      <c r="E104" s="115"/>
      <c r="F104" s="115"/>
      <c r="G104" s="115"/>
    </row>
    <row r="105" spans="2:7" x14ac:dyDescent="0.25">
      <c r="B105" s="723" t="s">
        <v>1062</v>
      </c>
      <c r="C105" s="115">
        <v>8205780.4477556935</v>
      </c>
      <c r="D105" s="115">
        <f>'Tables &amp; Graphs'!E109</f>
        <v>9878676.5045686644</v>
      </c>
      <c r="E105" s="115"/>
      <c r="F105" s="115"/>
      <c r="G105" s="115"/>
    </row>
    <row r="106" spans="2:7" x14ac:dyDescent="0.25">
      <c r="B106" s="721" t="s">
        <v>410</v>
      </c>
      <c r="C106" s="135">
        <f>_xlfn.AGGREGATE(9,6,C103:C105)</f>
        <v>18669954.94232348</v>
      </c>
      <c r="D106" s="135">
        <f t="shared" ref="D106:G106" si="2">_xlfn.AGGREGATE(9,6,D103:D105)</f>
        <v>20162466.910151437</v>
      </c>
      <c r="E106" s="135">
        <f t="shared" si="2"/>
        <v>0</v>
      </c>
      <c r="F106" s="135">
        <f t="shared" si="2"/>
        <v>0</v>
      </c>
      <c r="G106" s="135">
        <f t="shared" si="2"/>
        <v>0</v>
      </c>
    </row>
    <row r="112" spans="2:7" x14ac:dyDescent="0.25">
      <c r="B112" s="727" t="s">
        <v>2117</v>
      </c>
      <c r="C112" s="728"/>
      <c r="D112" s="728"/>
      <c r="E112" s="728"/>
      <c r="F112" s="728"/>
      <c r="G112" s="729"/>
    </row>
    <row r="113" spans="2:7" x14ac:dyDescent="0.25">
      <c r="B113" s="726" t="s">
        <v>425</v>
      </c>
      <c r="C113" s="721">
        <v>1402</v>
      </c>
      <c r="D113" s="721">
        <v>1403</v>
      </c>
      <c r="E113" s="721">
        <v>1404</v>
      </c>
      <c r="F113" s="721">
        <v>1405</v>
      </c>
      <c r="G113" s="721">
        <v>1406</v>
      </c>
    </row>
    <row r="114" spans="2:7" x14ac:dyDescent="0.25">
      <c r="B114" s="115" t="s">
        <v>607</v>
      </c>
      <c r="C114" s="82">
        <v>2.1815447747102952</v>
      </c>
      <c r="D114" s="82">
        <f ca="1">'Carbon Footprints'!F21</f>
        <v>2.330168172395239</v>
      </c>
      <c r="E114" s="82"/>
      <c r="F114" s="82"/>
      <c r="G114" s="82"/>
    </row>
    <row r="115" spans="2:7" x14ac:dyDescent="0.25">
      <c r="B115" s="115" t="s">
        <v>1390</v>
      </c>
      <c r="C115" s="82">
        <v>2.3119156727242425</v>
      </c>
      <c r="D115" s="82">
        <f ca="1">'Carbon Footprints'!F22</f>
        <v>2.4846049455949877</v>
      </c>
      <c r="E115" s="82"/>
      <c r="F115" s="82"/>
      <c r="G115" s="82"/>
    </row>
    <row r="116" spans="2:7" x14ac:dyDescent="0.25">
      <c r="B116" s="115" t="s">
        <v>1401</v>
      </c>
      <c r="C116" s="82">
        <v>2.5607241151312672</v>
      </c>
      <c r="D116" s="82">
        <f ca="1">'Carbon Footprints'!F23</f>
        <v>2.8950543793369636</v>
      </c>
      <c r="E116" s="82"/>
      <c r="F116" s="82"/>
      <c r="G116" s="82"/>
    </row>
    <row r="117" spans="2:7" x14ac:dyDescent="0.25">
      <c r="B117" s="115" t="s">
        <v>1391</v>
      </c>
      <c r="C117" s="82">
        <v>2.50530496370228</v>
      </c>
      <c r="D117" s="82">
        <f ca="1">'Carbon Footprints'!F24</f>
        <v>2.7318011840822933</v>
      </c>
      <c r="E117" s="82"/>
      <c r="F117" s="82"/>
      <c r="G117" s="82"/>
    </row>
    <row r="118" spans="2:7" x14ac:dyDescent="0.25">
      <c r="B118" s="723" t="s">
        <v>1402</v>
      </c>
      <c r="C118" s="82">
        <v>2.4039848782936204</v>
      </c>
      <c r="D118" s="82">
        <f ca="1">'Carbon Footprints'!F25</f>
        <v>2.5594019337317184</v>
      </c>
      <c r="E118" s="82"/>
      <c r="F118" s="82"/>
      <c r="G118" s="82"/>
    </row>
    <row r="119" spans="2:7" x14ac:dyDescent="0.25">
      <c r="B119" s="723" t="s">
        <v>1409</v>
      </c>
      <c r="C119" s="82">
        <v>2.3608832967064779</v>
      </c>
      <c r="D119" s="82">
        <f ca="1">'Carbon Footprints'!F26</f>
        <v>2.6163427228653235</v>
      </c>
      <c r="E119" s="82"/>
      <c r="F119" s="82"/>
      <c r="G119" s="82"/>
    </row>
    <row r="120" spans="2:7" x14ac:dyDescent="0.25">
      <c r="B120" s="723" t="s">
        <v>1392</v>
      </c>
      <c r="C120" s="82">
        <v>2.479878913752716</v>
      </c>
      <c r="D120" s="82">
        <f ca="1">'Carbon Footprints'!F27</f>
        <v>2.7418556575778874</v>
      </c>
      <c r="E120" s="82"/>
      <c r="F120" s="82"/>
      <c r="G120" s="82"/>
    </row>
    <row r="121" spans="2:7" x14ac:dyDescent="0.25">
      <c r="B121" s="723" t="s">
        <v>1393</v>
      </c>
      <c r="C121" s="82">
        <v>2.6166485398932009</v>
      </c>
      <c r="D121" s="82">
        <f ca="1">'Carbon Footprints'!F28</f>
        <v>2.8652755767830036</v>
      </c>
      <c r="E121" s="82"/>
      <c r="F121" s="82"/>
      <c r="G121" s="82"/>
    </row>
    <row r="122" spans="2:7" x14ac:dyDescent="0.25">
      <c r="B122" s="723" t="s">
        <v>1394</v>
      </c>
      <c r="C122" s="82">
        <v>3.0913768517794531</v>
      </c>
      <c r="D122" s="82">
        <f ca="1">'Carbon Footprints'!F29</f>
        <v>3.2725870660044847</v>
      </c>
      <c r="E122" s="82"/>
      <c r="F122" s="82"/>
      <c r="G122" s="82"/>
    </row>
    <row r="123" spans="2:7" x14ac:dyDescent="0.25">
      <c r="B123" s="115" t="s">
        <v>1395</v>
      </c>
      <c r="C123" s="82">
        <v>2.7168677858207873</v>
      </c>
      <c r="D123" s="82">
        <f ca="1">'Carbon Footprints'!F30</f>
        <v>2.9579955683589745</v>
      </c>
      <c r="E123" s="82"/>
      <c r="F123" s="82"/>
      <c r="G123" s="82"/>
    </row>
    <row r="124" spans="2:7" x14ac:dyDescent="0.25">
      <c r="B124" s="115" t="s">
        <v>1396</v>
      </c>
      <c r="C124" s="82">
        <v>2.8140614751657997</v>
      </c>
      <c r="D124" s="82">
        <f ca="1">'Carbon Footprints'!F31</f>
        <v>2.9709919594576948</v>
      </c>
      <c r="E124" s="82"/>
      <c r="F124" s="82"/>
      <c r="G124" s="82"/>
    </row>
    <row r="125" spans="2:7" x14ac:dyDescent="0.25">
      <c r="B125" s="723" t="s">
        <v>1397</v>
      </c>
      <c r="C125" s="82">
        <v>3.366006784472968</v>
      </c>
      <c r="D125" s="82">
        <f ca="1">'Carbon Footprints'!F32</f>
        <v>3.5098788288460518</v>
      </c>
      <c r="E125" s="82"/>
      <c r="F125" s="82"/>
      <c r="G125" s="82"/>
    </row>
    <row r="126" spans="2:7" x14ac:dyDescent="0.25">
      <c r="B126" s="723" t="s">
        <v>1398</v>
      </c>
      <c r="C126" s="82">
        <v>3.4426892020707474</v>
      </c>
      <c r="D126" s="82">
        <f ca="1">'Carbon Footprints'!F33</f>
        <v>3.5975775733838038</v>
      </c>
      <c r="E126" s="82"/>
      <c r="F126" s="82"/>
      <c r="G126" s="82"/>
    </row>
    <row r="127" spans="2:7" x14ac:dyDescent="0.25">
      <c r="B127" s="723" t="s">
        <v>1399</v>
      </c>
      <c r="C127" s="82">
        <v>2.5608409809631225</v>
      </c>
      <c r="D127" s="82">
        <f ca="1">'Carbon Footprints'!F34</f>
        <v>2.8867988601632728</v>
      </c>
      <c r="E127" s="82"/>
      <c r="F127" s="82"/>
      <c r="G127" s="82"/>
    </row>
    <row r="128" spans="2:7" x14ac:dyDescent="0.25">
      <c r="B128" s="723" t="s">
        <v>1400</v>
      </c>
      <c r="C128" s="82">
        <v>3.1304513801766922</v>
      </c>
      <c r="D128" s="82">
        <f ca="1">'Carbon Footprints'!F35</f>
        <v>3.1282025311272124</v>
      </c>
      <c r="E128" s="82"/>
      <c r="F128" s="82"/>
      <c r="G128" s="82"/>
    </row>
    <row r="133" spans="2:7" x14ac:dyDescent="0.25">
      <c r="B133" s="727" t="s">
        <v>2132</v>
      </c>
      <c r="C133" s="728"/>
      <c r="D133" s="728"/>
      <c r="E133" s="728"/>
      <c r="F133" s="728"/>
      <c r="G133" s="729"/>
    </row>
    <row r="134" spans="2:7" x14ac:dyDescent="0.25">
      <c r="B134" s="726" t="s">
        <v>425</v>
      </c>
      <c r="C134" s="757">
        <v>1402</v>
      </c>
      <c r="D134" s="757">
        <v>1403</v>
      </c>
      <c r="E134" s="757">
        <v>1404</v>
      </c>
      <c r="F134" s="757">
        <v>1405</v>
      </c>
      <c r="G134" s="757">
        <v>1406</v>
      </c>
    </row>
    <row r="135" spans="2:7" x14ac:dyDescent="0.25">
      <c r="B135" s="115" t="s">
        <v>607</v>
      </c>
      <c r="C135" s="384"/>
      <c r="D135" s="759">
        <f ca="1">(D114-C114)/C114</f>
        <v>6.8127594449525208E-2</v>
      </c>
      <c r="E135" s="82"/>
      <c r="F135" s="82"/>
      <c r="G135" s="82"/>
    </row>
    <row r="136" spans="2:7" x14ac:dyDescent="0.25">
      <c r="B136" s="115" t="s">
        <v>1390</v>
      </c>
      <c r="C136" s="384"/>
      <c r="D136" s="759">
        <f t="shared" ref="D136:D149" ca="1" si="3">(D115-C115)/C115</f>
        <v>7.4695316489315142E-2</v>
      </c>
      <c r="E136" s="82"/>
      <c r="F136" s="82"/>
      <c r="G136" s="82"/>
    </row>
    <row r="137" spans="2:7" x14ac:dyDescent="0.25">
      <c r="B137" s="115" t="s">
        <v>1401</v>
      </c>
      <c r="C137" s="384"/>
      <c r="D137" s="759">
        <f t="shared" ca="1" si="3"/>
        <v>0.13056082934906796</v>
      </c>
      <c r="E137" s="82"/>
      <c r="F137" s="82"/>
      <c r="G137" s="82"/>
    </row>
    <row r="138" spans="2:7" x14ac:dyDescent="0.25">
      <c r="B138" s="115" t="s">
        <v>1391</v>
      </c>
      <c r="C138" s="384"/>
      <c r="D138" s="759">
        <f t="shared" ca="1" si="3"/>
        <v>9.0406646560625761E-2</v>
      </c>
      <c r="E138" s="82"/>
      <c r="F138" s="82"/>
      <c r="G138" s="82"/>
    </row>
    <row r="139" spans="2:7" x14ac:dyDescent="0.25">
      <c r="B139" s="758" t="s">
        <v>1402</v>
      </c>
      <c r="C139" s="384"/>
      <c r="D139" s="759">
        <f t="shared" ca="1" si="3"/>
        <v>6.4649764165078727E-2</v>
      </c>
      <c r="E139" s="82"/>
      <c r="F139" s="82"/>
      <c r="G139" s="82"/>
    </row>
    <row r="140" spans="2:7" x14ac:dyDescent="0.25">
      <c r="B140" s="758" t="s">
        <v>1409</v>
      </c>
      <c r="C140" s="384"/>
      <c r="D140" s="759">
        <f t="shared" ca="1" si="3"/>
        <v>0.10820502077134489</v>
      </c>
      <c r="E140" s="82"/>
      <c r="F140" s="82"/>
      <c r="G140" s="82"/>
    </row>
    <row r="141" spans="2:7" x14ac:dyDescent="0.25">
      <c r="B141" s="758" t="s">
        <v>1392</v>
      </c>
      <c r="C141" s="384"/>
      <c r="D141" s="759">
        <f t="shared" ca="1" si="3"/>
        <v>0.10564094172998592</v>
      </c>
      <c r="E141" s="82"/>
      <c r="F141" s="82"/>
      <c r="G141" s="82"/>
    </row>
    <row r="142" spans="2:7" x14ac:dyDescent="0.25">
      <c r="B142" s="758" t="s">
        <v>1393</v>
      </c>
      <c r="C142" s="384"/>
      <c r="D142" s="759">
        <f t="shared" ca="1" si="3"/>
        <v>9.5017360222152902E-2</v>
      </c>
      <c r="E142" s="82"/>
      <c r="F142" s="82"/>
      <c r="G142" s="82"/>
    </row>
    <row r="143" spans="2:7" x14ac:dyDescent="0.25">
      <c r="B143" s="758" t="s">
        <v>1394</v>
      </c>
      <c r="C143" s="384"/>
      <c r="D143" s="759">
        <f t="shared" ca="1" si="3"/>
        <v>5.8617963099750738E-2</v>
      </c>
      <c r="E143" s="82"/>
      <c r="F143" s="82"/>
      <c r="G143" s="82"/>
    </row>
    <row r="144" spans="2:7" x14ac:dyDescent="0.25">
      <c r="B144" s="115" t="s">
        <v>1395</v>
      </c>
      <c r="C144" s="384"/>
      <c r="D144" s="759">
        <f t="shared" ca="1" si="3"/>
        <v>8.8752122498055461E-2</v>
      </c>
      <c r="E144" s="82"/>
      <c r="F144" s="82"/>
      <c r="G144" s="82"/>
    </row>
    <row r="145" spans="2:7" x14ac:dyDescent="0.25">
      <c r="B145" s="115" t="s">
        <v>1396</v>
      </c>
      <c r="C145" s="384"/>
      <c r="D145" s="759">
        <f t="shared" ca="1" si="3"/>
        <v>5.5766544432953077E-2</v>
      </c>
      <c r="E145" s="82"/>
      <c r="F145" s="82"/>
      <c r="G145" s="82"/>
    </row>
    <row r="146" spans="2:7" x14ac:dyDescent="0.25">
      <c r="B146" s="758" t="s">
        <v>1397</v>
      </c>
      <c r="C146" s="384"/>
      <c r="D146" s="759">
        <f t="shared" ca="1" si="3"/>
        <v>4.2742648362074115E-2</v>
      </c>
      <c r="E146" s="82"/>
      <c r="F146" s="82"/>
      <c r="G146" s="82"/>
    </row>
    <row r="147" spans="2:7" x14ac:dyDescent="0.25">
      <c r="B147" s="758" t="s">
        <v>1398</v>
      </c>
      <c r="C147" s="384"/>
      <c r="D147" s="759">
        <f t="shared" ca="1" si="3"/>
        <v>4.4990518232053141E-2</v>
      </c>
      <c r="E147" s="82"/>
      <c r="F147" s="82"/>
      <c r="G147" s="82"/>
    </row>
    <row r="148" spans="2:7" x14ac:dyDescent="0.25">
      <c r="B148" s="758" t="s">
        <v>1399</v>
      </c>
      <c r="C148" s="384"/>
      <c r="D148" s="759">
        <f t="shared" ca="1" si="3"/>
        <v>0.12728548223933794</v>
      </c>
      <c r="E148" s="82"/>
      <c r="F148" s="82"/>
      <c r="G148" s="82"/>
    </row>
    <row r="149" spans="2:7" x14ac:dyDescent="0.25">
      <c r="B149" s="758" t="s">
        <v>1400</v>
      </c>
      <c r="C149" s="384"/>
      <c r="D149" s="759">
        <f t="shared" ca="1" si="3"/>
        <v>-7.1837852640692661E-4</v>
      </c>
      <c r="E149" s="82"/>
      <c r="F149" s="82"/>
      <c r="G149" s="82"/>
    </row>
  </sheetData>
  <protectedRanges>
    <protectedRange sqref="C62:G69 C79:G94 C103:G105 C114:G128 D135:G149" name="Range3"/>
    <protectedRange sqref="C48:G49" name="Range2"/>
    <protectedRange sqref="D12:M32" name="Range1"/>
  </protectedRange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Intro</vt:lpstr>
      <vt:lpstr>Unit List</vt:lpstr>
      <vt:lpstr>Settings</vt:lpstr>
      <vt:lpstr>Data Quality</vt:lpstr>
      <vt:lpstr>Sensitivity</vt:lpstr>
      <vt:lpstr>Inventory</vt:lpstr>
      <vt:lpstr>Tables &amp; Graphs</vt:lpstr>
      <vt:lpstr>Life Cycle</vt:lpstr>
      <vt:lpstr>Carbon Footprints</vt:lpstr>
      <vt:lpstr>Section 1</vt:lpstr>
      <vt:lpstr>Combustion</vt:lpstr>
      <vt:lpstr>Vent</vt:lpstr>
      <vt:lpstr>Fugitive</vt:lpstr>
      <vt:lpstr>Electricity</vt:lpstr>
      <vt:lpstr>On-Site Tran.</vt:lpstr>
      <vt:lpstr>Upstream Tran.</vt:lpstr>
      <vt:lpstr>Downstream Tran.</vt:lpstr>
      <vt:lpstr>Employee Commuting</vt:lpstr>
      <vt:lpstr>Business Travel</vt:lpstr>
      <vt:lpstr>Purchased Material</vt:lpstr>
      <vt:lpstr>Ancillary Input</vt:lpstr>
      <vt:lpstr>Purchased Services</vt:lpstr>
      <vt:lpstr>Waste</vt:lpstr>
      <vt:lpstr>Wastewater</vt:lpstr>
      <vt:lpstr>Energy Related</vt:lpstr>
      <vt:lpstr>Section 2</vt:lpstr>
      <vt:lpstr>Upstream CF</vt:lpstr>
      <vt:lpstr>Utility CF</vt:lpstr>
      <vt:lpstr>Units CF</vt:lpstr>
      <vt:lpstr>Mix Electricity</vt:lpstr>
      <vt:lpstr>Steam</vt:lpstr>
      <vt:lpstr>Air</vt:lpstr>
      <vt:lpstr>Oxygen</vt:lpstr>
      <vt:lpstr>Nitrogen</vt:lpstr>
      <vt:lpstr>Argon</vt:lpstr>
      <vt:lpstr>Water</vt:lpstr>
      <vt:lps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Shayan Seif</dc:creator>
  <cp:lastModifiedBy>محمد رحمتي</cp:lastModifiedBy>
  <dcterms:created xsi:type="dcterms:W3CDTF">2024-01-26T18:37:53Z</dcterms:created>
  <dcterms:modified xsi:type="dcterms:W3CDTF">2026-07-18T12:22:00Z</dcterms:modified>
</cp:coreProperties>
</file>