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ZinouAb\Desktop\"/>
    </mc:Choice>
  </mc:AlternateContent>
  <xr:revisionPtr revIDLastSave="0" documentId="8_{FC4ABC6F-1C64-47CE-A1FC-ED0C1660B76A}" xr6:coauthVersionLast="47" xr6:coauthVersionMax="47" xr10:uidLastSave="{00000000-0000-0000-0000-000000000000}"/>
  <bookViews>
    <workbookView xWindow="-108" yWindow="-108" windowWidth="23256" windowHeight="12456" activeTab="3" xr2:uid="{634E4464-41DB-4CD6-8E55-36A043963D43}"/>
  </bookViews>
  <sheets>
    <sheet name="Power Losses" sheetId="1" r:id="rId1"/>
    <sheet name="Thermal Components" sheetId="3" r:id="rId2"/>
    <sheet name="Filter Sizing" sheetId="2" r:id="rId3"/>
    <sheet name="Misc" sheetId="4" r:id="rId4"/>
  </sheets>
  <definedNames>
    <definedName name="A">'Power Losses'!$A$69</definedName>
    <definedName name="A_">'Power Losses'!$A$69</definedName>
    <definedName name="B">'Power Losses'!$B$69</definedName>
    <definedName name="B_">'Power Losses'!$B$69</definedName>
    <definedName name="C_">'Power Losses'!$C$69</definedName>
    <definedName name="f_Hz">'Filter Sizing'!$B$5</definedName>
    <definedName name="fc_Hz">'Power Losses'!$E$58</definedName>
    <definedName name="Ipulsemax_A">'Power Losses'!$B$63</definedName>
    <definedName name="K__W_m.K">'Thermal Components'!$Q$8</definedName>
    <definedName name="Pflowmax_W">'Filter Sizing'!$D$40</definedName>
    <definedName name="Rds_on">'Power Losses'!$B$73</definedName>
    <definedName name="RthSA_K_W">'Thermal Components'!$E$15</definedName>
    <definedName name="Rtransistors__ohms">'Filter Sizing'!$C$5</definedName>
    <definedName name="solver_adj" localSheetId="2" hidden="1">'Filter Sizing'!$G$35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'Filter Sizing'!$H$37</definedName>
    <definedName name="solver_lhs2" localSheetId="2" hidden="1">'Filter Sizing'!$C$40</definedName>
    <definedName name="solver_lhs3" localSheetId="2" hidden="1">'Filter Sizing'!#REF!</definedName>
    <definedName name="solver_lhs4" localSheetId="2" hidden="1">'Filter Sizing'!$D$31</definedName>
    <definedName name="solver_lhs5" localSheetId="2" hidden="1">'Filter Sizing'!$D$31</definedName>
    <definedName name="solver_lhs6" localSheetId="2" hidden="1">'Filter Sizing'!$D$40</definedName>
    <definedName name="solver_lhs7" localSheetId="2" hidden="1">'Filter Sizing'!$H$37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'Filter Sizing'!$G$35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el7" localSheetId="2" hidden="1">1</definedName>
    <definedName name="solver_rhs1" localSheetId="2" hidden="1">f_Hz</definedName>
    <definedName name="solver_rhs2" localSheetId="2" hidden="1">5</definedName>
    <definedName name="solver_rhs3" localSheetId="2" hidden="1">5</definedName>
    <definedName name="solver_rhs4" localSheetId="2" hidden="1">'Filter Sizing'!$E$58</definedName>
    <definedName name="solver_rhs5" localSheetId="2" hidden="1">f_Hz</definedName>
    <definedName name="solver_rhs6" localSheetId="2" hidden="1">300</definedName>
    <definedName name="solver_rhs7" localSheetId="2" hidden="1">'Filter Sizing'!$E$58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Vpv_V">'Power Losses'!$A$63</definedName>
    <definedName name="Vpv2_V">'Filter Sizing'!$B$48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A21" i="1"/>
  <c r="R42" i="2"/>
  <c r="G42" i="2"/>
  <c r="G45" i="2" s="1"/>
  <c r="H45" i="2" s="1"/>
  <c r="B61" i="2"/>
  <c r="B64" i="2" s="1"/>
  <c r="D58" i="2"/>
  <c r="A15" i="3"/>
  <c r="B48" i="2"/>
  <c r="H42" i="2"/>
  <c r="H54" i="2"/>
  <c r="F52" i="2"/>
  <c r="E52" i="2"/>
  <c r="A69" i="1"/>
  <c r="A11" i="1"/>
  <c r="D7" i="1" s="1"/>
  <c r="F7" i="1"/>
  <c r="E15" i="3"/>
  <c r="A58" i="1"/>
  <c r="F54" i="1"/>
  <c r="C5" i="2"/>
  <c r="D85" i="1"/>
  <c r="F56" i="1"/>
  <c r="B58" i="1" s="1"/>
  <c r="E54" i="1"/>
  <c r="C58" i="1" s="1"/>
  <c r="E11" i="1"/>
  <c r="C11" i="1"/>
  <c r="B11" i="1"/>
  <c r="D64" i="2" l="1"/>
  <c r="C64" i="2"/>
  <c r="C61" i="2"/>
  <c r="D11" i="1"/>
  <c r="D58" i="1"/>
  <c r="B69" i="1" s="1"/>
  <c r="A17" i="1" l="1"/>
  <c r="D17" i="1" l="1"/>
  <c r="C69" i="1" s="1"/>
  <c r="D69" i="1" s="1"/>
  <c r="F69" i="1" s="1"/>
  <c r="E69" i="1" l="1"/>
  <c r="A73" i="1" s="1"/>
  <c r="E73" i="1" s="1"/>
  <c r="C73" i="1" l="1"/>
  <c r="V10" i="1"/>
  <c r="B63" i="1"/>
  <c r="B28" i="2" s="1"/>
  <c r="B14" i="2"/>
  <c r="C14" i="2"/>
  <c r="C63" i="1"/>
  <c r="B45" i="2" l="1"/>
  <c r="C45" i="2" s="1"/>
  <c r="E63" i="1"/>
  <c r="X7" i="1"/>
  <c r="W7" i="1"/>
  <c r="Y7" i="1" s="1"/>
  <c r="B31" i="2"/>
  <c r="D31" i="2" s="1"/>
  <c r="B82" i="1"/>
  <c r="F85" i="1"/>
  <c r="C82" i="1"/>
  <c r="B16" i="2"/>
  <c r="B20" i="2"/>
  <c r="C20" i="2" s="1"/>
  <c r="D14" i="2"/>
  <c r="Z7" i="1" l="1"/>
  <c r="C31" i="2"/>
  <c r="C28" i="2"/>
  <c r="D20" i="2"/>
</calcChain>
</file>

<file path=xl/sharedStrings.xml><?xml version="1.0" encoding="utf-8"?>
<sst xmlns="http://schemas.openxmlformats.org/spreadsheetml/2006/main" count="164" uniqueCount="131">
  <si>
    <t>MOSFET:</t>
  </si>
  <si>
    <t>RthJA(without heatsink) (C/W)</t>
  </si>
  <si>
    <t>RthCS (meaningless value)(C/W)</t>
  </si>
  <si>
    <t>RthJC(K/W)</t>
  </si>
  <si>
    <t>RthCS(thermal paste) (K/W)</t>
  </si>
  <si>
    <t>RthSA(K/W)</t>
  </si>
  <si>
    <t>K (W/m.K)</t>
  </si>
  <si>
    <t>E(m)</t>
  </si>
  <si>
    <t>D(m)</t>
  </si>
  <si>
    <t>Area(m²)</t>
  </si>
  <si>
    <t>L (m) (loose clamping)</t>
  </si>
  <si>
    <t>Package</t>
  </si>
  <si>
    <t>TO-220AB</t>
  </si>
  <si>
    <t>note: thermal paste from alixexpress (cheap)</t>
  </si>
  <si>
    <t>Rtot(K/W)</t>
  </si>
  <si>
    <t>Tambient(C°)</t>
  </si>
  <si>
    <t>Tjmax(C°)</t>
  </si>
  <si>
    <t>Pmax(W)</t>
  </si>
  <si>
    <t xml:space="preserve">IDC(max) </t>
  </si>
  <si>
    <t>9.2A (25C)</t>
  </si>
  <si>
    <t>(NOTE : VISHAY INTRODUCED A SAFETY MARGIN, THE MAX CURRENT SHOULD BE 14.9 A according to the INT-936)</t>
  </si>
  <si>
    <t>Pmax:</t>
  </si>
  <si>
    <t>60W (25C)</t>
  </si>
  <si>
    <t>(THE SAME EQUATION APPLIES FOR MAXIMUM POWER)</t>
  </si>
  <si>
    <t>RG&gt;= 10 ohms</t>
  </si>
  <si>
    <t>Rg(ohm)</t>
  </si>
  <si>
    <t>Vgs(th)(V)</t>
  </si>
  <si>
    <t>Vg(drive)(V)</t>
  </si>
  <si>
    <t>Vgs(p)(V)</t>
  </si>
  <si>
    <t>Ciss(F) (Cgs+Cgd)</t>
  </si>
  <si>
    <t>Qg (Cb)</t>
  </si>
  <si>
    <t>Qgd (Cb)</t>
  </si>
  <si>
    <t>tr(s)</t>
  </si>
  <si>
    <t>tf(s)</t>
  </si>
  <si>
    <t>ton(s)</t>
  </si>
  <si>
    <t>toff</t>
  </si>
  <si>
    <t>fc(Hz)</t>
  </si>
  <si>
    <t>Vpv(V)</t>
  </si>
  <si>
    <t>Ipulsemax(A)</t>
  </si>
  <si>
    <t>Psw(W)</t>
  </si>
  <si>
    <t>Pd calc(W)</t>
  </si>
  <si>
    <t>A</t>
  </si>
  <si>
    <t>B</t>
  </si>
  <si>
    <t>C</t>
  </si>
  <si>
    <t>Delta</t>
  </si>
  <si>
    <t>Irmsmax1</t>
  </si>
  <si>
    <t>Irmsmax2</t>
  </si>
  <si>
    <t>Irmsmax(A)</t>
  </si>
  <si>
    <t>Rds(on)</t>
  </si>
  <si>
    <t>Pcond(W)</t>
  </si>
  <si>
    <t>DIODE:</t>
  </si>
  <si>
    <t>Vf(V)</t>
  </si>
  <si>
    <t>Diode conduction interval(%)</t>
  </si>
  <si>
    <t>Pcond Diode (W)</t>
  </si>
  <si>
    <t>To find Irms max:</t>
  </si>
  <si>
    <t>RJA (K/W)</t>
  </si>
  <si>
    <t>Tjmax ( C)</t>
  </si>
  <si>
    <t>Tambient( C)</t>
  </si>
  <si>
    <t>PmaxDiode(W)</t>
  </si>
  <si>
    <t>FILTERING</t>
  </si>
  <si>
    <t>LC filter sizing:</t>
  </si>
  <si>
    <t>MAX CURRENT RIPPLE(%)</t>
  </si>
  <si>
    <t>MAX VOLTAGE RIPPLE(V)</t>
  </si>
  <si>
    <t>D(for max ripple)</t>
  </si>
  <si>
    <t>Lfilt(H)</t>
  </si>
  <si>
    <t>C(F)</t>
  </si>
  <si>
    <t>fR (resonant freq)(Hz)</t>
  </si>
  <si>
    <t>f(Hz)</t>
  </si>
  <si>
    <t>WE ASSUME CCM</t>
  </si>
  <si>
    <t>Xl</t>
  </si>
  <si>
    <t>Xl/Rtransistors</t>
  </si>
  <si>
    <t>Pflowmax(W)</t>
  </si>
  <si>
    <t>Rtransistors (ohms)</t>
  </si>
  <si>
    <t>Power flow considerations:</t>
  </si>
  <si>
    <t>https://wrap.warwick.ac.uk/id/eprint/97179/7/WRAP-switching-current-ripple-calculation-passive-Zabihi-2018.pdf</t>
  </si>
  <si>
    <t>UNIPOLAR</t>
  </si>
  <si>
    <t>BIPOLAR</t>
  </si>
  <si>
    <t>Theory :</t>
  </si>
  <si>
    <t>vf=vi(t): instantaneous inverter outputvoltage</t>
  </si>
  <si>
    <t>vi1=viav:average inverter output voltage</t>
  </si>
  <si>
    <t>(FORMULA FOR BIPOLAR ONLY)</t>
  </si>
  <si>
    <t>(FORMULA FOR BIPOLAR APPLIED)</t>
  </si>
  <si>
    <t>Lfilt(mH)</t>
  </si>
  <si>
    <t>INVERTER MAX OUTPUT</t>
  </si>
  <si>
    <t>Smax(THEORY)(VA)</t>
  </si>
  <si>
    <t xml:space="preserve">(SWITCHING LOSSES NEGLECTED EVENTHOUGH THIS DIODE IS SLOW AND PROBABLY HAS LOTS OF SW LOSSES)
</t>
  </si>
  <si>
    <t>IDEALLY Xl/R &gt; 10</t>
  </si>
  <si>
    <t>Max interval(%)</t>
  </si>
  <si>
    <t>THERMAL COMPONENTS</t>
  </si>
  <si>
    <t>L(mm)</t>
  </si>
  <si>
    <t>W(mm)</t>
  </si>
  <si>
    <t>H(mm)</t>
  </si>
  <si>
    <t>CLOSEST LOOKING HEATSINK ON MOUSER</t>
  </si>
  <si>
    <t>OUR COMPONENT</t>
  </si>
  <si>
    <t>SAFETY FACTOR</t>
  </si>
  <si>
    <t>DATASHEET MAX (A)</t>
  </si>
  <si>
    <t>Ipulse(100µs-80V)</t>
  </si>
  <si>
    <t>20A</t>
  </si>
  <si>
    <t>MOSFET losses for  nominal current</t>
  </si>
  <si>
    <t>Pswn(W)</t>
  </si>
  <si>
    <t>Pcondn(W)</t>
  </si>
  <si>
    <t>Pn(W)</t>
  </si>
  <si>
    <t>Irmsn(A)</t>
  </si>
  <si>
    <t>Ipulsen(A)</t>
  </si>
  <si>
    <t>Capacitor half bridge sizing</t>
  </si>
  <si>
    <t>C(mF)</t>
  </si>
  <si>
    <t>Vgridrms(V)</t>
  </si>
  <si>
    <t>MAX VOLTAGE RIPPLE(%)</t>
  </si>
  <si>
    <t>For given capacitances</t>
  </si>
  <si>
    <t>MAX CAP VOLTAGE(V)</t>
  </si>
  <si>
    <t>Inverter nominal apparent power(VA)</t>
  </si>
  <si>
    <t>Inverter Apparent Power (VA)</t>
  </si>
  <si>
    <t>Irms(A)</t>
  </si>
  <si>
    <t>Current sensor gain(V/A)</t>
  </si>
  <si>
    <t>ADC resolution</t>
  </si>
  <si>
    <t>ADC MAX</t>
  </si>
  <si>
    <t>Max current error (A)</t>
  </si>
  <si>
    <t>Allowable error(%/100)</t>
  </si>
  <si>
    <t>Test current(A)</t>
  </si>
  <si>
    <t>AND</t>
  </si>
  <si>
    <t>Vpv2(V)</t>
  </si>
  <si>
    <t>Hysterisis Controller Considerations</t>
  </si>
  <si>
    <t>MAX CURRENT RIPPLE(A)</t>
  </si>
  <si>
    <t>MinTest current(A)</t>
  </si>
  <si>
    <t>For a given current</t>
  </si>
  <si>
    <t>Imax(A)</t>
  </si>
  <si>
    <t xml:space="preserve"> </t>
  </si>
  <si>
    <t>Calculated MAX(A)</t>
  </si>
  <si>
    <t>ZthJC(K/W)</t>
  </si>
  <si>
    <t>(pour 100µS )</t>
  </si>
  <si>
    <t>L filter sizing: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</si>
</sst>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8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26080</xdr:colOff>
      <xdr:row>2</xdr:row>
      <xdr:rowOff>83820</xdr:rowOff>
    </xdr:from>
    <xdr:to>
      <xdr:col>17</xdr:col>
      <xdr:colOff>216484</xdr:colOff>
      <xdr:row>23</xdr:row>
      <xdr:rowOff>122744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2992C5-2524-4119-D0E9-81E977A98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880" y="449580"/>
          <a:ext cx="5737764" cy="3879404"/>
        </a:xfrm>
        <a:prstGeom prst="rect">
          <a:avLst/>
        </a:prstGeom>
      </xdr:spPr>
    </xdr:pic>
    <xdr:clientData/>
  </xdr:twoCellAnchor>
  <xdr:twoCellAnchor editAs="oneCell">
    <xdr:from>
      <xdr:col>6</xdr:col>
      <xdr:colOff>213360</xdr:colOff>
      <xdr:row>2</xdr:row>
      <xdr:rowOff>60960</xdr:rowOff>
    </xdr:from>
    <xdr:to>
      <xdr:col>10</xdr:col>
      <xdr:colOff>15240</xdr:colOff>
      <xdr:row>24</xdr:row>
      <xdr:rowOff>15240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C61AEA7-BEE5-0A16-BB42-70DA1F67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8240" y="426720"/>
          <a:ext cx="2971800" cy="397764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28</xdr:row>
      <xdr:rowOff>7620</xdr:rowOff>
    </xdr:from>
    <xdr:to>
      <xdr:col>11</xdr:col>
      <xdr:colOff>404461</xdr:colOff>
      <xdr:row>37</xdr:row>
      <xdr:rowOff>114545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2D98A32-C74C-A771-D1EC-60A7C7C18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5840" y="5128260"/>
          <a:ext cx="4305901" cy="1752845"/>
        </a:xfrm>
        <a:prstGeom prst="rect">
          <a:avLst/>
        </a:prstGeom>
      </xdr:spPr>
    </xdr:pic>
    <xdr:clientData/>
  </xdr:twoCellAnchor>
  <xdr:twoCellAnchor editAs="oneCell">
    <xdr:from>
      <xdr:col>5</xdr:col>
      <xdr:colOff>731520</xdr:colOff>
      <xdr:row>38</xdr:row>
      <xdr:rowOff>30480</xdr:rowOff>
    </xdr:from>
    <xdr:to>
      <xdr:col>11</xdr:col>
      <xdr:colOff>662940</xdr:colOff>
      <xdr:row>49</xdr:row>
      <xdr:rowOff>9803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F6BFA10-2371-6094-651E-1EEFA27C7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3920" y="6979920"/>
          <a:ext cx="4716780" cy="1991003"/>
        </a:xfrm>
        <a:prstGeom prst="rect">
          <a:avLst/>
        </a:prstGeom>
      </xdr:spPr>
    </xdr:pic>
    <xdr:clientData/>
  </xdr:twoCellAnchor>
  <xdr:twoCellAnchor editAs="oneCell">
    <xdr:from>
      <xdr:col>11</xdr:col>
      <xdr:colOff>739140</xdr:colOff>
      <xdr:row>29</xdr:row>
      <xdr:rowOff>60960</xdr:rowOff>
    </xdr:from>
    <xdr:to>
      <xdr:col>17</xdr:col>
      <xdr:colOff>271108</xdr:colOff>
      <xdr:row>36</xdr:row>
      <xdr:rowOff>133539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72229F2A-0EE8-86AB-9313-23EF7CA1A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6420" y="5364480"/>
          <a:ext cx="4286848" cy="1352739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</xdr:colOff>
      <xdr:row>49</xdr:row>
      <xdr:rowOff>15240</xdr:rowOff>
    </xdr:from>
    <xdr:to>
      <xdr:col>13</xdr:col>
      <xdr:colOff>450404</xdr:colOff>
      <xdr:row>68</xdr:row>
      <xdr:rowOff>103367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984FB35-5E54-40FB-AA64-2C4B26939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7760" y="8976360"/>
          <a:ext cx="5906324" cy="3562847"/>
        </a:xfrm>
        <a:prstGeom prst="rect">
          <a:avLst/>
        </a:prstGeom>
      </xdr:spPr>
    </xdr:pic>
    <xdr:clientData/>
  </xdr:twoCellAnchor>
  <xdr:twoCellAnchor editAs="oneCell">
    <xdr:from>
      <xdr:col>6</xdr:col>
      <xdr:colOff>198120</xdr:colOff>
      <xdr:row>69</xdr:row>
      <xdr:rowOff>137160</xdr:rowOff>
    </xdr:from>
    <xdr:to>
      <xdr:col>10</xdr:col>
      <xdr:colOff>28994</xdr:colOff>
      <xdr:row>71</xdr:row>
      <xdr:rowOff>123874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D7E3F08-50C5-E03B-CAC9-135BB329F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0" y="12755880"/>
          <a:ext cx="3000794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274320</xdr:colOff>
      <xdr:row>71</xdr:row>
      <xdr:rowOff>114300</xdr:rowOff>
    </xdr:from>
    <xdr:to>
      <xdr:col>11</xdr:col>
      <xdr:colOff>208189</xdr:colOff>
      <xdr:row>73</xdr:row>
      <xdr:rowOff>62909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19B9C31-2C30-FB5E-6C4A-36292259A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29200" y="13098780"/>
          <a:ext cx="3896269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73</xdr:row>
      <xdr:rowOff>53340</xdr:rowOff>
    </xdr:from>
    <xdr:to>
      <xdr:col>9</xdr:col>
      <xdr:colOff>127931</xdr:colOff>
      <xdr:row>75</xdr:row>
      <xdr:rowOff>11475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D61D6C3-8E00-2133-5F28-9B0C9D0F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35880" y="13403580"/>
          <a:ext cx="2124371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274320</xdr:colOff>
      <xdr:row>75</xdr:row>
      <xdr:rowOff>0</xdr:rowOff>
    </xdr:from>
    <xdr:to>
      <xdr:col>7</xdr:col>
      <xdr:colOff>301104</xdr:colOff>
      <xdr:row>75</xdr:row>
      <xdr:rowOff>514111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D29EFD7-F269-5785-B1EB-C025FB3F6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29200" y="13716000"/>
          <a:ext cx="819264" cy="514422"/>
        </a:xfrm>
        <a:prstGeom prst="rect">
          <a:avLst/>
        </a:prstGeom>
      </xdr:spPr>
    </xdr:pic>
    <xdr:clientData/>
  </xdr:twoCellAnchor>
  <xdr:twoCellAnchor editAs="oneCell">
    <xdr:from>
      <xdr:col>5</xdr:col>
      <xdr:colOff>636503</xdr:colOff>
      <xdr:row>75</xdr:row>
      <xdr:rowOff>735564</xdr:rowOff>
    </xdr:from>
    <xdr:to>
      <xdr:col>10</xdr:col>
      <xdr:colOff>176647</xdr:colOff>
      <xdr:row>75</xdr:row>
      <xdr:rowOff>1640174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665428C7-7B32-0120-D874-60FD264E3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64217" y="14731482"/>
          <a:ext cx="3536757" cy="904610"/>
        </a:xfrm>
        <a:prstGeom prst="rect">
          <a:avLst/>
        </a:prstGeom>
      </xdr:spPr>
    </xdr:pic>
    <xdr:clientData/>
  </xdr:twoCellAnchor>
  <xdr:twoCellAnchor editAs="oneCell">
    <xdr:from>
      <xdr:col>5</xdr:col>
      <xdr:colOff>778951</xdr:colOff>
      <xdr:row>77</xdr:row>
      <xdr:rowOff>54831</xdr:rowOff>
    </xdr:from>
    <xdr:to>
      <xdr:col>11</xdr:col>
      <xdr:colOff>461440</xdr:colOff>
      <xdr:row>79</xdr:row>
      <xdr:rowOff>59170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DFA87A0-DF59-E280-A63C-48F7C357D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83339" y="16064607"/>
          <a:ext cx="4433325" cy="377563"/>
        </a:xfrm>
        <a:prstGeom prst="rect">
          <a:avLst/>
        </a:prstGeom>
      </xdr:spPr>
    </xdr:pic>
    <xdr:clientData/>
  </xdr:twoCellAnchor>
  <xdr:twoCellAnchor editAs="oneCell">
    <xdr:from>
      <xdr:col>12</xdr:col>
      <xdr:colOff>160020</xdr:colOff>
      <xdr:row>39</xdr:row>
      <xdr:rowOff>37230</xdr:rowOff>
    </xdr:from>
    <xdr:to>
      <xdr:col>16</xdr:col>
      <xdr:colOff>400818</xdr:colOff>
      <xdr:row>52</xdr:row>
      <xdr:rowOff>78649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319CBA86-A3DE-8344-79BF-1E468BCB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692640" y="7169550"/>
          <a:ext cx="3380238" cy="2418859"/>
        </a:xfrm>
        <a:prstGeom prst="rect">
          <a:avLst/>
        </a:prstGeom>
      </xdr:spPr>
    </xdr:pic>
    <xdr:clientData/>
  </xdr:twoCellAnchor>
  <xdr:twoCellAnchor>
    <xdr:from>
      <xdr:col>4</xdr:col>
      <xdr:colOff>23327</xdr:colOff>
      <xdr:row>84</xdr:row>
      <xdr:rowOff>124408</xdr:rowOff>
    </xdr:from>
    <xdr:to>
      <xdr:col>4</xdr:col>
      <xdr:colOff>754225</xdr:colOff>
      <xdr:row>84</xdr:row>
      <xdr:rowOff>132184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14A6E999-386E-0798-187C-9AA48CA3E1D2}"/>
            </a:ext>
          </a:extLst>
        </xdr:cNvPr>
        <xdr:cNvCxnSpPr/>
      </xdr:nvCxnSpPr>
      <xdr:spPr>
        <a:xfrm flipV="1">
          <a:off x="3242388" y="17440469"/>
          <a:ext cx="730898" cy="77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762000</xdr:colOff>
      <xdr:row>37</xdr:row>
      <xdr:rowOff>26096</xdr:rowOff>
    </xdr:from>
    <xdr:to>
      <xdr:col>21</xdr:col>
      <xdr:colOff>734522</xdr:colOff>
      <xdr:row>38</xdr:row>
      <xdr:rowOff>175308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2101A6FA-E175-4C39-A075-E3076D7E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09760" y="6792656"/>
          <a:ext cx="7821122" cy="332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724594</xdr:colOff>
      <xdr:row>9</xdr:row>
      <xdr:rowOff>38791</xdr:rowOff>
    </xdr:from>
    <xdr:to>
      <xdr:col>25</xdr:col>
      <xdr:colOff>433154</xdr:colOff>
      <xdr:row>44</xdr:row>
      <xdr:rowOff>1579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1350896-D177-34D4-D7D2-0D193181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0230" y="1659773"/>
          <a:ext cx="7605651" cy="6266606"/>
        </a:xfrm>
        <a:prstGeom prst="rect">
          <a:avLst/>
        </a:prstGeom>
      </xdr:spPr>
    </xdr:pic>
    <xdr:clientData/>
  </xdr:twoCellAnchor>
  <xdr:twoCellAnchor editAs="oneCell">
    <xdr:from>
      <xdr:col>5</xdr:col>
      <xdr:colOff>637310</xdr:colOff>
      <xdr:row>0</xdr:row>
      <xdr:rowOff>27709</xdr:rowOff>
    </xdr:from>
    <xdr:to>
      <xdr:col>14</xdr:col>
      <xdr:colOff>74516</xdr:colOff>
      <xdr:row>44</xdr:row>
      <xdr:rowOff>171710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4D5DA28-B0D4-BA54-0FCA-641EFB6EA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5855" y="27709"/>
          <a:ext cx="6544588" cy="8068801"/>
        </a:xfrm>
        <a:prstGeom prst="rect">
          <a:avLst/>
        </a:prstGeom>
      </xdr:spPr>
    </xdr:pic>
    <xdr:clientData/>
  </xdr:twoCellAnchor>
  <xdr:twoCellAnchor>
    <xdr:from>
      <xdr:col>3</xdr:col>
      <xdr:colOff>678873</xdr:colOff>
      <xdr:row>3</xdr:row>
      <xdr:rowOff>110837</xdr:rowOff>
    </xdr:from>
    <xdr:to>
      <xdr:col>5</xdr:col>
      <xdr:colOff>554182</xdr:colOff>
      <xdr:row>3</xdr:row>
      <xdr:rowOff>124691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4681A86B-31E0-2871-760D-608529FB3D35}"/>
            </a:ext>
          </a:extLst>
        </xdr:cNvPr>
        <xdr:cNvCxnSpPr/>
      </xdr:nvCxnSpPr>
      <xdr:spPr>
        <a:xfrm>
          <a:off x="3048000" y="651164"/>
          <a:ext cx="1454727" cy="13854"/>
        </a:xfrm>
        <a:prstGeom prst="straightConnector1">
          <a:avLst/>
        </a:prstGeom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41563</xdr:colOff>
      <xdr:row>14</xdr:row>
      <xdr:rowOff>0</xdr:rowOff>
    </xdr:from>
    <xdr:to>
      <xdr:col>2</xdr:col>
      <xdr:colOff>706581</xdr:colOff>
      <xdr:row>14</xdr:row>
      <xdr:rowOff>13854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9DC9A44B-374E-4EC5-93F8-C8DA212CB4B3}"/>
            </a:ext>
          </a:extLst>
        </xdr:cNvPr>
        <xdr:cNvCxnSpPr/>
      </xdr:nvCxnSpPr>
      <xdr:spPr>
        <a:xfrm>
          <a:off x="831272" y="2521527"/>
          <a:ext cx="1454727" cy="13854"/>
        </a:xfrm>
        <a:prstGeom prst="straightConnector1">
          <a:avLst/>
        </a:prstGeom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195430</xdr:colOff>
      <xdr:row>7</xdr:row>
      <xdr:rowOff>67235</xdr:rowOff>
    </xdr:from>
    <xdr:to>
      <xdr:col>17</xdr:col>
      <xdr:colOff>392447</xdr:colOff>
      <xdr:row>19</xdr:row>
      <xdr:rowOff>25626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F0794B-63A8-4967-E1AB-A6A05768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0230" y="1322294"/>
          <a:ext cx="5719276" cy="2109920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24</xdr:row>
      <xdr:rowOff>0</xdr:rowOff>
    </xdr:from>
    <xdr:ext cx="1686160" cy="771633"/>
    <xdr:pic>
      <xdr:nvPicPr>
        <xdr:cNvPr id="6" name="Image 5">
          <a:extLst>
            <a:ext uri="{FF2B5EF4-FFF2-40B4-BE49-F238E27FC236}">
              <a16:creationId xmlns:a16="http://schemas.microsoft.com/office/drawing/2014/main" id="{80B356BA-2294-4831-B1B5-83AC654C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303059"/>
          <a:ext cx="1686160" cy="771633"/>
        </a:xfrm>
        <a:prstGeom prst="rect">
          <a:avLst/>
        </a:prstGeom>
      </xdr:spPr>
    </xdr:pic>
    <xdr:clientData/>
  </xdr:oneCellAnchor>
  <xdr:oneCellAnchor>
    <xdr:from>
      <xdr:col>12</xdr:col>
      <xdr:colOff>712538</xdr:colOff>
      <xdr:row>23</xdr:row>
      <xdr:rowOff>182686</xdr:rowOff>
    </xdr:from>
    <xdr:ext cx="1751927" cy="796906"/>
    <xdr:pic>
      <xdr:nvPicPr>
        <xdr:cNvPr id="7" name="Image 6">
          <a:extLst>
            <a:ext uri="{FF2B5EF4-FFF2-40B4-BE49-F238E27FC236}">
              <a16:creationId xmlns:a16="http://schemas.microsoft.com/office/drawing/2014/main" id="{1C4A219B-A9D9-4547-BD7C-6B6B1CD42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44862" y="4445767"/>
          <a:ext cx="1751927" cy="796906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30</xdr:row>
      <xdr:rowOff>0</xdr:rowOff>
    </xdr:from>
    <xdr:to>
      <xdr:col>14</xdr:col>
      <xdr:colOff>188166</xdr:colOff>
      <xdr:row>33</xdr:row>
      <xdr:rowOff>5119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B175182-C658-D37C-B14E-CCAE08390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5378824"/>
          <a:ext cx="3343742" cy="543001"/>
        </a:xfrm>
        <a:prstGeom prst="rect">
          <a:avLst/>
        </a:prstGeom>
      </xdr:spPr>
    </xdr:pic>
    <xdr:clientData/>
  </xdr:twoCellAnchor>
  <xdr:twoCellAnchor editAs="oneCell">
    <xdr:from>
      <xdr:col>9</xdr:col>
      <xdr:colOff>696686</xdr:colOff>
      <xdr:row>40</xdr:row>
      <xdr:rowOff>152839</xdr:rowOff>
    </xdr:from>
    <xdr:to>
      <xdr:col>14</xdr:col>
      <xdr:colOff>83465</xdr:colOff>
      <xdr:row>47</xdr:row>
      <xdr:rowOff>13397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6A2D282-8568-F287-985F-D14C3514D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94172" y="7555125"/>
          <a:ext cx="3305636" cy="1155958"/>
        </a:xfrm>
        <a:prstGeom prst="rect">
          <a:avLst/>
        </a:prstGeom>
      </xdr:spPr>
    </xdr:pic>
    <xdr:clientData/>
  </xdr:twoCellAnchor>
  <xdr:twoCellAnchor editAs="oneCell">
    <xdr:from>
      <xdr:col>10</xdr:col>
      <xdr:colOff>432486</xdr:colOff>
      <xdr:row>50</xdr:row>
      <xdr:rowOff>10297</xdr:rowOff>
    </xdr:from>
    <xdr:to>
      <xdr:col>16</xdr:col>
      <xdr:colOff>147609</xdr:colOff>
      <xdr:row>60</xdr:row>
      <xdr:rowOff>14418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DD1778-BD28-8CB9-93D2-72EF291F8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99621" y="9277865"/>
          <a:ext cx="4410691" cy="1857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102972</xdr:colOff>
      <xdr:row>57</xdr:row>
      <xdr:rowOff>164756</xdr:rowOff>
    </xdr:from>
    <xdr:to>
      <xdr:col>15</xdr:col>
      <xdr:colOff>383020</xdr:colOff>
      <xdr:row>62</xdr:row>
      <xdr:rowOff>152527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1EA35C5-8D16-8189-C91A-2ED52B6D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52702" y="10729783"/>
          <a:ext cx="3410426" cy="914528"/>
        </a:xfrm>
        <a:prstGeom prst="rect">
          <a:avLst/>
        </a:prstGeom>
      </xdr:spPr>
    </xdr:pic>
    <xdr:clientData/>
  </xdr:twoCellAnchor>
  <xdr:oneCellAnchor>
    <xdr:from>
      <xdr:col>17</xdr:col>
      <xdr:colOff>700216</xdr:colOff>
      <xdr:row>50</xdr:row>
      <xdr:rowOff>10297</xdr:rowOff>
    </xdr:from>
    <xdr:ext cx="1751927" cy="796906"/>
    <xdr:pic>
      <xdr:nvPicPr>
        <xdr:cNvPr id="9" name="Image 8">
          <a:extLst>
            <a:ext uri="{FF2B5EF4-FFF2-40B4-BE49-F238E27FC236}">
              <a16:creationId xmlns:a16="http://schemas.microsoft.com/office/drawing/2014/main" id="{C6DC6931-73A0-460E-AAC9-D29068395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45513" y="9277865"/>
          <a:ext cx="1751927" cy="7969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22</xdr:row>
      <xdr:rowOff>108672</xdr:rowOff>
    </xdr:from>
    <xdr:to>
      <xdr:col>10</xdr:col>
      <xdr:colOff>665956</xdr:colOff>
      <xdr:row>45</xdr:row>
      <xdr:rowOff>32864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69024F-EE8E-4172-BB0C-C29B034C2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218" y="4132032"/>
          <a:ext cx="8230538" cy="4130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399011</xdr:colOff>
      <xdr:row>21</xdr:row>
      <xdr:rowOff>27038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8BB3C00-F826-41FC-8ABB-CFB7F0C9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16291" cy="386751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rap.warwick.ac.uk/id/eprint/97179/7/WRAP-switching-current-ripple-calculation-passive-Zabihi-2018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4411-72E1-411D-97B0-D608349FB507}">
  <dimension ref="A4:Z85"/>
  <sheetViews>
    <sheetView topLeftCell="A37" zoomScale="55" zoomScaleNormal="55" workbookViewId="0">
      <selection activeCell="S67" sqref="S67"/>
    </sheetView>
  </sheetViews>
  <sheetFormatPr baseColWidth="10" defaultColWidth="11.44140625" defaultRowHeight="14.4" x14ac:dyDescent="0.3"/>
  <cols>
    <col min="1" max="2" width="12" bestFit="1" customWidth="1"/>
    <col min="6" max="6" width="12" bestFit="1" customWidth="1"/>
  </cols>
  <sheetData>
    <row r="4" spans="1:26" x14ac:dyDescent="0.3">
      <c r="V4" s="4" t="s">
        <v>98</v>
      </c>
      <c r="W4" s="4"/>
      <c r="X4" s="4"/>
    </row>
    <row r="5" spans="1:26" x14ac:dyDescent="0.3">
      <c r="A5" s="4" t="s">
        <v>0</v>
      </c>
    </row>
    <row r="6" spans="1:26" x14ac:dyDescent="0.3">
      <c r="A6" s="11" t="s">
        <v>1</v>
      </c>
      <c r="B6" s="11" t="s">
        <v>2</v>
      </c>
      <c r="C6" t="s">
        <v>3</v>
      </c>
      <c r="D6" t="s">
        <v>4</v>
      </c>
      <c r="F6" t="s">
        <v>5</v>
      </c>
      <c r="V6" t="s">
        <v>102</v>
      </c>
      <c r="W6" t="s">
        <v>103</v>
      </c>
      <c r="X6" t="s">
        <v>100</v>
      </c>
      <c r="Y6" t="s">
        <v>99</v>
      </c>
      <c r="Z6" t="s">
        <v>101</v>
      </c>
    </row>
    <row r="7" spans="1:26" x14ac:dyDescent="0.3">
      <c r="A7" s="11">
        <v>62</v>
      </c>
      <c r="B7" s="11">
        <v>0.5</v>
      </c>
      <c r="C7">
        <v>2.5</v>
      </c>
      <c r="D7">
        <f>E11/(A11*D11)</f>
        <v>0.91650438810844737</v>
      </c>
      <c r="F7">
        <f>RthSA_K_W</f>
        <v>6.6389556160714278</v>
      </c>
      <c r="V7">
        <v>6.36</v>
      </c>
      <c r="W7">
        <f>V7*SQRT(2)</f>
        <v>8.994398256692886</v>
      </c>
      <c r="X7">
        <f>((V7/SQRT(2))^2)*B73</f>
        <v>5.4606959999999996</v>
      </c>
      <c r="Y7">
        <f>0.5*A63*W7*(C58+D58)*E58</f>
        <v>0.20264016989971198</v>
      </c>
      <c r="Z7">
        <f>X7+Y7</f>
        <v>5.6633361698997113</v>
      </c>
    </row>
    <row r="9" spans="1:26" x14ac:dyDescent="0.3">
      <c r="V9" s="8" t="s">
        <v>110</v>
      </c>
      <c r="W9" s="8"/>
      <c r="X9" s="8"/>
    </row>
    <row r="10" spans="1:26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V10" s="8">
        <f>V7*A67</f>
        <v>318</v>
      </c>
      <c r="W10" s="8"/>
      <c r="X10" s="8"/>
      <c r="Y10" t="s">
        <v>126</v>
      </c>
    </row>
    <row r="11" spans="1:26" x14ac:dyDescent="0.3">
      <c r="A11">
        <f>K__W_m.K</f>
        <v>0.7</v>
      </c>
      <c r="B11">
        <f>(10.04+10.51)/2000</f>
        <v>1.0274999999999999E-2</v>
      </c>
      <c r="C11">
        <f>(14.85+15.49)/2000</f>
        <v>1.5169999999999999E-2</v>
      </c>
      <c r="D11">
        <f>B11*C11</f>
        <v>1.5587174999999998E-4</v>
      </c>
      <c r="E11">
        <f>0.1/1000</f>
        <v>1E-4</v>
      </c>
      <c r="F11" t="s">
        <v>12</v>
      </c>
    </row>
    <row r="13" spans="1:26" x14ac:dyDescent="0.3">
      <c r="A13" t="s">
        <v>13</v>
      </c>
    </row>
    <row r="15" spans="1:26" x14ac:dyDescent="0.3">
      <c r="V15" s="4"/>
      <c r="W15" s="4"/>
      <c r="X15" s="4"/>
      <c r="Y15" s="4"/>
    </row>
    <row r="16" spans="1:26" x14ac:dyDescent="0.3">
      <c r="A16" t="s">
        <v>14</v>
      </c>
      <c r="B16" t="s">
        <v>15</v>
      </c>
      <c r="C16" t="s">
        <v>16</v>
      </c>
      <c r="D16" s="3" t="s">
        <v>17</v>
      </c>
    </row>
    <row r="17" spans="1:15" x14ac:dyDescent="0.3">
      <c r="A17">
        <f>C7+D7+F7</f>
        <v>10.055460004179874</v>
      </c>
      <c r="B17">
        <v>25</v>
      </c>
      <c r="C17">
        <v>175</v>
      </c>
      <c r="D17" s="3">
        <f>(C17-B17)/A17</f>
        <v>14.917268820884146</v>
      </c>
    </row>
    <row r="20" spans="1:15" x14ac:dyDescent="0.3">
      <c r="A20" s="5" t="s">
        <v>128</v>
      </c>
      <c r="B20" s="5" t="s">
        <v>129</v>
      </c>
      <c r="C20" s="5"/>
    </row>
    <row r="21" spans="1:15" x14ac:dyDescent="0.3">
      <c r="A21" s="5">
        <f>1.5</f>
        <v>1.5</v>
      </c>
      <c r="B21" s="5"/>
      <c r="C21" s="5"/>
    </row>
    <row r="25" spans="1:15" x14ac:dyDescent="0.3">
      <c r="G25" t="s">
        <v>20</v>
      </c>
    </row>
    <row r="26" spans="1:15" x14ac:dyDescent="0.3">
      <c r="G26" t="s">
        <v>18</v>
      </c>
      <c r="H26" t="s">
        <v>19</v>
      </c>
      <c r="M26" t="s">
        <v>96</v>
      </c>
      <c r="O26" t="s">
        <v>97</v>
      </c>
    </row>
    <row r="27" spans="1:15" x14ac:dyDescent="0.3">
      <c r="G27" t="s">
        <v>21</v>
      </c>
      <c r="H27" t="s">
        <v>22</v>
      </c>
    </row>
    <row r="28" spans="1:15" x14ac:dyDescent="0.3">
      <c r="G28" t="s">
        <v>23</v>
      </c>
    </row>
    <row r="52" spans="1:6" x14ac:dyDescent="0.3">
      <c r="A52" t="s">
        <v>24</v>
      </c>
    </row>
    <row r="53" spans="1:6" x14ac:dyDescent="0.3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</row>
    <row r="54" spans="1:6" x14ac:dyDescent="0.3">
      <c r="A54">
        <v>10</v>
      </c>
      <c r="B54">
        <v>4</v>
      </c>
      <c r="C54">
        <v>10</v>
      </c>
      <c r="D54">
        <v>7</v>
      </c>
      <c r="E54">
        <f>360/(10^12)</f>
        <v>3.6E-10</v>
      </c>
      <c r="F54">
        <f>16*10^-9</f>
        <v>1.6000000000000001E-8</v>
      </c>
    </row>
    <row r="55" spans="1:6" x14ac:dyDescent="0.3">
      <c r="F55" t="s">
        <v>31</v>
      </c>
    </row>
    <row r="56" spans="1:6" x14ac:dyDescent="0.3">
      <c r="F56">
        <f>7.7*10^-9</f>
        <v>7.7000000000000011E-9</v>
      </c>
    </row>
    <row r="57" spans="1:6" x14ac:dyDescent="0.3">
      <c r="A57" t="s">
        <v>32</v>
      </c>
      <c r="B57" t="s">
        <v>33</v>
      </c>
      <c r="C57" t="s">
        <v>34</v>
      </c>
      <c r="D57" t="s">
        <v>35</v>
      </c>
      <c r="E57" t="s">
        <v>36</v>
      </c>
    </row>
    <row r="58" spans="1:6" x14ac:dyDescent="0.3">
      <c r="A58">
        <f>A54*E54*LN((C54-B54)/(C54-D54))</f>
        <v>2.4953298500158031E-9</v>
      </c>
      <c r="B58">
        <f>A54*F56/(C54-D54)</f>
        <v>2.5666666666666672E-8</v>
      </c>
      <c r="C58">
        <f>A58+B58</f>
        <v>2.8161996516682474E-8</v>
      </c>
      <c r="D58">
        <f>C58</f>
        <v>2.8161996516682474E-8</v>
      </c>
      <c r="E58">
        <v>10000</v>
      </c>
    </row>
    <row r="62" spans="1:6" x14ac:dyDescent="0.3">
      <c r="A62" t="s">
        <v>37</v>
      </c>
      <c r="B62" t="s">
        <v>38</v>
      </c>
      <c r="C62" t="s">
        <v>39</v>
      </c>
      <c r="E62" s="3" t="s">
        <v>40</v>
      </c>
    </row>
    <row r="63" spans="1:6" x14ac:dyDescent="0.3">
      <c r="A63">
        <v>80</v>
      </c>
      <c r="B63">
        <f>SQRT(2)*A73</f>
        <v>14.700004355614235</v>
      </c>
      <c r="C63">
        <f>0.5*A63*B63*(C58+D58)*E58</f>
        <v>0.33118517716642021</v>
      </c>
      <c r="E63" s="3">
        <f>C63+C73</f>
        <v>14.917268820884146</v>
      </c>
    </row>
    <row r="64" spans="1:6" x14ac:dyDescent="0.3">
      <c r="A64" s="1" t="s">
        <v>95</v>
      </c>
      <c r="B64" s="1"/>
      <c r="C64" s="5" t="s">
        <v>127</v>
      </c>
      <c r="D64" s="5"/>
    </row>
    <row r="65" spans="1:7" x14ac:dyDescent="0.3">
      <c r="A65" s="1">
        <v>20</v>
      </c>
      <c r="B65" s="1"/>
      <c r="C65" s="5">
        <f>SQRT((C17-B17)/((A21+D7+F7)*Rds_on))</f>
        <v>7.8326458237968852</v>
      </c>
      <c r="D65" s="5"/>
    </row>
    <row r="66" spans="1:7" x14ac:dyDescent="0.3">
      <c r="A66" t="s">
        <v>106</v>
      </c>
    </row>
    <row r="67" spans="1:7" x14ac:dyDescent="0.3">
      <c r="A67">
        <v>50</v>
      </c>
    </row>
    <row r="68" spans="1:7" x14ac:dyDescent="0.3">
      <c r="A68" t="s">
        <v>41</v>
      </c>
      <c r="B68" t="s">
        <v>42</v>
      </c>
      <c r="C68" t="s">
        <v>43</v>
      </c>
      <c r="D68" t="s">
        <v>44</v>
      </c>
      <c r="E68" t="s">
        <v>45</v>
      </c>
      <c r="F68" t="s">
        <v>46</v>
      </c>
    </row>
    <row r="69" spans="1:7" x14ac:dyDescent="0.3">
      <c r="A69">
        <f>B73/2</f>
        <v>0.13500000000000001</v>
      </c>
      <c r="B69">
        <f>A63*(C58+D58)*E58*SQRT(2)/2</f>
        <v>3.1861661933916978E-2</v>
      </c>
      <c r="C69">
        <f>-D17</f>
        <v>-14.917268820884146</v>
      </c>
      <c r="D69">
        <f>B_^2-4*A_*C_</f>
        <v>8.0563403287786315</v>
      </c>
      <c r="E69">
        <f>(-B_-SQRT(D69))/(2*A_)</f>
        <v>-10.630485073948217</v>
      </c>
      <c r="F69">
        <f>(-B_+SQRT(D69))/(2*A_)</f>
        <v>10.394472763326609</v>
      </c>
    </row>
    <row r="71" spans="1:7" x14ac:dyDescent="0.3">
      <c r="E71" s="8" t="s">
        <v>83</v>
      </c>
      <c r="F71" s="8"/>
    </row>
    <row r="72" spans="1:7" x14ac:dyDescent="0.3">
      <c r="A72" s="3" t="s">
        <v>47</v>
      </c>
      <c r="B72" t="s">
        <v>48</v>
      </c>
      <c r="C72" t="s">
        <v>49</v>
      </c>
      <c r="E72" s="8" t="s">
        <v>84</v>
      </c>
      <c r="F72" s="8"/>
    </row>
    <row r="73" spans="1:7" x14ac:dyDescent="0.3">
      <c r="A73" s="3">
        <f>MAX(E69:F69)</f>
        <v>10.394472763326609</v>
      </c>
      <c r="B73">
        <v>0.27</v>
      </c>
      <c r="C73">
        <f>((A73/SQRT(2))^2)*B73</f>
        <v>14.586083643717727</v>
      </c>
      <c r="E73" s="8">
        <f>A73*A67</f>
        <v>519.72363816633049</v>
      </c>
      <c r="F73" s="8"/>
    </row>
    <row r="74" spans="1:7" x14ac:dyDescent="0.3">
      <c r="A74" s="1" t="s">
        <v>95</v>
      </c>
      <c r="B74" s="1"/>
    </row>
    <row r="75" spans="1:7" x14ac:dyDescent="0.3">
      <c r="A75" s="1">
        <v>9.1999999999999993</v>
      </c>
      <c r="B75" s="1"/>
    </row>
    <row r="76" spans="1:7" ht="144" x14ac:dyDescent="0.3">
      <c r="A76" s="4" t="s">
        <v>50</v>
      </c>
      <c r="B76" s="2" t="s">
        <v>85</v>
      </c>
    </row>
    <row r="77" spans="1:7" x14ac:dyDescent="0.3">
      <c r="G77" t="s">
        <v>54</v>
      </c>
    </row>
    <row r="79" spans="1:7" x14ac:dyDescent="0.3">
      <c r="B79" t="s">
        <v>52</v>
      </c>
      <c r="C79" t="s">
        <v>52</v>
      </c>
    </row>
    <row r="80" spans="1:7" x14ac:dyDescent="0.3">
      <c r="B80">
        <v>10</v>
      </c>
      <c r="C80">
        <v>50</v>
      </c>
    </row>
    <row r="81" spans="1:6" x14ac:dyDescent="0.3">
      <c r="A81" t="s">
        <v>51</v>
      </c>
      <c r="B81" t="s">
        <v>53</v>
      </c>
      <c r="C81" s="9" t="s">
        <v>53</v>
      </c>
      <c r="D81" s="9"/>
    </row>
    <row r="82" spans="1:6" x14ac:dyDescent="0.3">
      <c r="A82">
        <v>1.1000000000000001</v>
      </c>
      <c r="B82">
        <f>A82*B63*B80/100</f>
        <v>1.6170004791175661</v>
      </c>
      <c r="C82" s="9">
        <f>A82*B63*C80/100</f>
        <v>8.0850023955878303</v>
      </c>
      <c r="D82" s="9"/>
    </row>
    <row r="84" spans="1:6" x14ac:dyDescent="0.3">
      <c r="A84" t="s">
        <v>55</v>
      </c>
      <c r="B84" t="s">
        <v>56</v>
      </c>
      <c r="C84" t="s">
        <v>57</v>
      </c>
      <c r="D84" t="s">
        <v>58</v>
      </c>
      <c r="F84" s="9" t="s">
        <v>87</v>
      </c>
    </row>
    <row r="85" spans="1:6" x14ac:dyDescent="0.3">
      <c r="A85">
        <v>50</v>
      </c>
      <c r="B85">
        <v>150</v>
      </c>
      <c r="C85">
        <v>25</v>
      </c>
      <c r="D85">
        <f>(B85-C85)/A85</f>
        <v>2.5</v>
      </c>
      <c r="F85" s="9">
        <f>D85*100/(A82*Ipulsemax_A)</f>
        <v>15.460725165426709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3BD3-FDD9-4025-9B19-605FB166AC52}">
  <dimension ref="A1:Q15"/>
  <sheetViews>
    <sheetView zoomScale="55" zoomScaleNormal="55" workbookViewId="0">
      <selection activeCell="A15" sqref="A15"/>
    </sheetView>
  </sheetViews>
  <sheetFormatPr baseColWidth="10" defaultRowHeight="14.4" x14ac:dyDescent="0.3"/>
  <sheetData>
    <row r="1" spans="1:17" x14ac:dyDescent="0.3">
      <c r="A1" s="10" t="s">
        <v>88</v>
      </c>
      <c r="B1" s="10"/>
    </row>
    <row r="4" spans="1:17" x14ac:dyDescent="0.3">
      <c r="A4" t="s">
        <v>92</v>
      </c>
    </row>
    <row r="5" spans="1:17" x14ac:dyDescent="0.3">
      <c r="A5" t="s">
        <v>5</v>
      </c>
      <c r="B5" t="s">
        <v>89</v>
      </c>
      <c r="C5" t="s">
        <v>91</v>
      </c>
      <c r="D5" t="s">
        <v>90</v>
      </c>
    </row>
    <row r="6" spans="1:17" x14ac:dyDescent="0.3">
      <c r="A6">
        <v>5.5</v>
      </c>
      <c r="B6">
        <v>12.7</v>
      </c>
      <c r="C6">
        <v>38.1</v>
      </c>
      <c r="D6">
        <v>41.91</v>
      </c>
    </row>
    <row r="7" spans="1:17" x14ac:dyDescent="0.3">
      <c r="Q7" t="s">
        <v>6</v>
      </c>
    </row>
    <row r="8" spans="1:17" x14ac:dyDescent="0.3">
      <c r="Q8">
        <v>0.7</v>
      </c>
    </row>
    <row r="9" spans="1:17" x14ac:dyDescent="0.3">
      <c r="A9" t="s">
        <v>93</v>
      </c>
    </row>
    <row r="10" spans="1:17" x14ac:dyDescent="0.3">
      <c r="B10" t="s">
        <v>89</v>
      </c>
      <c r="C10" t="s">
        <v>91</v>
      </c>
      <c r="D10" t="s">
        <v>90</v>
      </c>
    </row>
    <row r="11" spans="1:17" x14ac:dyDescent="0.3">
      <c r="B11">
        <v>35</v>
      </c>
      <c r="C11">
        <v>48</v>
      </c>
      <c r="D11">
        <v>12</v>
      </c>
    </row>
    <row r="14" spans="1:17" x14ac:dyDescent="0.3">
      <c r="A14" t="s">
        <v>5</v>
      </c>
      <c r="D14" t="s">
        <v>94</v>
      </c>
      <c r="E14" t="s">
        <v>5</v>
      </c>
    </row>
    <row r="15" spans="1:17" x14ac:dyDescent="0.3">
      <c r="A15">
        <f>A6*B6*C6*D6/(B11*C11*D11)</f>
        <v>5.5324630133928565</v>
      </c>
      <c r="D15">
        <v>1.2</v>
      </c>
      <c r="E15">
        <f>A15*D15</f>
        <v>6.6389556160714278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FAA3-BCAC-4DA7-B88B-800029F8EDC1}">
  <dimension ref="B2:S64"/>
  <sheetViews>
    <sheetView zoomScale="40" zoomScaleNormal="40" workbookViewId="0">
      <selection activeCell="I11" sqref="I11"/>
    </sheetView>
  </sheetViews>
  <sheetFormatPr baseColWidth="10" defaultColWidth="11.44140625" defaultRowHeight="14.4" x14ac:dyDescent="0.3"/>
  <cols>
    <col min="3" max="3" width="12" bestFit="1" customWidth="1"/>
  </cols>
  <sheetData>
    <row r="2" spans="2:18" x14ac:dyDescent="0.3">
      <c r="B2" s="4" t="s">
        <v>59</v>
      </c>
    </row>
    <row r="3" spans="2:18" x14ac:dyDescent="0.3">
      <c r="E3" s="4" t="s">
        <v>68</v>
      </c>
    </row>
    <row r="4" spans="2:18" x14ac:dyDescent="0.3">
      <c r="B4" t="s">
        <v>67</v>
      </c>
      <c r="C4" t="s">
        <v>72</v>
      </c>
    </row>
    <row r="5" spans="2:18" x14ac:dyDescent="0.3">
      <c r="B5">
        <v>50</v>
      </c>
      <c r="C5">
        <f>Rds_on*2</f>
        <v>0.54</v>
      </c>
    </row>
    <row r="6" spans="2:18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3">
      <c r="B7" s="4" t="s">
        <v>60</v>
      </c>
      <c r="C7" s="4"/>
    </row>
    <row r="9" spans="2:18" x14ac:dyDescent="0.3">
      <c r="B9" t="s">
        <v>61</v>
      </c>
      <c r="D9" t="s">
        <v>62</v>
      </c>
      <c r="F9" t="s">
        <v>63</v>
      </c>
    </row>
    <row r="10" spans="2:18" x14ac:dyDescent="0.3">
      <c r="B10">
        <v>0.1</v>
      </c>
      <c r="D10">
        <v>5</v>
      </c>
      <c r="F10">
        <v>0.5</v>
      </c>
    </row>
    <row r="13" spans="2:18" x14ac:dyDescent="0.3">
      <c r="B13" s="3" t="s">
        <v>64</v>
      </c>
      <c r="C13" s="3" t="s">
        <v>65</v>
      </c>
      <c r="D13" t="s">
        <v>66</v>
      </c>
      <c r="G13" t="s">
        <v>80</v>
      </c>
    </row>
    <row r="14" spans="2:18" x14ac:dyDescent="0.3">
      <c r="B14" s="3">
        <f>(2*(1-F10)*F10*Vpv_V)/(B10*Ipulsemax_A*fc_Hz)</f>
        <v>2.7210876291151012E-3</v>
      </c>
      <c r="C14" s="3">
        <f>(B10*Ipulsemax_A)/(8*fc_Hz*D10)</f>
        <v>3.6750010889035589E-6</v>
      </c>
      <c r="D14">
        <f>1/(2*PI()*SQRT(B14*C14))</f>
        <v>1591.5494309189535</v>
      </c>
    </row>
    <row r="15" spans="2:18" x14ac:dyDescent="0.3">
      <c r="B15" t="s">
        <v>82</v>
      </c>
    </row>
    <row r="16" spans="2:18" x14ac:dyDescent="0.3">
      <c r="B16">
        <f>B14*1000</f>
        <v>2.7210876291151012</v>
      </c>
    </row>
    <row r="18" spans="2:19" x14ac:dyDescent="0.3">
      <c r="B18" t="s">
        <v>73</v>
      </c>
      <c r="D18" s="4" t="s">
        <v>86</v>
      </c>
    </row>
    <row r="19" spans="2:19" x14ac:dyDescent="0.3">
      <c r="B19" t="s">
        <v>69</v>
      </c>
      <c r="C19" t="s">
        <v>70</v>
      </c>
      <c r="D19" t="s">
        <v>71</v>
      </c>
    </row>
    <row r="20" spans="2:19" x14ac:dyDescent="0.3">
      <c r="B20">
        <f>2*PI()*B14*f_Hz</f>
        <v>0.85485489054020691</v>
      </c>
      <c r="C20">
        <f>B20/C5</f>
        <v>1.5830646121114942</v>
      </c>
      <c r="D20">
        <f>(50^2)/B20</f>
        <v>2924.4729458354968</v>
      </c>
    </row>
    <row r="21" spans="2:19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x14ac:dyDescent="0.3">
      <c r="B22" s="4" t="s">
        <v>130</v>
      </c>
      <c r="C22" s="4"/>
      <c r="K22" s="6" t="s">
        <v>74</v>
      </c>
    </row>
    <row r="23" spans="2:19" x14ac:dyDescent="0.3">
      <c r="F23" t="s">
        <v>81</v>
      </c>
    </row>
    <row r="24" spans="2:19" x14ac:dyDescent="0.3">
      <c r="B24" t="s">
        <v>61</v>
      </c>
      <c r="K24" t="s">
        <v>75</v>
      </c>
      <c r="N24" t="s">
        <v>76</v>
      </c>
    </row>
    <row r="25" spans="2:19" x14ac:dyDescent="0.3">
      <c r="B25">
        <v>0.1</v>
      </c>
    </row>
    <row r="27" spans="2:19" x14ac:dyDescent="0.3">
      <c r="B27" s="3" t="s">
        <v>64</v>
      </c>
      <c r="C27" t="s">
        <v>82</v>
      </c>
    </row>
    <row r="28" spans="2:19" x14ac:dyDescent="0.3">
      <c r="B28" s="3">
        <f>(Vpv_V*2)/(2*B25*Ipulsemax_A*fc_Hz)</f>
        <v>5.4421752582302025E-3</v>
      </c>
      <c r="C28">
        <f>B28*1000</f>
        <v>5.4421752582302023</v>
      </c>
    </row>
    <row r="29" spans="2:19" x14ac:dyDescent="0.3">
      <c r="B29" t="s">
        <v>73</v>
      </c>
      <c r="D29" s="4" t="s">
        <v>86</v>
      </c>
    </row>
    <row r="30" spans="2:19" x14ac:dyDescent="0.3">
      <c r="B30" t="s">
        <v>69</v>
      </c>
      <c r="C30" t="s">
        <v>70</v>
      </c>
      <c r="D30" t="s">
        <v>71</v>
      </c>
      <c r="K30" t="s">
        <v>77</v>
      </c>
    </row>
    <row r="31" spans="2:19" x14ac:dyDescent="0.3">
      <c r="B31">
        <f>2*PI()*B28*f_Hz</f>
        <v>1.7097097810804138</v>
      </c>
      <c r="C31">
        <f>B31/Rtransistors__ohms</f>
        <v>3.1661292242229884</v>
      </c>
      <c r="D31">
        <f>(50^2)/B31</f>
        <v>1462.2364729177484</v>
      </c>
    </row>
    <row r="35" spans="2:19" x14ac:dyDescent="0.3">
      <c r="K35" t="s">
        <v>78</v>
      </c>
    </row>
    <row r="36" spans="2:19" x14ac:dyDescent="0.3">
      <c r="K36" t="s">
        <v>79</v>
      </c>
    </row>
    <row r="38" spans="2:19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 x14ac:dyDescent="0.3">
      <c r="B39" s="4" t="s">
        <v>104</v>
      </c>
      <c r="C39" s="4"/>
      <c r="E39" s="4" t="s">
        <v>108</v>
      </c>
      <c r="F39" s="4"/>
      <c r="P39" s="4" t="s">
        <v>124</v>
      </c>
    </row>
    <row r="41" spans="2:19" x14ac:dyDescent="0.3">
      <c r="B41" t="s">
        <v>107</v>
      </c>
      <c r="E41" t="s">
        <v>107</v>
      </c>
      <c r="G41" s="3" t="s">
        <v>38</v>
      </c>
      <c r="H41" s="1" t="s">
        <v>109</v>
      </c>
      <c r="I41" s="1"/>
      <c r="P41" t="s">
        <v>65</v>
      </c>
      <c r="Q41" t="s">
        <v>125</v>
      </c>
      <c r="R41" s="3" t="s">
        <v>62</v>
      </c>
      <c r="S41" s="3"/>
    </row>
    <row r="42" spans="2:19" x14ac:dyDescent="0.3">
      <c r="B42">
        <v>0.1</v>
      </c>
      <c r="E42">
        <v>0.1</v>
      </c>
      <c r="G42" s="3">
        <f>E42*(Vpv_V/2)*2*E45*f_Hz*PI()</f>
        <v>5.9061941887488114</v>
      </c>
      <c r="H42" s="1">
        <f>B48</f>
        <v>40</v>
      </c>
      <c r="I42" s="1"/>
      <c r="P42">
        <v>1.176373E-2</v>
      </c>
      <c r="Q42">
        <v>9</v>
      </c>
      <c r="R42" s="3">
        <f>Q42/((2*P42)*f_Hz*PI())</f>
        <v>2.4352726351710863</v>
      </c>
      <c r="S42" s="3"/>
    </row>
    <row r="44" spans="2:19" x14ac:dyDescent="0.3">
      <c r="B44" s="3" t="s">
        <v>65</v>
      </c>
      <c r="C44" t="s">
        <v>105</v>
      </c>
      <c r="E44" t="s">
        <v>65</v>
      </c>
      <c r="G44" s="3" t="s">
        <v>112</v>
      </c>
      <c r="H44" s="8" t="s">
        <v>111</v>
      </c>
      <c r="I44" s="8"/>
    </row>
    <row r="45" spans="2:19" x14ac:dyDescent="0.3">
      <c r="B45" s="3">
        <f>Ipulsemax_A/(2*B42*(Vpv2_V)*PI()*f_Hz)</f>
        <v>1.1697891783341985E-2</v>
      </c>
      <c r="C45">
        <f>B45*1000</f>
        <v>11.697891783341985</v>
      </c>
      <c r="E45">
        <v>4.7000000000000002E-3</v>
      </c>
      <c r="G45" s="3">
        <f>G42*SQRT(2)</f>
        <v>8.3526199237377288</v>
      </c>
      <c r="H45" s="8">
        <f>H42*G45/SQRT(2)</f>
        <v>236.24776754995244</v>
      </c>
      <c r="I45" s="8"/>
    </row>
    <row r="46" spans="2:19" x14ac:dyDescent="0.3">
      <c r="K46" s="6"/>
    </row>
    <row r="47" spans="2:19" x14ac:dyDescent="0.3">
      <c r="B47" t="s">
        <v>120</v>
      </c>
    </row>
    <row r="48" spans="2:19" x14ac:dyDescent="0.3">
      <c r="B48">
        <f>40</f>
        <v>40</v>
      </c>
    </row>
    <row r="49" spans="2:19" x14ac:dyDescent="0.3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 x14ac:dyDescent="0.3">
      <c r="B50" s="4" t="s">
        <v>121</v>
      </c>
    </row>
    <row r="51" spans="2:19" x14ac:dyDescent="0.3">
      <c r="B51" t="s">
        <v>113</v>
      </c>
      <c r="D51" t="s">
        <v>115</v>
      </c>
      <c r="E51" t="s">
        <v>114</v>
      </c>
      <c r="F51" t="s">
        <v>116</v>
      </c>
      <c r="H51" t="s">
        <v>117</v>
      </c>
      <c r="R51" t="s">
        <v>119</v>
      </c>
    </row>
    <row r="52" spans="2:19" x14ac:dyDescent="0.3">
      <c r="B52">
        <v>0.18</v>
      </c>
      <c r="D52">
        <v>1024</v>
      </c>
      <c r="E52">
        <f>5/D52</f>
        <v>4.8828125E-3</v>
      </c>
      <c r="F52">
        <f>E52/B52</f>
        <v>2.7126736111111112E-2</v>
      </c>
      <c r="H52">
        <v>0.1</v>
      </c>
    </row>
    <row r="53" spans="2:19" x14ac:dyDescent="0.3">
      <c r="H53" s="3" t="s">
        <v>123</v>
      </c>
      <c r="I53" s="3"/>
    </row>
    <row r="54" spans="2:19" x14ac:dyDescent="0.3">
      <c r="H54" s="3">
        <f>F52/H52</f>
        <v>0.2712673611111111</v>
      </c>
      <c r="I54" s="3"/>
    </row>
    <row r="56" spans="2:19" x14ac:dyDescent="0.3">
      <c r="F56" t="s">
        <v>81</v>
      </c>
    </row>
    <row r="57" spans="2:19" x14ac:dyDescent="0.3">
      <c r="B57" t="s">
        <v>61</v>
      </c>
      <c r="D57" t="s">
        <v>122</v>
      </c>
      <c r="F57" t="s">
        <v>118</v>
      </c>
    </row>
    <row r="58" spans="2:19" x14ac:dyDescent="0.3">
      <c r="B58">
        <v>0.1</v>
      </c>
      <c r="D58">
        <f>B58*F58</f>
        <v>0.1</v>
      </c>
      <c r="F58">
        <v>1</v>
      </c>
    </row>
    <row r="60" spans="2:19" x14ac:dyDescent="0.3">
      <c r="B60" s="3" t="s">
        <v>64</v>
      </c>
      <c r="C60" t="s">
        <v>82</v>
      </c>
    </row>
    <row r="61" spans="2:19" x14ac:dyDescent="0.3">
      <c r="B61" s="3">
        <f>(Vpv2_V)/(2*B58*F58*fc_Hz)</f>
        <v>0.02</v>
      </c>
      <c r="C61">
        <f>B61*1000</f>
        <v>20</v>
      </c>
    </row>
    <row r="62" spans="2:19" x14ac:dyDescent="0.3">
      <c r="B62" t="s">
        <v>73</v>
      </c>
      <c r="D62" s="4" t="s">
        <v>86</v>
      </c>
    </row>
    <row r="63" spans="2:19" x14ac:dyDescent="0.3">
      <c r="B63" t="s">
        <v>69</v>
      </c>
      <c r="C63" t="s">
        <v>70</v>
      </c>
      <c r="D63" t="s">
        <v>71</v>
      </c>
    </row>
    <row r="64" spans="2:19" x14ac:dyDescent="0.3">
      <c r="B64">
        <f>2*PI()*B61*f_Hz</f>
        <v>6.2831853071795871</v>
      </c>
      <c r="C64">
        <f>B64/Rtransistors__ohms</f>
        <v>11.635528346628865</v>
      </c>
      <c r="D64">
        <f>(50^2)/B64</f>
        <v>397.88735772973831</v>
      </c>
    </row>
  </sheetData>
  <hyperlinks>
    <hyperlink ref="K22" r:id="rId1" xr:uid="{0B637751-8CC1-41C3-AA2A-83B6EDACDD8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40F2-BD65-48FE-B999-44ACBE75CAA7}">
  <dimension ref="A1"/>
  <sheetViews>
    <sheetView tabSelected="1" zoomScale="55" zoomScaleNormal="55" workbookViewId="0">
      <selection activeCell="S25" sqref="S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5231AD75B7DB43BE4BA949234E9B7D" ma:contentTypeVersion="6" ma:contentTypeDescription="Crée un document." ma:contentTypeScope="" ma:versionID="40e52f2a00c8206a1ffb7703c8427797">
  <xsd:schema xmlns:xsd="http://www.w3.org/2001/XMLSchema" xmlns:xs="http://www.w3.org/2001/XMLSchema" xmlns:p="http://schemas.microsoft.com/office/2006/metadata/properties" xmlns:ns3="f79b80d9-4a69-47b8-a7f9-d65a16d2d15b" targetNamespace="http://schemas.microsoft.com/office/2006/metadata/properties" ma:root="true" ma:fieldsID="cafe1fcbbd5c8d93cf033cb1dbcb818a" ns3:_="">
    <xsd:import namespace="f79b80d9-4a69-47b8-a7f9-d65a16d2d15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b80d9-4a69-47b8-a7f9-d65a16d2d15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79b80d9-4a69-47b8-a7f9-d65a16d2d15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9F999-5077-4C22-A6EE-7FCD8E40B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b80d9-4a69-47b8-a7f9-d65a16d2d1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9B6B7-6B30-4A99-91B9-0EB931FEEE96}">
  <ds:schemaRefs>
    <ds:schemaRef ds:uri="http://purl.org/dc/elements/1.1/"/>
    <ds:schemaRef ds:uri="http://schemas.microsoft.com/office/2006/metadata/properties"/>
    <ds:schemaRef ds:uri="f79b80d9-4a69-47b8-a7f9-d65a16d2d15b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46A73A6-E602-48DA-81C9-A368294B6F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15</vt:i4>
      </vt:variant>
    </vt:vector>
  </HeadingPairs>
  <TitlesOfParts>
    <vt:vector size="19" baseType="lpstr">
      <vt:lpstr>Power Losses</vt:lpstr>
      <vt:lpstr>Thermal Components</vt:lpstr>
      <vt:lpstr>Filter Sizing</vt:lpstr>
      <vt:lpstr>Misc</vt:lpstr>
      <vt:lpstr>A</vt:lpstr>
      <vt:lpstr>A_</vt:lpstr>
      <vt:lpstr>B</vt:lpstr>
      <vt:lpstr>B_</vt:lpstr>
      <vt:lpstr>C_</vt:lpstr>
      <vt:lpstr>f_Hz</vt:lpstr>
      <vt:lpstr>fc_Hz</vt:lpstr>
      <vt:lpstr>Ipulsemax_A</vt:lpstr>
      <vt:lpstr>K__W_m.K</vt:lpstr>
      <vt:lpstr>Pflowmax_W</vt:lpstr>
      <vt:lpstr>Rds_on</vt:lpstr>
      <vt:lpstr>RthSA_K_W</vt:lpstr>
      <vt:lpstr>Rtransistors__ohms</vt:lpstr>
      <vt:lpstr>Vpv_V</vt:lpstr>
      <vt:lpstr>Vpv2_V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HAMOU ZINEDINE ABAYAHIA (EXTERNAL)</dc:creator>
  <cp:keywords/>
  <dc:description/>
  <cp:lastModifiedBy>ABAYAHIA Hamou-Zinedine</cp:lastModifiedBy>
  <cp:revision/>
  <dcterms:created xsi:type="dcterms:W3CDTF">2025-04-20T10:13:28Z</dcterms:created>
  <dcterms:modified xsi:type="dcterms:W3CDTF">2025-10-19T08:24:07Z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2025-04-20T10:50:16Z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856929f8-7777-40f8-8cd2-2d3fe7dea1b1</vt:lpwstr>
  </property>
  <property fmtid="{D5CDD505-2E9C-101B-9397-08002B2CF9AE}" pid="8" name="MSIP_Label_725ca717-11da-4935-b601-f527b9741f2e_ContentBits">
    <vt:lpwstr>0</vt:lpwstr>
  </property>
  <property fmtid="{D5CDD505-2E9C-101B-9397-08002B2CF9AE}" pid="9" name="MSIP_Label_725ca717-11da-4935-b601-f527b9741f2e_Tag">
    <vt:lpwstr>10, 3, 0, 1</vt:lpwstr>
  </property>
  <property fmtid="{D5CDD505-2E9C-101B-9397-08002B2CF9AE}" pid="10" name="ContentTypeId">
    <vt:lpwstr>0x010100B35231AD75B7DB43BE4BA949234E9B7D</vt:lpwstr>
  </property>
</Properties>
</file>