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F887FD0-4CC5-4114-9BDE-25AF3CEC1D95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Graphical Representation" sheetId="1" r:id="rId1"/>
    <sheet name="Central Tendency" sheetId="2" r:id="rId2"/>
    <sheet name="Dispersion" sheetId="3" r:id="rId3"/>
    <sheet name="Skewness &amp; Kurtosis" sheetId="4" r:id="rId4"/>
    <sheet name="Correlation &amp; Regression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9" i="2" l="1"/>
  <c r="M37" i="5" l="1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C18" i="5"/>
  <c r="B18" i="5"/>
  <c r="H16" i="5"/>
  <c r="J16" i="5" s="1"/>
  <c r="G16" i="5"/>
  <c r="F16" i="5"/>
  <c r="E16" i="5"/>
  <c r="D16" i="5"/>
  <c r="H15" i="5"/>
  <c r="J15" i="5" s="1"/>
  <c r="G15" i="5"/>
  <c r="K15" i="5" s="1"/>
  <c r="F15" i="5"/>
  <c r="E15" i="5"/>
  <c r="D15" i="5"/>
  <c r="P14" i="5"/>
  <c r="Q14" i="5" s="1"/>
  <c r="J14" i="5"/>
  <c r="H14" i="5"/>
  <c r="G14" i="5"/>
  <c r="I14" i="5" s="1"/>
  <c r="F14" i="5"/>
  <c r="E14" i="5"/>
  <c r="D14" i="5"/>
  <c r="P13" i="5"/>
  <c r="Q13" i="5" s="1"/>
  <c r="I13" i="5"/>
  <c r="H13" i="5"/>
  <c r="J13" i="5" s="1"/>
  <c r="G13" i="5"/>
  <c r="F13" i="5"/>
  <c r="E13" i="5"/>
  <c r="D13" i="5"/>
  <c r="P12" i="5"/>
  <c r="Q12" i="5" s="1"/>
  <c r="H12" i="5"/>
  <c r="J12" i="5" s="1"/>
  <c r="G12" i="5"/>
  <c r="I12" i="5" s="1"/>
  <c r="F12" i="5"/>
  <c r="E12" i="5"/>
  <c r="D12" i="5"/>
  <c r="P11" i="5"/>
  <c r="Q11" i="5" s="1"/>
  <c r="H11" i="5"/>
  <c r="J11" i="5" s="1"/>
  <c r="G11" i="5"/>
  <c r="K11" i="5" s="1"/>
  <c r="F11" i="5"/>
  <c r="E11" i="5"/>
  <c r="D11" i="5"/>
  <c r="P10" i="5"/>
  <c r="Q10" i="5" s="1"/>
  <c r="J10" i="5"/>
  <c r="H10" i="5"/>
  <c r="G10" i="5"/>
  <c r="I10" i="5" s="1"/>
  <c r="F10" i="5"/>
  <c r="E10" i="5"/>
  <c r="D10" i="5"/>
  <c r="P9" i="5"/>
  <c r="Q9" i="5" s="1"/>
  <c r="I9" i="5"/>
  <c r="H9" i="5"/>
  <c r="J9" i="5" s="1"/>
  <c r="G9" i="5"/>
  <c r="F9" i="5"/>
  <c r="E9" i="5"/>
  <c r="D9" i="5"/>
  <c r="P8" i="5"/>
  <c r="Q8" i="5" s="1"/>
  <c r="H8" i="5"/>
  <c r="J8" i="5" s="1"/>
  <c r="G8" i="5"/>
  <c r="I8" i="5" s="1"/>
  <c r="F8" i="5"/>
  <c r="E8" i="5"/>
  <c r="D8" i="5"/>
  <c r="P7" i="5"/>
  <c r="Q7" i="5" s="1"/>
  <c r="H7" i="5"/>
  <c r="J7" i="5" s="1"/>
  <c r="G7" i="5"/>
  <c r="K7" i="5" s="1"/>
  <c r="F7" i="5"/>
  <c r="E7" i="5"/>
  <c r="D7" i="5"/>
  <c r="P6" i="5"/>
  <c r="Q6" i="5" s="1"/>
  <c r="J6" i="5"/>
  <c r="H6" i="5"/>
  <c r="G6" i="5"/>
  <c r="I6" i="5" s="1"/>
  <c r="F6" i="5"/>
  <c r="E6" i="5"/>
  <c r="D6" i="5"/>
  <c r="P5" i="5"/>
  <c r="Q5" i="5" s="1"/>
  <c r="I5" i="5"/>
  <c r="H5" i="5"/>
  <c r="G5" i="5"/>
  <c r="F5" i="5"/>
  <c r="E5" i="5"/>
  <c r="E18" i="5" s="1"/>
  <c r="D5" i="5"/>
  <c r="D18" i="5" s="1"/>
  <c r="D10" i="4"/>
  <c r="E8" i="4"/>
  <c r="I8" i="4" s="1"/>
  <c r="E7" i="4"/>
  <c r="F7" i="4" s="1"/>
  <c r="E6" i="4"/>
  <c r="G6" i="4" s="1"/>
  <c r="E5" i="4"/>
  <c r="H5" i="4" s="1"/>
  <c r="E4" i="4"/>
  <c r="I4" i="4" s="1"/>
  <c r="D9" i="3"/>
  <c r="M8" i="3"/>
  <c r="J8" i="3"/>
  <c r="K8" i="3" s="1"/>
  <c r="I8" i="3"/>
  <c r="H8" i="3"/>
  <c r="G8" i="3"/>
  <c r="F8" i="3"/>
  <c r="E8" i="3"/>
  <c r="M7" i="3"/>
  <c r="J7" i="3"/>
  <c r="L7" i="3" s="1"/>
  <c r="I7" i="3"/>
  <c r="H7" i="3"/>
  <c r="G7" i="3"/>
  <c r="F7" i="3"/>
  <c r="E7" i="3"/>
  <c r="M6" i="3"/>
  <c r="J6" i="3"/>
  <c r="L6" i="3" s="1"/>
  <c r="I6" i="3"/>
  <c r="H6" i="3"/>
  <c r="G6" i="3"/>
  <c r="F6" i="3"/>
  <c r="E6" i="3"/>
  <c r="M5" i="3"/>
  <c r="J5" i="3"/>
  <c r="K5" i="3" s="1"/>
  <c r="I5" i="3"/>
  <c r="H5" i="3"/>
  <c r="G5" i="3"/>
  <c r="F5" i="3"/>
  <c r="E5" i="3"/>
  <c r="M4" i="3"/>
  <c r="J4" i="3"/>
  <c r="K4" i="3" s="1"/>
  <c r="I4" i="3"/>
  <c r="H4" i="3"/>
  <c r="H9" i="3" s="1"/>
  <c r="G4" i="3"/>
  <c r="F4" i="3"/>
  <c r="E4" i="3"/>
  <c r="L26" i="2"/>
  <c r="H26" i="2"/>
  <c r="D25" i="2"/>
  <c r="H20" i="2"/>
  <c r="D10" i="2"/>
  <c r="K8" i="2"/>
  <c r="I8" i="2"/>
  <c r="J8" i="2" s="1"/>
  <c r="H8" i="2"/>
  <c r="G8" i="2"/>
  <c r="F8" i="2"/>
  <c r="K7" i="2"/>
  <c r="I7" i="2"/>
  <c r="J7" i="2" s="1"/>
  <c r="G7" i="2"/>
  <c r="H7" i="2" s="1"/>
  <c r="F7" i="2"/>
  <c r="K6" i="2"/>
  <c r="I6" i="2"/>
  <c r="J6" i="2" s="1"/>
  <c r="G6" i="2"/>
  <c r="H6" i="2" s="1"/>
  <c r="F6" i="2"/>
  <c r="K5" i="2"/>
  <c r="I5" i="2"/>
  <c r="J5" i="2" s="1"/>
  <c r="G5" i="2"/>
  <c r="H5" i="2" s="1"/>
  <c r="F5" i="2"/>
  <c r="K4" i="2"/>
  <c r="I4" i="2"/>
  <c r="J4" i="2" s="1"/>
  <c r="J10" i="2" s="1"/>
  <c r="G12" i="2" s="1"/>
  <c r="H4" i="2"/>
  <c r="G4" i="2"/>
  <c r="F4" i="2"/>
  <c r="E4" i="2"/>
  <c r="E5" i="2" s="1"/>
  <c r="E6" i="2" s="1"/>
  <c r="E7" i="2" s="1"/>
  <c r="E8" i="2" s="1"/>
  <c r="C29" i="1"/>
  <c r="C28" i="1"/>
  <c r="C27" i="1"/>
  <c r="C26" i="1"/>
  <c r="C25" i="1"/>
  <c r="I3" i="1"/>
  <c r="I4" i="1" s="1"/>
  <c r="I5" i="1" s="1"/>
  <c r="I6" i="1" s="1"/>
  <c r="I7" i="1" s="1"/>
  <c r="F18" i="5" l="1"/>
  <c r="C29" i="5"/>
  <c r="I42" i="5"/>
  <c r="E9" i="3"/>
  <c r="C14" i="3" s="1"/>
  <c r="C17" i="3" s="1"/>
  <c r="F10" i="2"/>
  <c r="D12" i="2" s="1"/>
  <c r="F9" i="3"/>
  <c r="C15" i="3" s="1"/>
  <c r="C18" i="3" s="1"/>
  <c r="L5" i="3"/>
  <c r="G9" i="3"/>
  <c r="C16" i="3" s="1"/>
  <c r="C19" i="3" s="1"/>
  <c r="K6" i="3"/>
  <c r="L8" i="3"/>
  <c r="K5" i="5"/>
  <c r="I7" i="5"/>
  <c r="K9" i="5"/>
  <c r="I11" i="5"/>
  <c r="K13" i="5"/>
  <c r="I15" i="5"/>
  <c r="K16" i="5"/>
  <c r="C30" i="5"/>
  <c r="C42" i="5"/>
  <c r="I9" i="3"/>
  <c r="C21" i="3" s="1"/>
  <c r="K10" i="2"/>
  <c r="H18" i="5"/>
  <c r="I16" i="5"/>
  <c r="F8" i="4"/>
  <c r="G7" i="4"/>
  <c r="G8" i="4"/>
  <c r="H7" i="4"/>
  <c r="F5" i="4"/>
  <c r="F4" i="4"/>
  <c r="G4" i="4"/>
  <c r="G13" i="2"/>
  <c r="I18" i="5"/>
  <c r="H10" i="2"/>
  <c r="D13" i="2" s="1"/>
  <c r="C23" i="5"/>
  <c r="C22" i="5"/>
  <c r="C21" i="5"/>
  <c r="Q16" i="5"/>
  <c r="Q19" i="5" s="1"/>
  <c r="L4" i="3"/>
  <c r="I5" i="4"/>
  <c r="I10" i="4" s="1"/>
  <c r="D15" i="4" s="1"/>
  <c r="H6" i="4"/>
  <c r="K6" i="5"/>
  <c r="K8" i="5"/>
  <c r="K10" i="5"/>
  <c r="K12" i="5"/>
  <c r="K14" i="5"/>
  <c r="K7" i="3"/>
  <c r="K9" i="3" s="1"/>
  <c r="H4" i="4"/>
  <c r="G5" i="4"/>
  <c r="F6" i="4"/>
  <c r="I7" i="4"/>
  <c r="H8" i="4"/>
  <c r="J5" i="5"/>
  <c r="J18" i="5" s="1"/>
  <c r="G18" i="5"/>
  <c r="I6" i="4"/>
  <c r="L9" i="3" l="1"/>
  <c r="K18" i="5"/>
  <c r="D51" i="5"/>
  <c r="C41" i="5"/>
  <c r="D42" i="5" s="1"/>
  <c r="I41" i="5"/>
  <c r="J42" i="5" s="1"/>
  <c r="F10" i="4"/>
  <c r="D12" i="4" s="1"/>
  <c r="G10" i="4"/>
  <c r="D13" i="4" s="1"/>
  <c r="C27" i="5"/>
  <c r="C26" i="5"/>
  <c r="H10" i="4"/>
  <c r="D14" i="4" s="1"/>
  <c r="C22" i="3"/>
  <c r="C26" i="3" s="1"/>
  <c r="D54" i="5" l="1"/>
  <c r="I46" i="5"/>
  <c r="I47" i="5" s="1"/>
  <c r="C46" i="5"/>
  <c r="C47" i="5" s="1"/>
  <c r="C25" i="5"/>
  <c r="D18" i="4"/>
  <c r="D25" i="4" s="1"/>
  <c r="D19" i="4"/>
  <c r="D20" i="4"/>
  <c r="D22" i="4" l="1"/>
  <c r="D26" i="4"/>
  <c r="D23" i="4"/>
</calcChain>
</file>

<file path=xl/sharedStrings.xml><?xml version="1.0" encoding="utf-8"?>
<sst xmlns="http://schemas.openxmlformats.org/spreadsheetml/2006/main" count="229" uniqueCount="141">
  <si>
    <t>Class Marks (x)</t>
  </si>
  <si>
    <t>Frequency (f)</t>
  </si>
  <si>
    <t>Upper limit</t>
  </si>
  <si>
    <t>CF</t>
  </si>
  <si>
    <t xml:space="preserve">Original Class </t>
  </si>
  <si>
    <t>53.5-57.5</t>
  </si>
  <si>
    <t>57.5-61.5</t>
  </si>
  <si>
    <t>61.5-65.5</t>
  </si>
  <si>
    <t>65.5-69.5</t>
  </si>
  <si>
    <t>69.5-73.5</t>
  </si>
  <si>
    <t>Angle (θ)</t>
  </si>
  <si>
    <t>Class</t>
  </si>
  <si>
    <t>Original Class</t>
  </si>
  <si>
    <t>fx</t>
  </si>
  <si>
    <t>u=(x-63.5)/4</t>
  </si>
  <si>
    <t>fu</t>
  </si>
  <si>
    <t>log(x)</t>
  </si>
  <si>
    <t>flog(x)</t>
  </si>
  <si>
    <t>f/x</t>
  </si>
  <si>
    <t>54-57</t>
  </si>
  <si>
    <t>58-61</t>
  </si>
  <si>
    <t>62-65</t>
  </si>
  <si>
    <t>66-69</t>
  </si>
  <si>
    <t>70-73</t>
  </si>
  <si>
    <t>SUM</t>
  </si>
  <si>
    <t>AM(Direct)=</t>
  </si>
  <si>
    <t>GM=</t>
  </si>
  <si>
    <t>a=63.5, h=4</t>
  </si>
  <si>
    <t>AM(CODE)=</t>
  </si>
  <si>
    <t>HM=</t>
  </si>
  <si>
    <t>L=65.5</t>
  </si>
  <si>
    <t>40/2=20</t>
  </si>
  <si>
    <t>del1=5</t>
  </si>
  <si>
    <t>Mode(Mo)=</t>
  </si>
  <si>
    <t>del2=7</t>
  </si>
  <si>
    <t>F_m-1=19</t>
  </si>
  <si>
    <t>Median(Me)=</t>
  </si>
  <si>
    <t>f_m=14</t>
  </si>
  <si>
    <t>1*40/4=  10</t>
  </si>
  <si>
    <t>3*40/10=12</t>
  </si>
  <si>
    <t>47*40/100=  18.8</t>
  </si>
  <si>
    <t>L=57.5</t>
  </si>
  <si>
    <t xml:space="preserve">Quartile(Q1)= </t>
  </si>
  <si>
    <t>L=61.5</t>
  </si>
  <si>
    <t>F_m-1=5</t>
  </si>
  <si>
    <t>F_m-1=10</t>
  </si>
  <si>
    <t xml:space="preserve">Decile(D3)= </t>
  </si>
  <si>
    <t xml:space="preserve">Percentile(P47)= </t>
  </si>
  <si>
    <t>f_m=5</t>
  </si>
  <si>
    <t>f_m=9</t>
  </si>
  <si>
    <t>f*ABS(x-AM)</t>
  </si>
  <si>
    <t>f*ABS(x-Mode)</t>
  </si>
  <si>
    <t>f*ABS(x-Median)</t>
  </si>
  <si>
    <t>f*x</t>
  </si>
  <si>
    <t>f*x^2</t>
  </si>
  <si>
    <t>f*u</t>
  </si>
  <si>
    <t>f*u^2</t>
  </si>
  <si>
    <t>Z=(x-AM)/SD</t>
  </si>
  <si>
    <t>Sum</t>
  </si>
  <si>
    <t>MD(AM)=</t>
  </si>
  <si>
    <t>MD(Mode)=</t>
  </si>
  <si>
    <t>MD (Median)=</t>
  </si>
  <si>
    <t>Co-efficient of MD(AM)=</t>
  </si>
  <si>
    <t>%</t>
  </si>
  <si>
    <t>Co-efficient of MD(Mode)=</t>
  </si>
  <si>
    <t>Co-efficient of MD(Median)=</t>
  </si>
  <si>
    <t>SD (Direct)=</t>
  </si>
  <si>
    <t>SD (Code)=</t>
  </si>
  <si>
    <t>Co-efficient of SD=</t>
  </si>
  <si>
    <t>u=(x-65.5)/4</t>
  </si>
  <si>
    <t>fu^2</t>
  </si>
  <si>
    <t>fu^3</t>
  </si>
  <si>
    <t>fu^4</t>
  </si>
  <si>
    <t>m1=</t>
  </si>
  <si>
    <t>m2=</t>
  </si>
  <si>
    <t>m3=</t>
  </si>
  <si>
    <t>m4=</t>
  </si>
  <si>
    <t>M1=</t>
  </si>
  <si>
    <t>M2=</t>
  </si>
  <si>
    <t>M3=</t>
  </si>
  <si>
    <t>M4=</t>
  </si>
  <si>
    <t>alpha3=</t>
  </si>
  <si>
    <t>negatively skewed</t>
  </si>
  <si>
    <t>alpha4=</t>
  </si>
  <si>
    <t>platykurtic</t>
  </si>
  <si>
    <t>corrected M2=</t>
  </si>
  <si>
    <t>corrected M4=</t>
  </si>
  <si>
    <t>X</t>
  </si>
  <si>
    <t>Y</t>
  </si>
  <si>
    <t>X^2</t>
  </si>
  <si>
    <t>Y^2</t>
  </si>
  <si>
    <t>XY</t>
  </si>
  <si>
    <t>U=(X-70)/10</t>
  </si>
  <si>
    <t>V=(Y-65)/5</t>
  </si>
  <si>
    <t>U^2</t>
  </si>
  <si>
    <t>V^2</t>
  </si>
  <si>
    <t>UV</t>
  </si>
  <si>
    <t>Serial</t>
  </si>
  <si>
    <t>X-rank</t>
  </si>
  <si>
    <t>Y-rank</t>
  </si>
  <si>
    <t>d=x-y</t>
  </si>
  <si>
    <t>d^2</t>
  </si>
  <si>
    <t>n=12</t>
  </si>
  <si>
    <t>a=70, h=10</t>
  </si>
  <si>
    <t>b=65, k=5</t>
  </si>
  <si>
    <t xml:space="preserve">Rank Correlation Coefficient = </t>
  </si>
  <si>
    <t>Direct</t>
  </si>
  <si>
    <t>r=</t>
  </si>
  <si>
    <t>Positively Correlated (Strong)</t>
  </si>
  <si>
    <t>Comment: Positively Correlated (Moderate)</t>
  </si>
  <si>
    <t>by/x=</t>
  </si>
  <si>
    <t>Y is less depending on X</t>
  </si>
  <si>
    <t>bx/y=</t>
  </si>
  <si>
    <t>X is more depending on Y</t>
  </si>
  <si>
    <t>Code</t>
  </si>
  <si>
    <t>y = 0.1405 X  +  56.12</t>
  </si>
  <si>
    <t>y=(x+83.54)/2.31</t>
  </si>
  <si>
    <t>x~  (x-bar)=</t>
  </si>
  <si>
    <t>y~  (y-bar)=</t>
  </si>
  <si>
    <t>Regression line of y on x</t>
  </si>
  <si>
    <t>y = 0.1405 X  +  56.116</t>
  </si>
  <si>
    <t>Regression line of x on y</t>
  </si>
  <si>
    <t>x = 2.3076 Y  -  83.540092</t>
  </si>
  <si>
    <t>Mode=</t>
  </si>
  <si>
    <t xml:space="preserve">Median= </t>
  </si>
  <si>
    <t>h=4</t>
  </si>
  <si>
    <t>Arithmatic mean, AM=</t>
  </si>
  <si>
    <t>Y=0.1405X+56.108</t>
  </si>
  <si>
    <t>y-intercept=</t>
  </si>
  <si>
    <t>x-intercept=</t>
  </si>
  <si>
    <t>X=2.308Y-83.538</t>
  </si>
  <si>
    <t>Regression line of y on x, y=a+bx</t>
  </si>
  <si>
    <t>Regression line of x on y, x=a+by</t>
  </si>
  <si>
    <t>bx/y</t>
  </si>
  <si>
    <t>Correlation coefficient=</t>
  </si>
  <si>
    <t>&gt; 0</t>
  </si>
  <si>
    <r>
      <rPr>
        <b/>
        <sz val="11"/>
        <color rgb="FF000000"/>
        <rFont val="Calibri"/>
        <family val="2"/>
      </rPr>
      <t>Correlation:</t>
    </r>
    <r>
      <rPr>
        <sz val="11"/>
        <color rgb="FF000000"/>
        <rFont val="Calibri"/>
        <family val="2"/>
        <charset val="1"/>
      </rPr>
      <t xml:space="preserve"> Correlation is a statistical measure that indicates the extent to which two or more variables fluctuate  together. A positive correlation indicates the extent to which those variables increase or decrease in parallel; a negative correlation indicates the extent to which one variable increases as the other decreases. Correlation is a statistical technique that can show whether and how strongly pairs of variables are related. The words “</t>
    </r>
    <r>
      <rPr>
        <b/>
        <sz val="11"/>
        <color rgb="FF000000"/>
        <rFont val="Calibri"/>
        <family val="2"/>
      </rPr>
      <t xml:space="preserve"> weak</t>
    </r>
    <r>
      <rPr>
        <sz val="11"/>
        <color rgb="FF000000"/>
        <rFont val="Calibri"/>
        <family val="2"/>
        <charset val="1"/>
      </rPr>
      <t>”, “</t>
    </r>
    <r>
      <rPr>
        <b/>
        <sz val="11"/>
        <color rgb="FF000000"/>
        <rFont val="Calibri"/>
        <family val="2"/>
      </rPr>
      <t>moderate</t>
    </r>
    <r>
      <rPr>
        <sz val="11"/>
        <color rgb="FF000000"/>
        <rFont val="Calibri"/>
        <family val="2"/>
        <charset val="1"/>
      </rPr>
      <t>”, and “</t>
    </r>
    <r>
      <rPr>
        <b/>
        <sz val="11"/>
        <color rgb="FF000000"/>
        <rFont val="Calibri"/>
        <family val="2"/>
      </rPr>
      <t>strong</t>
    </r>
    <r>
      <rPr>
        <sz val="11"/>
        <color rgb="FF000000"/>
        <rFont val="Calibri"/>
        <family val="2"/>
        <charset val="1"/>
      </rPr>
      <t>” are used to describe the strength of the relationship between the two variables.</t>
    </r>
  </si>
  <si>
    <r>
      <rPr>
        <b/>
        <sz val="11"/>
        <color rgb="FF000000"/>
        <rFont val="Calibri"/>
        <family val="2"/>
      </rPr>
      <t>Interpretation of the correlation coefficient</t>
    </r>
    <r>
      <rPr>
        <sz val="11"/>
        <color rgb="FF000000"/>
        <rFont val="Calibri"/>
        <family val="2"/>
        <charset val="1"/>
      </rPr>
      <t xml:space="preserve">
</t>
    </r>
    <r>
      <rPr>
        <b/>
        <sz val="11"/>
        <color rgb="FF000000"/>
        <rFont val="Calibri"/>
        <family val="2"/>
      </rPr>
      <t>r</t>
    </r>
    <r>
      <rPr>
        <sz val="11"/>
        <color rgb="FF000000"/>
        <rFont val="Calibri"/>
        <family val="2"/>
        <charset val="1"/>
      </rPr>
      <t xml:space="preserve"> is always between</t>
    </r>
    <r>
      <rPr>
        <b/>
        <sz val="11"/>
        <color rgb="FF000000"/>
        <rFont val="Calibri"/>
        <family val="2"/>
      </rPr>
      <t xml:space="preserve"> −1</t>
    </r>
    <r>
      <rPr>
        <sz val="11"/>
        <color rgb="FF000000"/>
        <rFont val="Calibri"/>
        <family val="2"/>
        <charset val="1"/>
      </rPr>
      <t xml:space="preserve"> and </t>
    </r>
    <r>
      <rPr>
        <b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  <charset val="1"/>
      </rPr>
      <t xml:space="preserve">. </t>
    </r>
    <r>
      <rPr>
        <b/>
        <sz val="11"/>
        <color rgb="FF000000"/>
        <rFont val="Calibri"/>
        <family val="2"/>
      </rPr>
      <t>r = −1</t>
    </r>
    <r>
      <rPr>
        <sz val="11"/>
        <color rgb="FF000000"/>
        <rFont val="Calibri"/>
        <family val="2"/>
        <charset val="1"/>
      </rPr>
      <t xml:space="preserve"> means there is a perfect negative linear correlation and </t>
    </r>
    <r>
      <rPr>
        <b/>
        <sz val="11"/>
        <color rgb="FF000000"/>
        <rFont val="Calibri"/>
        <family val="2"/>
      </rPr>
      <t>r = 1</t>
    </r>
    <r>
      <rPr>
        <sz val="11"/>
        <color rgb="FF000000"/>
        <rFont val="Calibri"/>
        <family val="2"/>
        <charset val="1"/>
      </rPr>
      <t xml:space="preserve"> means there is a perfect positive correlation. The closer </t>
    </r>
    <r>
      <rPr>
        <b/>
        <sz val="11"/>
        <color rgb="FF000000"/>
        <rFont val="Calibri"/>
        <family val="2"/>
      </rPr>
      <t>r</t>
    </r>
    <r>
      <rPr>
        <sz val="11"/>
        <color rgb="FF000000"/>
        <rFont val="Calibri"/>
        <family val="2"/>
        <charset val="1"/>
      </rPr>
      <t xml:space="preserve"> is to </t>
    </r>
    <r>
      <rPr>
        <b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  <charset val="1"/>
      </rPr>
      <t xml:space="preserve"> or </t>
    </r>
    <r>
      <rPr>
        <b/>
        <sz val="11"/>
        <color rgb="FF000000"/>
        <rFont val="Calibri"/>
        <family val="2"/>
      </rPr>
      <t>−1</t>
    </r>
    <r>
      <rPr>
        <sz val="11"/>
        <color rgb="FF000000"/>
        <rFont val="Calibri"/>
        <family val="2"/>
        <charset val="1"/>
      </rPr>
      <t>, the stronger the correlation. The closer</t>
    </r>
    <r>
      <rPr>
        <b/>
        <sz val="11"/>
        <color rgb="FF000000"/>
        <rFont val="Calibri"/>
        <family val="2"/>
      </rPr>
      <t xml:space="preserve"> r</t>
    </r>
    <r>
      <rPr>
        <sz val="11"/>
        <color rgb="FF000000"/>
        <rFont val="Calibri"/>
        <family val="2"/>
        <charset val="1"/>
      </rPr>
      <t xml:space="preserve"> is to</t>
    </r>
    <r>
      <rPr>
        <b/>
        <sz val="11"/>
        <color rgb="FF000000"/>
        <rFont val="Calibri"/>
        <family val="2"/>
      </rPr>
      <t xml:space="preserve"> 0</t>
    </r>
    <r>
      <rPr>
        <sz val="11"/>
        <color rgb="FF000000"/>
        <rFont val="Calibri"/>
        <family val="2"/>
        <charset val="1"/>
      </rPr>
      <t xml:space="preserve">, the weaker the correlation. </t>
    </r>
    <r>
      <rPr>
        <b/>
        <sz val="11"/>
        <color rgb="FF000000"/>
        <rFont val="Calibri"/>
        <family val="2"/>
      </rPr>
      <t>CAREFUL: r = 0</t>
    </r>
    <r>
      <rPr>
        <sz val="11"/>
        <color rgb="FF000000"/>
        <rFont val="Calibri"/>
        <family val="2"/>
        <charset val="1"/>
      </rPr>
      <t xml:space="preserve"> does not mean there is no correlation. It just means there is no linear correlation. There might be a very strong curved pattern.</t>
    </r>
  </si>
  <si>
    <r>
      <rPr>
        <b/>
        <sz val="11"/>
        <color rgb="FF000000"/>
        <rFont val="Calibri"/>
        <family val="2"/>
      </rPr>
      <t xml:space="preserve">Regression </t>
    </r>
    <r>
      <rPr>
        <sz val="11"/>
        <color rgb="FF000000"/>
        <rFont val="Calibri"/>
        <family val="2"/>
        <charset val="1"/>
      </rPr>
      <t xml:space="preserve">represents a relationship between the variables, whereas the </t>
    </r>
    <r>
      <rPr>
        <b/>
        <sz val="11"/>
        <color rgb="FF000000"/>
        <rFont val="Calibri"/>
        <family val="2"/>
      </rPr>
      <t>Correlation</t>
    </r>
    <r>
      <rPr>
        <sz val="11"/>
        <color rgb="FF000000"/>
        <rFont val="Calibri"/>
        <family val="2"/>
        <charset val="1"/>
      </rPr>
      <t xml:space="preserve"> measures the strength of the relationship.</t>
    </r>
  </si>
  <si>
    <t>&lt; 0</t>
  </si>
  <si>
    <t>&lt;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</si>
</sst>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2" fontId="4" fillId="0" borderId="12" xfId="0" applyNumberFormat="1" applyFont="1" applyBorder="1" applyAlignment="1">
      <alignment horizontal="center" vertical="center" wrapText="1"/>
    </xf>
    <xf numFmtId="2" fontId="4" fillId="0" borderId="13" xfId="0" applyNumberFormat="1" applyFont="1" applyBorder="1" applyAlignment="1">
      <alignment horizontal="center" vertical="center" wrapText="1"/>
    </xf>
    <xf numFmtId="2" fontId="4" fillId="0" borderId="14" xfId="0" applyNumberFormat="1" applyFont="1" applyBorder="1" applyAlignment="1">
      <alignment horizontal="center" vertical="center" wrapText="1"/>
    </xf>
    <xf numFmtId="2" fontId="4" fillId="0" borderId="15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4F81BD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'Graphical Representation'!$H$3:$H$7</c:f>
              <c:numCache>
                <c:formatCode>General</c:formatCode>
                <c:ptCount val="5"/>
                <c:pt idx="0">
                  <c:v>57.5</c:v>
                </c:pt>
                <c:pt idx="1">
                  <c:v>61.5</c:v>
                </c:pt>
                <c:pt idx="2">
                  <c:v>65.5</c:v>
                </c:pt>
                <c:pt idx="3">
                  <c:v>69.5</c:v>
                </c:pt>
                <c:pt idx="4">
                  <c:v>73.5</c:v>
                </c:pt>
              </c:numCache>
            </c:numRef>
          </c:xVal>
          <c:yVal>
            <c:numRef>
              <c:f>'Graphical Representation'!$I$3:$I$7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19</c:v>
                </c:pt>
                <c:pt idx="3">
                  <c:v>33</c:v>
                </c:pt>
                <c:pt idx="4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7-4CE6-95BA-C2392A253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1600"/>
        <c:axId val="84363136"/>
      </c:scatterChart>
      <c:valAx>
        <c:axId val="8436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4363136"/>
        <c:crosses val="autoZero"/>
        <c:crossBetween val="midCat"/>
      </c:valAx>
      <c:valAx>
        <c:axId val="843631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436160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'Graphical Representation'!$B$3:$B$7</c:f>
              <c:numCache>
                <c:formatCode>General</c:formatCode>
                <c:ptCount val="5"/>
                <c:pt idx="0">
                  <c:v>55.5</c:v>
                </c:pt>
                <c:pt idx="1">
                  <c:v>59.5</c:v>
                </c:pt>
                <c:pt idx="2">
                  <c:v>63.5</c:v>
                </c:pt>
                <c:pt idx="3">
                  <c:v>67.5</c:v>
                </c:pt>
                <c:pt idx="4">
                  <c:v>71.5</c:v>
                </c:pt>
              </c:numCache>
            </c:numRef>
          </c:xVal>
          <c:yVal>
            <c:numRef>
              <c:f>'Graphical Representation'!$C$3:$C$7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1-44A6-8CAB-B535D5D01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79520"/>
        <c:axId val="84381056"/>
      </c:scatterChart>
      <c:valAx>
        <c:axId val="8437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4381056"/>
        <c:crosses val="autoZero"/>
        <c:crossBetween val="midCat"/>
      </c:valAx>
      <c:valAx>
        <c:axId val="843810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437952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'Graphical Representation'!$N$3:$N$7</c:f>
              <c:strCache>
                <c:ptCount val="5"/>
                <c:pt idx="0">
                  <c:v>53.5-57.5</c:v>
                </c:pt>
                <c:pt idx="1">
                  <c:v>57.5-61.5</c:v>
                </c:pt>
                <c:pt idx="2">
                  <c:v>61.5-65.5</c:v>
                </c:pt>
                <c:pt idx="3">
                  <c:v>65.5-69.5</c:v>
                </c:pt>
                <c:pt idx="4">
                  <c:v>69.5-73.5</c:v>
                </c:pt>
              </c:strCache>
            </c:strRef>
          </c:cat>
          <c:val>
            <c:numRef>
              <c:f>'Graphical Representation'!$O$3:$O$7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0-44CE-8BD3-94BAABAEC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55616"/>
        <c:axId val="85865600"/>
      </c:barChart>
      <c:catAx>
        <c:axId val="8585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5865600"/>
        <c:crosses val="autoZero"/>
        <c:auto val="1"/>
        <c:lblAlgn val="ctr"/>
        <c:lblOffset val="100"/>
        <c:noMultiLvlLbl val="1"/>
      </c:catAx>
      <c:valAx>
        <c:axId val="858656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58556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5B9-409E-B49A-5D4AD92C45AA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B5B9-409E-B49A-5D4AD92C45AA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5B9-409E-B49A-5D4AD92C45AA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B5B9-409E-B49A-5D4AD92C45AA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B5B9-409E-B49A-5D4AD92C45A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'Graphical Representation'!$C$25:$C$29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81</c:v>
                </c:pt>
                <c:pt idx="3">
                  <c:v>125.99999999999999</c:v>
                </c:pt>
                <c:pt idx="4">
                  <c:v>62.999999999999993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B9-409E-B49A-5D4AD92C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82879265091864"/>
          <c:y val="2.7777777777777801E-2"/>
          <c:w val="0.59257480314960598"/>
          <c:h val="8.3717191601049901E-2"/>
        </c:manualLayout>
      </c:layout>
      <c:overlay val="1"/>
      <c:spPr>
        <a:noFill/>
        <a:ln>
          <a:noFill/>
        </a:ln>
      </c:spPr>
      <c:txPr>
        <a:bodyPr/>
        <a:lstStyle/>
        <a:p>
          <a:pPr rtl="0"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Regression Lines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'Correlation &amp; Regression'!$L$26:$L$37</c:f>
              <c:numCache>
                <c:formatCode>General</c:formatCode>
                <c:ptCount val="12"/>
                <c:pt idx="0">
                  <c:v>56.12</c:v>
                </c:pt>
                <c:pt idx="1">
                  <c:v>57.524999999999999</c:v>
                </c:pt>
                <c:pt idx="2">
                  <c:v>58.93</c:v>
                </c:pt>
                <c:pt idx="3">
                  <c:v>60.335000000000001</c:v>
                </c:pt>
                <c:pt idx="4">
                  <c:v>61.739999999999995</c:v>
                </c:pt>
                <c:pt idx="5">
                  <c:v>63.144999999999996</c:v>
                </c:pt>
                <c:pt idx="6">
                  <c:v>64.55</c:v>
                </c:pt>
                <c:pt idx="7">
                  <c:v>65.954999999999998</c:v>
                </c:pt>
                <c:pt idx="8">
                  <c:v>67.36</c:v>
                </c:pt>
                <c:pt idx="9">
                  <c:v>68.765000000000001</c:v>
                </c:pt>
                <c:pt idx="10">
                  <c:v>70.17</c:v>
                </c:pt>
                <c:pt idx="11">
                  <c:v>71.575000000000003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F-4133-9F21-66388ADF6339}"/>
            </c:ext>
          </c:extLst>
        </c:ser>
        <c:ser>
          <c:idx val="1"/>
          <c:order val="1"/>
          <c:spPr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'Correlation &amp; Regression'!$M$26:$M$37</c:f>
              <c:numCache>
                <c:formatCode>General</c:formatCode>
                <c:ptCount val="12"/>
                <c:pt idx="0">
                  <c:v>-36.164502164502167</c:v>
                </c:pt>
                <c:pt idx="1">
                  <c:v>-31.835497835497836</c:v>
                </c:pt>
                <c:pt idx="2">
                  <c:v>-27.506493506493509</c:v>
                </c:pt>
                <c:pt idx="3">
                  <c:v>-23.177489177489178</c:v>
                </c:pt>
                <c:pt idx="4">
                  <c:v>-18.848484848484851</c:v>
                </c:pt>
                <c:pt idx="5">
                  <c:v>-14.519480519480522</c:v>
                </c:pt>
                <c:pt idx="6">
                  <c:v>-10.190476190476193</c:v>
                </c:pt>
                <c:pt idx="7">
                  <c:v>-5.8614718614718644</c:v>
                </c:pt>
                <c:pt idx="8">
                  <c:v>-1.5324675324675352</c:v>
                </c:pt>
                <c:pt idx="9">
                  <c:v>2.7965367965367935</c:v>
                </c:pt>
                <c:pt idx="10">
                  <c:v>7.1255411255411225</c:v>
                </c:pt>
                <c:pt idx="11">
                  <c:v>11.454545454545451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F-4133-9F21-66388ADF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6168320"/>
        <c:axId val="86169856"/>
      </c:lineChart>
      <c:catAx>
        <c:axId val="861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169856"/>
        <c:crosses val="autoZero"/>
        <c:auto val="1"/>
        <c:lblAlgn val="ctr"/>
        <c:lblOffset val="100"/>
        <c:noMultiLvlLbl val="1"/>
      </c:catAx>
      <c:valAx>
        <c:axId val="861698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16832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29160</xdr:colOff>
      <xdr:row>7</xdr:row>
      <xdr:rowOff>183960</xdr:rowOff>
    </xdr:from>
    <xdr:to>
      <xdr:col>11</xdr:col>
      <xdr:colOff>425880</xdr:colOff>
      <xdr:row>18</xdr:row>
      <xdr:rowOff>34920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247680</xdr:colOff>
      <xdr:row>8</xdr:row>
      <xdr:rowOff>10080</xdr:rowOff>
    </xdr:from>
    <xdr:to>
      <xdr:col>4</xdr:col>
      <xdr:colOff>526320</xdr:colOff>
      <xdr:row>18</xdr:row>
      <xdr:rowOff>117360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62280</xdr:colOff>
      <xdr:row>7</xdr:row>
      <xdr:rowOff>183960</xdr:rowOff>
    </xdr:from>
    <xdr:to>
      <xdr:col>19</xdr:col>
      <xdr:colOff>378360</xdr:colOff>
      <xdr:row>22</xdr:row>
      <xdr:rowOff>69480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28440</xdr:colOff>
      <xdr:row>23</xdr:row>
      <xdr:rowOff>38160</xdr:rowOff>
    </xdr:from>
    <xdr:to>
      <xdr:col>11</xdr:col>
      <xdr:colOff>190080</xdr:colOff>
      <xdr:row>37</xdr:row>
      <xdr:rowOff>114120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47520</xdr:colOff>
      <xdr:row>24</xdr:row>
      <xdr:rowOff>38160</xdr:rowOff>
    </xdr:from>
    <xdr:to>
      <xdr:col>10</xdr:col>
      <xdr:colOff>256575</xdr:colOff>
      <xdr:row>37</xdr:row>
      <xdr:rowOff>28440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K29"/>
  <sheetViews>
    <sheetView tabSelected="1" zoomScaleNormal="100" workbookViewId="0">
      <selection activeCell="E2" sqref="E2"/>
    </sheetView>
  </sheetViews>
  <sheetFormatPr defaultRowHeight="15" x14ac:dyDescent="0.25"/>
  <cols>
    <col min="1" max="1" width="9.140625" style="1" customWidth="1"/>
    <col min="2" max="2" width="14.28515625" style="1" customWidth="1"/>
    <col min="3" max="3" width="12.7109375" style="1" customWidth="1"/>
    <col min="4" max="7" width="9.140625" style="1" customWidth="1"/>
    <col min="8" max="8" width="11.28515625" style="1" customWidth="1"/>
    <col min="9" max="13" width="9.140625" style="1" customWidth="1"/>
    <col min="14" max="14" width="13.5703125" style="1" customWidth="1"/>
    <col min="15" max="15" width="12.42578125" style="1" customWidth="1"/>
    <col min="16" max="1025" width="9.140625" style="1" customWidth="1"/>
  </cols>
  <sheetData>
    <row r="2" spans="1:15" x14ac:dyDescent="0.25">
      <c r="A2" s="28" t="s">
        <v>11</v>
      </c>
      <c r="B2" s="25" t="s">
        <v>0</v>
      </c>
      <c r="C2" s="25" t="s">
        <v>1</v>
      </c>
      <c r="H2" s="25" t="s">
        <v>2</v>
      </c>
      <c r="I2" s="25" t="s">
        <v>3</v>
      </c>
      <c r="N2" s="25" t="s">
        <v>4</v>
      </c>
      <c r="O2" s="25" t="s">
        <v>1</v>
      </c>
    </row>
    <row r="3" spans="1:15" x14ac:dyDescent="0.25">
      <c r="A3" s="3" t="s">
        <v>19</v>
      </c>
      <c r="B3" s="3">
        <v>55.5</v>
      </c>
      <c r="C3" s="3">
        <v>5</v>
      </c>
      <c r="H3" s="3">
        <v>57.5</v>
      </c>
      <c r="I3" s="3">
        <f>C3</f>
        <v>5</v>
      </c>
      <c r="N3" s="26" t="s">
        <v>5</v>
      </c>
      <c r="O3" s="26">
        <v>5</v>
      </c>
    </row>
    <row r="4" spans="1:15" x14ac:dyDescent="0.25">
      <c r="A4" s="3" t="s">
        <v>20</v>
      </c>
      <c r="B4" s="4">
        <v>59.5</v>
      </c>
      <c r="C4" s="4">
        <v>5</v>
      </c>
      <c r="H4" s="4">
        <v>61.5</v>
      </c>
      <c r="I4" s="4">
        <f>I3+C4</f>
        <v>10</v>
      </c>
      <c r="N4" s="52" t="s">
        <v>6</v>
      </c>
      <c r="O4" s="52">
        <v>5</v>
      </c>
    </row>
    <row r="5" spans="1:15" x14ac:dyDescent="0.25">
      <c r="A5" s="3" t="s">
        <v>21</v>
      </c>
      <c r="B5" s="5">
        <v>63.5</v>
      </c>
      <c r="C5" s="5">
        <v>9</v>
      </c>
      <c r="H5" s="5">
        <v>65.5</v>
      </c>
      <c r="I5" s="5">
        <f>I4+C5</f>
        <v>19</v>
      </c>
      <c r="N5" s="27" t="s">
        <v>7</v>
      </c>
      <c r="O5" s="27">
        <v>9</v>
      </c>
    </row>
    <row r="6" spans="1:15" x14ac:dyDescent="0.25">
      <c r="A6" s="3" t="s">
        <v>22</v>
      </c>
      <c r="B6" s="3">
        <v>67.5</v>
      </c>
      <c r="C6" s="3">
        <v>14</v>
      </c>
      <c r="H6" s="3">
        <v>69.5</v>
      </c>
      <c r="I6" s="4">
        <f>I5+C6</f>
        <v>33</v>
      </c>
      <c r="N6" s="26" t="s">
        <v>8</v>
      </c>
      <c r="O6" s="26">
        <v>14</v>
      </c>
    </row>
    <row r="7" spans="1:15" x14ac:dyDescent="0.25">
      <c r="A7" s="3" t="s">
        <v>23</v>
      </c>
      <c r="B7" s="3">
        <v>71.5</v>
      </c>
      <c r="C7" s="3">
        <v>7</v>
      </c>
      <c r="H7" s="3">
        <v>73.5</v>
      </c>
      <c r="I7" s="4">
        <f>I6+C7</f>
        <v>40</v>
      </c>
      <c r="N7" s="26" t="s">
        <v>9</v>
      </c>
      <c r="O7" s="26">
        <v>7</v>
      </c>
    </row>
    <row r="24" spans="2:3" x14ac:dyDescent="0.25">
      <c r="B24" s="25" t="s">
        <v>4</v>
      </c>
      <c r="C24" s="25" t="s">
        <v>10</v>
      </c>
    </row>
    <row r="25" spans="2:3" x14ac:dyDescent="0.25">
      <c r="B25" s="3" t="s">
        <v>5</v>
      </c>
      <c r="C25" s="3">
        <f>(C3/40)*360</f>
        <v>45</v>
      </c>
    </row>
    <row r="26" spans="2:3" x14ac:dyDescent="0.25">
      <c r="B26" s="4" t="s">
        <v>6</v>
      </c>
      <c r="C26" s="3">
        <f>(C4/40)*360</f>
        <v>45</v>
      </c>
    </row>
    <row r="27" spans="2:3" x14ac:dyDescent="0.25">
      <c r="B27" s="5" t="s">
        <v>7</v>
      </c>
      <c r="C27" s="5">
        <f>(C5/40)*360</f>
        <v>81</v>
      </c>
    </row>
    <row r="28" spans="2:3" x14ac:dyDescent="0.25">
      <c r="B28" s="3" t="s">
        <v>8</v>
      </c>
      <c r="C28" s="3">
        <f>(C6/40)*360</f>
        <v>125.99999999999999</v>
      </c>
    </row>
    <row r="29" spans="2:3" x14ac:dyDescent="0.25">
      <c r="B29" s="3" t="s">
        <v>9</v>
      </c>
      <c r="C29" s="3">
        <f>(C7/40)*360</f>
        <v>62.999999999999993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MK28"/>
  <sheetViews>
    <sheetView zoomScaleNormal="100" workbookViewId="0">
      <selection activeCell="J18" sqref="J18"/>
    </sheetView>
  </sheetViews>
  <sheetFormatPr defaultRowHeight="15" x14ac:dyDescent="0.25"/>
  <cols>
    <col min="1" max="1" width="9.140625" style="1" customWidth="1"/>
    <col min="2" max="2" width="14.5703125" style="1" customWidth="1"/>
    <col min="3" max="3" width="15.42578125" style="1" customWidth="1"/>
    <col min="4" max="4" width="13.7109375" style="1" customWidth="1"/>
    <col min="5" max="5" width="9.140625" style="1" customWidth="1"/>
    <col min="6" max="6" width="10.7109375" style="1" customWidth="1"/>
    <col min="7" max="7" width="13.28515625" style="1" customWidth="1"/>
    <col min="8" max="9" width="9.140625" style="1" customWidth="1"/>
    <col min="10" max="10" width="15.42578125" style="1" customWidth="1"/>
    <col min="11" max="11" width="15.85546875" style="1" customWidth="1"/>
    <col min="12" max="1025" width="9.140625" style="1" customWidth="1"/>
  </cols>
  <sheetData>
    <row r="3" spans="1:12" x14ac:dyDescent="0.25">
      <c r="A3" s="17" t="s">
        <v>11</v>
      </c>
      <c r="B3" s="17" t="s">
        <v>12</v>
      </c>
      <c r="C3" s="17" t="s">
        <v>0</v>
      </c>
      <c r="D3" s="17" t="s">
        <v>1</v>
      </c>
      <c r="E3" s="17" t="s">
        <v>3</v>
      </c>
      <c r="F3" s="17" t="s">
        <v>13</v>
      </c>
      <c r="G3" s="17" t="s">
        <v>14</v>
      </c>
      <c r="H3" s="17" t="s">
        <v>15</v>
      </c>
      <c r="I3" s="17" t="s">
        <v>16</v>
      </c>
      <c r="J3" s="17" t="s">
        <v>17</v>
      </c>
      <c r="K3" s="17" t="s">
        <v>18</v>
      </c>
    </row>
    <row r="4" spans="1:12" x14ac:dyDescent="0.25">
      <c r="A4" s="3" t="s">
        <v>19</v>
      </c>
      <c r="B4" s="3" t="s">
        <v>5</v>
      </c>
      <c r="C4" s="3">
        <v>55.5</v>
      </c>
      <c r="D4" s="3">
        <v>5</v>
      </c>
      <c r="E4" s="3">
        <f>D4</f>
        <v>5</v>
      </c>
      <c r="F4" s="3">
        <f>D4*C4</f>
        <v>277.5</v>
      </c>
      <c r="G4" s="3">
        <f>(C4-63.5)/4</f>
        <v>-2</v>
      </c>
      <c r="H4" s="3">
        <f>D4*G4</f>
        <v>-10</v>
      </c>
      <c r="I4" s="3">
        <f>LOG10(C4)</f>
        <v>1.7442929831226763</v>
      </c>
      <c r="J4" s="3">
        <f>D4*I4</f>
        <v>8.7214649156133817</v>
      </c>
      <c r="K4" s="3">
        <f>D4/C4</f>
        <v>9.0090090090090086E-2</v>
      </c>
    </row>
    <row r="5" spans="1:12" x14ac:dyDescent="0.25">
      <c r="A5" s="3" t="s">
        <v>20</v>
      </c>
      <c r="B5" s="4" t="s">
        <v>6</v>
      </c>
      <c r="C5" s="4">
        <v>59.5</v>
      </c>
      <c r="D5" s="4">
        <v>5</v>
      </c>
      <c r="E5" s="4">
        <f>E4+D5</f>
        <v>10</v>
      </c>
      <c r="F5" s="4">
        <f>D5*C5</f>
        <v>297.5</v>
      </c>
      <c r="G5" s="3">
        <f>(C5-63.5)/4</f>
        <v>-1</v>
      </c>
      <c r="H5" s="3">
        <f>D5*G5</f>
        <v>-5</v>
      </c>
      <c r="I5" s="3">
        <f>LOG10(C5)</f>
        <v>1.7745169657285496</v>
      </c>
      <c r="J5" s="3">
        <f>D5*I5</f>
        <v>8.8725848286427471</v>
      </c>
      <c r="K5" s="3">
        <f>D5/C5</f>
        <v>8.4033613445378158E-2</v>
      </c>
    </row>
    <row r="6" spans="1:12" x14ac:dyDescent="0.25">
      <c r="A6" s="3" t="s">
        <v>21</v>
      </c>
      <c r="B6" s="3" t="s">
        <v>7</v>
      </c>
      <c r="C6" s="5">
        <v>63.5</v>
      </c>
      <c r="D6" s="3">
        <v>9</v>
      </c>
      <c r="E6" s="4">
        <f>E5+D6</f>
        <v>19</v>
      </c>
      <c r="F6" s="3">
        <f>D6*C6</f>
        <v>571.5</v>
      </c>
      <c r="G6" s="3">
        <f>(C6-63.5)/4</f>
        <v>0</v>
      </c>
      <c r="H6" s="3">
        <f>D6*G6</f>
        <v>0</v>
      </c>
      <c r="I6" s="3">
        <f>LOG10(C6)</f>
        <v>1.8027737252919758</v>
      </c>
      <c r="J6" s="3">
        <f>D6*I6</f>
        <v>16.224963527627782</v>
      </c>
      <c r="K6" s="3">
        <f>D6/C6</f>
        <v>0.14173228346456693</v>
      </c>
    </row>
    <row r="7" spans="1:12" x14ac:dyDescent="0.25">
      <c r="A7" s="3" t="s">
        <v>22</v>
      </c>
      <c r="B7" s="4" t="s">
        <v>8</v>
      </c>
      <c r="C7" s="4">
        <v>67.5</v>
      </c>
      <c r="D7" s="4">
        <v>14</v>
      </c>
      <c r="E7" s="4">
        <f>E6+D7</f>
        <v>33</v>
      </c>
      <c r="F7" s="4">
        <f>D7*C7</f>
        <v>945</v>
      </c>
      <c r="G7" s="3">
        <f>(C7-63.5)/4</f>
        <v>1</v>
      </c>
      <c r="H7" s="3">
        <f>D7*G7</f>
        <v>14</v>
      </c>
      <c r="I7" s="3">
        <f>LOG10(C7)</f>
        <v>1.8293037728310249</v>
      </c>
      <c r="J7" s="3">
        <f>D7*I7</f>
        <v>25.610252819634347</v>
      </c>
      <c r="K7" s="3">
        <f>D7/C7</f>
        <v>0.2074074074074074</v>
      </c>
    </row>
    <row r="8" spans="1:12" x14ac:dyDescent="0.25">
      <c r="A8" s="3" t="s">
        <v>23</v>
      </c>
      <c r="B8" s="3" t="s">
        <v>9</v>
      </c>
      <c r="C8" s="3">
        <v>71.5</v>
      </c>
      <c r="D8" s="3">
        <v>7</v>
      </c>
      <c r="E8" s="4">
        <f>E7+D8</f>
        <v>40</v>
      </c>
      <c r="F8" s="3">
        <f>D8*C8</f>
        <v>500.5</v>
      </c>
      <c r="G8" s="3">
        <f>(C8-63.5)/4</f>
        <v>2</v>
      </c>
      <c r="H8" s="3">
        <f>D8*G8</f>
        <v>14</v>
      </c>
      <c r="I8" s="3">
        <f>LOG10(C8)</f>
        <v>1.8543060418010806</v>
      </c>
      <c r="J8" s="3">
        <f>D8*I8</f>
        <v>12.980142292607564</v>
      </c>
      <c r="K8" s="3">
        <f>D8/C8</f>
        <v>9.7902097902097904E-2</v>
      </c>
    </row>
    <row r="9" spans="1:1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2" x14ac:dyDescent="0.25">
      <c r="A10" s="6"/>
      <c r="B10" s="17" t="s">
        <v>24</v>
      </c>
      <c r="C10" s="17"/>
      <c r="D10" s="17">
        <f>SUM(D4:D8)</f>
        <v>40</v>
      </c>
      <c r="E10" s="17"/>
      <c r="F10" s="17">
        <f>SUM(F4:F8)</f>
        <v>2592</v>
      </c>
      <c r="G10" s="17"/>
      <c r="H10" s="17">
        <f>SUM(H4:H8)</f>
        <v>13</v>
      </c>
      <c r="I10" s="17"/>
      <c r="J10" s="17">
        <f>SUM(J4:J8)</f>
        <v>72.409408384125825</v>
      </c>
      <c r="K10" s="17">
        <f>SUM(K4:K8)</f>
        <v>0.62116549230954043</v>
      </c>
    </row>
    <row r="12" spans="1:12" x14ac:dyDescent="0.25">
      <c r="B12" s="29" t="s">
        <v>27</v>
      </c>
      <c r="C12" s="24" t="s">
        <v>25</v>
      </c>
      <c r="D12" s="23">
        <f>F10/D10</f>
        <v>64.8</v>
      </c>
      <c r="E12" s="23"/>
      <c r="F12" s="23" t="s">
        <v>26</v>
      </c>
      <c r="G12" s="23">
        <f>10^(J10/D10)</f>
        <v>64.600400369856985</v>
      </c>
      <c r="H12" s="2"/>
      <c r="I12" s="2"/>
      <c r="J12" s="2"/>
      <c r="K12" s="2"/>
      <c r="L12" s="2"/>
    </row>
    <row r="13" spans="1:12" x14ac:dyDescent="0.25">
      <c r="B13" s="30"/>
      <c r="C13" s="24" t="s">
        <v>28</v>
      </c>
      <c r="D13" s="23">
        <f>63.5+4*(H10/D10)</f>
        <v>64.8</v>
      </c>
      <c r="E13" s="23"/>
      <c r="F13" s="23" t="s">
        <v>29</v>
      </c>
      <c r="G13" s="23">
        <f>D10/K10</f>
        <v>64.395077471668557</v>
      </c>
      <c r="H13" s="2"/>
      <c r="I13" s="2"/>
      <c r="J13" s="2"/>
      <c r="K13" s="2"/>
      <c r="L13" s="2"/>
    </row>
    <row r="14" spans="1:12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2:12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2:12" x14ac:dyDescent="0.25">
      <c r="B18" s="23" t="s">
        <v>30</v>
      </c>
      <c r="C18" s="2"/>
      <c r="D18" s="2"/>
      <c r="E18" s="2"/>
      <c r="F18" s="23" t="s">
        <v>31</v>
      </c>
      <c r="G18" s="2"/>
      <c r="H18" s="2"/>
      <c r="I18" s="2"/>
      <c r="J18" s="2"/>
      <c r="K18" s="2"/>
      <c r="L18" s="2"/>
    </row>
    <row r="19" spans="2:12" x14ac:dyDescent="0.25">
      <c r="B19" s="23" t="s">
        <v>32</v>
      </c>
      <c r="C19" s="23" t="s">
        <v>33</v>
      </c>
      <c r="D19" s="23">
        <f>65.5+5*4/(5+7)</f>
        <v>67.166666666666671</v>
      </c>
      <c r="E19" s="2"/>
      <c r="F19" s="23" t="s">
        <v>30</v>
      </c>
      <c r="G19" s="2"/>
      <c r="H19" s="2"/>
      <c r="I19" s="2"/>
      <c r="J19" s="2"/>
      <c r="K19" s="2"/>
      <c r="L19" s="2"/>
    </row>
    <row r="20" spans="2:12" x14ac:dyDescent="0.25">
      <c r="B20" s="23" t="s">
        <v>34</v>
      </c>
      <c r="C20" s="2"/>
      <c r="D20" s="2"/>
      <c r="E20" s="2"/>
      <c r="F20" s="23" t="s">
        <v>35</v>
      </c>
      <c r="G20" s="23" t="s">
        <v>36</v>
      </c>
      <c r="H20" s="23">
        <f>65.5+(20-19)*4/14</f>
        <v>65.785714285714292</v>
      </c>
      <c r="I20" s="2"/>
      <c r="J20" s="2"/>
      <c r="K20" s="2"/>
      <c r="L20" s="2"/>
    </row>
    <row r="21" spans="2:12" x14ac:dyDescent="0.25">
      <c r="B21" s="23" t="s">
        <v>125</v>
      </c>
      <c r="C21" s="2"/>
      <c r="D21" s="2"/>
      <c r="E21" s="2"/>
      <c r="F21" s="23" t="s">
        <v>37</v>
      </c>
      <c r="G21" s="2"/>
      <c r="H21" s="2"/>
      <c r="I21" s="2"/>
      <c r="J21" s="2"/>
      <c r="K21" s="2"/>
      <c r="L21" s="2"/>
    </row>
    <row r="22" spans="2:12" x14ac:dyDescent="0.25">
      <c r="B22" s="2"/>
      <c r="C22" s="2"/>
      <c r="D22" s="2"/>
      <c r="E22" s="2"/>
      <c r="F22" s="23" t="s">
        <v>125</v>
      </c>
      <c r="G22" s="2"/>
      <c r="H22" s="2"/>
      <c r="I22" s="2"/>
      <c r="J22" s="2"/>
      <c r="K22" s="2"/>
      <c r="L22" s="2"/>
    </row>
    <row r="23" spans="2:12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2:12" x14ac:dyDescent="0.25">
      <c r="B24" s="23" t="s">
        <v>38</v>
      </c>
      <c r="C24" s="2"/>
      <c r="D24" s="2"/>
      <c r="E24" s="2"/>
      <c r="F24" s="23" t="s">
        <v>39</v>
      </c>
      <c r="G24" s="2"/>
      <c r="H24" s="2"/>
      <c r="I24" s="2"/>
      <c r="J24" s="23" t="s">
        <v>40</v>
      </c>
      <c r="K24" s="2"/>
      <c r="L24" s="2"/>
    </row>
    <row r="25" spans="2:12" x14ac:dyDescent="0.25">
      <c r="B25" s="23" t="s">
        <v>41</v>
      </c>
      <c r="C25" s="23" t="s">
        <v>42</v>
      </c>
      <c r="D25" s="23">
        <f>57.5+(10-5)*4/5</f>
        <v>61.5</v>
      </c>
      <c r="E25" s="2"/>
      <c r="F25" s="23" t="s">
        <v>43</v>
      </c>
      <c r="G25" s="2"/>
      <c r="H25" s="2"/>
      <c r="I25" s="2"/>
      <c r="J25" s="23" t="s">
        <v>43</v>
      </c>
      <c r="K25" s="2"/>
      <c r="L25" s="2"/>
    </row>
    <row r="26" spans="2:12" x14ac:dyDescent="0.25">
      <c r="B26" s="23" t="s">
        <v>44</v>
      </c>
      <c r="C26" s="2"/>
      <c r="D26" s="2"/>
      <c r="E26" s="2"/>
      <c r="F26" s="23" t="s">
        <v>45</v>
      </c>
      <c r="G26" s="23" t="s">
        <v>46</v>
      </c>
      <c r="H26" s="23">
        <f>61.5+(12-10)*4/9</f>
        <v>62.388888888888886</v>
      </c>
      <c r="I26" s="2"/>
      <c r="J26" s="23" t="s">
        <v>45</v>
      </c>
      <c r="K26" s="23" t="s">
        <v>47</v>
      </c>
      <c r="L26" s="23">
        <f>61.5+(18.8-10)*4/9</f>
        <v>65.411111111111111</v>
      </c>
    </row>
    <row r="27" spans="2:12" x14ac:dyDescent="0.25">
      <c r="B27" s="23" t="s">
        <v>48</v>
      </c>
      <c r="C27" s="2"/>
      <c r="D27" s="2"/>
      <c r="E27" s="2"/>
      <c r="F27" s="23" t="s">
        <v>49</v>
      </c>
      <c r="G27" s="2"/>
      <c r="H27" s="2"/>
      <c r="I27" s="2"/>
      <c r="J27" s="23" t="s">
        <v>49</v>
      </c>
      <c r="K27" s="2"/>
      <c r="L27" s="2"/>
    </row>
    <row r="28" spans="2:12" x14ac:dyDescent="0.25">
      <c r="B28" s="23" t="s">
        <v>125</v>
      </c>
      <c r="C28" s="2"/>
      <c r="D28" s="2"/>
      <c r="E28" s="2"/>
      <c r="F28" s="23" t="s">
        <v>125</v>
      </c>
      <c r="G28" s="2"/>
      <c r="H28" s="2"/>
      <c r="I28" s="2"/>
      <c r="J28" s="23" t="s">
        <v>125</v>
      </c>
      <c r="K28" s="2"/>
      <c r="L28" s="2"/>
    </row>
  </sheetData>
  <mergeCells count="1">
    <mergeCell ref="B12:B13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K26"/>
  <sheetViews>
    <sheetView zoomScaleNormal="100" workbookViewId="0">
      <selection activeCell="E12" sqref="E12"/>
    </sheetView>
  </sheetViews>
  <sheetFormatPr defaultRowHeight="15" x14ac:dyDescent="0.25"/>
  <cols>
    <col min="1" max="1" width="9.140625" style="1" customWidth="1"/>
    <col min="2" max="2" width="27" style="1" customWidth="1"/>
    <col min="3" max="3" width="14.28515625" style="1" customWidth="1"/>
    <col min="4" max="4" width="12.85546875" style="1" customWidth="1"/>
    <col min="5" max="5" width="13.140625" style="1" customWidth="1"/>
    <col min="6" max="6" width="16" style="1" customWidth="1"/>
    <col min="7" max="7" width="16.5703125" style="1" customWidth="1"/>
    <col min="8" max="9" width="9.140625" style="1" customWidth="1"/>
    <col min="10" max="10" width="11.7109375" style="1" customWidth="1"/>
    <col min="11" max="12" width="9.140625" style="1" customWidth="1"/>
    <col min="13" max="13" width="14.140625" style="1" customWidth="1"/>
    <col min="14" max="1025" width="9.140625" style="1" customWidth="1"/>
  </cols>
  <sheetData>
    <row r="3" spans="1:13" x14ac:dyDescent="0.25">
      <c r="A3" s="17" t="s">
        <v>11</v>
      </c>
      <c r="B3" s="17" t="s">
        <v>12</v>
      </c>
      <c r="C3" s="17" t="s">
        <v>0</v>
      </c>
      <c r="D3" s="17" t="s">
        <v>1</v>
      </c>
      <c r="E3" s="17" t="s">
        <v>50</v>
      </c>
      <c r="F3" s="17" t="s">
        <v>51</v>
      </c>
      <c r="G3" s="17" t="s">
        <v>52</v>
      </c>
      <c r="H3" s="17" t="s">
        <v>53</v>
      </c>
      <c r="I3" s="17" t="s">
        <v>54</v>
      </c>
      <c r="J3" s="17" t="s">
        <v>14</v>
      </c>
      <c r="K3" s="17" t="s">
        <v>55</v>
      </c>
      <c r="L3" s="17" t="s">
        <v>56</v>
      </c>
      <c r="M3" s="17" t="s">
        <v>57</v>
      </c>
    </row>
    <row r="4" spans="1:13" x14ac:dyDescent="0.25">
      <c r="A4" s="3" t="s">
        <v>19</v>
      </c>
      <c r="B4" s="3" t="s">
        <v>5</v>
      </c>
      <c r="C4" s="3">
        <v>55.5</v>
      </c>
      <c r="D4" s="3">
        <v>5</v>
      </c>
      <c r="E4" s="3">
        <f>D4*ABS(C4-64.8)</f>
        <v>46.499999999999986</v>
      </c>
      <c r="F4" s="3">
        <f>D4*ABS(C4-67.17)</f>
        <v>58.350000000000009</v>
      </c>
      <c r="G4" s="3">
        <f>D4*ABS(C4-65.79)</f>
        <v>51.450000000000031</v>
      </c>
      <c r="H4" s="3">
        <f>D4*C4</f>
        <v>277.5</v>
      </c>
      <c r="I4" s="3">
        <f>D4*C4^2</f>
        <v>15401.25</v>
      </c>
      <c r="J4" s="3">
        <f>(C4-63.5)/4</f>
        <v>-2</v>
      </c>
      <c r="K4" s="3">
        <f>D4*J4</f>
        <v>-10</v>
      </c>
      <c r="L4" s="3">
        <f>D4*J4^2</f>
        <v>20</v>
      </c>
      <c r="M4" s="3">
        <f>(C4-64.8)/5.1</f>
        <v>-1.8235294117647054</v>
      </c>
    </row>
    <row r="5" spans="1:13" x14ac:dyDescent="0.25">
      <c r="A5" s="3" t="s">
        <v>20</v>
      </c>
      <c r="B5" s="4" t="s">
        <v>6</v>
      </c>
      <c r="C5" s="4">
        <v>59.5</v>
      </c>
      <c r="D5" s="4">
        <v>5</v>
      </c>
      <c r="E5" s="3">
        <f>D5*ABS(C5-64.8)</f>
        <v>26.499999999999986</v>
      </c>
      <c r="F5" s="3">
        <f>D5*ABS(C5-67.17)</f>
        <v>38.350000000000009</v>
      </c>
      <c r="G5" s="3">
        <f>D5*ABS(C5-65.79)</f>
        <v>31.450000000000031</v>
      </c>
      <c r="H5" s="3">
        <f>D5*C5</f>
        <v>297.5</v>
      </c>
      <c r="I5" s="3">
        <f>D5*C5^2</f>
        <v>17701.25</v>
      </c>
      <c r="J5" s="3">
        <f>(C5-63.5)/4</f>
        <v>-1</v>
      </c>
      <c r="K5" s="3">
        <f>D5*J5</f>
        <v>-5</v>
      </c>
      <c r="L5" s="3">
        <f>D5*J5^2</f>
        <v>5</v>
      </c>
      <c r="M5" s="3">
        <f>(C5-64.8)/5.1</f>
        <v>-1.0392156862745092</v>
      </c>
    </row>
    <row r="6" spans="1:13" x14ac:dyDescent="0.25">
      <c r="A6" s="3" t="s">
        <v>21</v>
      </c>
      <c r="B6" s="3" t="s">
        <v>7</v>
      </c>
      <c r="C6" s="5">
        <v>63.5</v>
      </c>
      <c r="D6" s="3">
        <v>9</v>
      </c>
      <c r="E6" s="3">
        <f>D6*ABS(C6-64.8)</f>
        <v>11.699999999999974</v>
      </c>
      <c r="F6" s="3">
        <f>D6*ABS(C6-67.17)</f>
        <v>33.030000000000015</v>
      </c>
      <c r="G6" s="3">
        <f>D6*ABS(C6-65.79)</f>
        <v>20.610000000000056</v>
      </c>
      <c r="H6" s="3">
        <f>D6*C6</f>
        <v>571.5</v>
      </c>
      <c r="I6" s="3">
        <f>D6*C6^2</f>
        <v>36290.25</v>
      </c>
      <c r="J6" s="3">
        <f>(C6-63.5)/4</f>
        <v>0</v>
      </c>
      <c r="K6" s="3">
        <f>D6*J6</f>
        <v>0</v>
      </c>
      <c r="L6" s="3">
        <f>D6*J6^2</f>
        <v>0</v>
      </c>
      <c r="M6" s="3">
        <f>(C6-64.8)/5.1</f>
        <v>-0.25490196078431321</v>
      </c>
    </row>
    <row r="7" spans="1:13" x14ac:dyDescent="0.25">
      <c r="A7" s="3" t="s">
        <v>22</v>
      </c>
      <c r="B7" s="4" t="s">
        <v>8</v>
      </c>
      <c r="C7" s="4">
        <v>67.5</v>
      </c>
      <c r="D7" s="4">
        <v>14</v>
      </c>
      <c r="E7" s="3">
        <f>D7*ABS(C7-64.8)</f>
        <v>37.80000000000004</v>
      </c>
      <c r="F7" s="3">
        <f>D7*ABS(C7-67.17)</f>
        <v>4.6199999999999761</v>
      </c>
      <c r="G7" s="3">
        <f>D7*ABS(C7-65.79)</f>
        <v>23.939999999999912</v>
      </c>
      <c r="H7" s="3">
        <f>D7*C7</f>
        <v>945</v>
      </c>
      <c r="I7" s="3">
        <f>D7*C7^2</f>
        <v>63787.5</v>
      </c>
      <c r="J7" s="3">
        <f>(C7-63.5)/4</f>
        <v>1</v>
      </c>
      <c r="K7" s="3">
        <f>D7*J7</f>
        <v>14</v>
      </c>
      <c r="L7" s="3">
        <f>D7*J7^2</f>
        <v>14</v>
      </c>
      <c r="M7" s="3">
        <f>(C7-64.8)/5.1</f>
        <v>0.52941176470588291</v>
      </c>
    </row>
    <row r="8" spans="1:13" x14ac:dyDescent="0.25">
      <c r="A8" s="3" t="s">
        <v>23</v>
      </c>
      <c r="B8" s="3" t="s">
        <v>9</v>
      </c>
      <c r="C8" s="3">
        <v>71.5</v>
      </c>
      <c r="D8" s="3">
        <v>7</v>
      </c>
      <c r="E8" s="3">
        <f>D8*ABS(C8-64.8)</f>
        <v>46.90000000000002</v>
      </c>
      <c r="F8" s="3">
        <f>D8*ABS(C8-67.17)</f>
        <v>30.309999999999988</v>
      </c>
      <c r="G8" s="3">
        <f>D8*ABS(C8-65.79)</f>
        <v>39.969999999999956</v>
      </c>
      <c r="H8" s="3">
        <f>D8*C8</f>
        <v>500.5</v>
      </c>
      <c r="I8" s="3">
        <f>D8*C8^2</f>
        <v>35785.75</v>
      </c>
      <c r="J8" s="3">
        <f>(C8-63.5)/4</f>
        <v>2</v>
      </c>
      <c r="K8" s="3">
        <f>D8*J8</f>
        <v>14</v>
      </c>
      <c r="L8" s="3">
        <f>D8*J8^2</f>
        <v>28</v>
      </c>
      <c r="M8" s="3">
        <f>(C8-64.8)/5.1</f>
        <v>1.3137254901960791</v>
      </c>
    </row>
    <row r="9" spans="1:13" x14ac:dyDescent="0.25">
      <c r="A9" s="6"/>
      <c r="B9" s="6"/>
      <c r="C9" s="17" t="s">
        <v>58</v>
      </c>
      <c r="D9" s="17">
        <f t="shared" ref="D9:I9" si="0">SUM(D4:D8)</f>
        <v>40</v>
      </c>
      <c r="E9" s="17">
        <f t="shared" si="0"/>
        <v>169.4</v>
      </c>
      <c r="F9" s="17">
        <f t="shared" si="0"/>
        <v>164.65999999999997</v>
      </c>
      <c r="G9" s="17">
        <f t="shared" si="0"/>
        <v>167.42</v>
      </c>
      <c r="H9" s="17">
        <f t="shared" si="0"/>
        <v>2592</v>
      </c>
      <c r="I9" s="17">
        <f t="shared" si="0"/>
        <v>168966</v>
      </c>
      <c r="J9" s="17"/>
      <c r="K9" s="17">
        <f>SUM(K4:K8)</f>
        <v>13</v>
      </c>
      <c r="L9" s="17">
        <f>SUM(L4:L8)</f>
        <v>67</v>
      </c>
      <c r="M9" s="6"/>
    </row>
    <row r="11" spans="1:13" x14ac:dyDescent="0.25">
      <c r="B11" s="7" t="s">
        <v>126</v>
      </c>
      <c r="C11" s="7">
        <v>64.8</v>
      </c>
    </row>
    <row r="12" spans="1:13" x14ac:dyDescent="0.25">
      <c r="B12" s="7" t="s">
        <v>123</v>
      </c>
      <c r="C12" s="7">
        <v>67.17</v>
      </c>
    </row>
    <row r="13" spans="1:13" x14ac:dyDescent="0.25">
      <c r="B13" s="7" t="s">
        <v>124</v>
      </c>
      <c r="C13" s="7">
        <v>65.790000000000006</v>
      </c>
      <c r="E13" s="2"/>
    </row>
    <row r="14" spans="1:13" x14ac:dyDescent="0.25">
      <c r="B14" s="23" t="s">
        <v>59</v>
      </c>
      <c r="C14" s="23">
        <f>E9/D9</f>
        <v>4.2350000000000003</v>
      </c>
      <c r="E14" s="2"/>
    </row>
    <row r="15" spans="1:13" x14ac:dyDescent="0.25">
      <c r="B15" s="7" t="s">
        <v>60</v>
      </c>
      <c r="C15" s="7">
        <f>F9/D9</f>
        <v>4.1164999999999994</v>
      </c>
    </row>
    <row r="16" spans="1:13" x14ac:dyDescent="0.25">
      <c r="B16" s="7" t="s">
        <v>61</v>
      </c>
      <c r="C16" s="8">
        <f>G9/D9</f>
        <v>4.1854999999999993</v>
      </c>
    </row>
    <row r="17" spans="2:9" x14ac:dyDescent="0.25">
      <c r="B17" s="23" t="s">
        <v>62</v>
      </c>
      <c r="C17" s="23">
        <f>C14*100/64.8</f>
        <v>6.5354938271604954</v>
      </c>
      <c r="D17" s="23" t="s">
        <v>63</v>
      </c>
      <c r="E17" s="2"/>
      <c r="F17" s="2"/>
    </row>
    <row r="18" spans="2:9" x14ac:dyDescent="0.25">
      <c r="B18" s="7" t="s">
        <v>64</v>
      </c>
      <c r="C18" s="7">
        <f>C15*100/67.17</f>
        <v>6.1284799761798405</v>
      </c>
      <c r="D18" s="7" t="s">
        <v>63</v>
      </c>
      <c r="E18" s="2"/>
      <c r="F18" s="2"/>
    </row>
    <row r="19" spans="2:9" x14ac:dyDescent="0.25">
      <c r="B19" s="7" t="s">
        <v>65</v>
      </c>
      <c r="C19" s="7">
        <f>C16*100/65.79</f>
        <v>6.361909104727161</v>
      </c>
      <c r="D19" s="7" t="s">
        <v>63</v>
      </c>
      <c r="E19" s="2"/>
      <c r="F19" s="2"/>
    </row>
    <row r="20" spans="2:9" x14ac:dyDescent="0.25">
      <c r="B20" s="2"/>
      <c r="C20" s="2"/>
      <c r="E20" s="2"/>
      <c r="F20" s="2"/>
    </row>
    <row r="21" spans="2:9" x14ac:dyDescent="0.25">
      <c r="B21" s="17" t="s">
        <v>66</v>
      </c>
      <c r="C21" s="23">
        <f>SQRT((I9/D9)-(H9/D9)^2)</f>
        <v>5.0109879265469868</v>
      </c>
      <c r="E21" s="2"/>
      <c r="F21" s="2"/>
      <c r="H21" s="2"/>
      <c r="I21" s="2"/>
    </row>
    <row r="22" spans="2:9" x14ac:dyDescent="0.25">
      <c r="B22" s="17" t="s">
        <v>67</v>
      </c>
      <c r="C22" s="23">
        <f>4*SQRT((L9/D9)-(K9/D9)^2)</f>
        <v>5.0109879265470196</v>
      </c>
      <c r="E22" s="2"/>
      <c r="F22" s="2"/>
    </row>
    <row r="23" spans="2:9" x14ac:dyDescent="0.25">
      <c r="B23" s="2"/>
      <c r="C23" s="2"/>
      <c r="E23" s="2"/>
      <c r="F23" s="2"/>
    </row>
    <row r="24" spans="2:9" x14ac:dyDescent="0.25">
      <c r="B24" s="17" t="s">
        <v>27</v>
      </c>
      <c r="C24" s="2"/>
      <c r="E24" s="2"/>
      <c r="F24" s="2"/>
    </row>
    <row r="25" spans="2:9" x14ac:dyDescent="0.25">
      <c r="B25" s="2"/>
      <c r="C25" s="2"/>
      <c r="E25" s="2"/>
      <c r="F25" s="2"/>
    </row>
    <row r="26" spans="2:9" x14ac:dyDescent="0.25">
      <c r="B26" s="23" t="s">
        <v>68</v>
      </c>
      <c r="C26" s="23">
        <f>C22*100/64.8</f>
        <v>7.7330060594861418</v>
      </c>
      <c r="D26" s="23" t="s">
        <v>63</v>
      </c>
      <c r="E26" s="2"/>
      <c r="F26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ML26"/>
  <sheetViews>
    <sheetView zoomScaleNormal="100" workbookViewId="0">
      <selection activeCell="F12" sqref="F12"/>
    </sheetView>
  </sheetViews>
  <sheetFormatPr defaultRowHeight="15" x14ac:dyDescent="0.25"/>
  <cols>
    <col min="1" max="1" width="9.42578125" customWidth="1"/>
    <col min="2" max="2" width="13.140625" style="1" customWidth="1"/>
    <col min="3" max="3" width="15.5703125" style="1" customWidth="1"/>
    <col min="4" max="4" width="15.28515625" style="1" customWidth="1"/>
    <col min="5" max="5" width="12.42578125" style="1" customWidth="1"/>
    <col min="6" max="6" width="11.28515625" style="1" customWidth="1"/>
    <col min="7" max="1026" width="9.140625" style="1" customWidth="1"/>
  </cols>
  <sheetData>
    <row r="3" spans="1:9" x14ac:dyDescent="0.25">
      <c r="A3" s="17" t="s">
        <v>11</v>
      </c>
      <c r="B3" s="17" t="s">
        <v>12</v>
      </c>
      <c r="C3" s="17" t="s">
        <v>0</v>
      </c>
      <c r="D3" s="17" t="s">
        <v>1</v>
      </c>
      <c r="E3" s="17" t="s">
        <v>69</v>
      </c>
      <c r="F3" s="17" t="s">
        <v>15</v>
      </c>
      <c r="G3" s="17" t="s">
        <v>70</v>
      </c>
      <c r="H3" s="17" t="s">
        <v>71</v>
      </c>
      <c r="I3" s="17" t="s">
        <v>72</v>
      </c>
    </row>
    <row r="4" spans="1:9" x14ac:dyDescent="0.25">
      <c r="A4" s="3" t="s">
        <v>19</v>
      </c>
      <c r="B4" s="3" t="s">
        <v>5</v>
      </c>
      <c r="C4" s="3">
        <v>55.5</v>
      </c>
      <c r="D4" s="3">
        <v>5</v>
      </c>
      <c r="E4" s="3">
        <f>(C4-65.5)/4</f>
        <v>-2.5</v>
      </c>
      <c r="F4" s="3">
        <f>D4*E4</f>
        <v>-12.5</v>
      </c>
      <c r="G4" s="3">
        <f>D4*E4^2</f>
        <v>31.25</v>
      </c>
      <c r="H4" s="3">
        <f>D4*E4^3</f>
        <v>-78.125</v>
      </c>
      <c r="I4" s="3">
        <f>D4*E4^4</f>
        <v>195.3125</v>
      </c>
    </row>
    <row r="5" spans="1:9" x14ac:dyDescent="0.25">
      <c r="A5" s="3" t="s">
        <v>20</v>
      </c>
      <c r="B5" s="3" t="s">
        <v>6</v>
      </c>
      <c r="C5" s="4">
        <v>59.5</v>
      </c>
      <c r="D5" s="4">
        <v>5</v>
      </c>
      <c r="E5" s="3">
        <f>(C5-65.5)/4</f>
        <v>-1.5</v>
      </c>
      <c r="F5" s="3">
        <f>D5*E5</f>
        <v>-7.5</v>
      </c>
      <c r="G5" s="3">
        <f>D5*E5^2</f>
        <v>11.25</v>
      </c>
      <c r="H5" s="3">
        <f>D5*E5^3</f>
        <v>-16.875</v>
      </c>
      <c r="I5" s="3">
        <f>D5*E5^4</f>
        <v>25.3125</v>
      </c>
    </row>
    <row r="6" spans="1:9" x14ac:dyDescent="0.25">
      <c r="A6" s="3" t="s">
        <v>21</v>
      </c>
      <c r="B6" s="3" t="s">
        <v>7</v>
      </c>
      <c r="C6" s="5">
        <v>63.5</v>
      </c>
      <c r="D6" s="3">
        <v>9</v>
      </c>
      <c r="E6" s="3">
        <f>(C6-65.5)/4</f>
        <v>-0.5</v>
      </c>
      <c r="F6" s="3">
        <f>D6*E6</f>
        <v>-4.5</v>
      </c>
      <c r="G6" s="3">
        <f>D6*E6^2</f>
        <v>2.25</v>
      </c>
      <c r="H6" s="3">
        <f>D6*E6^3</f>
        <v>-1.125</v>
      </c>
      <c r="I6" s="3">
        <f>D6*E6^4</f>
        <v>0.5625</v>
      </c>
    </row>
    <row r="7" spans="1:9" x14ac:dyDescent="0.25">
      <c r="A7" s="3" t="s">
        <v>22</v>
      </c>
      <c r="B7" s="4" t="s">
        <v>8</v>
      </c>
      <c r="C7" s="4">
        <v>67.5</v>
      </c>
      <c r="D7" s="4">
        <v>14</v>
      </c>
      <c r="E7" s="3">
        <f>(C7-65.5)/4</f>
        <v>0.5</v>
      </c>
      <c r="F7" s="3">
        <f>D7*E7</f>
        <v>7</v>
      </c>
      <c r="G7" s="3">
        <f>D7*E7^2</f>
        <v>3.5</v>
      </c>
      <c r="H7" s="3">
        <f>D7*E7^3</f>
        <v>1.75</v>
      </c>
      <c r="I7" s="3">
        <f>D7*E7^4</f>
        <v>0.875</v>
      </c>
    </row>
    <row r="8" spans="1:9" x14ac:dyDescent="0.25">
      <c r="A8" s="3" t="s">
        <v>23</v>
      </c>
      <c r="B8" s="3" t="s">
        <v>9</v>
      </c>
      <c r="C8" s="3">
        <v>71.5</v>
      </c>
      <c r="D8" s="3">
        <v>7</v>
      </c>
      <c r="E8" s="3">
        <f>(C8-65.5)/4</f>
        <v>1.5</v>
      </c>
      <c r="F8" s="3">
        <f>D8*E8</f>
        <v>10.5</v>
      </c>
      <c r="G8" s="3">
        <f>D8*E8^2</f>
        <v>15.75</v>
      </c>
      <c r="H8" s="3">
        <f>D8*E8^3</f>
        <v>23.625</v>
      </c>
      <c r="I8" s="3">
        <f>D8*E8^4</f>
        <v>35.4375</v>
      </c>
    </row>
    <row r="10" spans="1:9" x14ac:dyDescent="0.25">
      <c r="C10" s="17" t="s">
        <v>24</v>
      </c>
      <c r="D10" s="17">
        <f>SUM(D4:D8)</f>
        <v>40</v>
      </c>
      <c r="E10" s="17"/>
      <c r="F10" s="17">
        <f>SUM(F4:F8)</f>
        <v>-7</v>
      </c>
      <c r="G10" s="17">
        <f>SUM(G4:G8)</f>
        <v>64</v>
      </c>
      <c r="H10" s="17">
        <f>SUM(H4:H8)</f>
        <v>-70.75</v>
      </c>
      <c r="I10" s="17">
        <f>SUM(I4:I8)</f>
        <v>257.5</v>
      </c>
    </row>
    <row r="12" spans="1:9" x14ac:dyDescent="0.25">
      <c r="C12" s="17" t="s">
        <v>73</v>
      </c>
      <c r="D12" s="17">
        <f>4*F10/D10</f>
        <v>-0.7</v>
      </c>
    </row>
    <row r="13" spans="1:9" x14ac:dyDescent="0.25">
      <c r="C13" s="17" t="s">
        <v>74</v>
      </c>
      <c r="D13" s="17">
        <f>(4^2)*G10/D10</f>
        <v>25.6</v>
      </c>
    </row>
    <row r="14" spans="1:9" x14ac:dyDescent="0.25">
      <c r="C14" s="17" t="s">
        <v>75</v>
      </c>
      <c r="D14" s="17">
        <f>(4^3)*H10/D10</f>
        <v>-113.2</v>
      </c>
    </row>
    <row r="15" spans="1:9" x14ac:dyDescent="0.25">
      <c r="C15" s="17" t="s">
        <v>76</v>
      </c>
      <c r="D15" s="17">
        <f>(4^4)*I10/D10</f>
        <v>1648</v>
      </c>
    </row>
    <row r="17" spans="3:6" x14ac:dyDescent="0.25">
      <c r="C17" s="17" t="s">
        <v>77</v>
      </c>
      <c r="D17" s="17">
        <v>0</v>
      </c>
    </row>
    <row r="18" spans="3:6" x14ac:dyDescent="0.25">
      <c r="C18" s="17" t="s">
        <v>78</v>
      </c>
      <c r="D18" s="17">
        <f>D13-(D12^2)</f>
        <v>25.110000000000003</v>
      </c>
    </row>
    <row r="19" spans="3:6" x14ac:dyDescent="0.25">
      <c r="C19" s="17" t="s">
        <v>79</v>
      </c>
      <c r="D19" s="17">
        <f>D14-3*D12*D13+2*(D12^3)</f>
        <v>-60.126000000000012</v>
      </c>
    </row>
    <row r="20" spans="3:6" x14ac:dyDescent="0.25">
      <c r="C20" s="17" t="s">
        <v>80</v>
      </c>
      <c r="D20" s="17">
        <f>D15-4*D12*D14+6*(D12^2)*D13-3*(D12^4)</f>
        <v>1405.5836999999999</v>
      </c>
    </row>
    <row r="22" spans="3:6" ht="30" x14ac:dyDescent="0.25">
      <c r="C22" s="21" t="s">
        <v>81</v>
      </c>
      <c r="D22" s="21">
        <f>D19/((SQRT(D18))^3)</f>
        <v>-0.47785071860090578</v>
      </c>
      <c r="E22" s="21" t="s">
        <v>139</v>
      </c>
      <c r="F22" s="22" t="s">
        <v>82</v>
      </c>
    </row>
    <row r="23" spans="3:6" x14ac:dyDescent="0.25">
      <c r="C23" s="21" t="s">
        <v>83</v>
      </c>
      <c r="D23" s="17">
        <f>D20/((SQRT(D18))^4)</f>
        <v>2.229273157485796</v>
      </c>
      <c r="E23" s="17" t="s">
        <v>140</v>
      </c>
      <c r="F23" s="17" t="s">
        <v>84</v>
      </c>
    </row>
    <row r="25" spans="3:6" x14ac:dyDescent="0.25">
      <c r="C25" s="17" t="s">
        <v>85</v>
      </c>
      <c r="D25" s="17">
        <f>D18-16/12</f>
        <v>23.776666666666671</v>
      </c>
    </row>
    <row r="26" spans="3:6" x14ac:dyDescent="0.25">
      <c r="C26" s="17" t="s">
        <v>86</v>
      </c>
      <c r="D26" s="17">
        <f>D20-0.5*16*D18+7*256/240</f>
        <v>1212.1703666666665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AMK64"/>
  <sheetViews>
    <sheetView zoomScaleNormal="100" workbookViewId="0">
      <selection activeCell="I21" sqref="I21"/>
    </sheetView>
  </sheetViews>
  <sheetFormatPr defaultRowHeight="15" x14ac:dyDescent="0.25"/>
  <cols>
    <col min="1" max="1" width="9.28515625" style="1" customWidth="1"/>
    <col min="2" max="2" width="12.42578125" style="1" customWidth="1"/>
    <col min="3" max="3" width="9.42578125" style="1" customWidth="1"/>
    <col min="4" max="6" width="9.140625" style="1" customWidth="1"/>
    <col min="7" max="7" width="11.42578125" style="1"/>
    <col min="8" max="8" width="13" style="1" customWidth="1"/>
    <col min="9" max="9" width="10.42578125" style="1" customWidth="1"/>
    <col min="10" max="10" width="10.5703125" style="1" customWidth="1"/>
    <col min="11" max="11" width="8.85546875" style="1" customWidth="1"/>
    <col min="12" max="12" width="18.85546875" style="1" customWidth="1"/>
    <col min="13" max="13" width="17.5703125" style="1" customWidth="1"/>
    <col min="14" max="14" width="9" style="1" customWidth="1"/>
    <col min="15" max="16" width="9.140625" style="1" customWidth="1"/>
    <col min="17" max="17" width="12.7109375" style="1" customWidth="1"/>
    <col min="18" max="1025" width="9.140625" style="1" customWidth="1"/>
  </cols>
  <sheetData>
    <row r="4" spans="1:17" x14ac:dyDescent="0.25">
      <c r="B4" s="17" t="s">
        <v>87</v>
      </c>
      <c r="C4" s="17" t="s">
        <v>88</v>
      </c>
      <c r="D4" s="17" t="s">
        <v>89</v>
      </c>
      <c r="E4" s="17" t="s">
        <v>90</v>
      </c>
      <c r="F4" s="17" t="s">
        <v>91</v>
      </c>
      <c r="G4" s="17" t="s">
        <v>92</v>
      </c>
      <c r="H4" s="17" t="s">
        <v>93</v>
      </c>
      <c r="I4" s="17" t="s">
        <v>94</v>
      </c>
      <c r="J4" s="17" t="s">
        <v>95</v>
      </c>
      <c r="K4" s="17" t="s">
        <v>96</v>
      </c>
      <c r="M4" s="17" t="s">
        <v>97</v>
      </c>
      <c r="N4" s="17" t="s">
        <v>98</v>
      </c>
      <c r="O4" s="17" t="s">
        <v>99</v>
      </c>
      <c r="P4" s="17" t="s">
        <v>100</v>
      </c>
      <c r="Q4" s="17" t="s">
        <v>101</v>
      </c>
    </row>
    <row r="5" spans="1:17" x14ac:dyDescent="0.25">
      <c r="B5" s="3">
        <v>75</v>
      </c>
      <c r="C5" s="3">
        <v>69</v>
      </c>
      <c r="D5" s="3">
        <f t="shared" ref="D5:D16" si="0">B5^2</f>
        <v>5625</v>
      </c>
      <c r="E5" s="3">
        <f t="shared" ref="E5:E16" si="1">C5^2</f>
        <v>4761</v>
      </c>
      <c r="F5" s="3">
        <f t="shared" ref="F5:F16" si="2">B5*C5</f>
        <v>5175</v>
      </c>
      <c r="G5" s="3">
        <f t="shared" ref="G5:G16" si="3">(B5-70)/10</f>
        <v>0.5</v>
      </c>
      <c r="H5" s="3">
        <f t="shared" ref="H5:H16" si="4">(C5-65)/5</f>
        <v>0.8</v>
      </c>
      <c r="I5" s="3">
        <f t="shared" ref="I5:I16" si="5">G5^2</f>
        <v>0.25</v>
      </c>
      <c r="J5" s="3">
        <f t="shared" ref="J5:J16" si="6">H5^2</f>
        <v>0.64000000000000012</v>
      </c>
      <c r="K5" s="3">
        <f t="shared" ref="K5:K16" si="7">G5*H5</f>
        <v>0.4</v>
      </c>
      <c r="M5" s="3">
        <v>1</v>
      </c>
      <c r="N5" s="3">
        <v>1</v>
      </c>
      <c r="O5" s="3">
        <v>4</v>
      </c>
      <c r="P5" s="3">
        <f t="shared" ref="P5:P14" si="8">N5-O5</f>
        <v>-3</v>
      </c>
      <c r="Q5" s="3">
        <f t="shared" ref="Q5:Q14" si="9">P5^2</f>
        <v>9</v>
      </c>
    </row>
    <row r="6" spans="1:17" x14ac:dyDescent="0.25">
      <c r="B6" s="3">
        <v>70</v>
      </c>
      <c r="C6" s="3">
        <v>67</v>
      </c>
      <c r="D6" s="3">
        <f t="shared" si="0"/>
        <v>4900</v>
      </c>
      <c r="E6" s="3">
        <f t="shared" si="1"/>
        <v>4489</v>
      </c>
      <c r="F6" s="3">
        <f t="shared" si="2"/>
        <v>4690</v>
      </c>
      <c r="G6" s="3">
        <f t="shared" si="3"/>
        <v>0</v>
      </c>
      <c r="H6" s="3">
        <f t="shared" si="4"/>
        <v>0.4</v>
      </c>
      <c r="I6" s="3">
        <f t="shared" si="5"/>
        <v>0</v>
      </c>
      <c r="J6" s="3">
        <f t="shared" si="6"/>
        <v>0.16000000000000003</v>
      </c>
      <c r="K6" s="3">
        <f t="shared" si="7"/>
        <v>0</v>
      </c>
      <c r="M6" s="3">
        <v>2</v>
      </c>
      <c r="N6" s="3">
        <v>5</v>
      </c>
      <c r="O6" s="3">
        <v>3</v>
      </c>
      <c r="P6" s="3">
        <f t="shared" si="8"/>
        <v>2</v>
      </c>
      <c r="Q6" s="3">
        <f t="shared" si="9"/>
        <v>4</v>
      </c>
    </row>
    <row r="7" spans="1:17" x14ac:dyDescent="0.25">
      <c r="B7" s="3">
        <v>80</v>
      </c>
      <c r="C7" s="3">
        <v>63</v>
      </c>
      <c r="D7" s="3">
        <f t="shared" si="0"/>
        <v>6400</v>
      </c>
      <c r="E7" s="3">
        <f t="shared" si="1"/>
        <v>3969</v>
      </c>
      <c r="F7" s="3">
        <f t="shared" si="2"/>
        <v>5040</v>
      </c>
      <c r="G7" s="3">
        <f t="shared" si="3"/>
        <v>1</v>
      </c>
      <c r="H7" s="3">
        <f t="shared" si="4"/>
        <v>-0.4</v>
      </c>
      <c r="I7" s="3">
        <f t="shared" si="5"/>
        <v>1</v>
      </c>
      <c r="J7" s="3">
        <f t="shared" si="6"/>
        <v>0.16000000000000003</v>
      </c>
      <c r="K7" s="3">
        <f t="shared" si="7"/>
        <v>-0.4</v>
      </c>
      <c r="M7" s="3">
        <v>3</v>
      </c>
      <c r="N7" s="3">
        <v>2</v>
      </c>
      <c r="O7" s="3">
        <v>9</v>
      </c>
      <c r="P7" s="3">
        <f t="shared" si="8"/>
        <v>-7</v>
      </c>
      <c r="Q7" s="3">
        <f t="shared" si="9"/>
        <v>49</v>
      </c>
    </row>
    <row r="8" spans="1:17" x14ac:dyDescent="0.25">
      <c r="B8" s="3">
        <v>74</v>
      </c>
      <c r="C8" s="3">
        <v>68</v>
      </c>
      <c r="D8" s="3">
        <f t="shared" si="0"/>
        <v>5476</v>
      </c>
      <c r="E8" s="3">
        <f t="shared" si="1"/>
        <v>4624</v>
      </c>
      <c r="F8" s="3">
        <f t="shared" si="2"/>
        <v>5032</v>
      </c>
      <c r="G8" s="3">
        <f t="shared" si="3"/>
        <v>0.4</v>
      </c>
      <c r="H8" s="3">
        <f t="shared" si="4"/>
        <v>0.6</v>
      </c>
      <c r="I8" s="3">
        <f t="shared" si="5"/>
        <v>0.16000000000000003</v>
      </c>
      <c r="J8" s="3">
        <f t="shared" si="6"/>
        <v>0.36</v>
      </c>
      <c r="K8" s="3">
        <f t="shared" si="7"/>
        <v>0.24</v>
      </c>
      <c r="M8" s="3">
        <v>4</v>
      </c>
      <c r="N8" s="3">
        <v>8</v>
      </c>
      <c r="O8" s="3">
        <v>6</v>
      </c>
      <c r="P8" s="3">
        <f t="shared" si="8"/>
        <v>2</v>
      </c>
      <c r="Q8" s="3">
        <f t="shared" si="9"/>
        <v>4</v>
      </c>
    </row>
    <row r="9" spans="1:17" x14ac:dyDescent="0.25">
      <c r="B9" s="3">
        <v>60</v>
      </c>
      <c r="C9" s="3">
        <v>65</v>
      </c>
      <c r="D9" s="3">
        <f t="shared" si="0"/>
        <v>3600</v>
      </c>
      <c r="E9" s="3">
        <f t="shared" si="1"/>
        <v>4225</v>
      </c>
      <c r="F9" s="3">
        <f t="shared" si="2"/>
        <v>3900</v>
      </c>
      <c r="G9" s="3">
        <f t="shared" si="3"/>
        <v>-1</v>
      </c>
      <c r="H9" s="3">
        <f t="shared" si="4"/>
        <v>0</v>
      </c>
      <c r="I9" s="3">
        <f t="shared" si="5"/>
        <v>1</v>
      </c>
      <c r="J9" s="3">
        <f t="shared" si="6"/>
        <v>0</v>
      </c>
      <c r="K9" s="3">
        <f t="shared" si="7"/>
        <v>0</v>
      </c>
      <c r="M9" s="3">
        <v>5</v>
      </c>
      <c r="N9" s="3">
        <v>7</v>
      </c>
      <c r="O9" s="3">
        <v>5</v>
      </c>
      <c r="P9" s="3">
        <f t="shared" si="8"/>
        <v>2</v>
      </c>
      <c r="Q9" s="3">
        <f t="shared" si="9"/>
        <v>4</v>
      </c>
    </row>
    <row r="10" spans="1:17" x14ac:dyDescent="0.25">
      <c r="B10" s="3">
        <v>60</v>
      </c>
      <c r="C10" s="3">
        <v>63</v>
      </c>
      <c r="D10" s="3">
        <f t="shared" si="0"/>
        <v>3600</v>
      </c>
      <c r="E10" s="3">
        <f t="shared" si="1"/>
        <v>3969</v>
      </c>
      <c r="F10" s="3">
        <f t="shared" si="2"/>
        <v>3780</v>
      </c>
      <c r="G10" s="3">
        <f t="shared" si="3"/>
        <v>-1</v>
      </c>
      <c r="H10" s="3">
        <f t="shared" si="4"/>
        <v>-0.4</v>
      </c>
      <c r="I10" s="3">
        <f t="shared" si="5"/>
        <v>1</v>
      </c>
      <c r="J10" s="3">
        <f t="shared" si="6"/>
        <v>0.16000000000000003</v>
      </c>
      <c r="K10" s="3">
        <f t="shared" si="7"/>
        <v>0.4</v>
      </c>
      <c r="M10" s="3">
        <v>6</v>
      </c>
      <c r="N10" s="3">
        <v>3</v>
      </c>
      <c r="O10" s="3">
        <v>1</v>
      </c>
      <c r="P10" s="3">
        <f t="shared" si="8"/>
        <v>2</v>
      </c>
      <c r="Q10" s="3">
        <f t="shared" si="9"/>
        <v>4</v>
      </c>
    </row>
    <row r="11" spans="1:17" x14ac:dyDescent="0.25">
      <c r="B11" s="3">
        <v>49</v>
      </c>
      <c r="C11" s="3">
        <v>63</v>
      </c>
      <c r="D11" s="3">
        <f t="shared" si="0"/>
        <v>2401</v>
      </c>
      <c r="E11" s="3">
        <f t="shared" si="1"/>
        <v>3969</v>
      </c>
      <c r="F11" s="3">
        <f t="shared" si="2"/>
        <v>3087</v>
      </c>
      <c r="G11" s="3">
        <f t="shared" si="3"/>
        <v>-2.1</v>
      </c>
      <c r="H11" s="3">
        <f t="shared" si="4"/>
        <v>-0.4</v>
      </c>
      <c r="I11" s="3">
        <f t="shared" si="5"/>
        <v>4.41</v>
      </c>
      <c r="J11" s="3">
        <f t="shared" si="6"/>
        <v>0.16000000000000003</v>
      </c>
      <c r="K11" s="3">
        <f t="shared" si="7"/>
        <v>0.84000000000000008</v>
      </c>
      <c r="M11" s="3">
        <v>7</v>
      </c>
      <c r="N11" s="3">
        <v>9</v>
      </c>
      <c r="O11" s="3">
        <v>10</v>
      </c>
      <c r="P11" s="3">
        <f t="shared" si="8"/>
        <v>-1</v>
      </c>
      <c r="Q11" s="3">
        <f t="shared" si="9"/>
        <v>1</v>
      </c>
    </row>
    <row r="12" spans="1:17" x14ac:dyDescent="0.25">
      <c r="B12" s="3">
        <v>64</v>
      </c>
      <c r="C12" s="3">
        <v>65</v>
      </c>
      <c r="D12" s="3">
        <f t="shared" si="0"/>
        <v>4096</v>
      </c>
      <c r="E12" s="3">
        <f t="shared" si="1"/>
        <v>4225</v>
      </c>
      <c r="F12" s="3">
        <f t="shared" si="2"/>
        <v>4160</v>
      </c>
      <c r="G12" s="3">
        <f t="shared" si="3"/>
        <v>-0.6</v>
      </c>
      <c r="H12" s="3">
        <f t="shared" si="4"/>
        <v>0</v>
      </c>
      <c r="I12" s="3">
        <f t="shared" si="5"/>
        <v>0.36</v>
      </c>
      <c r="J12" s="3">
        <f t="shared" si="6"/>
        <v>0</v>
      </c>
      <c r="K12" s="3">
        <f t="shared" si="7"/>
        <v>0</v>
      </c>
      <c r="M12" s="3">
        <v>8</v>
      </c>
      <c r="N12" s="3">
        <v>4</v>
      </c>
      <c r="O12" s="3">
        <v>2</v>
      </c>
      <c r="P12" s="3">
        <f t="shared" si="8"/>
        <v>2</v>
      </c>
      <c r="Q12" s="3">
        <f t="shared" si="9"/>
        <v>4</v>
      </c>
    </row>
    <row r="13" spans="1:17" x14ac:dyDescent="0.25">
      <c r="B13" s="3">
        <v>75</v>
      </c>
      <c r="C13" s="3">
        <v>65</v>
      </c>
      <c r="D13" s="3">
        <f t="shared" si="0"/>
        <v>5625</v>
      </c>
      <c r="E13" s="3">
        <f t="shared" si="1"/>
        <v>4225</v>
      </c>
      <c r="F13" s="3">
        <f t="shared" si="2"/>
        <v>4875</v>
      </c>
      <c r="G13" s="3">
        <f t="shared" si="3"/>
        <v>0.5</v>
      </c>
      <c r="H13" s="3">
        <f t="shared" si="4"/>
        <v>0</v>
      </c>
      <c r="I13" s="3">
        <f t="shared" si="5"/>
        <v>0.25</v>
      </c>
      <c r="J13" s="3">
        <f t="shared" si="6"/>
        <v>0</v>
      </c>
      <c r="K13" s="3">
        <f t="shared" si="7"/>
        <v>0</v>
      </c>
      <c r="M13" s="3">
        <v>9</v>
      </c>
      <c r="N13" s="3">
        <v>10</v>
      </c>
      <c r="O13" s="3">
        <v>7</v>
      </c>
      <c r="P13" s="3">
        <f t="shared" si="8"/>
        <v>3</v>
      </c>
      <c r="Q13" s="3">
        <f t="shared" si="9"/>
        <v>9</v>
      </c>
    </row>
    <row r="14" spans="1:17" x14ac:dyDescent="0.25">
      <c r="B14" s="3">
        <v>80</v>
      </c>
      <c r="C14" s="3">
        <v>70</v>
      </c>
      <c r="D14" s="3">
        <f t="shared" si="0"/>
        <v>6400</v>
      </c>
      <c r="E14" s="3">
        <f t="shared" si="1"/>
        <v>4900</v>
      </c>
      <c r="F14" s="3">
        <f t="shared" si="2"/>
        <v>5600</v>
      </c>
      <c r="G14" s="3">
        <f t="shared" si="3"/>
        <v>1</v>
      </c>
      <c r="H14" s="3">
        <f t="shared" si="4"/>
        <v>1</v>
      </c>
      <c r="I14" s="3">
        <f t="shared" si="5"/>
        <v>1</v>
      </c>
      <c r="J14" s="3">
        <f t="shared" si="6"/>
        <v>1</v>
      </c>
      <c r="K14" s="3">
        <f t="shared" si="7"/>
        <v>1</v>
      </c>
      <c r="M14" s="3">
        <v>10</v>
      </c>
      <c r="N14" s="3">
        <v>6</v>
      </c>
      <c r="O14" s="3">
        <v>8</v>
      </c>
      <c r="P14" s="3">
        <f t="shared" si="8"/>
        <v>-2</v>
      </c>
      <c r="Q14" s="3">
        <f t="shared" si="9"/>
        <v>4</v>
      </c>
    </row>
    <row r="15" spans="1:17" x14ac:dyDescent="0.25">
      <c r="A15" s="19" t="s">
        <v>102</v>
      </c>
      <c r="B15" s="3">
        <v>69</v>
      </c>
      <c r="C15" s="3">
        <v>65</v>
      </c>
      <c r="D15" s="3">
        <f t="shared" si="0"/>
        <v>4761</v>
      </c>
      <c r="E15" s="3">
        <f t="shared" si="1"/>
        <v>4225</v>
      </c>
      <c r="F15" s="3">
        <f t="shared" si="2"/>
        <v>4485</v>
      </c>
      <c r="G15" s="3">
        <f t="shared" si="3"/>
        <v>-0.1</v>
      </c>
      <c r="H15" s="3">
        <f t="shared" si="4"/>
        <v>0</v>
      </c>
      <c r="I15" s="3">
        <f t="shared" si="5"/>
        <v>1.0000000000000002E-2</v>
      </c>
      <c r="J15" s="3">
        <f t="shared" si="6"/>
        <v>0</v>
      </c>
      <c r="K15" s="3">
        <f t="shared" si="7"/>
        <v>0</v>
      </c>
    </row>
    <row r="16" spans="1:17" x14ac:dyDescent="0.25">
      <c r="B16" s="3">
        <v>60</v>
      </c>
      <c r="C16" s="3">
        <v>65</v>
      </c>
      <c r="D16" s="3">
        <f t="shared" si="0"/>
        <v>3600</v>
      </c>
      <c r="E16" s="3">
        <f t="shared" si="1"/>
        <v>4225</v>
      </c>
      <c r="F16" s="3">
        <f t="shared" si="2"/>
        <v>3900</v>
      </c>
      <c r="G16" s="3">
        <f t="shared" si="3"/>
        <v>-1</v>
      </c>
      <c r="H16" s="3">
        <f t="shared" si="4"/>
        <v>0</v>
      </c>
      <c r="I16" s="3">
        <f t="shared" si="5"/>
        <v>1</v>
      </c>
      <c r="J16" s="3">
        <f t="shared" si="6"/>
        <v>0</v>
      </c>
      <c r="K16" s="3">
        <f t="shared" si="7"/>
        <v>0</v>
      </c>
      <c r="M16" s="17" t="s">
        <v>24</v>
      </c>
      <c r="N16" s="32"/>
      <c r="O16" s="33"/>
      <c r="P16" s="34"/>
      <c r="Q16" s="17">
        <f>SUM(Q5:Q14)</f>
        <v>92</v>
      </c>
    </row>
    <row r="17" spans="1:17" x14ac:dyDescent="0.25">
      <c r="G17" s="20" t="s">
        <v>103</v>
      </c>
      <c r="H17" s="20" t="s">
        <v>104</v>
      </c>
    </row>
    <row r="18" spans="1:17" x14ac:dyDescent="0.25">
      <c r="A18" s="19" t="s">
        <v>24</v>
      </c>
      <c r="B18" s="17">
        <f t="shared" ref="B18:K18" si="10">SUM(B5:B16)</f>
        <v>816</v>
      </c>
      <c r="C18" s="17">
        <f t="shared" si="10"/>
        <v>788</v>
      </c>
      <c r="D18" s="17">
        <f t="shared" si="10"/>
        <v>56484</v>
      </c>
      <c r="E18" s="17">
        <f t="shared" si="10"/>
        <v>51806</v>
      </c>
      <c r="F18" s="17">
        <f t="shared" si="10"/>
        <v>53724</v>
      </c>
      <c r="G18" s="17">
        <f t="shared" si="10"/>
        <v>-2.4000000000000004</v>
      </c>
      <c r="H18" s="17">
        <f t="shared" si="10"/>
        <v>1.6</v>
      </c>
      <c r="I18" s="17">
        <f t="shared" si="10"/>
        <v>10.44</v>
      </c>
      <c r="J18" s="17">
        <f t="shared" si="10"/>
        <v>2.6400000000000006</v>
      </c>
      <c r="K18" s="17">
        <f t="shared" si="10"/>
        <v>2.48</v>
      </c>
    </row>
    <row r="19" spans="1:17" x14ac:dyDescent="0.25">
      <c r="N19" s="32" t="s">
        <v>105</v>
      </c>
      <c r="O19" s="33"/>
      <c r="P19" s="34"/>
      <c r="Q19" s="16">
        <f>1-((6*Q16)/(10*(10^2-1)))</f>
        <v>0.44242424242424239</v>
      </c>
    </row>
    <row r="21" spans="1:17" x14ac:dyDescent="0.25">
      <c r="A21" s="31" t="s">
        <v>106</v>
      </c>
      <c r="B21" s="3" t="s">
        <v>107</v>
      </c>
      <c r="C21" s="3">
        <f>((12*F18)-B18*C18)/SQRT((12*D18-B18^2)*(12*E18-C18^2))</f>
        <v>0.56953877897818594</v>
      </c>
      <c r="D21" s="3"/>
      <c r="E21" s="32" t="s">
        <v>108</v>
      </c>
      <c r="F21" s="33"/>
      <c r="G21" s="34"/>
      <c r="N21" s="32" t="s">
        <v>109</v>
      </c>
      <c r="O21" s="33"/>
      <c r="P21" s="33"/>
      <c r="Q21" s="34"/>
    </row>
    <row r="22" spans="1:17" x14ac:dyDescent="0.25">
      <c r="A22" s="31"/>
      <c r="B22" s="3" t="s">
        <v>110</v>
      </c>
      <c r="C22" s="3">
        <f>(12*F18-B18*C18)/(12*D18-B18^2)</f>
        <v>0.14056224899598393</v>
      </c>
      <c r="D22" s="3"/>
      <c r="E22" s="32" t="s">
        <v>111</v>
      </c>
      <c r="F22" s="33"/>
      <c r="G22" s="34"/>
    </row>
    <row r="23" spans="1:17" x14ac:dyDescent="0.25">
      <c r="A23" s="31"/>
      <c r="B23" s="3" t="s">
        <v>112</v>
      </c>
      <c r="C23" s="3">
        <f>(12*F18-B18*C18)/(12*E18-C18^2)</f>
        <v>2.3076923076923075</v>
      </c>
      <c r="D23" s="3"/>
      <c r="E23" s="32" t="s">
        <v>113</v>
      </c>
      <c r="F23" s="33"/>
      <c r="G23" s="34"/>
    </row>
    <row r="25" spans="1:17" x14ac:dyDescent="0.25">
      <c r="A25" s="31" t="s">
        <v>114</v>
      </c>
      <c r="B25" s="3" t="s">
        <v>107</v>
      </c>
      <c r="C25" s="3">
        <f>((12*K18)-G18*H18)/SQRT((12*I18-G18^2)*(12*J18-H18^2))</f>
        <v>0.56953877897818594</v>
      </c>
      <c r="L25" s="17" t="s">
        <v>115</v>
      </c>
      <c r="M25" s="17" t="s">
        <v>116</v>
      </c>
    </row>
    <row r="26" spans="1:17" x14ac:dyDescent="0.25">
      <c r="A26" s="31"/>
      <c r="B26" s="3" t="s">
        <v>110</v>
      </c>
      <c r="C26" s="3">
        <f>(5/10)*((12*K18)-G18*H18)/(12*I18-G18^2)</f>
        <v>0.14056224899598393</v>
      </c>
      <c r="L26" s="3">
        <f>0.1405 * 0 + 56.12</f>
        <v>56.12</v>
      </c>
      <c r="M26" s="3">
        <f>(0 - 83.54)/2.31</f>
        <v>-36.164502164502167</v>
      </c>
    </row>
    <row r="27" spans="1:17" x14ac:dyDescent="0.25">
      <c r="A27" s="31"/>
      <c r="B27" s="3" t="s">
        <v>112</v>
      </c>
      <c r="C27" s="3">
        <f>(10/5)*((12*K18)-G18*H18)/(12*J18-H18^2)</f>
        <v>2.3076923076923075</v>
      </c>
      <c r="L27" s="3">
        <f>0.1405 * 10 + 56.12</f>
        <v>57.524999999999999</v>
      </c>
      <c r="M27" s="3">
        <f>(10 - 83.54)/2.31</f>
        <v>-31.835497835497836</v>
      </c>
    </row>
    <row r="28" spans="1:17" x14ac:dyDescent="0.25">
      <c r="L28" s="3">
        <f>0.1405 * 20 + 56.12</f>
        <v>58.93</v>
      </c>
      <c r="M28" s="3">
        <f>(20 - 83.54)/2.31</f>
        <v>-27.506493506493509</v>
      </c>
    </row>
    <row r="29" spans="1:17" x14ac:dyDescent="0.25">
      <c r="B29" s="3" t="s">
        <v>117</v>
      </c>
      <c r="C29" s="3">
        <f>B18/12</f>
        <v>68</v>
      </c>
      <c r="L29" s="3">
        <f>0.1405 * 30 + 56.12</f>
        <v>60.335000000000001</v>
      </c>
      <c r="M29" s="3">
        <f>(30 - 83.54)/2.31</f>
        <v>-23.177489177489178</v>
      </c>
    </row>
    <row r="30" spans="1:17" x14ac:dyDescent="0.25">
      <c r="B30" s="3" t="s">
        <v>118</v>
      </c>
      <c r="C30" s="3">
        <f>C18/12</f>
        <v>65.666666666666671</v>
      </c>
      <c r="L30" s="3">
        <f>0.1405 * 40 + 56.12</f>
        <v>61.739999999999995</v>
      </c>
      <c r="M30" s="3">
        <f>(40 - 83.54)/2.31</f>
        <v>-18.848484848484851</v>
      </c>
    </row>
    <row r="31" spans="1:17" x14ac:dyDescent="0.25">
      <c r="L31" s="3">
        <f>0.1405 * 50 + 56.12</f>
        <v>63.144999999999996</v>
      </c>
      <c r="M31" s="3">
        <f>(50 - 83.54)/2.31</f>
        <v>-14.519480519480522</v>
      </c>
    </row>
    <row r="32" spans="1:17" x14ac:dyDescent="0.25">
      <c r="B32" s="3"/>
      <c r="C32" s="3" t="s">
        <v>119</v>
      </c>
      <c r="D32" s="3"/>
      <c r="L32" s="3">
        <f>0.1405 * 60 + 56.12</f>
        <v>64.55</v>
      </c>
      <c r="M32" s="3">
        <f>(60 - 83.54)/2.31</f>
        <v>-10.190476190476193</v>
      </c>
    </row>
    <row r="33" spans="1:16" x14ac:dyDescent="0.25">
      <c r="B33" s="3"/>
      <c r="C33" s="3" t="s">
        <v>120</v>
      </c>
      <c r="D33" s="3"/>
      <c r="L33" s="3">
        <f>0.1405 * 70 + 56.12</f>
        <v>65.954999999999998</v>
      </c>
      <c r="M33" s="3">
        <f>(70- 83.54)/2.31</f>
        <v>-5.8614718614718644</v>
      </c>
    </row>
    <row r="34" spans="1:16" x14ac:dyDescent="0.25">
      <c r="L34" s="3">
        <f>0.1405 * 80 + 56.12</f>
        <v>67.36</v>
      </c>
      <c r="M34" s="3">
        <f>(80 - 83.54)/2.31</f>
        <v>-1.5324675324675352</v>
      </c>
    </row>
    <row r="35" spans="1:16" x14ac:dyDescent="0.25">
      <c r="B35" s="3"/>
      <c r="C35" s="3" t="s">
        <v>121</v>
      </c>
      <c r="D35" s="3"/>
      <c r="L35" s="3">
        <f>0.1405 * 90 + 56.12</f>
        <v>68.765000000000001</v>
      </c>
      <c r="M35" s="3">
        <f>(90 - 83.54)/2.31</f>
        <v>2.7965367965367935</v>
      </c>
    </row>
    <row r="36" spans="1:16" x14ac:dyDescent="0.25">
      <c r="B36" s="3"/>
      <c r="C36" s="3" t="s">
        <v>122</v>
      </c>
      <c r="D36" s="3"/>
      <c r="L36" s="3">
        <f>0.1405 * 100 + 56.12</f>
        <v>70.17</v>
      </c>
      <c r="M36" s="3">
        <f>(100- 83.54)/2.31</f>
        <v>7.1255411255411225</v>
      </c>
    </row>
    <row r="37" spans="1:16" x14ac:dyDescent="0.25">
      <c r="L37" s="3">
        <f>0.1405 * 110 + 56.12</f>
        <v>71.575000000000003</v>
      </c>
      <c r="M37" s="3">
        <f>(110 - 83.54)/2.31</f>
        <v>11.454545454545451</v>
      </c>
    </row>
    <row r="40" spans="1:16" ht="15" customHeight="1" x14ac:dyDescent="0.25">
      <c r="A40" s="29" t="s">
        <v>106</v>
      </c>
      <c r="B40" s="32" t="s">
        <v>131</v>
      </c>
      <c r="C40" s="33"/>
      <c r="D40" s="34"/>
      <c r="G40" s="29" t="s">
        <v>106</v>
      </c>
      <c r="H40" s="3"/>
      <c r="I40" s="9" t="s">
        <v>132</v>
      </c>
      <c r="J40" s="3"/>
      <c r="L40" s="37" t="s">
        <v>137</v>
      </c>
      <c r="M40" s="38"/>
      <c r="N40" s="38"/>
      <c r="O40" s="38"/>
      <c r="P40" s="39"/>
    </row>
    <row r="41" spans="1:16" x14ac:dyDescent="0.25">
      <c r="A41" s="36"/>
      <c r="B41" s="9" t="s">
        <v>110</v>
      </c>
      <c r="C41" s="32">
        <f>(12*F18-B18*C18)/(12*D18-(B18)^2)</f>
        <v>0.14056224899598393</v>
      </c>
      <c r="D41" s="34"/>
      <c r="E41" s="12"/>
      <c r="G41" s="36"/>
      <c r="H41" s="9" t="s">
        <v>112</v>
      </c>
      <c r="I41" s="32">
        <f>(12*F18-B18*C18)/(12*E18-(C18)^2)</f>
        <v>2.3076923076923075</v>
      </c>
      <c r="J41" s="34"/>
      <c r="L41" s="40"/>
      <c r="M41" s="41"/>
      <c r="N41" s="41"/>
      <c r="O41" s="41"/>
      <c r="P41" s="42"/>
    </row>
    <row r="42" spans="1:16" x14ac:dyDescent="0.25">
      <c r="A42" s="36"/>
      <c r="B42" s="9" t="s">
        <v>128</v>
      </c>
      <c r="C42" s="9">
        <f>(C18*D18-B18*F18)/(12*D18-(B18)^2)</f>
        <v>56.108433734939759</v>
      </c>
      <c r="D42" s="13">
        <f>C30-C41*C29</f>
        <v>56.108433734939766</v>
      </c>
      <c r="E42" s="12"/>
      <c r="G42" s="36"/>
      <c r="H42" s="11" t="s">
        <v>129</v>
      </c>
      <c r="I42" s="11">
        <f>(B18*E18-C18*F18)/(12*E18-(C18)^2)</f>
        <v>-83.538461538461533</v>
      </c>
      <c r="J42" s="13">
        <f>C29-I41*C30</f>
        <v>-83.538461538461547</v>
      </c>
      <c r="L42" s="40"/>
      <c r="M42" s="41"/>
      <c r="N42" s="41"/>
      <c r="O42" s="41"/>
      <c r="P42" s="42"/>
    </row>
    <row r="43" spans="1:16" x14ac:dyDescent="0.25">
      <c r="A43" s="30"/>
      <c r="B43" s="35" t="s">
        <v>127</v>
      </c>
      <c r="C43" s="35"/>
      <c r="D43" s="35"/>
      <c r="E43" s="10"/>
      <c r="G43" s="30"/>
      <c r="H43" s="32" t="s">
        <v>130</v>
      </c>
      <c r="I43" s="33"/>
      <c r="J43" s="34"/>
      <c r="L43" s="40"/>
      <c r="M43" s="41"/>
      <c r="N43" s="41"/>
      <c r="O43" s="41"/>
      <c r="P43" s="42"/>
    </row>
    <row r="44" spans="1:16" x14ac:dyDescent="0.25">
      <c r="L44" s="40"/>
      <c r="M44" s="41"/>
      <c r="N44" s="41"/>
      <c r="O44" s="41"/>
      <c r="P44" s="42"/>
    </row>
    <row r="45" spans="1:16" x14ac:dyDescent="0.25">
      <c r="A45" s="29" t="s">
        <v>114</v>
      </c>
      <c r="B45" s="32" t="s">
        <v>131</v>
      </c>
      <c r="C45" s="33"/>
      <c r="D45" s="34"/>
      <c r="G45" s="29" t="s">
        <v>114</v>
      </c>
      <c r="H45" s="32" t="s">
        <v>132</v>
      </c>
      <c r="I45" s="33"/>
      <c r="J45" s="34"/>
      <c r="L45" s="40"/>
      <c r="M45" s="41"/>
      <c r="N45" s="41"/>
      <c r="O45" s="41"/>
      <c r="P45" s="42"/>
    </row>
    <row r="46" spans="1:16" x14ac:dyDescent="0.25">
      <c r="A46" s="36"/>
      <c r="B46" s="14" t="s">
        <v>110</v>
      </c>
      <c r="C46" s="32">
        <f>(5/10)*(12*K18-G18*H18)/(12*I18-(G18)^2)</f>
        <v>0.14056224899598393</v>
      </c>
      <c r="D46" s="34"/>
      <c r="G46" s="36"/>
      <c r="H46" s="16" t="s">
        <v>133</v>
      </c>
      <c r="I46" s="32">
        <f>(10/5)*(12*K18-G18*H18)/(12*J18-(H18)^2)</f>
        <v>2.3076923076923075</v>
      </c>
      <c r="J46" s="34"/>
      <c r="L46" s="40"/>
      <c r="M46" s="41"/>
      <c r="N46" s="41"/>
      <c r="O46" s="41"/>
      <c r="P46" s="42"/>
    </row>
    <row r="47" spans="1:16" x14ac:dyDescent="0.25">
      <c r="A47" s="36"/>
      <c r="B47" s="14" t="s">
        <v>128</v>
      </c>
      <c r="C47" s="32">
        <f>C30-C46*C29</f>
        <v>56.108433734939766</v>
      </c>
      <c r="D47" s="34"/>
      <c r="G47" s="36"/>
      <c r="H47" s="16" t="s">
        <v>129</v>
      </c>
      <c r="I47" s="32">
        <f>C29-I46*C30</f>
        <v>-83.538461538461547</v>
      </c>
      <c r="J47" s="34"/>
      <c r="L47" s="43"/>
      <c r="M47" s="44"/>
      <c r="N47" s="44"/>
      <c r="O47" s="44"/>
      <c r="P47" s="45"/>
    </row>
    <row r="48" spans="1:16" x14ac:dyDescent="0.25">
      <c r="A48" s="30"/>
      <c r="B48" s="32" t="s">
        <v>127</v>
      </c>
      <c r="C48" s="33"/>
      <c r="D48" s="34"/>
      <c r="G48" s="30"/>
      <c r="H48" s="32" t="s">
        <v>130</v>
      </c>
      <c r="I48" s="33"/>
      <c r="J48" s="34"/>
      <c r="L48" s="15"/>
      <c r="M48" s="15"/>
      <c r="N48" s="15"/>
      <c r="O48" s="15"/>
      <c r="P48" s="15"/>
    </row>
    <row r="49" spans="1:16" x14ac:dyDescent="0.25">
      <c r="L49" s="15"/>
      <c r="M49" s="15"/>
      <c r="N49" s="15"/>
      <c r="O49" s="15"/>
      <c r="P49" s="15"/>
    </row>
    <row r="50" spans="1:16" ht="15" customHeight="1" x14ac:dyDescent="0.25">
      <c r="L50" s="37" t="s">
        <v>136</v>
      </c>
      <c r="M50" s="38"/>
      <c r="N50" s="38"/>
      <c r="O50" s="38"/>
      <c r="P50" s="39"/>
    </row>
    <row r="51" spans="1:16" x14ac:dyDescent="0.25">
      <c r="A51" s="16" t="s">
        <v>106</v>
      </c>
      <c r="B51" s="32" t="s">
        <v>134</v>
      </c>
      <c r="C51" s="33"/>
      <c r="D51" s="13">
        <f>(12*F18-B18*C18)/SQRT((12*D18-(B18)^2)*(12*E18-(C18)^2))</f>
        <v>0.56953877897818594</v>
      </c>
      <c r="E51" s="16" t="s">
        <v>135</v>
      </c>
      <c r="F51" s="32" t="s">
        <v>108</v>
      </c>
      <c r="G51" s="33"/>
      <c r="H51" s="34"/>
      <c r="L51" s="40"/>
      <c r="M51" s="41"/>
      <c r="N51" s="41"/>
      <c r="O51" s="41"/>
      <c r="P51" s="42"/>
    </row>
    <row r="52" spans="1:16" x14ac:dyDescent="0.25">
      <c r="L52" s="40"/>
      <c r="M52" s="41"/>
      <c r="N52" s="41"/>
      <c r="O52" s="41"/>
      <c r="P52" s="42"/>
    </row>
    <row r="53" spans="1:16" x14ac:dyDescent="0.25">
      <c r="L53" s="40"/>
      <c r="M53" s="41"/>
      <c r="N53" s="41"/>
      <c r="O53" s="41"/>
      <c r="P53" s="42"/>
    </row>
    <row r="54" spans="1:16" x14ac:dyDescent="0.25">
      <c r="A54" s="16" t="s">
        <v>114</v>
      </c>
      <c r="B54" s="32" t="s">
        <v>134</v>
      </c>
      <c r="C54" s="34"/>
      <c r="D54" s="16">
        <f>(12*K18-G18*H18)/SQRT((12*I18-(G18)^2)*(12*J18-(H18)^2))</f>
        <v>0.56953877897818594</v>
      </c>
      <c r="E54" s="16" t="s">
        <v>135</v>
      </c>
      <c r="F54" s="32" t="s">
        <v>108</v>
      </c>
      <c r="G54" s="33"/>
      <c r="H54" s="34"/>
      <c r="L54" s="40"/>
      <c r="M54" s="41"/>
      <c r="N54" s="41"/>
      <c r="O54" s="41"/>
      <c r="P54" s="42"/>
    </row>
    <row r="55" spans="1:16" x14ac:dyDescent="0.25">
      <c r="L55" s="40"/>
      <c r="M55" s="41"/>
      <c r="N55" s="41"/>
      <c r="O55" s="41"/>
      <c r="P55" s="42"/>
    </row>
    <row r="56" spans="1:16" x14ac:dyDescent="0.25">
      <c r="L56" s="40"/>
      <c r="M56" s="41"/>
      <c r="N56" s="41"/>
      <c r="O56" s="41"/>
      <c r="P56" s="42"/>
    </row>
    <row r="57" spans="1:16" x14ac:dyDescent="0.25">
      <c r="L57" s="40"/>
      <c r="M57" s="41"/>
      <c r="N57" s="41"/>
      <c r="O57" s="41"/>
      <c r="P57" s="42"/>
    </row>
    <row r="58" spans="1:16" x14ac:dyDescent="0.25">
      <c r="L58" s="43"/>
      <c r="M58" s="44"/>
      <c r="N58" s="44"/>
      <c r="O58" s="44"/>
      <c r="P58" s="45"/>
    </row>
    <row r="61" spans="1:16" x14ac:dyDescent="0.25">
      <c r="L61" s="46" t="s">
        <v>138</v>
      </c>
      <c r="M61" s="47"/>
      <c r="N61" s="47"/>
      <c r="O61" s="47"/>
      <c r="P61" s="48"/>
    </row>
    <row r="62" spans="1:16" x14ac:dyDescent="0.25">
      <c r="L62" s="49"/>
      <c r="M62" s="50"/>
      <c r="N62" s="50"/>
      <c r="O62" s="50"/>
      <c r="P62" s="51"/>
    </row>
    <row r="63" spans="1:16" x14ac:dyDescent="0.25">
      <c r="L63" s="18"/>
      <c r="M63" s="18"/>
      <c r="N63" s="18"/>
      <c r="O63" s="18"/>
      <c r="P63" s="18"/>
    </row>
    <row r="64" spans="1:16" x14ac:dyDescent="0.25">
      <c r="L64" s="2"/>
    </row>
  </sheetData>
  <mergeCells count="32">
    <mergeCell ref="N21:Q21"/>
    <mergeCell ref="N19:P19"/>
    <mergeCell ref="L50:P58"/>
    <mergeCell ref="L61:P62"/>
    <mergeCell ref="B51:C51"/>
    <mergeCell ref="F51:H51"/>
    <mergeCell ref="B54:C54"/>
    <mergeCell ref="F54:H54"/>
    <mergeCell ref="I46:J46"/>
    <mergeCell ref="H45:J45"/>
    <mergeCell ref="H48:J48"/>
    <mergeCell ref="C47:D47"/>
    <mergeCell ref="I47:J47"/>
    <mergeCell ref="E21:G21"/>
    <mergeCell ref="E22:G22"/>
    <mergeCell ref="E23:G23"/>
    <mergeCell ref="A21:A23"/>
    <mergeCell ref="A25:A27"/>
    <mergeCell ref="N16:P16"/>
    <mergeCell ref="B40:D40"/>
    <mergeCell ref="B43:D43"/>
    <mergeCell ref="A40:A43"/>
    <mergeCell ref="H43:J43"/>
    <mergeCell ref="G40:G43"/>
    <mergeCell ref="C41:D41"/>
    <mergeCell ref="I41:J41"/>
    <mergeCell ref="L40:P47"/>
    <mergeCell ref="A45:A48"/>
    <mergeCell ref="B45:D45"/>
    <mergeCell ref="C46:D46"/>
    <mergeCell ref="B48:D48"/>
    <mergeCell ref="G45:G48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Graphical Representation</vt:lpstr>
      <vt:lpstr>Central Tendency</vt:lpstr>
      <vt:lpstr>Dispersion</vt:lpstr>
      <vt:lpstr>Skewness &amp; Kurtosis</vt:lpstr>
      <vt:lpstr>Correlation &amp;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1</cp:revision>
  <dcterms:created xsi:type="dcterms:W3CDTF">2006-09-16T00:00:00Z</dcterms:created>
  <dcterms:modified xsi:type="dcterms:W3CDTF">2020-12-26T12:56:41Z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