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ollection" sheetId="1" r:id="rId4"/>
    <sheet state="visible" name="Graphical Representation" sheetId="2" r:id="rId5"/>
    <sheet state="visible" name="Central Tendency" sheetId="3" r:id="rId6"/>
    <sheet state="visible" name="Dispersion" sheetId="4" r:id="rId7"/>
    <sheet state="visible" name="Skewness &amp; Kurtosis" sheetId="5" r:id="rId8"/>
    <sheet state="visible" name="Correlation &amp; Regression" sheetId="6" r:id="rId9"/>
  </sheets>
  <definedNames/>
  <calcPr/>
  <extLst>
    <ext uri="GoogleSheetsCustomDataVersion1">
      <go:sheetsCustomData xmlns:go="http://customooxmlschemas.google.com/" r:id="rId10" roundtripDataSignature="AMtx7mgK4YG3nKcTiSsGIqOiJD6PF/7Mfg=="/>
    </ext>
  </extLst>
</workbook>
</file>

<file path=xl/sharedStrings.xml><?xml version="1.0" encoding="utf-8"?>
<sst xmlns="http://schemas.openxmlformats.org/spreadsheetml/2006/main" count="235" uniqueCount="168">
  <si>
    <t>ID(Digit)</t>
  </si>
  <si>
    <t>Weight(kg)</t>
  </si>
  <si>
    <t>Height(cm)</t>
  </si>
  <si>
    <t>Student ID: 011201262, 011192118, 011193004</t>
  </si>
  <si>
    <t>Student Name :</t>
  </si>
  <si>
    <t>1. Azizul Islam Nayem</t>
  </si>
  <si>
    <t>2. Tawhidul Islam</t>
  </si>
  <si>
    <t>3. Farhana Hossain</t>
  </si>
  <si>
    <t>Course Code: MATH 2205</t>
  </si>
  <si>
    <t>Course Tilte: Probability and Statistics</t>
  </si>
  <si>
    <t>Section: A</t>
  </si>
  <si>
    <t>Date: 03-06-2021</t>
  </si>
  <si>
    <t>Height(inch)</t>
  </si>
  <si>
    <t>Here,</t>
  </si>
  <si>
    <t>Xmin=45</t>
  </si>
  <si>
    <t>X</t>
  </si>
  <si>
    <t>Y</t>
  </si>
  <si>
    <t>Xmax=94</t>
  </si>
  <si>
    <t>Range= 94-45 = 49</t>
  </si>
  <si>
    <t>So,</t>
  </si>
  <si>
    <t xml:space="preserve">CI=49/6=8.166666667 = 9 </t>
  </si>
  <si>
    <t>N=10</t>
  </si>
  <si>
    <t>Class Interval (Class)</t>
  </si>
  <si>
    <t>Class Boundary (Original Class)</t>
  </si>
  <si>
    <t>Class Mark (Mid Value) (x)</t>
  </si>
  <si>
    <t>Frequency (f)</t>
  </si>
  <si>
    <t>Cumulative Frequency (F)</t>
  </si>
  <si>
    <t>45-53</t>
  </si>
  <si>
    <t>44.5-53.5</t>
  </si>
  <si>
    <t>54-62</t>
  </si>
  <si>
    <t>53.5-62.5</t>
  </si>
  <si>
    <t>63-71</t>
  </si>
  <si>
    <t>62.5-71.5</t>
  </si>
  <si>
    <t>72-80</t>
  </si>
  <si>
    <t>71.5-80.5</t>
  </si>
  <si>
    <t>81-89</t>
  </si>
  <si>
    <t>80.5-89.5</t>
  </si>
  <si>
    <t>90-98</t>
  </si>
  <si>
    <t>89.5-98.5</t>
  </si>
  <si>
    <t>Class Upper Boundary</t>
  </si>
  <si>
    <t>CF (F)</t>
  </si>
  <si>
    <t xml:space="preserve">Original Class </t>
  </si>
  <si>
    <t>Percentage</t>
  </si>
  <si>
    <t>Angle (θ)</t>
  </si>
  <si>
    <t>N = 50</t>
  </si>
  <si>
    <t>f*x</t>
  </si>
  <si>
    <t>u = (x - 67)/9</t>
  </si>
  <si>
    <t>f*u</t>
  </si>
  <si>
    <t>log(x)</t>
  </si>
  <si>
    <t>f*log(x)</t>
  </si>
  <si>
    <t>f/x</t>
  </si>
  <si>
    <t>SUM</t>
  </si>
  <si>
    <t>AM (Direct) =</t>
  </si>
  <si>
    <t>GM =</t>
  </si>
  <si>
    <t>a = 67, h = 9</t>
  </si>
  <si>
    <t>AM (Code) =</t>
  </si>
  <si>
    <t>HM =</t>
  </si>
  <si>
    <t>L = 62.5</t>
  </si>
  <si>
    <t>50/2 = 25</t>
  </si>
  <si>
    <t>del1 = 5</t>
  </si>
  <si>
    <t>Mode (Mo) =</t>
  </si>
  <si>
    <t>del2 = 7</t>
  </si>
  <si>
    <t>F_(m - 1) = 20</t>
  </si>
  <si>
    <t>Median(Me) =</t>
  </si>
  <si>
    <t>C = 9</t>
  </si>
  <si>
    <t>f_m = 17</t>
  </si>
  <si>
    <t>3*50/4 =  37.5</t>
  </si>
  <si>
    <t>2*50/10 = 10</t>
  </si>
  <si>
    <t>35*50/100 = 17.5</t>
  </si>
  <si>
    <t>L = 71.5</t>
  </si>
  <si>
    <t xml:space="preserve">Quartile (Q3) = </t>
  </si>
  <si>
    <t>L = 53.5</t>
  </si>
  <si>
    <t>F_(q - 1) = 37</t>
  </si>
  <si>
    <t>F_(d - 1) = 8</t>
  </si>
  <si>
    <t xml:space="preserve">Decile (D2) = </t>
  </si>
  <si>
    <t>F_(p - 1) = 8</t>
  </si>
  <si>
    <t xml:space="preserve">Percentile (P35) = </t>
  </si>
  <si>
    <t>f_q = 10</t>
  </si>
  <si>
    <t>f_d = 12</t>
  </si>
  <si>
    <t>f_p = 12</t>
  </si>
  <si>
    <t>Original Class</t>
  </si>
  <si>
    <t>Class Marks (x)</t>
  </si>
  <si>
    <t>f*ABS(x - AM)</t>
  </si>
  <si>
    <t>f*ABS(x - Mode)</t>
  </si>
  <si>
    <t>f*ABS(x - Median)</t>
  </si>
  <si>
    <t>f*x^2</t>
  </si>
  <si>
    <t>f*u^2</t>
  </si>
  <si>
    <t>z = (x - AM)/SD</t>
  </si>
  <si>
    <t>Sum</t>
  </si>
  <si>
    <t>Arithmatic mean =</t>
  </si>
  <si>
    <t>Mode =</t>
  </si>
  <si>
    <t xml:space="preserve">Median = </t>
  </si>
  <si>
    <t>MD (AM) =</t>
  </si>
  <si>
    <t>MD (Mode) =</t>
  </si>
  <si>
    <t>MD (Median) =</t>
  </si>
  <si>
    <t>Co-efficient of MD (AM) =</t>
  </si>
  <si>
    <t>%</t>
  </si>
  <si>
    <t xml:space="preserve">The mean deviation of the data set from the Arithmetic mean is 13.07%. </t>
  </si>
  <si>
    <t>Co-efficient of MD (Mode) =</t>
  </si>
  <si>
    <t xml:space="preserve">The mean deviation of the data set from the Mode mean is 12.45%.. </t>
  </si>
  <si>
    <t>Co-efficient of MD (Median) =</t>
  </si>
  <si>
    <t xml:space="preserve">The mean deviation of the data set from the Median mean is 13.00%. </t>
  </si>
  <si>
    <t>SD (Direct) =</t>
  </si>
  <si>
    <t xml:space="preserve">Variance(Direct) </t>
  </si>
  <si>
    <t>SD (Code) =</t>
  </si>
  <si>
    <t xml:space="preserve">Variance(Code) </t>
  </si>
  <si>
    <t>Co-efficient of SD =</t>
  </si>
  <si>
    <t>Class Mark (x)</t>
  </si>
  <si>
    <t>u = (x - 69)/9</t>
  </si>
  <si>
    <t>f*u^3</t>
  </si>
  <si>
    <t>f*u^4</t>
  </si>
  <si>
    <t>Let,</t>
  </si>
  <si>
    <t>A = 69</t>
  </si>
  <si>
    <t>h = 9</t>
  </si>
  <si>
    <t>m1 =</t>
  </si>
  <si>
    <t>m2 =</t>
  </si>
  <si>
    <t>m3 =</t>
  </si>
  <si>
    <t>m4 =</t>
  </si>
  <si>
    <t>M1 =</t>
  </si>
  <si>
    <t>M2 =</t>
  </si>
  <si>
    <t>M3 =</t>
  </si>
  <si>
    <t>M4 =</t>
  </si>
  <si>
    <t>gamma_3 =</t>
  </si>
  <si>
    <t>&gt;0</t>
  </si>
  <si>
    <t>positively skewed</t>
  </si>
  <si>
    <t>gamma_4 =</t>
  </si>
  <si>
    <t>&lt;3</t>
  </si>
  <si>
    <t>platykurtic</t>
  </si>
  <si>
    <t>corrected M2 =</t>
  </si>
  <si>
    <t>corrected M4 =</t>
  </si>
  <si>
    <t>X^2</t>
  </si>
  <si>
    <t>Y^2</t>
  </si>
  <si>
    <t>X*Y</t>
  </si>
  <si>
    <t>U = (X - 60)/10</t>
  </si>
  <si>
    <t>V = (Y - 65)/5</t>
  </si>
  <si>
    <t>U^2</t>
  </si>
  <si>
    <t>V^2</t>
  </si>
  <si>
    <t>U*V</t>
  </si>
  <si>
    <t>Serial</t>
  </si>
  <si>
    <t>X-rank</t>
  </si>
  <si>
    <t>Y-rank</t>
  </si>
  <si>
    <t>d = X - Y</t>
  </si>
  <si>
    <t>d^2</t>
  </si>
  <si>
    <t>N = 10</t>
  </si>
  <si>
    <t>a = 60, h = 10</t>
  </si>
  <si>
    <t>b = 65, k = 5</t>
  </si>
  <si>
    <t xml:space="preserve">Rank Correlation Coefficient = </t>
  </si>
  <si>
    <t>Direct</t>
  </si>
  <si>
    <t>Positively Correlated (Strong)</t>
  </si>
  <si>
    <t>Comment: Positively Correlated (Moderate)</t>
  </si>
  <si>
    <t>Y is more depending on X</t>
  </si>
  <si>
    <t>[So X is the dominant here]</t>
  </si>
  <si>
    <t>X is less depending on Y</t>
  </si>
  <si>
    <t>Code</t>
  </si>
  <si>
    <t>y = 2.87289 x  - 115.74</t>
  </si>
  <si>
    <t>y = (x - 44.54)/0.28177</t>
  </si>
  <si>
    <t>When Y=65 inch,</t>
  </si>
  <si>
    <t>x = 0.28177*65 +44.54</t>
  </si>
  <si>
    <t>Regression line of y on x</t>
  </si>
  <si>
    <t>x = 62.85505kg</t>
  </si>
  <si>
    <t>y = 2.87289(X - 62.6) + 64.1</t>
  </si>
  <si>
    <t>When X=60kg,</t>
  </si>
  <si>
    <t>y = 2.87289X  - 115.74</t>
  </si>
  <si>
    <t>y=2.87289*60-115.74</t>
  </si>
  <si>
    <t>y=56.6334 inch</t>
  </si>
  <si>
    <t>Regression line of x on y</t>
  </si>
  <si>
    <t>x = 0.28177(Y - 64.1) + 62.6</t>
  </si>
  <si>
    <t>x = 0.28177 Y  +  44.54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</si>
</sst>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rgb="FF0070C0"/>
      <name val="Calibri"/>
    </font>
    <font>
      <sz val="11.0"/>
      <color rgb="FF006100"/>
      <name val="Calibri"/>
    </font>
    <font>
      <sz val="12.0"/>
      <color rgb="FF000000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sz val="12.0"/>
      <color rgb="FF0070C0"/>
      <name val="Times New Roman"/>
    </font>
    <font>
      <b/>
      <sz val="12.0"/>
      <color theme="1"/>
      <name val="Times New Roman"/>
    </font>
    <font>
      <b/>
      <sz val="10.0"/>
      <color theme="1"/>
      <name val="Times New Roman"/>
    </font>
    <font>
      <sz val="12.0"/>
      <color theme="4"/>
      <name val="Times New Roman"/>
    </font>
    <font>
      <sz val="11.0"/>
      <color theme="4"/>
      <name val="Calibri"/>
    </font>
    <font>
      <sz val="12.0"/>
      <color rgb="FF002060"/>
      <name val="Times New Roman"/>
    </font>
    <font>
      <sz val="12.0"/>
      <color rgb="FFFF0000"/>
      <name val="Times New Roman"/>
    </font>
    <font>
      <sz val="12.0"/>
      <color rgb="FF1F497D"/>
      <name val="Times New Roman"/>
    </font>
    <font>
      <b/>
      <sz val="10.0"/>
      <color rgb="FF000000"/>
      <name val="Times New Roman"/>
    </font>
    <font>
      <sz val="11.0"/>
      <color rgb="FFFF0000"/>
      <name val="Calibri"/>
    </font>
    <font>
      <sz val="11.0"/>
      <color rgb="FFFFFF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Border="1" applyFill="1" applyFont="1"/>
    <xf borderId="0" fillId="0" fontId="5" numFmtId="0" xfId="0" applyAlignment="1" applyFont="1">
      <alignment horizontal="center"/>
    </xf>
    <xf borderId="0" fillId="0" fontId="1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5" numFmtId="10" xfId="0" applyAlignment="1" applyFont="1" applyNumberFormat="1">
      <alignment horizontal="center"/>
    </xf>
    <xf borderId="0" fillId="0" fontId="15" numFmtId="0" xfId="0" applyAlignment="1" applyFont="1">
      <alignment horizontal="center"/>
    </xf>
    <xf borderId="0" fillId="0" fontId="5" numFmtId="9" xfId="0" applyAlignment="1" applyFont="1" applyNumberFormat="1">
      <alignment horizontal="center"/>
    </xf>
    <xf borderId="0" fillId="0" fontId="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/>
    </xf>
    <xf borderId="0" fillId="0" fontId="8" numFmtId="10" xfId="0" applyAlignment="1" applyFont="1" applyNumberFormat="1">
      <alignment horizontal="center"/>
    </xf>
    <xf borderId="0" fillId="0" fontId="8" numFmtId="9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5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vertical="top"/>
    </xf>
    <xf borderId="0" fillId="0" fontId="5" numFmtId="0" xfId="0" applyAlignment="1" applyFont="1">
      <alignment horizontal="left"/>
    </xf>
    <xf borderId="0" fillId="0" fontId="17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6" numFmtId="0" xfId="0" applyAlignment="1" applyFont="1">
      <alignment horizontal="center" vertical="top"/>
    </xf>
    <xf borderId="2" fillId="0" fontId="6" numFmtId="0" xfId="0" applyAlignment="1" applyBorder="1" applyFont="1">
      <alignment horizontal="center"/>
    </xf>
    <xf borderId="0" fillId="0" fontId="9" numFmtId="0" xfId="0" applyAlignment="1" applyFont="1">
      <alignment horizontal="center" vertical="top"/>
    </xf>
    <xf borderId="0" fillId="0" fontId="6" numFmtId="0" xfId="0" applyAlignment="1" applyFont="1">
      <alignment horizontal="center" shrinkToFit="0" wrapText="1"/>
    </xf>
    <xf borderId="0" fillId="0" fontId="1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44.5-53.5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Representation'!$C$35</c:f>
              <c:numCache/>
            </c:numRef>
          </c:val>
        </c:ser>
        <c:ser>
          <c:idx val="1"/>
          <c:order val="1"/>
          <c:tx>
            <c:v>53.5-62.5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Representation'!$C$36</c:f>
              <c:numCache/>
            </c:numRef>
          </c:val>
        </c:ser>
        <c:ser>
          <c:idx val="2"/>
          <c:order val="2"/>
          <c:tx>
            <c:v>62.5-71.5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Representation'!$C$37</c:f>
              <c:numCache/>
            </c:numRef>
          </c:val>
        </c:ser>
        <c:ser>
          <c:idx val="3"/>
          <c:order val="3"/>
          <c:tx>
            <c:v>71.5-80.5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Representation'!$C$38</c:f>
              <c:numCache/>
            </c:numRef>
          </c:val>
        </c:ser>
        <c:ser>
          <c:idx val="4"/>
          <c:order val="4"/>
          <c:tx>
            <c:v>80.5-89.5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Representation'!$C$39</c:f>
              <c:numCache/>
            </c:numRef>
          </c:val>
        </c:ser>
        <c:ser>
          <c:idx val="5"/>
          <c:order val="5"/>
          <c:tx>
            <c:v>89.5-98.5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Representation'!$C$40</c:f>
              <c:numCache/>
            </c:numRef>
          </c:val>
        </c:ser>
        <c:axId val="658366113"/>
        <c:axId val="315818561"/>
      </c:barChart>
      <c:catAx>
        <c:axId val="65836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Class Boundary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15818561"/>
      </c:catAx>
      <c:valAx>
        <c:axId val="315818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5836611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'Graphical Representation'!$M$35:$M$40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'Graphical Representation'!$K$12:$K$17</c:f>
            </c:numRef>
          </c:xVal>
          <c:yVal>
            <c:numRef>
              <c:f>'Graphical Representation'!$L$12:$L$17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48369"/>
        <c:axId val="518835638"/>
      </c:scatterChart>
      <c:valAx>
        <c:axId val="6544483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Class Upper Boundary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8835638"/>
      </c:valAx>
      <c:valAx>
        <c:axId val="518835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Cumulative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444836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'Graphical Representation'!$B$12:$B$17</c:f>
            </c:numRef>
          </c:xVal>
          <c:yVal>
            <c:numRef>
              <c:f>'Graphical Representation'!$C$12:$C$17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20403"/>
        <c:axId val="1131700445"/>
      </c:scatterChart>
      <c:valAx>
        <c:axId val="1065420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Class 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1700445"/>
      </c:valAx>
      <c:valAx>
        <c:axId val="1131700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542040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23768228144949"/>
          <c:y val="0.04045361020564423"/>
          <c:w val="0.7601647609684358"/>
          <c:h val="0.8082675293231425"/>
        </c:manualLayout>
      </c:layout>
      <c:barChart>
        <c:barDir val="col"/>
        <c:ser>
          <c:idx val="0"/>
          <c:order val="0"/>
          <c:tx>
            <c:v>44.5-53.5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Representation'!$C$35</c:f>
              <c:numCache/>
            </c:numRef>
          </c:val>
        </c:ser>
        <c:ser>
          <c:idx val="1"/>
          <c:order val="1"/>
          <c:tx>
            <c:v>53.5-62.5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Representation'!$C$36</c:f>
              <c:numCache/>
            </c:numRef>
          </c:val>
        </c:ser>
        <c:ser>
          <c:idx val="2"/>
          <c:order val="2"/>
          <c:tx>
            <c:v>62.5-71.5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Representation'!$C$37</c:f>
              <c:numCache/>
            </c:numRef>
          </c:val>
        </c:ser>
        <c:ser>
          <c:idx val="3"/>
          <c:order val="3"/>
          <c:tx>
            <c:v>71.5-80.5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Representation'!$C$38</c:f>
              <c:numCache/>
            </c:numRef>
          </c:val>
        </c:ser>
        <c:ser>
          <c:idx val="4"/>
          <c:order val="4"/>
          <c:tx>
            <c:v>80.5-89.5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Representation'!$C$39</c:f>
              <c:numCache/>
            </c:numRef>
          </c:val>
        </c:ser>
        <c:ser>
          <c:idx val="5"/>
          <c:order val="5"/>
          <c:tx>
            <c:v>89.5-98.5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Representation'!$C$40</c:f>
              <c:numCache/>
            </c:numRef>
          </c:val>
        </c:ser>
        <c:axId val="1526793414"/>
        <c:axId val="162926516"/>
      </c:barChart>
      <c:catAx>
        <c:axId val="1526793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Class Boundary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926516"/>
      </c:catAx>
      <c:valAx>
        <c:axId val="162926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793414"/>
      </c:valAx>
    </c:plotArea>
    <c:legend>
      <c:legendPos val="b"/>
      <c:layout>
        <c:manualLayout>
          <c:xMode val="edge"/>
          <c:yMode val="edge"/>
          <c:x val="0.16745368302597746"/>
          <c:y val="0.873672374432603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63448958878851"/>
          <c:y val="0.13548714858595637"/>
          <c:w val="0.8278937308164317"/>
          <c:h val="0.746857180064738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'Graphical Representation'!$B$12:$B$17</c:f>
            </c:numRef>
          </c:xVal>
          <c:yVal>
            <c:numRef>
              <c:f>'Graphical Representation'!$C$12:$C$17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88858"/>
        <c:axId val="872948654"/>
      </c:scatterChart>
      <c:valAx>
        <c:axId val="2502888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Class 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2948654"/>
      </c:valAx>
      <c:valAx>
        <c:axId val="872948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028885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dk1"/>
                </a:solidFill>
                <a:latin typeface="+mn-lt"/>
              </a:defRPr>
            </a:pPr>
            <a:r>
              <a:rPr b="0" i="0" sz="1400">
                <a:solidFill>
                  <a:schemeClr val="dk1"/>
                </a:solidFill>
                <a:latin typeface="+mn-lt"/>
              </a:rPr>
              <a:t>Regression lines</a:t>
            </a:r>
          </a:p>
        </c:rich>
      </c:tx>
      <c:overlay val="0"/>
    </c:title>
    <c:plotArea>
      <c:layout>
        <c:manualLayout>
          <c:xMode val="edge"/>
          <c:yMode val="edge"/>
          <c:x val="0.11556490264786475"/>
          <c:y val="0.148642397146327"/>
          <c:w val="0.852447892234184"/>
          <c:h val="0.7512272134019656"/>
        </c:manualLayout>
      </c:layout>
      <c:lineChart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'Correlation &amp; Regression'!$L$26:$L$39</c:f>
              <c:numCache/>
            </c:numRef>
          </c:val>
          <c:smooth val="0"/>
        </c:ser>
        <c:ser>
          <c:idx val="1"/>
          <c:order val="1"/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'Correlation &amp; Regression'!$M$26:$M$39</c:f>
              <c:numCache/>
            </c:numRef>
          </c:val>
          <c:smooth val="0"/>
        </c:ser>
        <c:axId val="1675788878"/>
        <c:axId val="1708095563"/>
      </c:lineChart>
      <c:catAx>
        <c:axId val="1675788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095563"/>
      </c:catAx>
      <c:valAx>
        <c:axId val="1708095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75788878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41</xdr:row>
      <xdr:rowOff>104775</xdr:rowOff>
    </xdr:from>
    <xdr:ext cx="4572000" cy="2609850"/>
    <xdr:graphicFrame>
      <xdr:nvGraphicFramePr>
        <xdr:cNvPr id="3582838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723900</xdr:colOff>
      <xdr:row>40</xdr:row>
      <xdr:rowOff>190500</xdr:rowOff>
    </xdr:from>
    <xdr:ext cx="4057650" cy="2609850"/>
    <xdr:graphicFrame>
      <xdr:nvGraphicFramePr>
        <xdr:cNvPr id="141015909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200025</xdr:colOff>
      <xdr:row>18</xdr:row>
      <xdr:rowOff>0</xdr:rowOff>
    </xdr:from>
    <xdr:ext cx="4048125" cy="2590800"/>
    <xdr:graphicFrame>
      <xdr:nvGraphicFramePr>
        <xdr:cNvPr id="142765204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447675</xdr:colOff>
      <xdr:row>17</xdr:row>
      <xdr:rowOff>190500</xdr:rowOff>
    </xdr:from>
    <xdr:ext cx="4552950" cy="2590800"/>
    <xdr:graphicFrame>
      <xdr:nvGraphicFramePr>
        <xdr:cNvPr id="118375270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30</xdr:row>
      <xdr:rowOff>38100</xdr:rowOff>
    </xdr:from>
    <xdr:ext cx="4981575" cy="2914650"/>
    <xdr:graphicFrame>
      <xdr:nvGraphicFramePr>
        <xdr:cNvPr id="143019941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7</xdr:row>
      <xdr:rowOff>85725</xdr:rowOff>
    </xdr:from>
    <xdr:ext cx="38100" cy="171450"/>
    <xdr:sp>
      <xdr:nvSpPr>
        <xdr:cNvPr id="3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18</xdr:row>
      <xdr:rowOff>142875</xdr:rowOff>
    </xdr:from>
    <xdr:ext cx="4419600" cy="2324100"/>
    <xdr:graphicFrame>
      <xdr:nvGraphicFramePr>
        <xdr:cNvPr id="33894434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542925</xdr:colOff>
      <xdr:row>22</xdr:row>
      <xdr:rowOff>152400</xdr:rowOff>
    </xdr:from>
    <xdr:ext cx="1524000" cy="466725"/>
    <xdr:sp>
      <xdr:nvSpPr>
        <xdr:cNvPr id="4" name="Shape 4"/>
        <xdr:cNvSpPr txBox="1"/>
      </xdr:nvSpPr>
      <xdr:spPr>
        <a:xfrm>
          <a:off x="4584001" y="3551400"/>
          <a:ext cx="1523999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Tail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 the right side so positively skewed</a:t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24</xdr:row>
      <xdr:rowOff>133350</xdr:rowOff>
    </xdr:from>
    <xdr:ext cx="4638675" cy="2895600"/>
    <xdr:graphicFrame>
      <xdr:nvGraphicFramePr>
        <xdr:cNvPr id="25473922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466725</xdr:colOff>
      <xdr:row>27</xdr:row>
      <xdr:rowOff>190500</xdr:rowOff>
    </xdr:from>
    <xdr:ext cx="38100" cy="171450"/>
    <xdr:sp>
      <xdr:nvSpPr>
        <xdr:cNvPr id="5" name="Shape 5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257175</xdr:colOff>
      <xdr:row>28</xdr:row>
      <xdr:rowOff>28575</xdr:rowOff>
    </xdr:from>
    <xdr:ext cx="257175" cy="180975"/>
    <xdr:sp>
      <xdr:nvSpPr>
        <xdr:cNvPr id="6" name="Shape 6"/>
        <xdr:cNvSpPr txBox="1"/>
      </xdr:nvSpPr>
      <xdr:spPr>
        <a:xfrm>
          <a:off x="5218081" y="3693887"/>
          <a:ext cx="25583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29</xdr:row>
      <xdr:rowOff>0</xdr:rowOff>
    </xdr:from>
    <xdr:ext cx="266700" cy="180975"/>
    <xdr:sp>
      <xdr:nvSpPr>
        <xdr:cNvPr id="7" name="Shape 7"/>
        <xdr:cNvSpPr txBox="1"/>
      </xdr:nvSpPr>
      <xdr:spPr>
        <a:xfrm>
          <a:off x="5217087" y="3693887"/>
          <a:ext cx="25782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190500</xdr:colOff>
      <xdr:row>24</xdr:row>
      <xdr:rowOff>19050</xdr:rowOff>
    </xdr:from>
    <xdr:ext cx="381000" cy="180975"/>
    <xdr:sp>
      <xdr:nvSpPr>
        <xdr:cNvPr id="8" name="Shape 8"/>
        <xdr:cNvSpPr txBox="1"/>
      </xdr:nvSpPr>
      <xdr:spPr>
        <a:xfrm>
          <a:off x="5158962" y="3693887"/>
          <a:ext cx="3740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</a:t>
          </a:r>
          <a:endParaRPr sz="1100"/>
        </a:p>
      </xdr:txBody>
    </xdr:sp>
    <xdr:clientData fLocksWithSheet="0"/>
  </xdr:oneCellAnchor>
  <xdr:oneCellAnchor>
    <xdr:from>
      <xdr:col>1</xdr:col>
      <xdr:colOff>152400</xdr:colOff>
      <xdr:row>25</xdr:row>
      <xdr:rowOff>0</xdr:rowOff>
    </xdr:from>
    <xdr:ext cx="438150" cy="219075"/>
    <xdr:sp>
      <xdr:nvSpPr>
        <xdr:cNvPr id="9" name="Shape 9"/>
        <xdr:cNvSpPr txBox="1"/>
      </xdr:nvSpPr>
      <xdr:spPr>
        <a:xfrm>
          <a:off x="5131134" y="3673946"/>
          <a:ext cx="429733" cy="21210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152400</xdr:colOff>
      <xdr:row>26</xdr:row>
      <xdr:rowOff>0</xdr:rowOff>
    </xdr:from>
    <xdr:ext cx="438150" cy="219075"/>
    <xdr:sp>
      <xdr:nvSpPr>
        <xdr:cNvPr id="10" name="Shape 10"/>
        <xdr:cNvSpPr txBox="1"/>
      </xdr:nvSpPr>
      <xdr:spPr>
        <a:xfrm>
          <a:off x="5131134" y="3673946"/>
          <a:ext cx="429733" cy="21210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161925</xdr:colOff>
      <xdr:row>20</xdr:row>
      <xdr:rowOff>0</xdr:rowOff>
    </xdr:from>
    <xdr:ext cx="381000" cy="180975"/>
    <xdr:sp>
      <xdr:nvSpPr>
        <xdr:cNvPr id="11" name="Shape 11"/>
        <xdr:cNvSpPr txBox="1"/>
      </xdr:nvSpPr>
      <xdr:spPr>
        <a:xfrm>
          <a:off x="5158962" y="3693887"/>
          <a:ext cx="3740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</a:t>
          </a:r>
          <a:endParaRPr sz="1100"/>
        </a:p>
      </xdr:txBody>
    </xdr:sp>
    <xdr:clientData fLocksWithSheet="0"/>
  </xdr:oneCellAnchor>
  <xdr:oneCellAnchor>
    <xdr:from>
      <xdr:col>1</xdr:col>
      <xdr:colOff>133350</xdr:colOff>
      <xdr:row>21</xdr:row>
      <xdr:rowOff>0</xdr:rowOff>
    </xdr:from>
    <xdr:ext cx="438150" cy="219075"/>
    <xdr:sp>
      <xdr:nvSpPr>
        <xdr:cNvPr id="10" name="Shape 10"/>
        <xdr:cNvSpPr txBox="1"/>
      </xdr:nvSpPr>
      <xdr:spPr>
        <a:xfrm>
          <a:off x="5131134" y="3673946"/>
          <a:ext cx="429733" cy="21210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22</xdr:row>
      <xdr:rowOff>0</xdr:rowOff>
    </xdr:from>
    <xdr:ext cx="438150" cy="219075"/>
    <xdr:sp>
      <xdr:nvSpPr>
        <xdr:cNvPr id="10" name="Shape 10"/>
        <xdr:cNvSpPr txBox="1"/>
      </xdr:nvSpPr>
      <xdr:spPr>
        <a:xfrm>
          <a:off x="5131134" y="3673946"/>
          <a:ext cx="429733" cy="21210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542925</xdr:colOff>
      <xdr:row>28</xdr:row>
      <xdr:rowOff>85725</xdr:rowOff>
    </xdr:from>
    <xdr:ext cx="38100" cy="1905000"/>
    <xdr:grpSp>
      <xdr:nvGrpSpPr>
        <xdr:cNvPr id="2" name="Shape 2"/>
        <xdr:cNvGrpSpPr/>
      </xdr:nvGrpSpPr>
      <xdr:grpSpPr>
        <a:xfrm>
          <a:off x="5331713" y="2827500"/>
          <a:ext cx="28575" cy="1905000"/>
          <a:chOff x="5331713" y="2827500"/>
          <a:chExt cx="28575" cy="1905000"/>
        </a:xfrm>
      </xdr:grpSpPr>
      <xdr:cxnSp>
        <xdr:nvCxnSpPr>
          <xdr:cNvPr id="12" name="Shape 12"/>
          <xdr:cNvCxnSpPr/>
        </xdr:nvCxnSpPr>
        <xdr:spPr>
          <a:xfrm>
            <a:off x="5331713" y="2827500"/>
            <a:ext cx="28575" cy="19050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5</xdr:col>
      <xdr:colOff>57150</xdr:colOff>
      <xdr:row>28</xdr:row>
      <xdr:rowOff>66675</xdr:rowOff>
    </xdr:from>
    <xdr:ext cx="3657600" cy="38100"/>
    <xdr:grpSp>
      <xdr:nvGrpSpPr>
        <xdr:cNvPr id="2" name="Shape 2"/>
        <xdr:cNvGrpSpPr/>
      </xdr:nvGrpSpPr>
      <xdr:grpSpPr>
        <a:xfrm>
          <a:off x="3517200" y="3765713"/>
          <a:ext cx="3657600" cy="28575"/>
          <a:chOff x="3517200" y="3765713"/>
          <a:chExt cx="3657600" cy="28575"/>
        </a:xfrm>
      </xdr:grpSpPr>
      <xdr:cxnSp>
        <xdr:nvCxnSpPr>
          <xdr:cNvPr id="13" name="Shape 13"/>
          <xdr:cNvCxnSpPr/>
        </xdr:nvCxnSpPr>
        <xdr:spPr>
          <a:xfrm rot="10800000">
            <a:off x="3517200" y="3765713"/>
            <a:ext cx="3657600" cy="2857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9</xdr:col>
      <xdr:colOff>409575</xdr:colOff>
      <xdr:row>28</xdr:row>
      <xdr:rowOff>152400</xdr:rowOff>
    </xdr:from>
    <xdr:ext cx="38100" cy="1857375"/>
    <xdr:grpSp>
      <xdr:nvGrpSpPr>
        <xdr:cNvPr id="2" name="Shape 2"/>
        <xdr:cNvGrpSpPr/>
      </xdr:nvGrpSpPr>
      <xdr:grpSpPr>
        <a:xfrm>
          <a:off x="5346000" y="2851313"/>
          <a:ext cx="0" cy="1857375"/>
          <a:chOff x="5346000" y="2851313"/>
          <a:chExt cx="0" cy="1857375"/>
        </a:xfrm>
      </xdr:grpSpPr>
      <xdr:cxnSp>
        <xdr:nvCxnSpPr>
          <xdr:cNvPr id="14" name="Shape 14"/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5</xdr:col>
      <xdr:colOff>47625</xdr:colOff>
      <xdr:row>28</xdr:row>
      <xdr:rowOff>133350</xdr:rowOff>
    </xdr:from>
    <xdr:ext cx="3514725" cy="38100"/>
    <xdr:grpSp>
      <xdr:nvGrpSpPr>
        <xdr:cNvPr id="2" name="Shape 2"/>
        <xdr:cNvGrpSpPr/>
      </xdr:nvGrpSpPr>
      <xdr:grpSpPr>
        <a:xfrm>
          <a:off x="3588638" y="3780000"/>
          <a:ext cx="3514725" cy="0"/>
          <a:chOff x="3588638" y="3780000"/>
          <a:chExt cx="3514725" cy="0"/>
        </a:xfrm>
      </xdr:grpSpPr>
      <xdr:cxnSp>
        <xdr:nvCxnSpPr>
          <xdr:cNvPr id="15" name="Shape 15"/>
          <xdr:cNvCxnSpPr/>
        </xdr:nvCxnSpPr>
        <xdr:spPr>
          <a:xfrm rot="10800000">
            <a:off x="3588638" y="3780000"/>
            <a:ext cx="3514725" cy="0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7</xdr:col>
      <xdr:colOff>619125</xdr:colOff>
      <xdr:row>21</xdr:row>
      <xdr:rowOff>152400</xdr:rowOff>
    </xdr:from>
    <xdr:ext cx="190500" cy="266700"/>
    <xdr:sp>
      <xdr:nvSpPr>
        <xdr:cNvPr id="16" name="Shape 16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/>
      <c r="C1" s="1" t="s">
        <v>1</v>
      </c>
      <c r="D1" s="1"/>
      <c r="E1" s="1" t="s">
        <v>2</v>
      </c>
    </row>
    <row r="2" ht="14.25" customHeight="1">
      <c r="A2" s="2">
        <v>1.1201262E7</v>
      </c>
      <c r="C2" s="3">
        <v>79.0</v>
      </c>
      <c r="D2" s="3"/>
      <c r="E2" s="3">
        <v>170.18</v>
      </c>
    </row>
    <row r="3" ht="14.25" customHeight="1">
      <c r="A3" s="2">
        <v>1.1201264E7</v>
      </c>
      <c r="C3" s="3">
        <v>58.0</v>
      </c>
      <c r="D3" s="3"/>
      <c r="E3" s="3">
        <v>157.48</v>
      </c>
    </row>
    <row r="4" ht="14.25" customHeight="1">
      <c r="A4" s="2">
        <v>1.1201257E7</v>
      </c>
      <c r="C4" s="3">
        <v>63.0</v>
      </c>
      <c r="D4" s="3"/>
      <c r="E4" s="3">
        <v>170.18</v>
      </c>
    </row>
    <row r="5" ht="14.25" customHeight="1">
      <c r="A5" s="2">
        <v>1.1201249E7</v>
      </c>
      <c r="C5" s="3">
        <v>59.0</v>
      </c>
      <c r="D5" s="3"/>
      <c r="E5" s="3">
        <v>162.56</v>
      </c>
      <c r="K5" s="4" t="s">
        <v>3</v>
      </c>
      <c r="L5" s="4"/>
      <c r="M5" s="4"/>
      <c r="N5" s="4"/>
      <c r="O5" s="4"/>
    </row>
    <row r="6" ht="14.25" customHeight="1">
      <c r="A6" s="2">
        <v>1.1201251E7</v>
      </c>
      <c r="C6" s="3">
        <v>48.0</v>
      </c>
      <c r="D6" s="3"/>
      <c r="E6" s="3">
        <v>152.4</v>
      </c>
      <c r="K6" s="4" t="s">
        <v>4</v>
      </c>
      <c r="L6" s="4"/>
      <c r="M6" s="4"/>
      <c r="N6" s="4"/>
      <c r="O6" s="4"/>
    </row>
    <row r="7" ht="14.25" customHeight="1">
      <c r="A7" s="2">
        <v>1.1201316E7</v>
      </c>
      <c r="C7" s="3">
        <v>55.0</v>
      </c>
      <c r="D7" s="3"/>
      <c r="E7" s="3">
        <v>154.94</v>
      </c>
      <c r="K7" s="4" t="s">
        <v>5</v>
      </c>
      <c r="L7" s="4"/>
      <c r="M7" s="4"/>
      <c r="N7" s="4"/>
      <c r="O7" s="4"/>
    </row>
    <row r="8" ht="14.25" customHeight="1">
      <c r="A8" s="2">
        <v>1.1192133E7</v>
      </c>
      <c r="C8" s="3">
        <v>58.0</v>
      </c>
      <c r="D8" s="3"/>
      <c r="E8" s="3">
        <v>160.02</v>
      </c>
      <c r="K8" s="4" t="s">
        <v>6</v>
      </c>
      <c r="L8" s="4"/>
      <c r="M8" s="4"/>
      <c r="N8" s="4"/>
      <c r="O8" s="4"/>
    </row>
    <row r="9" ht="14.25" customHeight="1">
      <c r="A9" s="2">
        <v>1.1201034E7</v>
      </c>
      <c r="C9" s="3">
        <v>61.0</v>
      </c>
      <c r="D9" s="3"/>
      <c r="E9" s="3">
        <v>157.48</v>
      </c>
      <c r="K9" s="4" t="s">
        <v>7</v>
      </c>
      <c r="L9" s="4"/>
      <c r="M9" s="4"/>
      <c r="N9" s="4"/>
      <c r="O9" s="4"/>
    </row>
    <row r="10" ht="14.25" customHeight="1">
      <c r="A10" s="2">
        <v>1.120133E7</v>
      </c>
      <c r="C10" s="3">
        <v>65.0</v>
      </c>
      <c r="D10" s="3"/>
      <c r="E10" s="3">
        <v>165.1</v>
      </c>
      <c r="K10" s="4" t="s">
        <v>8</v>
      </c>
      <c r="L10" s="4"/>
      <c r="M10" s="4"/>
      <c r="N10" s="4"/>
      <c r="O10" s="4"/>
    </row>
    <row r="11" ht="14.25" customHeight="1">
      <c r="A11" s="2">
        <v>1.1162015E7</v>
      </c>
      <c r="C11" s="3">
        <v>80.0</v>
      </c>
      <c r="D11" s="3"/>
      <c r="E11" s="3">
        <v>177.8</v>
      </c>
      <c r="K11" s="4" t="s">
        <v>9</v>
      </c>
      <c r="L11" s="4"/>
      <c r="M11" s="4"/>
      <c r="N11" s="4"/>
      <c r="O11" s="4"/>
      <c r="S11" s="5"/>
      <c r="T11" s="5"/>
      <c r="U11" s="5"/>
      <c r="V11" s="5"/>
    </row>
    <row r="12" ht="14.25" customHeight="1">
      <c r="A12" s="2">
        <v>1.1201325E7</v>
      </c>
      <c r="C12" s="3">
        <v>77.0</v>
      </c>
      <c r="D12" s="3"/>
      <c r="E12" s="3">
        <v>172.72</v>
      </c>
      <c r="K12" s="4" t="s">
        <v>10</v>
      </c>
      <c r="L12" s="4"/>
      <c r="M12" s="4"/>
      <c r="N12" s="4"/>
      <c r="O12" s="4"/>
      <c r="S12" s="5"/>
      <c r="T12" s="5"/>
      <c r="U12" s="5"/>
      <c r="V12" s="5"/>
    </row>
    <row r="13" ht="14.25" customHeight="1">
      <c r="A13" s="2">
        <v>1.119309E7</v>
      </c>
      <c r="C13" s="3">
        <v>62.0</v>
      </c>
      <c r="D13" s="3"/>
      <c r="E13" s="3">
        <v>165.1</v>
      </c>
      <c r="K13" s="4" t="s">
        <v>11</v>
      </c>
      <c r="L13" s="4"/>
      <c r="M13" s="4"/>
      <c r="N13" s="4"/>
      <c r="O13" s="4"/>
      <c r="S13" s="5"/>
      <c r="T13" s="5"/>
      <c r="U13" s="5"/>
      <c r="V13" s="5"/>
    </row>
    <row r="14" ht="14.25" customHeight="1">
      <c r="A14" s="2">
        <v>1.1201334E7</v>
      </c>
      <c r="C14" s="3">
        <v>62.0</v>
      </c>
      <c r="D14" s="3"/>
      <c r="E14" s="3">
        <v>160.02</v>
      </c>
      <c r="S14" s="5"/>
      <c r="T14" s="5"/>
      <c r="U14" s="5"/>
      <c r="V14" s="5"/>
    </row>
    <row r="15" ht="14.25" customHeight="1">
      <c r="A15" s="2">
        <v>1.1193104E7</v>
      </c>
      <c r="C15" s="3">
        <v>67.0</v>
      </c>
      <c r="D15" s="3"/>
      <c r="E15" s="3">
        <v>167.64</v>
      </c>
      <c r="S15" s="5"/>
      <c r="T15" s="5"/>
      <c r="U15" s="5"/>
      <c r="V15" s="5"/>
    </row>
    <row r="16" ht="14.25" customHeight="1">
      <c r="A16" s="2">
        <v>1.1201314E7</v>
      </c>
      <c r="C16" s="3">
        <v>69.0</v>
      </c>
      <c r="D16" s="3"/>
      <c r="E16" s="3">
        <v>172.72</v>
      </c>
      <c r="S16" s="5"/>
      <c r="T16" s="5"/>
      <c r="U16" s="5"/>
      <c r="V16" s="5"/>
    </row>
    <row r="17" ht="14.25" customHeight="1">
      <c r="A17" s="2">
        <v>1.1201289E7</v>
      </c>
      <c r="C17" s="3">
        <v>87.0</v>
      </c>
      <c r="D17" s="3"/>
      <c r="E17" s="3">
        <v>182.88</v>
      </c>
      <c r="S17" s="5"/>
      <c r="T17" s="5"/>
      <c r="U17" s="5"/>
      <c r="V17" s="5"/>
    </row>
    <row r="18" ht="14.25" customHeight="1">
      <c r="A18" s="2">
        <v>1.1201274E7</v>
      </c>
      <c r="C18" s="3">
        <v>61.0</v>
      </c>
      <c r="D18" s="3"/>
      <c r="E18" s="3">
        <v>167.64</v>
      </c>
      <c r="S18" s="5"/>
      <c r="T18" s="5"/>
      <c r="U18" s="5"/>
      <c r="V18" s="5"/>
    </row>
    <row r="19" ht="14.25" customHeight="1">
      <c r="A19" s="2">
        <v>1.1201276E7</v>
      </c>
      <c r="C19" s="3">
        <v>45.0</v>
      </c>
      <c r="D19" s="3"/>
      <c r="E19" s="3">
        <v>157.48</v>
      </c>
      <c r="S19" s="5"/>
      <c r="T19" s="5"/>
      <c r="U19" s="5"/>
      <c r="V19" s="5"/>
    </row>
    <row r="20" ht="14.25" customHeight="1">
      <c r="A20" s="2">
        <v>1.1201278E7</v>
      </c>
      <c r="C20" s="3">
        <v>66.0</v>
      </c>
      <c r="D20" s="3"/>
      <c r="E20" s="3">
        <v>175.26</v>
      </c>
      <c r="S20" s="5"/>
      <c r="T20" s="5"/>
      <c r="U20" s="5"/>
      <c r="V20" s="5"/>
    </row>
    <row r="21" ht="14.25" customHeight="1">
      <c r="A21" s="2">
        <v>1.1201292E7</v>
      </c>
      <c r="C21" s="3">
        <v>79.0</v>
      </c>
      <c r="D21" s="3"/>
      <c r="E21" s="3">
        <v>180.34</v>
      </c>
      <c r="S21" s="5"/>
      <c r="T21" s="5"/>
      <c r="U21" s="5"/>
      <c r="V21" s="5"/>
    </row>
    <row r="22" ht="14.25" customHeight="1">
      <c r="A22" s="2">
        <v>1.120114E7</v>
      </c>
      <c r="C22" s="3">
        <v>80.0</v>
      </c>
      <c r="D22" s="3"/>
      <c r="E22" s="3">
        <v>177.8</v>
      </c>
      <c r="Q22" s="5"/>
      <c r="R22" s="5"/>
      <c r="S22" s="5"/>
      <c r="T22" s="5"/>
      <c r="U22" s="5"/>
      <c r="V22" s="5"/>
    </row>
    <row r="23" ht="14.25" customHeight="1">
      <c r="A23" s="2">
        <v>1.1202049E7</v>
      </c>
      <c r="C23" s="3">
        <v>73.0</v>
      </c>
      <c r="D23" s="3"/>
      <c r="E23" s="3">
        <v>172.72</v>
      </c>
      <c r="I23" s="6"/>
      <c r="J23" s="6"/>
      <c r="K23" s="6"/>
      <c r="L23" s="6"/>
      <c r="M23" s="6"/>
      <c r="N23" s="6"/>
      <c r="O23" s="6"/>
      <c r="Q23" s="6"/>
      <c r="R23" s="1" t="s">
        <v>1</v>
      </c>
      <c r="S23" s="1" t="s">
        <v>12</v>
      </c>
      <c r="T23" s="7"/>
      <c r="U23" s="5"/>
      <c r="V23" s="5"/>
    </row>
    <row r="24" ht="14.25" customHeight="1">
      <c r="A24" s="2">
        <v>1.1201116E7</v>
      </c>
      <c r="C24" s="3">
        <v>65.0</v>
      </c>
      <c r="D24" s="3"/>
      <c r="E24" s="3">
        <v>167.64</v>
      </c>
      <c r="I24" s="6"/>
      <c r="J24" s="6" t="s">
        <v>13</v>
      </c>
      <c r="K24" s="6" t="s">
        <v>14</v>
      </c>
      <c r="L24" s="6"/>
      <c r="M24" s="6"/>
      <c r="N24" s="6"/>
      <c r="O24" s="6"/>
      <c r="Q24" s="6"/>
      <c r="R24" s="8" t="s">
        <v>15</v>
      </c>
      <c r="S24" s="8" t="s">
        <v>16</v>
      </c>
      <c r="T24" s="7"/>
      <c r="U24" s="5"/>
      <c r="V24" s="5"/>
    </row>
    <row r="25" ht="14.25" customHeight="1">
      <c r="A25" s="2">
        <v>1.1201119E7</v>
      </c>
      <c r="C25" s="3">
        <v>68.0</v>
      </c>
      <c r="D25" s="3"/>
      <c r="E25" s="3">
        <v>175.26</v>
      </c>
      <c r="I25" s="6"/>
      <c r="J25" s="6"/>
      <c r="K25" s="6" t="s">
        <v>17</v>
      </c>
      <c r="L25" s="6"/>
      <c r="M25" s="6" t="s">
        <v>18</v>
      </c>
      <c r="N25" s="6"/>
      <c r="O25" s="6"/>
      <c r="Q25" s="6"/>
      <c r="R25" s="3">
        <v>79.0</v>
      </c>
      <c r="S25" s="9">
        <v>67.0</v>
      </c>
      <c r="T25" s="7"/>
      <c r="U25" s="5"/>
      <c r="V25" s="5"/>
    </row>
    <row r="26" ht="14.25" customHeight="1">
      <c r="A26" s="2">
        <v>1.1201133E7</v>
      </c>
      <c r="C26" s="3">
        <v>64.0</v>
      </c>
      <c r="D26" s="3"/>
      <c r="E26" s="3">
        <v>180.34</v>
      </c>
      <c r="I26" s="6"/>
      <c r="J26" s="6"/>
      <c r="K26" s="6"/>
      <c r="L26" s="6"/>
      <c r="M26" s="6"/>
      <c r="N26" s="6"/>
      <c r="O26" s="6"/>
      <c r="Q26" s="6"/>
      <c r="R26" s="3">
        <v>58.0</v>
      </c>
      <c r="S26" s="9">
        <v>62.0</v>
      </c>
      <c r="T26" s="7"/>
      <c r="U26" s="5"/>
      <c r="V26" s="5"/>
    </row>
    <row r="27" ht="14.25" customHeight="1">
      <c r="A27" s="2">
        <v>1.1202046E7</v>
      </c>
      <c r="C27" s="3">
        <v>85.0</v>
      </c>
      <c r="D27" s="3"/>
      <c r="E27" s="3">
        <v>182.88</v>
      </c>
      <c r="I27" s="6"/>
      <c r="J27" s="6"/>
      <c r="K27" s="6"/>
      <c r="L27" s="6" t="s">
        <v>19</v>
      </c>
      <c r="M27" s="6" t="s">
        <v>20</v>
      </c>
      <c r="N27" s="6"/>
      <c r="O27" s="6"/>
      <c r="Q27" s="6"/>
      <c r="R27" s="3">
        <v>63.0</v>
      </c>
      <c r="S27" s="9">
        <v>67.0</v>
      </c>
      <c r="T27" s="7"/>
      <c r="U27" s="5"/>
      <c r="V27" s="5"/>
    </row>
    <row r="28" ht="14.25" customHeight="1">
      <c r="A28" s="2">
        <v>1.1201145E7</v>
      </c>
      <c r="C28" s="3">
        <v>76.0</v>
      </c>
      <c r="D28" s="3"/>
      <c r="E28" s="3">
        <v>177.8</v>
      </c>
      <c r="I28" s="6"/>
      <c r="J28" s="6"/>
      <c r="K28" s="6"/>
      <c r="L28" s="6"/>
      <c r="M28" s="6"/>
      <c r="N28" s="6"/>
      <c r="O28" s="6"/>
      <c r="Q28" s="6"/>
      <c r="R28" s="3">
        <v>59.0</v>
      </c>
      <c r="S28" s="9">
        <v>64.0</v>
      </c>
      <c r="T28" s="7"/>
      <c r="U28" s="5"/>
      <c r="V28" s="5"/>
    </row>
    <row r="29" ht="14.25" customHeight="1">
      <c r="A29" s="2">
        <v>1.1201148E7</v>
      </c>
      <c r="C29" s="3">
        <v>69.0</v>
      </c>
      <c r="D29" s="3"/>
      <c r="E29" s="3">
        <v>175.26</v>
      </c>
      <c r="Q29" s="6"/>
      <c r="R29" s="3">
        <v>48.0</v>
      </c>
      <c r="S29" s="9">
        <v>60.0</v>
      </c>
      <c r="T29" s="7"/>
      <c r="U29" s="5"/>
      <c r="V29" s="5"/>
    </row>
    <row r="30" ht="14.25" customHeight="1">
      <c r="A30" s="2">
        <v>1.1202216E7</v>
      </c>
      <c r="C30" s="3">
        <v>67.0</v>
      </c>
      <c r="D30" s="3"/>
      <c r="E30" s="3">
        <v>170.68</v>
      </c>
      <c r="Q30" s="6" t="s">
        <v>21</v>
      </c>
      <c r="R30" s="3">
        <v>55.0</v>
      </c>
      <c r="S30" s="9">
        <v>61.0</v>
      </c>
      <c r="T30" s="7"/>
      <c r="U30" s="5"/>
      <c r="V30" s="5"/>
    </row>
    <row r="31" ht="14.25" customHeight="1">
      <c r="A31" s="2">
        <v>1.1181121E7</v>
      </c>
      <c r="C31" s="3">
        <v>76.0</v>
      </c>
      <c r="D31" s="3"/>
      <c r="E31" s="3">
        <v>170.18</v>
      </c>
      <c r="Q31" s="6"/>
      <c r="R31" s="3">
        <v>58.0</v>
      </c>
      <c r="S31" s="9">
        <v>63.0</v>
      </c>
      <c r="T31" s="7"/>
      <c r="U31" s="5"/>
      <c r="V31" s="5"/>
    </row>
    <row r="32" ht="14.25" customHeight="1">
      <c r="A32" s="2">
        <v>1.1191109E7</v>
      </c>
      <c r="C32" s="3">
        <v>65.0</v>
      </c>
      <c r="D32" s="3"/>
      <c r="E32" s="3">
        <v>175.26</v>
      </c>
      <c r="Q32" s="6"/>
      <c r="R32" s="3">
        <v>61.0</v>
      </c>
      <c r="S32" s="9">
        <v>62.0</v>
      </c>
      <c r="T32" s="7"/>
      <c r="U32" s="5"/>
      <c r="V32" s="5"/>
    </row>
    <row r="33" ht="14.25" customHeight="1">
      <c r="A33" s="2">
        <v>1.118126E7</v>
      </c>
      <c r="C33" s="3">
        <v>54.0</v>
      </c>
      <c r="D33" s="3"/>
      <c r="E33" s="3">
        <v>157.68</v>
      </c>
      <c r="Q33" s="6"/>
      <c r="R33" s="3">
        <v>65.0</v>
      </c>
      <c r="S33" s="9">
        <v>65.0</v>
      </c>
      <c r="T33" s="7"/>
      <c r="U33" s="5"/>
      <c r="V33" s="5"/>
    </row>
    <row r="34" ht="14.25" customHeight="1">
      <c r="A34" s="2">
        <v>1.1201113E7</v>
      </c>
      <c r="C34" s="3">
        <v>57.0</v>
      </c>
      <c r="D34" s="3"/>
      <c r="E34" s="3">
        <v>162.56</v>
      </c>
      <c r="Q34" s="6"/>
      <c r="R34" s="3">
        <v>80.0</v>
      </c>
      <c r="S34" s="9">
        <v>70.0</v>
      </c>
      <c r="T34" s="6"/>
    </row>
    <row r="35" ht="14.25" customHeight="1">
      <c r="A35" s="2">
        <v>1.119301E7</v>
      </c>
      <c r="C35" s="3">
        <v>75.0</v>
      </c>
      <c r="D35" s="3"/>
      <c r="E35" s="3">
        <v>175.26</v>
      </c>
      <c r="R35" s="5"/>
      <c r="S35" s="5"/>
    </row>
    <row r="36" ht="14.25" customHeight="1">
      <c r="A36" s="2">
        <v>1.1191018E7</v>
      </c>
      <c r="C36" s="3">
        <v>73.0</v>
      </c>
      <c r="D36" s="3"/>
      <c r="E36" s="3">
        <v>172.72</v>
      </c>
    </row>
    <row r="37" ht="14.25" customHeight="1">
      <c r="A37" s="2">
        <v>1.1202328E7</v>
      </c>
      <c r="C37" s="3">
        <v>71.0</v>
      </c>
      <c r="D37" s="3"/>
      <c r="E37" s="3">
        <v>172.72</v>
      </c>
    </row>
    <row r="38" ht="14.25" customHeight="1">
      <c r="A38" s="2">
        <v>1.1191268E7</v>
      </c>
      <c r="C38" s="3">
        <v>63.0</v>
      </c>
      <c r="D38" s="3"/>
      <c r="E38" s="3">
        <v>149.86</v>
      </c>
    </row>
    <row r="39" ht="14.25" customHeight="1">
      <c r="A39" s="2">
        <v>1.1192116E7</v>
      </c>
      <c r="C39" s="3">
        <v>66.0</v>
      </c>
      <c r="D39" s="3"/>
      <c r="E39" s="3">
        <v>170.18</v>
      </c>
    </row>
    <row r="40" ht="14.25" customHeight="1">
      <c r="A40" s="2">
        <v>1.1201056E7</v>
      </c>
      <c r="C40" s="3">
        <v>70.0</v>
      </c>
      <c r="D40" s="3"/>
      <c r="E40" s="3">
        <v>172.72</v>
      </c>
    </row>
    <row r="41" ht="14.25" customHeight="1">
      <c r="A41" s="2">
        <v>1.1192118E7</v>
      </c>
      <c r="C41" s="3">
        <v>68.0</v>
      </c>
      <c r="D41" s="3"/>
      <c r="E41" s="3">
        <v>177.8</v>
      </c>
    </row>
    <row r="42" ht="14.25" customHeight="1">
      <c r="A42" s="2">
        <v>1.1193014E7</v>
      </c>
      <c r="C42" s="3">
        <v>55.0</v>
      </c>
      <c r="D42" s="3"/>
      <c r="E42" s="3">
        <v>164.592</v>
      </c>
    </row>
    <row r="43" ht="14.25" customHeight="1">
      <c r="A43" s="2">
        <v>1.1201117E7</v>
      </c>
      <c r="C43" s="3">
        <v>65.0</v>
      </c>
      <c r="D43" s="3"/>
      <c r="E43" s="3">
        <v>170.688</v>
      </c>
    </row>
    <row r="44" ht="14.25" customHeight="1">
      <c r="A44" s="2">
        <v>1.1193023E7</v>
      </c>
      <c r="C44" s="3">
        <v>47.0</v>
      </c>
      <c r="D44" s="3"/>
      <c r="E44" s="3">
        <v>152.4</v>
      </c>
    </row>
    <row r="45" ht="14.25" customHeight="1">
      <c r="A45" s="2">
        <v>1.1201115E7</v>
      </c>
      <c r="C45" s="3">
        <v>48.0</v>
      </c>
      <c r="D45" s="3"/>
      <c r="E45" s="3">
        <v>155.448</v>
      </c>
    </row>
    <row r="46" ht="14.25" customHeight="1">
      <c r="A46" s="2">
        <v>1.1201137E7</v>
      </c>
      <c r="C46" s="3">
        <v>50.0</v>
      </c>
      <c r="D46" s="3"/>
      <c r="E46" s="3">
        <v>158.496</v>
      </c>
    </row>
    <row r="47" ht="14.25" customHeight="1">
      <c r="A47" s="2">
        <v>1.1191132E7</v>
      </c>
      <c r="C47" s="3">
        <v>50.0</v>
      </c>
      <c r="D47" s="3"/>
      <c r="E47" s="3">
        <v>152.4</v>
      </c>
    </row>
    <row r="48" ht="14.25" customHeight="1">
      <c r="A48" s="2">
        <v>1.1193015E7</v>
      </c>
      <c r="C48" s="3">
        <v>94.0</v>
      </c>
      <c r="D48" s="3"/>
      <c r="E48" s="3">
        <v>180.34</v>
      </c>
    </row>
    <row r="49" ht="14.25" customHeight="1">
      <c r="A49" s="2">
        <v>1.1192114E7</v>
      </c>
      <c r="C49" s="3">
        <v>49.0</v>
      </c>
      <c r="D49" s="3"/>
      <c r="E49" s="3">
        <v>147.32</v>
      </c>
    </row>
    <row r="50" ht="14.25" customHeight="1">
      <c r="A50" s="2">
        <v>1.1192115E7</v>
      </c>
      <c r="C50" s="3">
        <v>59.0</v>
      </c>
      <c r="D50" s="3"/>
      <c r="E50" s="3">
        <v>167.64</v>
      </c>
    </row>
    <row r="51" ht="14.25" customHeight="1">
      <c r="A51" s="2">
        <v>1.1191185E7</v>
      </c>
      <c r="C51" s="3">
        <v>50.0</v>
      </c>
      <c r="D51" s="3"/>
      <c r="E51" s="3">
        <v>157.48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3.57"/>
    <col customWidth="1" min="3" max="3" width="12.71"/>
    <col customWidth="1" min="4" max="7" width="9.14"/>
    <col customWidth="1" min="8" max="8" width="11.29"/>
    <col customWidth="1" min="9" max="9" width="11.0"/>
    <col customWidth="1" min="10" max="10" width="10.86"/>
    <col customWidth="1" min="11" max="11" width="11.43"/>
    <col customWidth="1" min="12" max="26" width="9.14"/>
  </cols>
  <sheetData>
    <row r="1">
      <c r="A1" s="5"/>
      <c r="B1" s="5"/>
      <c r="C1" s="5"/>
      <c r="D1" s="5"/>
      <c r="E1" s="5"/>
      <c r="F1" s="10" t="s">
        <v>22</v>
      </c>
      <c r="G1" s="11" t="s">
        <v>23</v>
      </c>
      <c r="H1" s="10" t="s">
        <v>24</v>
      </c>
      <c r="I1" s="10" t="s">
        <v>25</v>
      </c>
      <c r="J1" s="12" t="s">
        <v>26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9" t="s">
        <v>27</v>
      </c>
      <c r="G2" s="9" t="s">
        <v>28</v>
      </c>
      <c r="H2" s="9">
        <v>49.0</v>
      </c>
      <c r="I2" s="9">
        <v>8.0</v>
      </c>
      <c r="J2" s="3">
        <v>8.0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9" t="s">
        <v>29</v>
      </c>
      <c r="G3" s="9" t="s">
        <v>30</v>
      </c>
      <c r="H3" s="9">
        <v>58.0</v>
      </c>
      <c r="I3" s="9">
        <v>12.0</v>
      </c>
      <c r="J3" s="3">
        <v>20.0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13" t="s">
        <v>31</v>
      </c>
      <c r="G4" s="13" t="s">
        <v>32</v>
      </c>
      <c r="H4" s="13">
        <v>67.0</v>
      </c>
      <c r="I4" s="13">
        <v>17.0</v>
      </c>
      <c r="J4" s="14">
        <v>37.0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9" t="s">
        <v>33</v>
      </c>
      <c r="G5" s="9" t="s">
        <v>34</v>
      </c>
      <c r="H5" s="9">
        <v>76.0</v>
      </c>
      <c r="I5" s="9">
        <v>10.0</v>
      </c>
      <c r="J5" s="3">
        <v>47.0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9" t="s">
        <v>35</v>
      </c>
      <c r="G6" s="9" t="s">
        <v>36</v>
      </c>
      <c r="H6" s="9">
        <v>85.0</v>
      </c>
      <c r="I6" s="9">
        <v>2.0</v>
      </c>
      <c r="J6" s="3">
        <v>49.0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9" t="s">
        <v>37</v>
      </c>
      <c r="G7" s="9" t="s">
        <v>38</v>
      </c>
      <c r="H7" s="9">
        <v>94.0</v>
      </c>
      <c r="I7" s="9">
        <v>1.0</v>
      </c>
      <c r="J7" s="3">
        <v>50.0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10" t="s">
        <v>24</v>
      </c>
      <c r="C11" s="10" t="s">
        <v>25</v>
      </c>
      <c r="D11" s="5"/>
      <c r="E11" s="5"/>
      <c r="F11" s="5"/>
      <c r="G11" s="5"/>
      <c r="H11" s="5"/>
      <c r="I11" s="5"/>
      <c r="J11" s="5"/>
      <c r="K11" s="10" t="s">
        <v>39</v>
      </c>
      <c r="L11" s="10" t="s">
        <v>40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9">
        <v>49.0</v>
      </c>
      <c r="C12" s="9">
        <v>8.0</v>
      </c>
      <c r="D12" s="5"/>
      <c r="E12" s="5"/>
      <c r="F12" s="5"/>
      <c r="G12" s="5"/>
      <c r="H12" s="5"/>
      <c r="I12" s="5"/>
      <c r="J12" s="5"/>
      <c r="K12" s="3">
        <v>53.5</v>
      </c>
      <c r="L12" s="3">
        <v>8.0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9">
        <v>58.0</v>
      </c>
      <c r="C13" s="9">
        <v>12.0</v>
      </c>
      <c r="D13" s="5"/>
      <c r="E13" s="5"/>
      <c r="F13" s="5"/>
      <c r="G13" s="5"/>
      <c r="H13" s="5"/>
      <c r="I13" s="5"/>
      <c r="J13" s="5"/>
      <c r="K13" s="3">
        <v>62.5</v>
      </c>
      <c r="L13" s="3">
        <v>20.0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9">
        <v>67.0</v>
      </c>
      <c r="C14" s="9">
        <v>17.0</v>
      </c>
      <c r="D14" s="5"/>
      <c r="E14" s="5"/>
      <c r="F14" s="5"/>
      <c r="G14" s="5"/>
      <c r="H14" s="5"/>
      <c r="I14" s="5"/>
      <c r="J14" s="5"/>
      <c r="K14" s="3">
        <v>71.5</v>
      </c>
      <c r="L14" s="3">
        <v>37.0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9">
        <v>76.0</v>
      </c>
      <c r="C15" s="9">
        <v>10.0</v>
      </c>
      <c r="D15" s="5"/>
      <c r="E15" s="5"/>
      <c r="F15" s="5"/>
      <c r="G15" s="5"/>
      <c r="H15" s="5"/>
      <c r="I15" s="5"/>
      <c r="J15" s="5"/>
      <c r="K15" s="3">
        <v>80.5</v>
      </c>
      <c r="L15" s="3">
        <v>47.0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9">
        <v>85.0</v>
      </c>
      <c r="C16" s="9">
        <v>2.0</v>
      </c>
      <c r="D16" s="5"/>
      <c r="E16" s="5"/>
      <c r="F16" s="5"/>
      <c r="G16" s="5"/>
      <c r="H16" s="5"/>
      <c r="I16" s="5"/>
      <c r="J16" s="5"/>
      <c r="K16" s="3">
        <v>89.5</v>
      </c>
      <c r="L16" s="3">
        <v>49.0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9">
        <v>94.0</v>
      </c>
      <c r="C17" s="9">
        <v>1.0</v>
      </c>
      <c r="D17" s="5"/>
      <c r="E17" s="5"/>
      <c r="F17" s="5"/>
      <c r="G17" s="5"/>
      <c r="H17" s="5"/>
      <c r="I17" s="5"/>
      <c r="J17" s="5"/>
      <c r="K17" s="3">
        <v>98.5</v>
      </c>
      <c r="L17" s="3">
        <v>50.0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15"/>
      <c r="J24" s="16"/>
      <c r="K24" s="16"/>
      <c r="L24" s="5"/>
      <c r="M24" s="1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17"/>
      <c r="K25" s="18"/>
      <c r="L25" s="1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17"/>
      <c r="K26" s="18"/>
      <c r="L26" s="1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17"/>
      <c r="K27" s="18"/>
      <c r="L27" s="1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16"/>
      <c r="C28" s="16"/>
      <c r="D28" s="15"/>
      <c r="E28" s="15"/>
      <c r="F28" s="15"/>
      <c r="G28" s="15"/>
      <c r="H28" s="15"/>
      <c r="I28" s="5"/>
      <c r="J28" s="20"/>
      <c r="K28" s="18"/>
      <c r="L28" s="21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17"/>
      <c r="K29" s="18"/>
      <c r="L29" s="19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18"/>
      <c r="C30" s="18"/>
      <c r="D30" s="5"/>
      <c r="E30" s="5"/>
      <c r="F30" s="5"/>
      <c r="G30" s="5"/>
      <c r="H30" s="5"/>
      <c r="J30" s="17"/>
      <c r="K30" s="18"/>
      <c r="L30" s="19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/>
      <c r="B34" s="22" t="s">
        <v>41</v>
      </c>
      <c r="C34" s="22" t="s">
        <v>25</v>
      </c>
      <c r="D34" s="5"/>
      <c r="E34" s="5"/>
      <c r="F34" s="5"/>
      <c r="G34" s="5"/>
      <c r="H34" s="5"/>
      <c r="I34" s="15"/>
      <c r="J34" s="22" t="s">
        <v>41</v>
      </c>
      <c r="K34" s="22" t="s">
        <v>25</v>
      </c>
      <c r="L34" s="23" t="s">
        <v>42</v>
      </c>
      <c r="M34" s="22" t="s">
        <v>43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9" t="s">
        <v>28</v>
      </c>
      <c r="C35" s="9">
        <v>8.0</v>
      </c>
      <c r="D35" s="5"/>
      <c r="E35" s="5"/>
      <c r="F35" s="5"/>
      <c r="G35" s="5"/>
      <c r="H35" s="5"/>
      <c r="I35" s="5"/>
      <c r="J35" s="9" t="s">
        <v>28</v>
      </c>
      <c r="K35" s="9">
        <v>8.0</v>
      </c>
      <c r="L35" s="24">
        <v>0.16</v>
      </c>
      <c r="M35" s="9">
        <v>57.6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9" t="s">
        <v>30</v>
      </c>
      <c r="C36" s="9">
        <v>12.0</v>
      </c>
      <c r="D36" s="5"/>
      <c r="E36" s="5"/>
      <c r="F36" s="5"/>
      <c r="G36" s="5"/>
      <c r="H36" s="5"/>
      <c r="I36" s="5"/>
      <c r="J36" s="9" t="s">
        <v>30</v>
      </c>
      <c r="K36" s="9">
        <v>12.0</v>
      </c>
      <c r="L36" s="24">
        <v>0.24</v>
      </c>
      <c r="M36" s="9">
        <v>86.4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9" t="s">
        <v>32</v>
      </c>
      <c r="C37" s="9">
        <v>17.0</v>
      </c>
      <c r="D37" s="5"/>
      <c r="E37" s="5"/>
      <c r="F37" s="5"/>
      <c r="G37" s="5"/>
      <c r="H37" s="5"/>
      <c r="I37" s="7" t="s">
        <v>44</v>
      </c>
      <c r="J37" s="9" t="s">
        <v>32</v>
      </c>
      <c r="K37" s="9">
        <v>17.0</v>
      </c>
      <c r="L37" s="24">
        <v>0.34</v>
      </c>
      <c r="M37" s="9">
        <v>122.4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9" t="s">
        <v>34</v>
      </c>
      <c r="C38" s="9">
        <v>10.0</v>
      </c>
      <c r="D38" s="5"/>
      <c r="E38" s="5"/>
      <c r="F38" s="5"/>
      <c r="G38" s="5"/>
      <c r="H38" s="5"/>
      <c r="I38" s="5"/>
      <c r="J38" s="9" t="s">
        <v>34</v>
      </c>
      <c r="K38" s="9">
        <v>10.0</v>
      </c>
      <c r="L38" s="25">
        <v>0.2</v>
      </c>
      <c r="M38" s="9">
        <v>72.0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9" t="s">
        <v>36</v>
      </c>
      <c r="C39" s="9">
        <v>2.0</v>
      </c>
      <c r="D39" s="5"/>
      <c r="E39" s="5"/>
      <c r="F39" s="5"/>
      <c r="G39" s="5"/>
      <c r="H39" s="5"/>
      <c r="I39" s="5"/>
      <c r="J39" s="9" t="s">
        <v>36</v>
      </c>
      <c r="K39" s="9">
        <v>2.0</v>
      </c>
      <c r="L39" s="24">
        <v>0.04</v>
      </c>
      <c r="M39" s="9">
        <v>14.4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9" t="s">
        <v>38</v>
      </c>
      <c r="C40" s="9">
        <v>1.0</v>
      </c>
      <c r="D40" s="5"/>
      <c r="E40" s="5"/>
      <c r="F40" s="5"/>
      <c r="G40" s="5"/>
      <c r="H40" s="5"/>
      <c r="J40" s="9" t="s">
        <v>38</v>
      </c>
      <c r="K40" s="9">
        <v>1.0</v>
      </c>
      <c r="L40" s="24">
        <v>0.02</v>
      </c>
      <c r="M40" s="9">
        <v>7.2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7.0"/>
    <col customWidth="1" min="3" max="3" width="15.0"/>
    <col customWidth="1" min="4" max="4" width="16.29"/>
    <col customWidth="1" min="5" max="5" width="14.71"/>
    <col customWidth="1" min="6" max="6" width="11.0"/>
    <col customWidth="1" min="7" max="7" width="11.86"/>
    <col customWidth="1" min="8" max="8" width="14.14"/>
    <col customWidth="1" min="9" max="9" width="14.71"/>
    <col customWidth="1" min="10" max="11" width="9.14"/>
    <col customWidth="1" min="12" max="12" width="13.86"/>
    <col customWidth="1" min="13" max="13" width="17.71"/>
    <col customWidth="1" min="14" max="14" width="9.14"/>
    <col customWidth="1" min="15" max="26" width="8.71"/>
  </cols>
  <sheetData>
    <row r="1" ht="14.2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7"/>
      <c r="B3" s="27"/>
      <c r="C3" s="10" t="s">
        <v>22</v>
      </c>
      <c r="D3" s="28" t="s">
        <v>23</v>
      </c>
      <c r="E3" s="10" t="s">
        <v>24</v>
      </c>
      <c r="F3" s="10" t="s">
        <v>25</v>
      </c>
      <c r="G3" s="10" t="s">
        <v>26</v>
      </c>
      <c r="H3" s="29" t="s">
        <v>45</v>
      </c>
      <c r="I3" s="29" t="s">
        <v>46</v>
      </c>
      <c r="J3" s="29" t="s">
        <v>47</v>
      </c>
      <c r="K3" s="29" t="s">
        <v>48</v>
      </c>
      <c r="L3" s="29" t="s">
        <v>49</v>
      </c>
      <c r="M3" s="29" t="s">
        <v>50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5"/>
      <c r="B4" s="5"/>
      <c r="C4" s="9" t="s">
        <v>27</v>
      </c>
      <c r="D4" s="9" t="s">
        <v>28</v>
      </c>
      <c r="E4" s="9">
        <v>49.0</v>
      </c>
      <c r="F4" s="9">
        <v>8.0</v>
      </c>
      <c r="G4" s="3">
        <v>8.0</v>
      </c>
      <c r="H4" s="9">
        <f t="shared" ref="H4:H9" si="1">F4*E4</f>
        <v>392</v>
      </c>
      <c r="I4" s="9">
        <f t="shared" ref="I4:I9" si="2">(E4-67)/9</f>
        <v>-2</v>
      </c>
      <c r="J4" s="9">
        <f t="shared" ref="J4:J9" si="3">F4*I4</f>
        <v>-16</v>
      </c>
      <c r="K4" s="9">
        <f t="shared" ref="K4:K9" si="4">LOG10(E4)</f>
        <v>1.69019608</v>
      </c>
      <c r="L4" s="9">
        <f t="shared" ref="L4:L9" si="5">F4*K4</f>
        <v>13.52156864</v>
      </c>
      <c r="M4" s="9">
        <f t="shared" ref="M4:M9" si="6">F4/E4</f>
        <v>0.1632653061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5"/>
      <c r="B5" s="5"/>
      <c r="C5" s="9" t="s">
        <v>29</v>
      </c>
      <c r="D5" s="9" t="s">
        <v>30</v>
      </c>
      <c r="E5" s="9">
        <v>58.0</v>
      </c>
      <c r="F5" s="9">
        <v>12.0</v>
      </c>
      <c r="G5" s="3">
        <v>20.0</v>
      </c>
      <c r="H5" s="9">
        <f t="shared" si="1"/>
        <v>696</v>
      </c>
      <c r="I5" s="9">
        <f t="shared" si="2"/>
        <v>-1</v>
      </c>
      <c r="J5" s="9">
        <f t="shared" si="3"/>
        <v>-12</v>
      </c>
      <c r="K5" s="9">
        <f t="shared" si="4"/>
        <v>1.763427994</v>
      </c>
      <c r="L5" s="9">
        <f t="shared" si="5"/>
        <v>21.16113592</v>
      </c>
      <c r="M5" s="9">
        <f t="shared" si="6"/>
        <v>0.2068965517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5"/>
      <c r="B6" s="5"/>
      <c r="C6" s="9" t="s">
        <v>31</v>
      </c>
      <c r="D6" s="9" t="s">
        <v>32</v>
      </c>
      <c r="E6" s="9">
        <v>67.0</v>
      </c>
      <c r="F6" s="9">
        <v>17.0</v>
      </c>
      <c r="G6" s="3">
        <v>37.0</v>
      </c>
      <c r="H6" s="9">
        <f t="shared" si="1"/>
        <v>1139</v>
      </c>
      <c r="I6" s="9">
        <f t="shared" si="2"/>
        <v>0</v>
      </c>
      <c r="J6" s="9">
        <f t="shared" si="3"/>
        <v>0</v>
      </c>
      <c r="K6" s="9">
        <f t="shared" si="4"/>
        <v>1.826074803</v>
      </c>
      <c r="L6" s="9">
        <f t="shared" si="5"/>
        <v>31.04327165</v>
      </c>
      <c r="M6" s="9">
        <f t="shared" si="6"/>
        <v>0.2537313433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5"/>
      <c r="B7" s="5"/>
      <c r="C7" s="9" t="s">
        <v>33</v>
      </c>
      <c r="D7" s="9" t="s">
        <v>34</v>
      </c>
      <c r="E7" s="9">
        <v>76.0</v>
      </c>
      <c r="F7" s="9">
        <v>10.0</v>
      </c>
      <c r="G7" s="3">
        <v>47.0</v>
      </c>
      <c r="H7" s="9">
        <f t="shared" si="1"/>
        <v>760</v>
      </c>
      <c r="I7" s="9">
        <f t="shared" si="2"/>
        <v>1</v>
      </c>
      <c r="J7" s="9">
        <f t="shared" si="3"/>
        <v>10</v>
      </c>
      <c r="K7" s="9">
        <f t="shared" si="4"/>
        <v>1.880813592</v>
      </c>
      <c r="L7" s="9">
        <f t="shared" si="5"/>
        <v>18.80813592</v>
      </c>
      <c r="M7" s="9">
        <f t="shared" si="6"/>
        <v>0.1315789474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5"/>
      <c r="B8" s="5"/>
      <c r="C8" s="9" t="s">
        <v>35</v>
      </c>
      <c r="D8" s="9" t="s">
        <v>36</v>
      </c>
      <c r="E8" s="9">
        <v>85.0</v>
      </c>
      <c r="F8" s="9">
        <v>2.0</v>
      </c>
      <c r="G8" s="3">
        <v>49.0</v>
      </c>
      <c r="H8" s="9">
        <f t="shared" si="1"/>
        <v>170</v>
      </c>
      <c r="I8" s="9">
        <f t="shared" si="2"/>
        <v>2</v>
      </c>
      <c r="J8" s="9">
        <f t="shared" si="3"/>
        <v>4</v>
      </c>
      <c r="K8" s="9">
        <f t="shared" si="4"/>
        <v>1.929418926</v>
      </c>
      <c r="L8" s="9">
        <f t="shared" si="5"/>
        <v>3.858837851</v>
      </c>
      <c r="M8" s="9">
        <f t="shared" si="6"/>
        <v>0.02352941176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/>
      <c r="B9" s="26"/>
      <c r="C9" s="9" t="s">
        <v>37</v>
      </c>
      <c r="D9" s="9" t="s">
        <v>38</v>
      </c>
      <c r="E9" s="9">
        <v>94.0</v>
      </c>
      <c r="F9" s="9">
        <v>1.0</v>
      </c>
      <c r="G9" s="3">
        <v>50.0</v>
      </c>
      <c r="H9" s="9">
        <f t="shared" si="1"/>
        <v>94</v>
      </c>
      <c r="I9" s="9">
        <f t="shared" si="2"/>
        <v>3</v>
      </c>
      <c r="J9" s="9">
        <f t="shared" si="3"/>
        <v>3</v>
      </c>
      <c r="K9" s="9">
        <f t="shared" si="4"/>
        <v>1.973127854</v>
      </c>
      <c r="L9" s="9">
        <f t="shared" si="5"/>
        <v>1.973127854</v>
      </c>
      <c r="M9" s="9">
        <f t="shared" si="6"/>
        <v>0.01063829787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6"/>
      <c r="B10" s="26"/>
      <c r="C10" s="3"/>
      <c r="D10" s="30" t="s">
        <v>51</v>
      </c>
      <c r="E10" s="9"/>
      <c r="F10" s="8">
        <f>SUM(F4:F9)</f>
        <v>50</v>
      </c>
      <c r="G10" s="8"/>
      <c r="H10" s="8">
        <f>SUM(H4:H9)</f>
        <v>3251</v>
      </c>
      <c r="I10" s="8"/>
      <c r="J10" s="8">
        <f>SUM(J4:J9)</f>
        <v>-11</v>
      </c>
      <c r="K10" s="8"/>
      <c r="L10" s="8">
        <f t="shared" ref="L10:M10" si="7">SUM(L4:L9)</f>
        <v>90.36607784</v>
      </c>
      <c r="M10" s="8">
        <f t="shared" si="7"/>
        <v>0.7896398581</v>
      </c>
      <c r="N10" s="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/>
      <c r="B11" s="26"/>
      <c r="C11" s="2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/>
      <c r="B12" s="26"/>
      <c r="C12" s="26"/>
      <c r="D12" s="31"/>
      <c r="E12" s="32" t="s">
        <v>52</v>
      </c>
      <c r="F12" s="31">
        <f>H10/F10</f>
        <v>65.02</v>
      </c>
      <c r="G12" s="31"/>
      <c r="H12" s="32" t="s">
        <v>53</v>
      </c>
      <c r="I12" s="31">
        <f>10^(L10/F10)</f>
        <v>64.16845115</v>
      </c>
      <c r="J12" s="31"/>
      <c r="K12" s="31"/>
      <c r="L12" s="31"/>
      <c r="M12" s="31"/>
      <c r="N12" s="31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/>
      <c r="B13" s="26"/>
      <c r="C13" s="26"/>
      <c r="D13" s="31" t="s">
        <v>54</v>
      </c>
      <c r="E13" s="32" t="s">
        <v>55</v>
      </c>
      <c r="F13" s="31">
        <f>67+9*(J10/F10)</f>
        <v>65.02</v>
      </c>
      <c r="G13" s="31"/>
      <c r="H13" s="32" t="s">
        <v>56</v>
      </c>
      <c r="I13" s="31">
        <f>F10/M10</f>
        <v>63.3200053</v>
      </c>
      <c r="J13" s="31"/>
      <c r="K13" s="31"/>
      <c r="L13" s="31"/>
      <c r="M13" s="31"/>
      <c r="N13" s="31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/>
      <c r="B14" s="26"/>
      <c r="C14" s="26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26"/>
      <c r="C15" s="2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26"/>
      <c r="C16" s="26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26"/>
      <c r="C17" s="26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26"/>
      <c r="C18" s="26"/>
      <c r="D18" s="31" t="s">
        <v>57</v>
      </c>
      <c r="E18" s="31"/>
      <c r="F18" s="31"/>
      <c r="G18" s="31"/>
      <c r="H18" s="31" t="s">
        <v>58</v>
      </c>
      <c r="I18" s="31"/>
      <c r="J18" s="31"/>
      <c r="K18" s="31"/>
      <c r="L18" s="31"/>
      <c r="M18" s="31"/>
      <c r="N18" s="31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26"/>
      <c r="C19" s="26"/>
      <c r="D19" s="31" t="s">
        <v>59</v>
      </c>
      <c r="E19" s="32" t="s">
        <v>60</v>
      </c>
      <c r="F19" s="31">
        <f>62.5+(5*9)/(5+7)</f>
        <v>66.25</v>
      </c>
      <c r="G19" s="31"/>
      <c r="H19" s="31" t="s">
        <v>57</v>
      </c>
      <c r="I19" s="31"/>
      <c r="J19" s="31"/>
      <c r="K19" s="31"/>
      <c r="L19" s="31"/>
      <c r="M19" s="31"/>
      <c r="N19" s="31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26"/>
      <c r="C20" s="26"/>
      <c r="D20" s="31" t="s">
        <v>61</v>
      </c>
      <c r="E20" s="31"/>
      <c r="F20" s="31"/>
      <c r="G20" s="31"/>
      <c r="H20" s="31" t="s">
        <v>62</v>
      </c>
      <c r="I20" s="32" t="s">
        <v>63</v>
      </c>
      <c r="J20" s="31">
        <f>62.5+(25-20)*9/17</f>
        <v>65.14705882</v>
      </c>
      <c r="K20" s="31"/>
      <c r="L20" s="31"/>
      <c r="M20" s="31"/>
      <c r="N20" s="31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26"/>
      <c r="C21" s="26"/>
      <c r="D21" s="31" t="s">
        <v>64</v>
      </c>
      <c r="E21" s="31"/>
      <c r="F21" s="31"/>
      <c r="G21" s="31"/>
      <c r="H21" s="31" t="s">
        <v>65</v>
      </c>
      <c r="I21" s="31"/>
      <c r="J21" s="31"/>
      <c r="K21" s="31"/>
      <c r="L21" s="31"/>
      <c r="M21" s="31"/>
      <c r="N21" s="31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4.25" customHeight="1">
      <c r="A22" s="26"/>
      <c r="B22" s="26"/>
      <c r="C22" s="26"/>
      <c r="D22" s="31"/>
      <c r="E22" s="31"/>
      <c r="F22" s="31"/>
      <c r="G22" s="31"/>
      <c r="H22" s="31" t="s">
        <v>64</v>
      </c>
      <c r="I22" s="31"/>
      <c r="J22" s="31"/>
      <c r="K22" s="31"/>
      <c r="L22" s="31"/>
      <c r="M22" s="31"/>
      <c r="N22" s="31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4.25" customHeight="1">
      <c r="A23" s="26"/>
      <c r="B23" s="26"/>
      <c r="C23" s="26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4.25" customHeight="1">
      <c r="A24" s="26"/>
      <c r="B24" s="26"/>
      <c r="C24" s="26"/>
      <c r="D24" s="31" t="s">
        <v>66</v>
      </c>
      <c r="E24" s="31"/>
      <c r="F24" s="31"/>
      <c r="G24" s="31"/>
      <c r="H24" s="31" t="s">
        <v>67</v>
      </c>
      <c r="I24" s="31"/>
      <c r="J24" s="31"/>
      <c r="K24" s="31"/>
      <c r="L24" s="31" t="s">
        <v>68</v>
      </c>
      <c r="M24" s="31"/>
      <c r="N24" s="31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4.25" customHeight="1">
      <c r="A25" s="26"/>
      <c r="B25" s="26"/>
      <c r="C25" s="26"/>
      <c r="D25" s="31" t="s">
        <v>69</v>
      </c>
      <c r="E25" s="32" t="s">
        <v>70</v>
      </c>
      <c r="F25" s="31">
        <f>71.5+(37.5-37)*9/10</f>
        <v>71.95</v>
      </c>
      <c r="G25" s="31"/>
      <c r="H25" s="31" t="s">
        <v>71</v>
      </c>
      <c r="I25" s="31"/>
      <c r="J25" s="31"/>
      <c r="K25" s="31"/>
      <c r="L25" s="31" t="s">
        <v>71</v>
      </c>
      <c r="M25" s="31"/>
      <c r="N25" s="31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4.25" customHeight="1">
      <c r="A26" s="26"/>
      <c r="B26" s="26"/>
      <c r="C26" s="26"/>
      <c r="D26" s="31" t="s">
        <v>72</v>
      </c>
      <c r="E26" s="31"/>
      <c r="F26" s="31"/>
      <c r="G26" s="31"/>
      <c r="H26" s="31" t="s">
        <v>73</v>
      </c>
      <c r="I26" s="32" t="s">
        <v>74</v>
      </c>
      <c r="J26" s="31">
        <f>53.5+(10-8)*9/12</f>
        <v>55</v>
      </c>
      <c r="K26" s="31"/>
      <c r="L26" s="31" t="s">
        <v>75</v>
      </c>
      <c r="M26" s="32" t="s">
        <v>76</v>
      </c>
      <c r="N26" s="31">
        <f>53.5+(17.5-8)*9/12</f>
        <v>60.625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4.25" customHeight="1">
      <c r="A27" s="26"/>
      <c r="B27" s="26"/>
      <c r="C27" s="26"/>
      <c r="D27" s="31" t="s">
        <v>77</v>
      </c>
      <c r="E27" s="31"/>
      <c r="F27" s="31"/>
      <c r="G27" s="31"/>
      <c r="H27" s="31" t="s">
        <v>78</v>
      </c>
      <c r="I27" s="31"/>
      <c r="J27" s="31"/>
      <c r="K27" s="31"/>
      <c r="L27" s="31" t="s">
        <v>79</v>
      </c>
      <c r="M27" s="31"/>
      <c r="N27" s="31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4.25" customHeight="1">
      <c r="A28" s="26"/>
      <c r="B28" s="26"/>
      <c r="C28" s="26"/>
      <c r="D28" s="31" t="s">
        <v>64</v>
      </c>
      <c r="E28" s="31"/>
      <c r="F28" s="31"/>
      <c r="G28" s="31"/>
      <c r="H28" s="31" t="s">
        <v>64</v>
      </c>
      <c r="I28" s="31"/>
      <c r="J28" s="31"/>
      <c r="K28" s="31"/>
      <c r="L28" s="31" t="s">
        <v>64</v>
      </c>
      <c r="M28" s="31"/>
      <c r="N28" s="31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4.25" customHeight="1">
      <c r="A29" s="26"/>
      <c r="B29" s="26"/>
      <c r="C29" s="26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4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4.2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4.2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4.2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4.2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4.2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4.2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4.2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4.2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4.2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4.2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4.2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4.2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4.2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4.2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4.2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4.2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4.2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4.2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4.2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4.2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4.2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4.2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4.2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4.2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4.2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4.2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4.2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4.2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4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4.2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4.2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4.2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4.2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4.2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4.2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4.2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4.2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4.2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4.2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4.2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4.2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4.2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4.2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4.2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4.2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4.2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4.2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4.2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4.2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4.2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4.2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4.2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4.2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4.2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4.2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4.2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4.2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4.2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4.2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4.2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4.2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4.2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4.2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4.2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4.2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4.2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4.2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4.2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4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4.2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4.2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4.2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4.2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4.2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4.2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4.2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4.2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4.2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4.2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4.2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4.2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4.2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4.2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4.2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4.2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4.2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4.2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4.2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4.2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4.2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4.2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4.2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4.2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4.2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4.2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4.2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4.2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4.2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4.2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4.2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4.2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4.2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4.2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4.2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4.2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4.2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4.2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4.2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4.2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4.2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4.2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4.2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4.2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4.2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4.2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4.2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4.2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4.2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4.2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4.2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4.2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4.2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4.2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4.2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4.2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4.2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4.2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4.2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4.2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4.2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4.2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4.2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4.2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4.2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4.2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4.2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4.2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4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4.2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4.2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4.2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4.2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4.2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4.2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4.2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4.2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4.2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4.2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4.2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4.2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4.2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4.2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4.2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4.2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4.2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4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4.2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4.2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4.2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4.2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4.2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4.2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4.2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4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4.2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4.2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4.2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4.2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4.2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4.2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4.2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4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4.2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4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4.2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4.2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4.2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4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4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4.2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4.2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4.2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4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4.2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4.2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4.2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4.2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4.2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4.2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4.2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4.2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4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4.2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4.2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4.2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4.2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4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4.2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4.2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4.2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4.2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4.2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4.2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4.2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4.2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4.2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4.2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4.2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4.2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4.2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4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4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4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4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4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4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4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4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4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4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4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4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4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4.2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4.2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4.2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4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4.2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4.2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4.2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4.2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4.2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4.2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4.2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4.2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4.2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4.2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4.2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4.2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4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4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4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4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4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4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4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4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4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4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4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4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4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4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4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4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4.2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4.2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4.2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4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4.2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4.2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4.2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4.2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4.2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4.2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4.2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4.2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4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4.2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4.2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4.2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4.2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4.2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4.2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4.2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4.2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4.2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4.2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4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4.2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4.2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4.2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4.2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4.2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4.2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4.2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4.2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4.2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4.2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4.2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4.2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4.2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4.2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4.2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4.2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4.2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4.2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4.2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4.2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4.2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4.2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4.2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4.2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4.2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4.2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4.2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4.2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4.2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4.2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4.2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4.2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4.2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4.2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4.2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4.2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4.2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4.2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4.2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4.2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4.2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4.2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4.2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4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4.2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4.2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4.2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4.2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4.2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4.2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4.2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4.2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4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4.2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4.2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4.2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4.2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4.2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4.2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4.2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4.2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4.2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4.2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4.2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4.2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4.2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4.2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4.2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4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4.2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4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4.2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4.2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4.2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4.2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4.2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4.2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4.2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4.2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4.2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4.2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4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4.2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4.2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4.2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4.2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4.2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4.2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4.2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4.2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4.2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4.2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4.2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4.2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4.2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4.2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4.2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4.2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4.2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4.2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4.2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4.2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4.2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4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4.2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4.2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4.2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4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4.2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4.2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4.2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4.2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4.2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4.2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4.2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4.2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4.2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4.2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4.2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4.2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4.2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4.2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4.2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4.2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4.2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4.2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4.2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4.2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4.2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4.2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4.2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4.2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4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4.2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4.2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4.2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4.2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4.2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4.2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4.2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4.2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4.2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4.2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4.2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4.2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4.2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4.2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4.2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4.2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4.2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4.2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4.2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4.2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4.2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4.2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4.2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4.2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4.2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4.2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4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4.2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4.2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4.2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4.2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4.2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4.2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4.2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4.2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4.2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4.2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4.2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4.2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4.2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4.2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4.2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4.2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4.2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4.2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4.2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4.2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4.2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4.2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4.2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4.2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4.2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4.2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4.2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4.2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4.2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4.2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4.2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4.2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4.2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4.2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4.2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4.2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4.2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4.2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4.2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4.2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4.2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4.2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4.2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4.2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4.2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4.2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4.2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4.2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4.2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4.2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4.2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4.2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4.2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4.2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4.2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4.2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4.2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4.2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4.2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4.2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4.2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4.2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4.2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4.2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4.2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4.2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4.2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4.2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4.2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4.2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4.2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4.2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4.2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4.2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4.2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4.2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4.2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4.2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4.2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4.2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4.2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4.2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4.2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4.2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4.2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4.2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4.2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4.2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4.2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4.2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4.2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4.2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4.2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4.2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4.2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4.2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4.2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4.2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4.2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4.2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4.2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4.2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4.2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4.2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4.2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4.2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4.2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4.2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4.2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4.2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4.2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4.2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4.2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4.2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4.2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4.2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4.2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4.2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4.2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4.2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4.2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4.2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4.2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4.2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4.2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4.2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4.2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4.2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4.2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4.2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4.2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4.2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4.2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4.2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4.2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4.2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4.2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4.2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4.2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4.2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4.2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4.2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4.2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4.2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4.2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4.2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4.2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4.2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4.2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4.2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4.2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4.2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4.2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4.2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4.2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4.2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4.2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4.2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4.2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4.2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4.2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4.2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4.2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4.2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4.2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4.2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4.2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4.2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4.2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4.2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4.2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4.2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4.2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4.2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4.2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4.2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4.2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4.2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4.2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4.2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4.2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4.2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4.2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4.2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4.2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4.2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4.2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4.2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4.2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4.2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4.2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4.2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4.2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4.2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4.2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4.2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4.2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4.2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4.2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4.2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4.2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4.2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4.2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4.2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4.2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4.2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4.2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4.2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4.2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4.2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4.2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4.2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4.2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4.2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4.2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4.2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4.2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4.2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4.2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4.2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4.2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4.2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4.2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4.2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4.2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4.2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4.2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4.2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4.2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4.2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4.2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4.2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4.2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4.2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4.2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4.2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4.2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4.2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4.2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4.2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4.2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4.2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4.2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4.2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4.2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4.2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4.2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4.2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4.2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4.2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4.2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4.2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4.2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4.2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4.2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4.2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4.2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4.2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4.2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4.2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4.2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4.2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4.2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4.2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4.2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4.2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4.2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4.2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4.2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4.2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4.2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4.2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4.2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4.2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4.2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4.2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4.2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4.2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4.2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4.2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4.2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4.2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4.2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4.2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4.2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4.2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4.2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4.2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4.2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4.2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4.2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4.2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4.2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4.2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4.2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4.2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4.2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4.2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4.2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4.2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4.2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4.2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4.2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4.2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4.2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4.2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4.2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4.2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4.2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4.2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4.2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4.2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4.2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4.2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4.2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4.2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4.2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4.2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4.2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4.2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4.2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4.2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4.2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4.2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4.2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4.2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4.2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4.2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4.2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4.2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4.2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4.2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4.2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4.2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4.2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4.2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4.2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4.2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4.2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4.2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4.2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4.2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4.2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4.2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4.2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4.2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4.2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4.2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4.2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4.2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4.2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4.2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4.2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4.2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4.2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4.2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4.2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4.2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4.2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4.2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4.2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4.2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4.2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4.2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4.2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4.2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4.2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4.2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4.2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4.2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4.2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4.2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4.2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4.2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4.2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4.2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4.2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4.2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4.2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4.2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4.2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4.2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4.2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4.2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4.2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4.2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4.2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4.2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4.2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4.2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4.2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4.2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4.2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4.2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4.2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4.2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4.2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4.2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4.2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4.2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4.2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4.2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4.2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4.2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4.2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4.2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4.2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4.2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4.2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4.2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4.2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4.2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4.2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4.2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4.2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4.2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4.2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4.2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4.2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4.2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4.2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4.2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4.2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4.2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4.2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4.2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4.2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4.2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4.2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4.2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4.2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4.2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4.2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4.2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4.2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4.2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4.2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4.2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4.2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4.2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4.2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4.2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4.2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4.2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4.2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4.2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4.2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4.2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4.2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4.2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4.2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4.2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4.2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4.2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4.2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4.2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4.2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4.2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4.2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4.2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4.2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4.2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4.2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4.2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4.2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4.2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4.2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4.2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4.2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4.2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4.2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4.2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4.2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4.2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4.2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4.2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4.2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4.2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4.2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4.2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4.2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4.2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4.2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4.2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4.2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4.2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4.2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4.2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4.2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4.2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4.2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4.2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4.2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4.2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4.2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4.2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4.2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4.2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4.2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4.2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4.2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4.2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4.2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4.2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4.2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4.2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4.2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4.2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4.2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4.2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4.2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29"/>
    <col customWidth="1" min="3" max="3" width="17.0"/>
    <col customWidth="1" min="4" max="4" width="14.29"/>
    <col customWidth="1" min="5" max="5" width="14.14"/>
    <col customWidth="1" min="6" max="6" width="18.71"/>
    <col customWidth="1" min="7" max="7" width="18.0"/>
    <col customWidth="1" min="8" max="9" width="9.14"/>
    <col customWidth="1" min="10" max="10" width="14.86"/>
    <col customWidth="1" min="11" max="12" width="9.14"/>
    <col customWidth="1" min="13" max="13" width="16.29"/>
    <col customWidth="1" min="14" max="14" width="9.14"/>
    <col customWidth="1" min="15" max="26" width="8.71"/>
  </cols>
  <sheetData>
    <row r="1" ht="14.2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5"/>
      <c r="B3" s="30" t="s">
        <v>80</v>
      </c>
      <c r="C3" s="30" t="s">
        <v>81</v>
      </c>
      <c r="D3" s="30" t="s">
        <v>25</v>
      </c>
      <c r="E3" s="30" t="s">
        <v>82</v>
      </c>
      <c r="F3" s="30" t="s">
        <v>83</v>
      </c>
      <c r="G3" s="30" t="s">
        <v>84</v>
      </c>
      <c r="H3" s="30" t="s">
        <v>45</v>
      </c>
      <c r="I3" s="30" t="s">
        <v>85</v>
      </c>
      <c r="J3" s="30" t="s">
        <v>46</v>
      </c>
      <c r="K3" s="30" t="s">
        <v>47</v>
      </c>
      <c r="L3" s="30" t="s">
        <v>86</v>
      </c>
      <c r="M3" s="30" t="s">
        <v>87</v>
      </c>
      <c r="N3" s="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5"/>
      <c r="B4" s="9" t="s">
        <v>28</v>
      </c>
      <c r="C4" s="9">
        <v>49.0</v>
      </c>
      <c r="D4" s="9">
        <v>8.0</v>
      </c>
      <c r="E4" s="9">
        <f t="shared" ref="E4:E9" si="1">D4*ABS(C4-65.02)</f>
        <v>128.16</v>
      </c>
      <c r="F4" s="9">
        <f t="shared" ref="F4:F9" si="2">D4*ABS(C4-66.25)</f>
        <v>138</v>
      </c>
      <c r="G4" s="9">
        <f t="shared" ref="G4:G9" si="3">D4*ABS(C4-65.15)</f>
        <v>129.2</v>
      </c>
      <c r="H4" s="9">
        <f t="shared" ref="H4:H9" si="4">D4*C4</f>
        <v>392</v>
      </c>
      <c r="I4" s="9">
        <f t="shared" ref="I4:I9" si="5">D4*C4^2</f>
        <v>19208</v>
      </c>
      <c r="J4" s="9">
        <f t="shared" ref="J4:J9" si="6">(C4-67)/9</f>
        <v>-2</v>
      </c>
      <c r="K4" s="9">
        <f t="shared" ref="K4:K9" si="7">D4*J4</f>
        <v>-16</v>
      </c>
      <c r="L4" s="9">
        <f t="shared" ref="L4:L9" si="8">D4*J4^2</f>
        <v>32</v>
      </c>
      <c r="M4" s="9">
        <f t="shared" ref="M4:M9" si="9">(C4-65.02)/10.54</f>
        <v>-1.519924099</v>
      </c>
      <c r="N4" s="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5"/>
      <c r="B5" s="9" t="s">
        <v>30</v>
      </c>
      <c r="C5" s="9">
        <v>58.0</v>
      </c>
      <c r="D5" s="9">
        <v>12.0</v>
      </c>
      <c r="E5" s="9">
        <f t="shared" si="1"/>
        <v>84.24</v>
      </c>
      <c r="F5" s="9">
        <f t="shared" si="2"/>
        <v>99</v>
      </c>
      <c r="G5" s="9">
        <f t="shared" si="3"/>
        <v>85.8</v>
      </c>
      <c r="H5" s="9">
        <f t="shared" si="4"/>
        <v>696</v>
      </c>
      <c r="I5" s="9">
        <f t="shared" si="5"/>
        <v>40368</v>
      </c>
      <c r="J5" s="9">
        <f t="shared" si="6"/>
        <v>-1</v>
      </c>
      <c r="K5" s="9">
        <f t="shared" si="7"/>
        <v>-12</v>
      </c>
      <c r="L5" s="9">
        <f t="shared" si="8"/>
        <v>12</v>
      </c>
      <c r="M5" s="9">
        <f t="shared" si="9"/>
        <v>-0.6660341556</v>
      </c>
      <c r="N5" s="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5"/>
      <c r="B6" s="9" t="s">
        <v>32</v>
      </c>
      <c r="C6" s="9">
        <v>67.0</v>
      </c>
      <c r="D6" s="9">
        <v>17.0</v>
      </c>
      <c r="E6" s="9">
        <f t="shared" si="1"/>
        <v>33.66</v>
      </c>
      <c r="F6" s="9">
        <f t="shared" si="2"/>
        <v>12.75</v>
      </c>
      <c r="G6" s="9">
        <f t="shared" si="3"/>
        <v>31.45</v>
      </c>
      <c r="H6" s="9">
        <f t="shared" si="4"/>
        <v>1139</v>
      </c>
      <c r="I6" s="9">
        <f t="shared" si="5"/>
        <v>76313</v>
      </c>
      <c r="J6" s="9">
        <f t="shared" si="6"/>
        <v>0</v>
      </c>
      <c r="K6" s="9">
        <f t="shared" si="7"/>
        <v>0</v>
      </c>
      <c r="L6" s="9">
        <f t="shared" si="8"/>
        <v>0</v>
      </c>
      <c r="M6" s="9">
        <f t="shared" si="9"/>
        <v>0.1878557875</v>
      </c>
      <c r="N6" s="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5"/>
      <c r="B7" s="9" t="s">
        <v>34</v>
      </c>
      <c r="C7" s="9">
        <v>76.0</v>
      </c>
      <c r="D7" s="9">
        <v>10.0</v>
      </c>
      <c r="E7" s="9">
        <f t="shared" si="1"/>
        <v>109.8</v>
      </c>
      <c r="F7" s="9">
        <f t="shared" si="2"/>
        <v>97.5</v>
      </c>
      <c r="G7" s="9">
        <f t="shared" si="3"/>
        <v>108.5</v>
      </c>
      <c r="H7" s="9">
        <f t="shared" si="4"/>
        <v>760</v>
      </c>
      <c r="I7" s="9">
        <f t="shared" si="5"/>
        <v>57760</v>
      </c>
      <c r="J7" s="9">
        <f t="shared" si="6"/>
        <v>1</v>
      </c>
      <c r="K7" s="9">
        <f t="shared" si="7"/>
        <v>10</v>
      </c>
      <c r="L7" s="9">
        <f t="shared" si="8"/>
        <v>10</v>
      </c>
      <c r="M7" s="9">
        <f t="shared" si="9"/>
        <v>1.041745731</v>
      </c>
      <c r="N7" s="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5"/>
      <c r="B8" s="9" t="s">
        <v>36</v>
      </c>
      <c r="C8" s="9">
        <v>85.0</v>
      </c>
      <c r="D8" s="9">
        <v>2.0</v>
      </c>
      <c r="E8" s="9">
        <f t="shared" si="1"/>
        <v>39.96</v>
      </c>
      <c r="F8" s="9">
        <f t="shared" si="2"/>
        <v>37.5</v>
      </c>
      <c r="G8" s="9">
        <f t="shared" si="3"/>
        <v>39.7</v>
      </c>
      <c r="H8" s="9">
        <f t="shared" si="4"/>
        <v>170</v>
      </c>
      <c r="I8" s="9">
        <f t="shared" si="5"/>
        <v>14450</v>
      </c>
      <c r="J8" s="9">
        <f t="shared" si="6"/>
        <v>2</v>
      </c>
      <c r="K8" s="9">
        <f t="shared" si="7"/>
        <v>4</v>
      </c>
      <c r="L8" s="9">
        <f t="shared" si="8"/>
        <v>8</v>
      </c>
      <c r="M8" s="9">
        <f t="shared" si="9"/>
        <v>1.895635674</v>
      </c>
      <c r="N8" s="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5"/>
      <c r="B9" s="9" t="s">
        <v>38</v>
      </c>
      <c r="C9" s="9">
        <v>94.0</v>
      </c>
      <c r="D9" s="9">
        <v>1.0</v>
      </c>
      <c r="E9" s="9">
        <f t="shared" si="1"/>
        <v>28.98</v>
      </c>
      <c r="F9" s="9">
        <f t="shared" si="2"/>
        <v>27.75</v>
      </c>
      <c r="G9" s="9">
        <f t="shared" si="3"/>
        <v>28.85</v>
      </c>
      <c r="H9" s="9">
        <f t="shared" si="4"/>
        <v>94</v>
      </c>
      <c r="I9" s="9">
        <f t="shared" si="5"/>
        <v>8836</v>
      </c>
      <c r="J9" s="9">
        <f t="shared" si="6"/>
        <v>3</v>
      </c>
      <c r="K9" s="9">
        <f t="shared" si="7"/>
        <v>3</v>
      </c>
      <c r="L9" s="9">
        <f t="shared" si="8"/>
        <v>9</v>
      </c>
      <c r="M9" s="9">
        <f t="shared" si="9"/>
        <v>2.749525617</v>
      </c>
      <c r="N9" s="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5"/>
      <c r="B10" s="9"/>
      <c r="C10" s="30" t="s">
        <v>88</v>
      </c>
      <c r="D10" s="8">
        <f t="shared" ref="D10:I10" si="10">SUM(D4:D9)</f>
        <v>50</v>
      </c>
      <c r="E10" s="8">
        <f t="shared" si="10"/>
        <v>424.8</v>
      </c>
      <c r="F10" s="8">
        <f t="shared" si="10"/>
        <v>412.5</v>
      </c>
      <c r="G10" s="8">
        <f t="shared" si="10"/>
        <v>423.5</v>
      </c>
      <c r="H10" s="8">
        <f t="shared" si="10"/>
        <v>3251</v>
      </c>
      <c r="I10" s="8">
        <f t="shared" si="10"/>
        <v>216935</v>
      </c>
      <c r="J10" s="8"/>
      <c r="K10" s="8">
        <f t="shared" ref="K10:L10" si="11">SUM(K4:K9)</f>
        <v>-11</v>
      </c>
      <c r="L10" s="8">
        <f t="shared" si="11"/>
        <v>71</v>
      </c>
      <c r="M10" s="9"/>
      <c r="N10" s="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/>
      <c r="B12" s="33" t="s">
        <v>89</v>
      </c>
      <c r="C12" s="34">
        <v>65.02</v>
      </c>
      <c r="D12" s="5"/>
      <c r="E12" s="5"/>
      <c r="F12" s="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/>
      <c r="B13" s="33" t="s">
        <v>90</v>
      </c>
      <c r="C13" s="34">
        <v>66.25</v>
      </c>
      <c r="D13" s="5"/>
      <c r="E13" s="5"/>
      <c r="F13" s="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/>
      <c r="B14" s="33" t="s">
        <v>91</v>
      </c>
      <c r="C14" s="35">
        <v>65.15</v>
      </c>
      <c r="D14" s="5"/>
      <c r="E14" s="36"/>
      <c r="F14" s="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33" t="s">
        <v>92</v>
      </c>
      <c r="C15" s="36">
        <f>E10/D10</f>
        <v>8.496</v>
      </c>
      <c r="D15" s="5"/>
      <c r="E15" s="36"/>
      <c r="F15" s="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33" t="s">
        <v>93</v>
      </c>
      <c r="C16" s="36">
        <f>F10/D10</f>
        <v>8.25</v>
      </c>
      <c r="D16" s="5"/>
      <c r="E16" s="5"/>
      <c r="F16" s="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33" t="s">
        <v>94</v>
      </c>
      <c r="C17" s="36">
        <f>G10/D10</f>
        <v>8.47</v>
      </c>
      <c r="D17" s="5"/>
      <c r="E17" s="5"/>
      <c r="F17" s="18"/>
      <c r="G17" s="37"/>
      <c r="H17" s="37"/>
      <c r="I17" s="37"/>
      <c r="J17" s="3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33" t="s">
        <v>95</v>
      </c>
      <c r="C18" s="36"/>
      <c r="D18" s="5">
        <f>C15*100/65.02</f>
        <v>13.06674869</v>
      </c>
      <c r="E18" s="36" t="s">
        <v>96</v>
      </c>
      <c r="F18" s="38" t="s">
        <v>97</v>
      </c>
      <c r="G18" s="37"/>
      <c r="H18" s="37"/>
      <c r="I18" s="37"/>
      <c r="J18" s="3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33" t="s">
        <v>98</v>
      </c>
      <c r="C19" s="36"/>
      <c r="D19" s="5">
        <f>C16*100/66.25</f>
        <v>12.45283019</v>
      </c>
      <c r="E19" s="36" t="s">
        <v>96</v>
      </c>
      <c r="F19" s="38" t="s">
        <v>99</v>
      </c>
      <c r="G19" s="37"/>
      <c r="H19" s="37"/>
      <c r="I19" s="37"/>
      <c r="J19" s="3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33" t="s">
        <v>100</v>
      </c>
      <c r="C20" s="36"/>
      <c r="D20" s="5">
        <f>C17*100/65.15</f>
        <v>13.00076746</v>
      </c>
      <c r="E20" s="36" t="s">
        <v>96</v>
      </c>
      <c r="F20" s="38" t="s">
        <v>101</v>
      </c>
      <c r="G20" s="37"/>
      <c r="H20" s="37"/>
      <c r="I20" s="37"/>
      <c r="J20" s="3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36"/>
      <c r="C21" s="36"/>
      <c r="D21" s="5"/>
      <c r="E21" s="36"/>
      <c r="F21" s="38"/>
      <c r="G21" s="37"/>
      <c r="H21" s="37"/>
      <c r="I21" s="37"/>
      <c r="J21" s="3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4.25" customHeight="1">
      <c r="A22" s="1"/>
      <c r="B22" s="33" t="s">
        <v>102</v>
      </c>
      <c r="C22" s="36">
        <f>SQRT((I10/D10)-(H10/D10)^2)</f>
        <v>10.5403795</v>
      </c>
      <c r="D22" s="5"/>
      <c r="E22" s="36" t="s">
        <v>103</v>
      </c>
      <c r="F22" s="36">
        <f t="shared" ref="F22:F23" si="12">(C22)^2</f>
        <v>111.0996</v>
      </c>
      <c r="G22" s="26"/>
      <c r="H22" s="39"/>
      <c r="I22" s="39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4.25" customHeight="1">
      <c r="A23" s="1"/>
      <c r="B23" s="33" t="s">
        <v>104</v>
      </c>
      <c r="C23" s="36">
        <f>9*SQRT((L10/D10)-(K10/D10)^2)</f>
        <v>10.5403795</v>
      </c>
      <c r="D23" s="5"/>
      <c r="E23" s="36" t="s">
        <v>105</v>
      </c>
      <c r="F23" s="36">
        <f t="shared" si="12"/>
        <v>111.0996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4.25" customHeight="1">
      <c r="A24" s="26"/>
      <c r="B24" s="36"/>
      <c r="C24" s="36"/>
      <c r="D24" s="5"/>
      <c r="E24" s="36"/>
      <c r="F24" s="3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4.25" customHeight="1">
      <c r="A25" s="26" t="s">
        <v>13</v>
      </c>
      <c r="B25" s="36" t="s">
        <v>54</v>
      </c>
      <c r="C25" s="36"/>
      <c r="D25" s="5"/>
      <c r="E25" s="36"/>
      <c r="F25" s="3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4.25" customHeight="1">
      <c r="A26" s="26"/>
      <c r="B26" s="36"/>
      <c r="C26" s="36"/>
      <c r="D26" s="5"/>
      <c r="E26" s="36"/>
      <c r="F26" s="3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4.25" customHeight="1">
      <c r="A27" s="26"/>
      <c r="B27" s="33" t="s">
        <v>106</v>
      </c>
      <c r="C27" s="36"/>
      <c r="D27" s="5">
        <f>C22*100/65.02</f>
        <v>16.21098047</v>
      </c>
      <c r="E27" s="36" t="s">
        <v>96</v>
      </c>
      <c r="F27" s="3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4.2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4.2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4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4.2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4.2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4.2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4.2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4.2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4.2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4.2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4.2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4.2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4.2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4.2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4.2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4.2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4.2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4.2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4.2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4.2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4.2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4.2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4.2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4.2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4.2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4.2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4.2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4.2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4.2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4.2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4.2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4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4.2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4.2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4.2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4.2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4.2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4.2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4.2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4.2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4.2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4.2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4.2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4.2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4.2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4.2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4.2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4.2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4.2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4.2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4.2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4.2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4.2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4.2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4.2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4.2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4.2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4.2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4.2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4.2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4.2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4.2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4.2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4.2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4.2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4.2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4.2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4.2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4.2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4.2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4.2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4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4.2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4.2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4.2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4.2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4.2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4.2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4.2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4.2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4.2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4.2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4.2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4.2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4.2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4.2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4.2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4.2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4.2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4.2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4.2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4.2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4.2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4.2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4.2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4.2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4.2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4.2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4.2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4.2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4.2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4.2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4.2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4.2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4.2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4.2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4.2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4.2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4.2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4.2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4.2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4.2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4.2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4.2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4.2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4.2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4.2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4.2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4.2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4.2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4.2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4.2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4.2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4.2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4.2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4.2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4.2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4.2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4.2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4.2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4.2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4.2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4.2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4.2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4.2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4.2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4.2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4.2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4.2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4.2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4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4.2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4.2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4.2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4.2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4.2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4.2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4.2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4.2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4.2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4.2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4.2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4.2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4.2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4.2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4.2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4.2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4.2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4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4.2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4.2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4.2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4.2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4.2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4.2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4.2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4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4.2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4.2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4.2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4.2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4.2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4.2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4.2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4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4.2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4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4.2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4.2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4.2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4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4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4.2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4.2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4.2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4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4.2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4.2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4.2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4.2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4.2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4.2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4.2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4.2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4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4.2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4.2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4.2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4.2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4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4.2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4.2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4.2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4.2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4.2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4.2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4.2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4.2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4.2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4.2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4.2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4.2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4.2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4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4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4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4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4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4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4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4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4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4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4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4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4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4.2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4.2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4.2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4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4.2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4.2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4.2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4.2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4.2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4.2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4.2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4.2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4.2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4.2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4.2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4.2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4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4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4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4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4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4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4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4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4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4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4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4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4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4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4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4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4.2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4.2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4.2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4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4.2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4.2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4.2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4.2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4.2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4.2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4.2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4.2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4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4.2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4.2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4.2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4.2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4.2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4.2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4.2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4.2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4.2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4.2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4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4.2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4.2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4.2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4.2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4.2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4.2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4.2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4.2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4.2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4.2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4.2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4.2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4.2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4.2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4.2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4.2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4.2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4.2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4.2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4.2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4.2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4.2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4.2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4.2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4.2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4.2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4.2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4.2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4.2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4.2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4.2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4.2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4.2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4.2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4.2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4.2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4.2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4.2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4.2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4.2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4.2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4.2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4.2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4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4.2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4.2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4.2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4.2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4.2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4.2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4.2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4.2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4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4.2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4.2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4.2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4.2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4.2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4.2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4.2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4.2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4.2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4.2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4.2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4.2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4.2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4.2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4.2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4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4.2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4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4.2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4.2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4.2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4.2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4.2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4.2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4.2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4.2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4.2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4.2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4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4.2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4.2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4.2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4.2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4.2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4.2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4.2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4.2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4.2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4.2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4.2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4.2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4.2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4.2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4.2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4.2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4.2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4.2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4.2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4.2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4.2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4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4.2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4.2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4.2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4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4.2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4.2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4.2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4.2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4.2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4.2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4.2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4.2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4.2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4.2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4.2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4.2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4.2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4.2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4.2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4.2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4.2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4.2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4.2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4.2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4.2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4.2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4.2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4.2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4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4.2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4.2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4.2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4.2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4.2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4.2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4.2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4.2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4.2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4.2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4.2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4.2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4.2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4.2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4.2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4.2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4.2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4.2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4.2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4.2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4.2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4.2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4.2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4.2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4.2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4.2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4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4.2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4.2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4.2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4.2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4.2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4.2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4.2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4.2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4.2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4.2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4.2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4.2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4.2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4.2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4.2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4.2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4.2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4.2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4.2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4.2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4.2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4.2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4.2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4.2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4.2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4.2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4.2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4.2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4.2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4.2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4.2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4.2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4.2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4.2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4.2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4.2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4.2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4.2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4.2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4.2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4.2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4.2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4.2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4.2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4.2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4.2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4.2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4.2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4.2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4.2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4.2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4.2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4.2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4.2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4.2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4.2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4.2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4.2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4.2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4.2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4.2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4.2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4.2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4.2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4.2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4.2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4.2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4.2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4.2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4.2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4.2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4.2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4.2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4.2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4.2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4.2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4.2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4.2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4.2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4.2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4.2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4.2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4.2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4.2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4.2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4.2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4.2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4.2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4.2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4.2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4.2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4.2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4.2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4.2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4.2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4.2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4.2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4.2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4.2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4.2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4.2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4.2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4.2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4.2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4.2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4.2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4.2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4.2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4.2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4.2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4.2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4.2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4.2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4.2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4.2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4.2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4.2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4.2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4.2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4.2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4.2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4.2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4.2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4.2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4.2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4.2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4.2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4.2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4.2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4.2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4.2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4.2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4.2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4.2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4.2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4.2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4.2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4.2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4.2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4.2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4.2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4.2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4.2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4.2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4.2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4.2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4.2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4.2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4.2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4.2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4.2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4.2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4.2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4.2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4.2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4.2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4.2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4.2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4.2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4.2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4.2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4.2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4.2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4.2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4.2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4.2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4.2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4.2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4.2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4.2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4.2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4.2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4.2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4.2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4.2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4.2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4.2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4.2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4.2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4.2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4.2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4.2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4.2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4.2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4.2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4.2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4.2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4.2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4.2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4.2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4.2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4.2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4.2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4.2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4.2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4.2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4.2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4.2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4.2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4.2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4.2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4.2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4.2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4.2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4.2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4.2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4.2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4.2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4.2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4.2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4.2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4.2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4.2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4.2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4.2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4.2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4.2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4.2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4.2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4.2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4.2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4.2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4.2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4.2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4.2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4.2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4.2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4.2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4.2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4.2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4.2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4.2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4.2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4.2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4.2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4.2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4.2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4.2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4.2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4.2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4.2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4.2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4.2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4.2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4.2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4.2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4.2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4.2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4.2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4.2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4.2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4.2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4.2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4.2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4.2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4.2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4.2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4.2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4.2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4.2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4.2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4.2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4.2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4.2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4.2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4.2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4.2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4.2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4.2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4.2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4.2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4.2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4.2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4.2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4.2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4.2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4.2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4.2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4.2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4.2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4.2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4.2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4.2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4.2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4.2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4.2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4.2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4.2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4.2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4.2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4.2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4.2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4.2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4.2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4.2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4.2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4.2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4.2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4.2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4.2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4.2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4.2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4.2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4.2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4.2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4.2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4.2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4.2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4.2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4.2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4.2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4.2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4.2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4.2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4.2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4.2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4.2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4.2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4.2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4.2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4.2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4.2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4.2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4.2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4.2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4.2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4.2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4.2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4.2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4.2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4.2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4.2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4.2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4.2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4.2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4.2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4.2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4.2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4.2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4.2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4.2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4.2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4.2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4.2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4.2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4.2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4.2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4.2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4.2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4.2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4.2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4.2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4.2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4.2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4.2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4.2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4.2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4.2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4.2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4.2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4.2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4.2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4.2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4.2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4.2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4.2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4.2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4.2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4.2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4.2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4.2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4.2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4.2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4.2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4.2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4.2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4.2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4.2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4.2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4.2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4.2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4.2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4.2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4.2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4.2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4.2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4.2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4.2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4.2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4.2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4.2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4.2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4.2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4.2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4.2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4.2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4.2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4.2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4.2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4.2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4.2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4.2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4.2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4.2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4.2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4.2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4.2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4.2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4.2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4.2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4.2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4.2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4.2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4.2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4.2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4.2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4.2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4.2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4.2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4.2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4.2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4.2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4.2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4.2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4.2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4.2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4.2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4.2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4.2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4.2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4.2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4.2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4.2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4.2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4.2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4.2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4.2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4.2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4.2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4.2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4.2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4.2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4.2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4.2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4.2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4.2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4.2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4.2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4.2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4.2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4.2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4.2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4.2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4.2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4.2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4.2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4.2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4.2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4.2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4.2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4.2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4.2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4.2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4.2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4.2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4.2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4.2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4.2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4.2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4.2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4.2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4.2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4.2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4.2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4.2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4.2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4.2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4.2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4.2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4.2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4.2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4.2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4.2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4.2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4.2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4.2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4.2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4.2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4.2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4.2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4.2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4.2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4.2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4.2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4.2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4.2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4.2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4.2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4.2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4.2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4.2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4.2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4.2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4.2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4.2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4.2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4.2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4.2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4.2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4.2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4.2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57"/>
    <col customWidth="1" min="3" max="3" width="15.29"/>
    <col customWidth="1" min="4" max="4" width="14.43"/>
    <col customWidth="1" min="5" max="5" width="11.29"/>
    <col customWidth="1" min="6" max="8" width="9.14"/>
    <col customWidth="1" min="9" max="26" width="8.71"/>
  </cols>
  <sheetData>
    <row r="1" ht="14.2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6"/>
      <c r="B3" s="30" t="s">
        <v>107</v>
      </c>
      <c r="C3" s="30" t="s">
        <v>25</v>
      </c>
      <c r="D3" s="30" t="s">
        <v>108</v>
      </c>
      <c r="E3" s="30" t="s">
        <v>47</v>
      </c>
      <c r="F3" s="30" t="s">
        <v>86</v>
      </c>
      <c r="G3" s="30" t="s">
        <v>109</v>
      </c>
      <c r="H3" s="30" t="s">
        <v>110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6"/>
      <c r="B4" s="9">
        <v>49.0</v>
      </c>
      <c r="C4" s="9">
        <v>8.0</v>
      </c>
      <c r="D4" s="9">
        <f t="shared" ref="D4:D9" si="1">(B4-69)/9</f>
        <v>-2.222222222</v>
      </c>
      <c r="E4" s="9">
        <f t="shared" ref="E4:E9" si="2">C4*D4</f>
        <v>-17.77777778</v>
      </c>
      <c r="F4" s="9">
        <f t="shared" ref="F4:F8" si="3">C4*D4^2</f>
        <v>39.50617284</v>
      </c>
      <c r="G4" s="9">
        <f t="shared" ref="G4:G9" si="4">C4*D4^3</f>
        <v>-87.7914952</v>
      </c>
      <c r="H4" s="9">
        <f t="shared" ref="H4:H9" si="5">C4*D4^4</f>
        <v>195.0922116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6" t="s">
        <v>111</v>
      </c>
      <c r="B5" s="9">
        <v>58.0</v>
      </c>
      <c r="C5" s="9">
        <v>12.0</v>
      </c>
      <c r="D5" s="9">
        <f t="shared" si="1"/>
        <v>-1.222222222</v>
      </c>
      <c r="E5" s="9">
        <f t="shared" si="2"/>
        <v>-14.66666667</v>
      </c>
      <c r="F5" s="9">
        <f t="shared" si="3"/>
        <v>17.92592593</v>
      </c>
      <c r="G5" s="9">
        <f t="shared" si="4"/>
        <v>-21.90946502</v>
      </c>
      <c r="H5" s="9">
        <f t="shared" si="5"/>
        <v>26.77823503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 t="s">
        <v>112</v>
      </c>
      <c r="B6" s="9">
        <v>67.0</v>
      </c>
      <c r="C6" s="9">
        <v>17.0</v>
      </c>
      <c r="D6" s="9">
        <f t="shared" si="1"/>
        <v>-0.2222222222</v>
      </c>
      <c r="E6" s="9">
        <f t="shared" si="2"/>
        <v>-3.777777778</v>
      </c>
      <c r="F6" s="9">
        <f t="shared" si="3"/>
        <v>0.8395061728</v>
      </c>
      <c r="G6" s="9">
        <f t="shared" si="4"/>
        <v>-0.1865569273</v>
      </c>
      <c r="H6" s="9">
        <f t="shared" si="5"/>
        <v>0.04145709496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 t="s">
        <v>113</v>
      </c>
      <c r="B7" s="9">
        <v>76.0</v>
      </c>
      <c r="C7" s="9">
        <v>10.0</v>
      </c>
      <c r="D7" s="9">
        <f t="shared" si="1"/>
        <v>0.7777777778</v>
      </c>
      <c r="E7" s="9">
        <f t="shared" si="2"/>
        <v>7.777777778</v>
      </c>
      <c r="F7" s="9">
        <f t="shared" si="3"/>
        <v>6.049382716</v>
      </c>
      <c r="G7" s="9">
        <f t="shared" si="4"/>
        <v>4.705075446</v>
      </c>
      <c r="H7" s="9">
        <f t="shared" si="5"/>
        <v>3.659503125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/>
      <c r="B8" s="9">
        <v>85.0</v>
      </c>
      <c r="C8" s="9">
        <v>2.0</v>
      </c>
      <c r="D8" s="9">
        <f t="shared" si="1"/>
        <v>1.777777778</v>
      </c>
      <c r="E8" s="9">
        <f t="shared" si="2"/>
        <v>3.555555556</v>
      </c>
      <c r="F8" s="9">
        <f t="shared" si="3"/>
        <v>6.320987654</v>
      </c>
      <c r="G8" s="9">
        <f t="shared" si="4"/>
        <v>11.23731139</v>
      </c>
      <c r="H8" s="9">
        <f t="shared" si="5"/>
        <v>19.97744246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/>
      <c r="B9" s="9">
        <v>94.0</v>
      </c>
      <c r="C9" s="9">
        <v>1.0</v>
      </c>
      <c r="D9" s="9">
        <f t="shared" si="1"/>
        <v>2.777777778</v>
      </c>
      <c r="E9" s="9">
        <f t="shared" si="2"/>
        <v>2.777777778</v>
      </c>
      <c r="F9" s="9">
        <f>D9*E9</f>
        <v>7.716049383</v>
      </c>
      <c r="G9" s="9">
        <f t="shared" si="4"/>
        <v>21.43347051</v>
      </c>
      <c r="H9" s="9">
        <f t="shared" si="5"/>
        <v>59.53741808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6"/>
      <c r="B10" s="30" t="s">
        <v>51</v>
      </c>
      <c r="C10" s="8">
        <f>SUM(C4:C9)</f>
        <v>50</v>
      </c>
      <c r="D10" s="8"/>
      <c r="E10" s="8">
        <f t="shared" ref="E10:H10" si="6">SUM(E4:E9)</f>
        <v>-22.11111111</v>
      </c>
      <c r="F10" s="8">
        <f t="shared" si="6"/>
        <v>78.35802469</v>
      </c>
      <c r="G10" s="8">
        <f t="shared" si="6"/>
        <v>-72.51165981</v>
      </c>
      <c r="H10" s="8">
        <f t="shared" si="6"/>
        <v>305.0862673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/>
      <c r="B11" s="5"/>
      <c r="C11" s="5"/>
      <c r="D11" s="5"/>
      <c r="E11" s="5"/>
      <c r="F11" s="5"/>
      <c r="G11" s="5"/>
      <c r="H11" s="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/>
      <c r="B12" s="7" t="s">
        <v>114</v>
      </c>
      <c r="C12" s="9">
        <f>9*E10/C10</f>
        <v>-3.98</v>
      </c>
      <c r="D12" s="5"/>
      <c r="E12" s="5"/>
      <c r="F12" s="5"/>
      <c r="G12" s="5"/>
      <c r="H12" s="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/>
      <c r="B13" s="7" t="s">
        <v>115</v>
      </c>
      <c r="C13" s="9">
        <f>(9^2)*F10/C10</f>
        <v>126.94</v>
      </c>
      <c r="D13" s="5"/>
      <c r="E13" s="5"/>
      <c r="F13" s="5"/>
      <c r="G13" s="5"/>
      <c r="H13" s="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/>
      <c r="B14" s="7" t="s">
        <v>116</v>
      </c>
      <c r="C14" s="9">
        <f>(9^3)*G10/C10</f>
        <v>-1057.22</v>
      </c>
      <c r="D14" s="5"/>
      <c r="E14" s="5"/>
      <c r="F14" s="5"/>
      <c r="G14" s="5"/>
      <c r="H14" s="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7" t="s">
        <v>117</v>
      </c>
      <c r="C15" s="9">
        <f>(9^4)*H10/C10</f>
        <v>40033.42</v>
      </c>
      <c r="D15" s="5"/>
      <c r="E15" s="5"/>
      <c r="F15" s="5"/>
      <c r="G15" s="5"/>
      <c r="H15" s="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7"/>
      <c r="C16" s="9"/>
      <c r="D16" s="5"/>
      <c r="E16" s="5"/>
      <c r="F16" s="5"/>
      <c r="G16" s="5"/>
      <c r="H16" s="5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7" t="s">
        <v>118</v>
      </c>
      <c r="C17" s="9">
        <v>0.0</v>
      </c>
      <c r="D17" s="5"/>
      <c r="E17" s="5"/>
      <c r="F17" s="5"/>
      <c r="G17" s="5"/>
      <c r="H17" s="5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7" t="s">
        <v>119</v>
      </c>
      <c r="C18" s="9">
        <f>C13-(C12^2)</f>
        <v>111.0996</v>
      </c>
      <c r="D18" s="5"/>
      <c r="E18" s="5"/>
      <c r="F18" s="5"/>
      <c r="G18" s="5"/>
      <c r="H18" s="5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7" t="s">
        <v>120</v>
      </c>
      <c r="C19" s="9">
        <f>C14-3*C12*C13+2*(C12^3)</f>
        <v>332.354016</v>
      </c>
      <c r="D19" s="5"/>
      <c r="E19" s="5"/>
      <c r="F19" s="5"/>
      <c r="G19" s="5"/>
      <c r="H19" s="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7" t="s">
        <v>121</v>
      </c>
      <c r="C20" s="9">
        <f>C15-4*C12*C14+6*(C12^2)*C13-3*(C12^4)</f>
        <v>34514.40504</v>
      </c>
      <c r="D20" s="5"/>
      <c r="E20" s="5"/>
      <c r="F20" s="5"/>
      <c r="G20" s="5"/>
      <c r="H20" s="5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7"/>
      <c r="C21" s="9"/>
      <c r="D21" s="5"/>
      <c r="E21" s="5"/>
      <c r="F21" s="5"/>
      <c r="G21" s="5"/>
      <c r="H21" s="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4.25" customHeight="1">
      <c r="A22" s="26"/>
      <c r="B22" s="40" t="s">
        <v>122</v>
      </c>
      <c r="C22" s="41">
        <f>C19/((SQRT(C18))^3)</f>
        <v>0.283812937</v>
      </c>
      <c r="D22" s="15" t="s">
        <v>123</v>
      </c>
      <c r="E22" s="22" t="s">
        <v>124</v>
      </c>
      <c r="F22" s="5"/>
      <c r="G22" s="5"/>
      <c r="H22" s="5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4.25" customHeight="1">
      <c r="A23" s="26"/>
      <c r="B23" s="40" t="s">
        <v>125</v>
      </c>
      <c r="C23" s="41">
        <f>C20/(C18^2)</f>
        <v>2.79624616</v>
      </c>
      <c r="D23" s="15" t="s">
        <v>126</v>
      </c>
      <c r="E23" s="40" t="s">
        <v>127</v>
      </c>
      <c r="F23" s="5"/>
      <c r="G23" s="5"/>
      <c r="H23" s="5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4.25" customHeight="1">
      <c r="A24" s="26"/>
      <c r="B24" s="7"/>
      <c r="C24" s="9"/>
      <c r="D24" s="5"/>
      <c r="E24" s="5"/>
      <c r="F24" s="5"/>
      <c r="G24" s="5"/>
      <c r="H24" s="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4.25" customHeight="1">
      <c r="A25" s="26"/>
      <c r="B25" s="7" t="s">
        <v>128</v>
      </c>
      <c r="C25" s="9">
        <f>C18-81/12</f>
        <v>104.3496</v>
      </c>
      <c r="D25" s="5"/>
      <c r="E25" s="5"/>
      <c r="F25" s="5"/>
      <c r="G25" s="5"/>
      <c r="H25" s="5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4.25" customHeight="1">
      <c r="A26" s="26"/>
      <c r="B26" s="7" t="s">
        <v>129</v>
      </c>
      <c r="C26" s="9">
        <f>C20-0.5*81*C18+7*6561/240</f>
        <v>30206.23374</v>
      </c>
      <c r="D26" s="5"/>
      <c r="E26" s="5"/>
      <c r="F26" s="5"/>
      <c r="G26" s="5"/>
      <c r="H26" s="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4.2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4.2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4.2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4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4.2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4.2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4.2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4.2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4.2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4.2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4.2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4.2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4.2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4.2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4.2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4.2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4.2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4.2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4.2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4.2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4.2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4.2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4.2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4.2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4.2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4.2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4.2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4.2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4.2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4.2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4.2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4.2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4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4.2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4.2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4.2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4.2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4.2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4.2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4.2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4.2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4.2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4.2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4.2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4.2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4.2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4.2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4.2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4.2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4.2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4.2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4.2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4.2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4.2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4.2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4.2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4.2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4.2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4.2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4.2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4.2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4.2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4.2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4.2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4.2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4.2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4.2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4.2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4.2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4.2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4.2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4.2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4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4.2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4.2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4.2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4.2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4.2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4.2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4.2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4.2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4.2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4.2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4.2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4.2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4.2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4.2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4.2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4.2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4.2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4.2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4.2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4.2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4.2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4.2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4.2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4.2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4.2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4.2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4.2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4.2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4.2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4.2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4.2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4.2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4.2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4.2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4.2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4.2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4.2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4.2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4.2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4.2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4.2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4.2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4.2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4.2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4.2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4.2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4.2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4.2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4.2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4.2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4.2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4.2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4.2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4.2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4.2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4.2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4.2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4.2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4.2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4.2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4.2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4.2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4.2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4.2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4.2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4.2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4.2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4.2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4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4.2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4.2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4.2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4.2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4.2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4.2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4.2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4.2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4.2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4.2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4.2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4.2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4.2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4.2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4.2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4.2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4.2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4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4.2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4.2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4.2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4.2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4.2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4.2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4.2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4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4.2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4.2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4.2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4.2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4.2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4.2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4.2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4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4.2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4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4.2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4.2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4.2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4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4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4.2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4.2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4.2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4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4.2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4.2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4.2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4.2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4.2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4.2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4.2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4.2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4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4.2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4.2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4.2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4.2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4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4.2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4.2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4.2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4.2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4.2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4.2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4.2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4.2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4.2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4.2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4.2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4.2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4.2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4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4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4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4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4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4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4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4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4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4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4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4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4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4.2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4.2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4.2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4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4.2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4.2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4.2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4.2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4.2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4.2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4.2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4.2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4.2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4.2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4.2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4.2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4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4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4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4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4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4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4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4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4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4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4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4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4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4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4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4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4.2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4.2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4.2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4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4.2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4.2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4.2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4.2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4.2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4.2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4.2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4.2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4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4.2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4.2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4.2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4.2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4.2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4.2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4.2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4.2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4.2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4.2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4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4.2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4.2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4.2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4.2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4.2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4.2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4.2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4.2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4.2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4.2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4.2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4.2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4.2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4.2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4.2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4.2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4.2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4.2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4.2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4.2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4.2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4.2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4.2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4.2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4.2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4.2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4.2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4.2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4.2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4.2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4.2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4.2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4.2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4.2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4.2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4.2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4.2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4.2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4.2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4.2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4.2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4.2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4.2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4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4.2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4.2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4.2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4.2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4.2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4.2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4.2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4.2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4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4.2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4.2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4.2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4.2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4.2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4.2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4.2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4.2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4.2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4.2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4.2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4.2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4.2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4.2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4.2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4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4.2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4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4.2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4.2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4.2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4.2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4.2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4.2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4.2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4.2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4.2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4.2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4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4.2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4.2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4.2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4.2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4.2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4.2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4.2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4.2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4.2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4.2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4.2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4.2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4.2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4.2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4.2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4.2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4.2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4.2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4.2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4.2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4.2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4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4.2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4.2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4.2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4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4.2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4.2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4.2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4.2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4.2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4.2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4.2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4.2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4.2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4.2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4.2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4.2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4.2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4.2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4.2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4.2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4.2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4.2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4.2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4.2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4.2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4.2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4.2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4.2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4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4.2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4.2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4.2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4.2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4.2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4.2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4.2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4.2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4.2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4.2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4.2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4.2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4.2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4.2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4.2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4.2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4.2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4.2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4.2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4.2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4.2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4.2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4.2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4.2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4.2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4.2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4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4.2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4.2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4.2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4.2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4.2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4.2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4.2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4.2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4.2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4.2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4.2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4.2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4.2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4.2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4.2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4.2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4.2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4.2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4.2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4.2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4.2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4.2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4.2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4.2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4.2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4.2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4.2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4.2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4.2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4.2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4.2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4.2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4.2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4.2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4.2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4.2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4.2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4.2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4.2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4.2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4.2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4.2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4.2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4.2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4.2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4.2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4.2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4.2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4.2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4.2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4.2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4.2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4.2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4.2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4.2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4.2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4.2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4.2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4.2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4.2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4.2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4.2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4.2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4.2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4.2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4.2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4.2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4.2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4.2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4.2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4.2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4.2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4.2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4.2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4.2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4.2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4.2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4.2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4.2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4.2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4.2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4.2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4.2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4.2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4.2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4.2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4.2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4.2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4.2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4.2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4.2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4.2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4.2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4.2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4.2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4.2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4.2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4.2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4.2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4.2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4.2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4.2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4.2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4.2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4.2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4.2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4.2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4.2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4.2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4.2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4.2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4.2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4.2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4.2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4.2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4.2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4.2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4.2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4.2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4.2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4.2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4.2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4.2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4.2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4.2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4.2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4.2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4.2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4.2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4.2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4.2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4.2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4.2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4.2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4.2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4.2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4.2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4.2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4.2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4.2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4.2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4.2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4.2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4.2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4.2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4.2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4.2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4.2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4.2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4.2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4.2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4.2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4.2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4.2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4.2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4.2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4.2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4.2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4.2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4.2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4.2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4.2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4.2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4.2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4.2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4.2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4.2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4.2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4.2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4.2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4.2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4.2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4.2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4.2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4.2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4.2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4.2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4.2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4.2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4.2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4.2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4.2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4.2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4.2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4.2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4.2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4.2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4.2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4.2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4.2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4.2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4.2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4.2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4.2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4.2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4.2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4.2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4.2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4.2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4.2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4.2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4.2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4.2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4.2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4.2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4.2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4.2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4.2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4.2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4.2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4.2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4.2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4.2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4.2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4.2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4.2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4.2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4.2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4.2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4.2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4.2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4.2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4.2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4.2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4.2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4.2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4.2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4.2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4.2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4.2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4.2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4.2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4.2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4.2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4.2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4.2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4.2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4.2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4.2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4.2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4.2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4.2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4.2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4.2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4.2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4.2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4.2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4.2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4.2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4.2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4.2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4.2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4.2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4.2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4.2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4.2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4.2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4.2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4.2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4.2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4.2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4.2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4.2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4.2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4.2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4.2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4.2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4.2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4.2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4.2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4.2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4.2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4.2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4.2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4.2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4.2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4.2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4.2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4.2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4.2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4.2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4.2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4.2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4.2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4.2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4.2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4.2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4.2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4.2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4.2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4.2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4.2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4.2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4.2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4.2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4.2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4.2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4.2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4.2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4.2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4.2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4.2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4.2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4.2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4.2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4.2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4.2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4.2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4.2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4.2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4.2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4.2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4.2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4.2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4.2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4.2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4.2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4.2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4.2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4.2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4.2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4.2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4.2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4.2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4.2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4.2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4.2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4.2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4.2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4.2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4.2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4.2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4.2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4.2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4.2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4.2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4.2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4.2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4.2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4.2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4.2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4.2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4.2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4.2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4.2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4.2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4.2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4.2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4.2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4.2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4.2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4.2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4.2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4.2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4.2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4.2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4.2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4.2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4.2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4.2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4.2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4.2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4.2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4.2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4.2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4.2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4.2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4.2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4.2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4.2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4.2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4.2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4.2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4.2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4.2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4.2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4.2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4.2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4.2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4.2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4.2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4.2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4.2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4.2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4.2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4.2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4.2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4.2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4.2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4.2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4.2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4.2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4.2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4.2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4.2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4.2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4.2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4.2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4.2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4.2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4.2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4.2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4.2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4.2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4.2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4.2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4.2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4.2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4.2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4.2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4.2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4.2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4.2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4.2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4.2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4.2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4.2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4.2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4.2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4.2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4.2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4.2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4.2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4.2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4.2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4.2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4.2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4.2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4.2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4.2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4.2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4.2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4.2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4.2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4.2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4.2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4.2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4.2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4.2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4.2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4.2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4.2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4.2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4.2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4.2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4.2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4.2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4.2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4.2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4.2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4.2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4.2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4.2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4.2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4.2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4.2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4.2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4.2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4.2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4.2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4.2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4.2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4.2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4.2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4.2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4.2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4.2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4.2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4.2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4.2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4.2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4.2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4.2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4.2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4.2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4.2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4.2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4.2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4.2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4.2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4.2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4.2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4.2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4.2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4.2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4.2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4.2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4.2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4.2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4.2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4.2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4.2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4.2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4.2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4.2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4.2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4.2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4.2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4.2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4.2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4.2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4.2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4.2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4.2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4.2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4.2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4.2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4.2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4.2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4.2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4.2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6.86"/>
    <col customWidth="1" min="4" max="6" width="9.14"/>
    <col customWidth="1" min="7" max="7" width="14.29"/>
    <col customWidth="1" min="8" max="8" width="15.14"/>
    <col customWidth="1" min="9" max="11" width="8.86"/>
    <col customWidth="1" min="12" max="12" width="21.86"/>
    <col customWidth="1" min="13" max="13" width="20.29"/>
    <col customWidth="1" min="14" max="14" width="9.0"/>
    <col customWidth="1" min="15" max="18" width="9.14"/>
    <col customWidth="1" min="19" max="26" width="8.71"/>
  </cols>
  <sheetData>
    <row r="1" ht="14.2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6"/>
      <c r="B3" s="1" t="s">
        <v>1</v>
      </c>
      <c r="C3" s="1" t="s">
        <v>12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5"/>
      <c r="B4" s="7" t="s">
        <v>15</v>
      </c>
      <c r="C4" s="7" t="s">
        <v>16</v>
      </c>
      <c r="D4" s="7" t="s">
        <v>130</v>
      </c>
      <c r="E4" s="7" t="s">
        <v>131</v>
      </c>
      <c r="F4" s="7" t="s">
        <v>132</v>
      </c>
      <c r="G4" s="7" t="s">
        <v>133</v>
      </c>
      <c r="H4" s="7" t="s">
        <v>134</v>
      </c>
      <c r="I4" s="7" t="s">
        <v>135</v>
      </c>
      <c r="J4" s="7" t="s">
        <v>136</v>
      </c>
      <c r="K4" s="7" t="s">
        <v>137</v>
      </c>
      <c r="L4" s="5"/>
      <c r="M4" s="7" t="s">
        <v>138</v>
      </c>
      <c r="N4" s="7" t="s">
        <v>139</v>
      </c>
      <c r="O4" s="7" t="s">
        <v>140</v>
      </c>
      <c r="P4" s="7" t="s">
        <v>141</v>
      </c>
      <c r="Q4" s="7" t="s">
        <v>142</v>
      </c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5"/>
      <c r="B5" s="3">
        <v>79.0</v>
      </c>
      <c r="C5" s="9">
        <v>67.0</v>
      </c>
      <c r="D5" s="9">
        <f t="shared" ref="D5:E5" si="1">B5^2</f>
        <v>6241</v>
      </c>
      <c r="E5" s="9">
        <f t="shared" si="1"/>
        <v>4489</v>
      </c>
      <c r="F5" s="9">
        <f t="shared" ref="F5:F14" si="4">B5*C5</f>
        <v>5293</v>
      </c>
      <c r="G5" s="9">
        <f t="shared" ref="G5:G14" si="5">(B5-60)/10</f>
        <v>1.9</v>
      </c>
      <c r="H5" s="9">
        <f t="shared" ref="H5:H14" si="6">(C5-65)/5</f>
        <v>0.4</v>
      </c>
      <c r="I5" s="9">
        <f t="shared" ref="I5:J5" si="2">G5^2</f>
        <v>3.61</v>
      </c>
      <c r="J5" s="9">
        <f t="shared" si="2"/>
        <v>0.16</v>
      </c>
      <c r="K5" s="9">
        <f t="shared" ref="K5:K14" si="8">G5*H5</f>
        <v>0.76</v>
      </c>
      <c r="L5" s="5"/>
      <c r="M5" s="9">
        <v>1.0</v>
      </c>
      <c r="N5" s="9">
        <v>2.0</v>
      </c>
      <c r="O5" s="9">
        <v>3.0</v>
      </c>
      <c r="P5" s="9">
        <f t="shared" ref="P5:P6" si="9">N5-O5</f>
        <v>-1</v>
      </c>
      <c r="Q5" s="9">
        <f t="shared" ref="Q5:Q14" si="10">P5^2</f>
        <v>1</v>
      </c>
      <c r="R5" s="3"/>
      <c r="S5" s="26"/>
      <c r="T5" s="26"/>
      <c r="U5" s="26"/>
      <c r="V5" s="26"/>
      <c r="W5" s="26"/>
      <c r="X5" s="26"/>
      <c r="Y5" s="26"/>
      <c r="Z5" s="26"/>
    </row>
    <row r="6" ht="14.25" customHeight="1">
      <c r="A6" s="5"/>
      <c r="B6" s="3">
        <v>58.0</v>
      </c>
      <c r="C6" s="9">
        <v>62.0</v>
      </c>
      <c r="D6" s="9">
        <f t="shared" ref="D6:E6" si="3">B6^2</f>
        <v>3364</v>
      </c>
      <c r="E6" s="9">
        <f t="shared" si="3"/>
        <v>3844</v>
      </c>
      <c r="F6" s="9">
        <f t="shared" si="4"/>
        <v>3596</v>
      </c>
      <c r="G6" s="9">
        <f t="shared" si="5"/>
        <v>-0.2</v>
      </c>
      <c r="H6" s="9">
        <f t="shared" si="6"/>
        <v>-0.6</v>
      </c>
      <c r="I6" s="9">
        <f t="shared" ref="I6:J6" si="7">G6^2</f>
        <v>0.04</v>
      </c>
      <c r="J6" s="9">
        <f t="shared" si="7"/>
        <v>0.36</v>
      </c>
      <c r="K6" s="9">
        <f t="shared" si="8"/>
        <v>0.12</v>
      </c>
      <c r="L6" s="5"/>
      <c r="M6" s="9">
        <v>2.0</v>
      </c>
      <c r="N6" s="9">
        <v>4.0</v>
      </c>
      <c r="O6" s="9">
        <v>10.0</v>
      </c>
      <c r="P6" s="9">
        <f t="shared" si="9"/>
        <v>-6</v>
      </c>
      <c r="Q6" s="9">
        <f t="shared" si="10"/>
        <v>36</v>
      </c>
      <c r="R6" s="3"/>
      <c r="S6" s="26"/>
      <c r="T6" s="26"/>
      <c r="U6" s="26"/>
      <c r="V6" s="26"/>
      <c r="W6" s="26"/>
      <c r="X6" s="26"/>
      <c r="Y6" s="26"/>
      <c r="Z6" s="26"/>
    </row>
    <row r="7" ht="14.25" customHeight="1">
      <c r="A7" s="5"/>
      <c r="B7" s="3">
        <v>63.0</v>
      </c>
      <c r="C7" s="9">
        <v>67.0</v>
      </c>
      <c r="D7" s="9">
        <f t="shared" ref="D7:E7" si="11">B7^2</f>
        <v>3969</v>
      </c>
      <c r="E7" s="9">
        <f t="shared" si="11"/>
        <v>4489</v>
      </c>
      <c r="F7" s="9">
        <f t="shared" si="4"/>
        <v>4221</v>
      </c>
      <c r="G7" s="9">
        <f t="shared" si="5"/>
        <v>0.3</v>
      </c>
      <c r="H7" s="9">
        <f t="shared" si="6"/>
        <v>0.4</v>
      </c>
      <c r="I7" s="9">
        <f t="shared" ref="I7:J7" si="12">G7^2</f>
        <v>0.09</v>
      </c>
      <c r="J7" s="9">
        <f t="shared" si="12"/>
        <v>0.16</v>
      </c>
      <c r="K7" s="9">
        <f t="shared" si="8"/>
        <v>0.12</v>
      </c>
      <c r="L7" s="5"/>
      <c r="M7" s="9">
        <v>3.0</v>
      </c>
      <c r="N7" s="9">
        <v>3.0</v>
      </c>
      <c r="O7" s="9">
        <v>6.0</v>
      </c>
      <c r="P7" s="9">
        <f>N7-Q11</f>
        <v>-13</v>
      </c>
      <c r="Q7" s="9">
        <f t="shared" si="10"/>
        <v>169</v>
      </c>
      <c r="R7" s="3"/>
      <c r="S7" s="26"/>
      <c r="T7" s="26"/>
      <c r="U7" s="26"/>
      <c r="V7" s="26"/>
      <c r="W7" s="26"/>
      <c r="X7" s="26"/>
      <c r="Y7" s="26"/>
      <c r="Z7" s="26"/>
    </row>
    <row r="8" ht="14.25" customHeight="1">
      <c r="A8" s="5"/>
      <c r="B8" s="3">
        <v>59.0</v>
      </c>
      <c r="C8" s="9">
        <v>64.0</v>
      </c>
      <c r="D8" s="9">
        <f t="shared" ref="D8:E8" si="13">B8^2</f>
        <v>3481</v>
      </c>
      <c r="E8" s="9">
        <f t="shared" si="13"/>
        <v>4096</v>
      </c>
      <c r="F8" s="9">
        <f t="shared" si="4"/>
        <v>3776</v>
      </c>
      <c r="G8" s="9">
        <f t="shared" si="5"/>
        <v>-0.1</v>
      </c>
      <c r="H8" s="9">
        <f t="shared" si="6"/>
        <v>-0.2</v>
      </c>
      <c r="I8" s="9">
        <f t="shared" ref="I8:J8" si="14">G8^2</f>
        <v>0.01</v>
      </c>
      <c r="J8" s="9">
        <f t="shared" si="14"/>
        <v>0.04</v>
      </c>
      <c r="K8" s="9">
        <f t="shared" si="8"/>
        <v>0.02</v>
      </c>
      <c r="L8" s="5"/>
      <c r="M8" s="9">
        <v>4.0</v>
      </c>
      <c r="N8" s="9">
        <v>9.0</v>
      </c>
      <c r="O8" s="9">
        <v>4.0</v>
      </c>
      <c r="P8" s="9">
        <f t="shared" ref="P8:P14" si="17">N8-O8</f>
        <v>5</v>
      </c>
      <c r="Q8" s="9">
        <f t="shared" si="10"/>
        <v>25</v>
      </c>
      <c r="R8" s="3"/>
      <c r="S8" s="26"/>
      <c r="T8" s="26"/>
      <c r="U8" s="26"/>
      <c r="V8" s="26"/>
      <c r="W8" s="26"/>
      <c r="X8" s="26"/>
      <c r="Y8" s="26"/>
      <c r="Z8" s="26"/>
    </row>
    <row r="9" ht="14.25" customHeight="1">
      <c r="A9" s="5"/>
      <c r="B9" s="37">
        <v>48.0</v>
      </c>
      <c r="C9" s="18">
        <v>60.0</v>
      </c>
      <c r="D9" s="9">
        <f t="shared" ref="D9:E9" si="15">B9^2</f>
        <v>2304</v>
      </c>
      <c r="E9" s="9">
        <f t="shared" si="15"/>
        <v>3600</v>
      </c>
      <c r="F9" s="9">
        <f t="shared" si="4"/>
        <v>2880</v>
      </c>
      <c r="G9" s="9">
        <f t="shared" si="5"/>
        <v>-1.2</v>
      </c>
      <c r="H9" s="9">
        <f t="shared" si="6"/>
        <v>-1</v>
      </c>
      <c r="I9" s="9">
        <f t="shared" ref="I9:J9" si="16">G9^2</f>
        <v>1.44</v>
      </c>
      <c r="J9" s="9">
        <f t="shared" si="16"/>
        <v>1</v>
      </c>
      <c r="K9" s="9">
        <f t="shared" si="8"/>
        <v>1.2</v>
      </c>
      <c r="L9" s="5"/>
      <c r="M9" s="9">
        <v>5.0</v>
      </c>
      <c r="N9" s="9">
        <v>8.0</v>
      </c>
      <c r="O9" s="9">
        <v>9.0</v>
      </c>
      <c r="P9" s="9">
        <f t="shared" si="17"/>
        <v>-1</v>
      </c>
      <c r="Q9" s="9">
        <f t="shared" si="10"/>
        <v>1</v>
      </c>
      <c r="R9" s="3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42" t="s">
        <v>143</v>
      </c>
      <c r="B10" s="3">
        <v>55.0</v>
      </c>
      <c r="C10" s="9">
        <v>61.0</v>
      </c>
      <c r="D10" s="9">
        <f t="shared" ref="D10:E10" si="18">B10^2</f>
        <v>3025</v>
      </c>
      <c r="E10" s="9">
        <f t="shared" si="18"/>
        <v>3721</v>
      </c>
      <c r="F10" s="9">
        <f t="shared" si="4"/>
        <v>3355</v>
      </c>
      <c r="G10" s="9">
        <f t="shared" si="5"/>
        <v>-0.5</v>
      </c>
      <c r="H10" s="9">
        <f t="shared" si="6"/>
        <v>-0.8</v>
      </c>
      <c r="I10" s="9">
        <f t="shared" ref="I10:J10" si="19">G10^2</f>
        <v>0.25</v>
      </c>
      <c r="J10" s="9">
        <f t="shared" si="19"/>
        <v>0.64</v>
      </c>
      <c r="K10" s="9">
        <f t="shared" si="8"/>
        <v>0.4</v>
      </c>
      <c r="L10" s="5"/>
      <c r="M10" s="9">
        <v>6.0</v>
      </c>
      <c r="N10" s="9">
        <v>6.0</v>
      </c>
      <c r="O10" s="9">
        <v>1.0</v>
      </c>
      <c r="P10" s="9">
        <f t="shared" si="17"/>
        <v>5</v>
      </c>
      <c r="Q10" s="9">
        <f t="shared" si="10"/>
        <v>25</v>
      </c>
      <c r="R10" s="3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5"/>
      <c r="B11" s="3">
        <v>58.0</v>
      </c>
      <c r="C11" s="9">
        <v>63.0</v>
      </c>
      <c r="D11" s="9">
        <f t="shared" ref="D11:E11" si="20">B11^2</f>
        <v>3364</v>
      </c>
      <c r="E11" s="9">
        <f t="shared" si="20"/>
        <v>3969</v>
      </c>
      <c r="F11" s="9">
        <f t="shared" si="4"/>
        <v>3654</v>
      </c>
      <c r="G11" s="9">
        <f t="shared" si="5"/>
        <v>-0.2</v>
      </c>
      <c r="H11" s="9">
        <f t="shared" si="6"/>
        <v>-0.4</v>
      </c>
      <c r="I11" s="9">
        <f t="shared" ref="I11:J11" si="21">G11^2</f>
        <v>0.04</v>
      </c>
      <c r="J11" s="9">
        <f t="shared" si="21"/>
        <v>0.16</v>
      </c>
      <c r="K11" s="9">
        <f t="shared" si="8"/>
        <v>0.08</v>
      </c>
      <c r="L11" s="5"/>
      <c r="M11" s="9">
        <v>7.0</v>
      </c>
      <c r="N11" s="9">
        <v>1.0</v>
      </c>
      <c r="O11" s="9">
        <v>5.0</v>
      </c>
      <c r="P11" s="9">
        <f t="shared" si="17"/>
        <v>-4</v>
      </c>
      <c r="Q11" s="9">
        <f t="shared" si="10"/>
        <v>16</v>
      </c>
      <c r="R11" s="3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5"/>
      <c r="B12" s="3">
        <v>61.0</v>
      </c>
      <c r="C12" s="9">
        <v>62.0</v>
      </c>
      <c r="D12" s="9">
        <f t="shared" ref="D12:E12" si="22">B12^2</f>
        <v>3721</v>
      </c>
      <c r="E12" s="9">
        <f t="shared" si="22"/>
        <v>3844</v>
      </c>
      <c r="F12" s="9">
        <f t="shared" si="4"/>
        <v>3782</v>
      </c>
      <c r="G12" s="9">
        <f t="shared" si="5"/>
        <v>0.1</v>
      </c>
      <c r="H12" s="9">
        <f t="shared" si="6"/>
        <v>-0.6</v>
      </c>
      <c r="I12" s="9">
        <f t="shared" ref="I12:J12" si="23">G12^2</f>
        <v>0.01</v>
      </c>
      <c r="J12" s="9">
        <f t="shared" si="23"/>
        <v>0.36</v>
      </c>
      <c r="K12" s="9">
        <f t="shared" si="8"/>
        <v>-0.06</v>
      </c>
      <c r="L12" s="5"/>
      <c r="M12" s="9">
        <v>8.0</v>
      </c>
      <c r="N12" s="9">
        <v>7.0</v>
      </c>
      <c r="O12" s="9">
        <v>2.0</v>
      </c>
      <c r="P12" s="9">
        <f t="shared" si="17"/>
        <v>5</v>
      </c>
      <c r="Q12" s="9">
        <f t="shared" si="10"/>
        <v>25</v>
      </c>
      <c r="R12" s="3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5"/>
      <c r="B13" s="3">
        <v>65.0</v>
      </c>
      <c r="C13" s="9">
        <v>65.0</v>
      </c>
      <c r="D13" s="9">
        <f t="shared" ref="D13:E13" si="24">B13^2</f>
        <v>4225</v>
      </c>
      <c r="E13" s="9">
        <f t="shared" si="24"/>
        <v>4225</v>
      </c>
      <c r="F13" s="9">
        <f t="shared" si="4"/>
        <v>4225</v>
      </c>
      <c r="G13" s="9">
        <f t="shared" si="5"/>
        <v>0.5</v>
      </c>
      <c r="H13" s="9">
        <f t="shared" si="6"/>
        <v>0</v>
      </c>
      <c r="I13" s="9">
        <f t="shared" ref="I13:J13" si="25">G13^2</f>
        <v>0.25</v>
      </c>
      <c r="J13" s="9">
        <f t="shared" si="25"/>
        <v>0</v>
      </c>
      <c r="K13" s="9">
        <f t="shared" si="8"/>
        <v>0</v>
      </c>
      <c r="L13" s="5"/>
      <c r="M13" s="9">
        <v>9.0</v>
      </c>
      <c r="N13" s="9">
        <v>10.0</v>
      </c>
      <c r="O13" s="9">
        <v>7.0</v>
      </c>
      <c r="P13" s="9">
        <f t="shared" si="17"/>
        <v>3</v>
      </c>
      <c r="Q13" s="9">
        <f t="shared" si="10"/>
        <v>9</v>
      </c>
      <c r="R13" s="3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5"/>
      <c r="B14" s="37">
        <v>80.0</v>
      </c>
      <c r="C14" s="18">
        <v>70.0</v>
      </c>
      <c r="D14" s="9">
        <f t="shared" ref="D14:E14" si="26">B14^2</f>
        <v>6400</v>
      </c>
      <c r="E14" s="9">
        <f t="shared" si="26"/>
        <v>4900</v>
      </c>
      <c r="F14" s="9">
        <f t="shared" si="4"/>
        <v>5600</v>
      </c>
      <c r="G14" s="9">
        <f t="shared" si="5"/>
        <v>2</v>
      </c>
      <c r="H14" s="9">
        <f t="shared" si="6"/>
        <v>1</v>
      </c>
      <c r="I14" s="9">
        <f t="shared" ref="I14:J14" si="27">G14^2</f>
        <v>4</v>
      </c>
      <c r="J14" s="9">
        <f t="shared" si="27"/>
        <v>1</v>
      </c>
      <c r="K14" s="9">
        <f t="shared" si="8"/>
        <v>2</v>
      </c>
      <c r="L14" s="5"/>
      <c r="M14" s="9">
        <v>10.0</v>
      </c>
      <c r="N14" s="9">
        <v>5.0</v>
      </c>
      <c r="O14" s="9">
        <v>8.0</v>
      </c>
      <c r="P14" s="9">
        <f t="shared" si="17"/>
        <v>-3</v>
      </c>
      <c r="Q14" s="9">
        <f t="shared" si="10"/>
        <v>9</v>
      </c>
      <c r="R14" s="3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7" t="s">
        <v>51</v>
      </c>
      <c r="N16" s="7"/>
      <c r="O16" s="7" t="s">
        <v>143</v>
      </c>
      <c r="P16" s="5"/>
      <c r="Q16" s="5">
        <f>SUM(Q5:Q14)</f>
        <v>316</v>
      </c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5"/>
      <c r="B17" s="5"/>
      <c r="C17" s="5"/>
      <c r="D17" s="5"/>
      <c r="E17" s="5"/>
      <c r="F17" s="5"/>
      <c r="G17" s="43" t="s">
        <v>144</v>
      </c>
      <c r="H17" s="43" t="s">
        <v>145</v>
      </c>
      <c r="I17" s="5"/>
      <c r="J17" s="5"/>
      <c r="K17" s="5"/>
      <c r="L17" s="5"/>
      <c r="M17" s="5"/>
      <c r="N17" s="5"/>
      <c r="O17" s="5"/>
      <c r="P17" s="5"/>
      <c r="Q17" s="5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44" t="s">
        <v>51</v>
      </c>
      <c r="B18" s="5">
        <f t="shared" ref="B18:K18" si="28">SUM(B5:B14)</f>
        <v>626</v>
      </c>
      <c r="C18" s="5">
        <f t="shared" si="28"/>
        <v>641</v>
      </c>
      <c r="D18" s="5">
        <f t="shared" si="28"/>
        <v>40094</v>
      </c>
      <c r="E18" s="5">
        <f t="shared" si="28"/>
        <v>41177</v>
      </c>
      <c r="F18" s="5">
        <f t="shared" si="28"/>
        <v>40382</v>
      </c>
      <c r="G18" s="5">
        <f t="shared" si="28"/>
        <v>2.6</v>
      </c>
      <c r="H18" s="5">
        <f t="shared" si="28"/>
        <v>-1.8</v>
      </c>
      <c r="I18" s="5">
        <f t="shared" si="28"/>
        <v>9.74</v>
      </c>
      <c r="J18" s="5">
        <f t="shared" si="28"/>
        <v>3.88</v>
      </c>
      <c r="K18" s="5">
        <f t="shared" si="28"/>
        <v>4.64</v>
      </c>
      <c r="L18" s="5"/>
      <c r="M18" s="5"/>
      <c r="N18" s="5"/>
      <c r="O18" s="5"/>
      <c r="P18" s="5"/>
      <c r="Q18" s="5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33" t="s">
        <v>146</v>
      </c>
      <c r="O19" s="7"/>
      <c r="P19" s="7"/>
      <c r="Q19" s="5">
        <f>1-((6*Q16)/(10*(10^2-1)))</f>
        <v>-0.9151515152</v>
      </c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/>
      <c r="O20" s="7"/>
      <c r="P20" s="7"/>
      <c r="Q20" s="5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15" t="s">
        <v>147</v>
      </c>
      <c r="B21" s="45"/>
      <c r="C21" s="5">
        <f>((10*F18)-B18*C18)/SQRT((10*D18-B18^2)*(10*E18-C18^2))</f>
        <v>0.8997255717</v>
      </c>
      <c r="D21" s="5"/>
      <c r="E21" s="33" t="s">
        <v>148</v>
      </c>
      <c r="F21" s="7"/>
      <c r="G21" s="7"/>
      <c r="H21" s="5"/>
      <c r="I21" s="5"/>
      <c r="J21" s="5"/>
      <c r="K21" s="5"/>
      <c r="L21" s="5"/>
      <c r="M21" s="5"/>
      <c r="N21" s="33" t="s">
        <v>149</v>
      </c>
      <c r="O21" s="7"/>
      <c r="P21" s="7"/>
      <c r="Q21" s="5"/>
      <c r="R21" s="26"/>
      <c r="S21" s="26"/>
      <c r="T21" s="26"/>
      <c r="U21" s="26"/>
      <c r="V21" s="26"/>
      <c r="W21" s="26"/>
      <c r="X21" s="26"/>
      <c r="Y21" s="26"/>
      <c r="Z21" s="26"/>
    </row>
    <row r="22" ht="14.25" customHeight="1">
      <c r="B22" s="7"/>
      <c r="C22" s="5">
        <f>(10*F18-B18*C18)/(10*E18-C18^2)</f>
        <v>2.872890889</v>
      </c>
      <c r="D22" s="5"/>
      <c r="E22" s="33" t="s">
        <v>150</v>
      </c>
      <c r="F22" s="7"/>
      <c r="G22" s="7"/>
      <c r="H22" s="18" t="s">
        <v>151</v>
      </c>
      <c r="I22" s="5"/>
      <c r="J22" s="5"/>
      <c r="K22" s="5"/>
      <c r="L22" s="5"/>
      <c r="M22" s="5"/>
      <c r="N22" s="7"/>
      <c r="O22" s="7"/>
      <c r="P22" s="7"/>
      <c r="Q22" s="5"/>
      <c r="R22" s="26"/>
      <c r="S22" s="26"/>
      <c r="T22" s="26"/>
      <c r="U22" s="26"/>
      <c r="V22" s="26"/>
      <c r="W22" s="26"/>
      <c r="X22" s="26"/>
      <c r="Y22" s="26"/>
      <c r="Z22" s="26"/>
    </row>
    <row r="23" ht="14.25" customHeight="1">
      <c r="B23" s="7"/>
      <c r="C23" s="5">
        <f>(10*F18-B18*C18)/(10*D18-B18^2)</f>
        <v>0.2817740512</v>
      </c>
      <c r="D23" s="5"/>
      <c r="E23" s="33" t="s">
        <v>152</v>
      </c>
      <c r="F23" s="7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26"/>
      <c r="S23" s="26"/>
      <c r="T23" s="26"/>
      <c r="U23" s="26"/>
      <c r="V23" s="26"/>
      <c r="W23" s="26"/>
      <c r="X23" s="26"/>
      <c r="Y23" s="26"/>
      <c r="Z23" s="26"/>
    </row>
    <row r="24" ht="14.25" customHeight="1">
      <c r="A24" s="5"/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26"/>
      <c r="S24" s="26"/>
      <c r="T24" s="26"/>
      <c r="U24" s="26"/>
      <c r="V24" s="26"/>
      <c r="W24" s="26"/>
      <c r="X24" s="26"/>
      <c r="Y24" s="26"/>
      <c r="Z24" s="26"/>
    </row>
    <row r="25" ht="14.25" customHeight="1">
      <c r="A25" s="15" t="s">
        <v>153</v>
      </c>
      <c r="B25" s="7"/>
      <c r="C25" s="5">
        <f>((10*K18)-G18*H18)/SQRT((10*I18-G18^2)*(10*J18-H18^2))</f>
        <v>0.8997255717</v>
      </c>
      <c r="D25" s="5"/>
      <c r="E25" s="5"/>
      <c r="F25" s="5"/>
      <c r="G25" s="5"/>
      <c r="H25" s="5"/>
      <c r="I25" s="5"/>
      <c r="J25" s="5"/>
      <c r="K25" s="5"/>
      <c r="L25" s="5" t="s">
        <v>154</v>
      </c>
      <c r="M25" s="5" t="s">
        <v>155</v>
      </c>
      <c r="N25" s="5"/>
      <c r="O25" s="5"/>
      <c r="P25" s="5"/>
      <c r="Q25" s="5"/>
      <c r="R25" s="26"/>
      <c r="S25" s="26"/>
      <c r="T25" s="26"/>
      <c r="U25" s="26"/>
      <c r="V25" s="26"/>
      <c r="W25" s="26"/>
      <c r="X25" s="26"/>
      <c r="Y25" s="26"/>
      <c r="Z25" s="26"/>
    </row>
    <row r="26" ht="14.25" customHeight="1">
      <c r="B26" s="7"/>
      <c r="C26" s="5">
        <f>(10/5)*((10*K18)-G18*H18)/(10*J18-H18^2)</f>
        <v>2.872890889</v>
      </c>
      <c r="D26" s="5"/>
      <c r="E26" s="5"/>
      <c r="F26" s="5"/>
      <c r="G26" s="5"/>
      <c r="H26" s="5"/>
      <c r="I26" s="5"/>
      <c r="J26" s="5"/>
      <c r="K26" s="5"/>
      <c r="L26" s="9">
        <f>2.87289*0-115.74</f>
        <v>-115.74</v>
      </c>
      <c r="M26" s="9">
        <f>(0-44.54)/0.28177</f>
        <v>-158.0721865</v>
      </c>
      <c r="N26" s="9"/>
      <c r="O26" s="5"/>
      <c r="P26" s="5"/>
      <c r="Q26" s="5"/>
      <c r="R26" s="26"/>
      <c r="S26" s="26"/>
      <c r="T26" s="26"/>
      <c r="U26" s="26"/>
      <c r="V26" s="26"/>
      <c r="W26" s="26"/>
      <c r="X26" s="26"/>
      <c r="Y26" s="26"/>
      <c r="Z26" s="26"/>
    </row>
    <row r="27" ht="14.25" customHeight="1">
      <c r="B27" s="7"/>
      <c r="C27" s="5">
        <f>(5/10)*((10*K18)-G18*H18)/(10*I18-G18^2)</f>
        <v>0.2817740512</v>
      </c>
      <c r="D27" s="5"/>
      <c r="E27" s="5"/>
      <c r="F27" s="5"/>
      <c r="G27" s="5"/>
      <c r="H27" s="5"/>
      <c r="I27" s="5"/>
      <c r="J27" s="5"/>
      <c r="K27" s="5"/>
      <c r="L27" s="9">
        <f>2.87289*5-115.74</f>
        <v>-101.37555</v>
      </c>
      <c r="M27" s="9">
        <f>(5-44.54)/0.28177</f>
        <v>-140.3272172</v>
      </c>
      <c r="N27" s="9"/>
      <c r="O27" s="5"/>
      <c r="P27" s="5"/>
      <c r="Q27" s="5"/>
      <c r="R27" s="26"/>
      <c r="S27" s="26"/>
      <c r="T27" s="26"/>
      <c r="U27" s="26"/>
      <c r="V27" s="26"/>
      <c r="W27" s="26"/>
      <c r="X27" s="26"/>
      <c r="Y27" s="26"/>
      <c r="Z27" s="26"/>
    </row>
    <row r="28" ht="14.25" customHeight="1">
      <c r="A28" s="5"/>
      <c r="B28" s="7"/>
      <c r="C28" s="5"/>
      <c r="D28" s="5"/>
      <c r="E28" s="5"/>
      <c r="F28" s="5"/>
      <c r="G28" s="5"/>
      <c r="H28" s="5"/>
      <c r="I28" s="5"/>
      <c r="J28" s="5"/>
      <c r="K28" s="5"/>
      <c r="L28" s="9">
        <f>2.87289*10-115.74</f>
        <v>-87.0111</v>
      </c>
      <c r="M28" s="9">
        <f>(10-44.54)/0.28177</f>
        <v>-122.5822479</v>
      </c>
      <c r="N28" s="9"/>
      <c r="O28" s="5"/>
      <c r="P28" s="5"/>
      <c r="Q28" s="5"/>
      <c r="R28" s="26"/>
      <c r="S28" s="26"/>
      <c r="T28" s="26"/>
      <c r="U28" s="26"/>
      <c r="V28" s="26"/>
      <c r="W28" s="26"/>
      <c r="X28" s="26"/>
      <c r="Y28" s="26"/>
      <c r="Z28" s="26"/>
    </row>
    <row r="29" ht="14.25" customHeight="1">
      <c r="A29" s="5"/>
      <c r="B29" s="7"/>
      <c r="C29" s="5">
        <f>B18/10</f>
        <v>62.6</v>
      </c>
      <c r="D29" s="5"/>
      <c r="E29" s="5"/>
      <c r="F29" s="5"/>
      <c r="G29" s="5"/>
      <c r="H29" s="5"/>
      <c r="I29" s="5"/>
      <c r="J29" s="5"/>
      <c r="K29" s="5"/>
      <c r="L29" s="9">
        <f>2.87289*15-115.74</f>
        <v>-72.64665</v>
      </c>
      <c r="M29" s="9">
        <f>(15-44.54)/0.28177</f>
        <v>-104.8372786</v>
      </c>
      <c r="N29" s="9"/>
      <c r="O29" s="5"/>
      <c r="P29" s="5"/>
      <c r="Q29" s="5"/>
      <c r="R29" s="26"/>
      <c r="S29" s="26"/>
      <c r="T29" s="26"/>
      <c r="U29" s="26"/>
      <c r="V29" s="26"/>
      <c r="W29" s="26"/>
      <c r="X29" s="26"/>
      <c r="Y29" s="26"/>
      <c r="Z29" s="26"/>
    </row>
    <row r="30" ht="14.25" customHeight="1">
      <c r="A30" s="5"/>
      <c r="B30" s="7"/>
      <c r="C30" s="5">
        <f>C18/10</f>
        <v>64.1</v>
      </c>
      <c r="D30" s="5"/>
      <c r="E30" s="5"/>
      <c r="F30" s="5"/>
      <c r="G30" s="5"/>
      <c r="H30" s="5"/>
      <c r="I30" s="5"/>
      <c r="J30" s="5"/>
      <c r="K30" s="5"/>
      <c r="L30" s="9">
        <f>2.87289*20-115.74</f>
        <v>-58.2822</v>
      </c>
      <c r="M30" s="9">
        <f>(20-44.54)/0.28177</f>
        <v>-87.09230933</v>
      </c>
      <c r="N30" s="9"/>
      <c r="O30" s="26"/>
      <c r="P30" s="26" t="s">
        <v>156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4.25" customHeight="1">
      <c r="A31" s="5"/>
      <c r="B31" s="5"/>
      <c r="C31" s="5"/>
      <c r="D31" s="5"/>
      <c r="E31" s="5"/>
      <c r="F31" s="26"/>
      <c r="G31" s="26"/>
      <c r="H31" s="26"/>
      <c r="I31" s="5"/>
      <c r="J31" s="5"/>
      <c r="K31" s="5"/>
      <c r="L31" s="9">
        <f>2.87289*25-115.74</f>
        <v>-43.91775</v>
      </c>
      <c r="M31" s="9">
        <f>(25-44.54)/0.28177</f>
        <v>-69.34734003</v>
      </c>
      <c r="N31" s="9"/>
      <c r="O31" s="26"/>
      <c r="P31" s="26" t="s">
        <v>157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4.25" customHeight="1">
      <c r="A32" s="5"/>
      <c r="B32" s="1"/>
      <c r="C32" s="7" t="s">
        <v>158</v>
      </c>
      <c r="D32" s="7"/>
      <c r="E32" s="26"/>
      <c r="F32" s="26"/>
      <c r="G32" s="26"/>
      <c r="H32" s="26"/>
      <c r="I32" s="5"/>
      <c r="J32" s="5"/>
      <c r="K32" s="5"/>
      <c r="L32" s="9">
        <f>2.87289*30-115.74</f>
        <v>-29.5533</v>
      </c>
      <c r="M32" s="9">
        <f>(30-44.54)/0.28177</f>
        <v>-51.60237073</v>
      </c>
      <c r="N32" s="9"/>
      <c r="O32" s="26"/>
      <c r="P32" s="26" t="s">
        <v>159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4.25" customHeight="1">
      <c r="A33" s="5"/>
      <c r="B33" s="26"/>
      <c r="C33" s="26"/>
      <c r="D33" s="26"/>
      <c r="E33" s="26"/>
      <c r="F33" s="26"/>
      <c r="G33" s="26"/>
      <c r="H33" s="26"/>
      <c r="I33" s="5"/>
      <c r="J33" s="5"/>
      <c r="K33" s="5"/>
      <c r="L33" s="9">
        <f>2.87289*35-115.74</f>
        <v>-15.18885</v>
      </c>
      <c r="M33" s="9">
        <f>(35-44.54)/0.28177</f>
        <v>-33.85740143</v>
      </c>
      <c r="N33" s="9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5"/>
      <c r="B34" s="5"/>
      <c r="C34" s="5" t="s">
        <v>160</v>
      </c>
      <c r="D34" s="5"/>
      <c r="E34" s="26"/>
      <c r="F34" s="26"/>
      <c r="G34" s="26"/>
      <c r="H34" s="26"/>
      <c r="I34" s="5"/>
      <c r="J34" s="5"/>
      <c r="K34" s="5"/>
      <c r="L34" s="9">
        <f>2.87289*40-115.74</f>
        <v>-0.8244</v>
      </c>
      <c r="M34" s="9">
        <f>(40-44.54)/0.28177</f>
        <v>-16.11243213</v>
      </c>
      <c r="N34" s="9"/>
      <c r="O34" s="26"/>
      <c r="P34" s="26" t="s">
        <v>161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5"/>
      <c r="B35" s="26"/>
      <c r="C35" s="5" t="s">
        <v>162</v>
      </c>
      <c r="D35" s="5"/>
      <c r="E35" s="26"/>
      <c r="F35" s="26"/>
      <c r="G35" s="26"/>
      <c r="H35" s="26"/>
      <c r="I35" s="5"/>
      <c r="J35" s="5"/>
      <c r="K35" s="5"/>
      <c r="L35" s="9">
        <f>2.87289*45-115.74</f>
        <v>13.54005</v>
      </c>
      <c r="M35" s="9">
        <f>(45-44.54)/0.28177</f>
        <v>1.632537176</v>
      </c>
      <c r="N35" s="9"/>
      <c r="O35" s="26"/>
      <c r="P35" s="26" t="s">
        <v>163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5"/>
      <c r="B36" s="26"/>
      <c r="C36" s="26"/>
      <c r="D36" s="26"/>
      <c r="E36" s="26"/>
      <c r="F36" s="26"/>
      <c r="G36" s="26"/>
      <c r="H36" s="26"/>
      <c r="I36" s="5"/>
      <c r="J36" s="5"/>
      <c r="K36" s="5"/>
      <c r="L36" s="9">
        <f>2.87289*50-115.74</f>
        <v>27.9045</v>
      </c>
      <c r="M36" s="9">
        <f>(50-44.54)/0.28177</f>
        <v>19.37750648</v>
      </c>
      <c r="N36" s="9"/>
      <c r="O36" s="26"/>
      <c r="P36" s="26" t="s">
        <v>164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5"/>
      <c r="B37" s="1"/>
      <c r="C37" s="7" t="s">
        <v>165</v>
      </c>
      <c r="D37" s="7"/>
      <c r="E37" s="5"/>
      <c r="F37" s="26"/>
      <c r="G37" s="26"/>
      <c r="H37" s="26"/>
      <c r="I37" s="5"/>
      <c r="J37" s="5"/>
      <c r="K37" s="5"/>
      <c r="L37" s="9">
        <f>2.87289*55-115.74</f>
        <v>42.26895</v>
      </c>
      <c r="M37" s="9">
        <f>(55-44.54)/0.28177</f>
        <v>37.12247578</v>
      </c>
      <c r="N37" s="9"/>
      <c r="O37" s="5"/>
      <c r="P37" s="5"/>
      <c r="Q37" s="5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5"/>
      <c r="B38" s="26"/>
      <c r="C38" s="5"/>
      <c r="D38" s="5"/>
      <c r="E38" s="5"/>
      <c r="F38" s="26"/>
      <c r="G38" s="26"/>
      <c r="H38" s="26"/>
      <c r="I38" s="5"/>
      <c r="J38" s="5"/>
      <c r="K38" s="5"/>
      <c r="L38" s="9">
        <f>2.87289*60-115.74</f>
        <v>56.6334</v>
      </c>
      <c r="M38" s="9">
        <f>(60-44.54)/0.28177</f>
        <v>54.86744508</v>
      </c>
      <c r="N38" s="9"/>
      <c r="O38" s="5"/>
      <c r="P38" s="5"/>
      <c r="Q38" s="5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6"/>
      <c r="B39" s="5"/>
      <c r="C39" s="5" t="s">
        <v>166</v>
      </c>
      <c r="D39" s="5"/>
      <c r="E39" s="26"/>
      <c r="F39" s="26"/>
      <c r="G39" s="26"/>
      <c r="H39" s="26"/>
      <c r="I39" s="26"/>
      <c r="J39" s="26"/>
      <c r="K39" s="26"/>
      <c r="L39" s="9">
        <f>2.87289*65-115.74</f>
        <v>70.99785</v>
      </c>
      <c r="M39" s="9">
        <f>(65-44.54)/0.28177</f>
        <v>72.61241438</v>
      </c>
      <c r="N39" s="3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6"/>
      <c r="B40" s="5"/>
      <c r="C40" s="5" t="s">
        <v>167</v>
      </c>
      <c r="D40" s="5"/>
      <c r="E40" s="26"/>
      <c r="F40" s="26"/>
      <c r="G40" s="26"/>
      <c r="H40" s="26"/>
      <c r="I40" s="26"/>
      <c r="J40" s="26"/>
      <c r="K40" s="26"/>
      <c r="L40" s="5"/>
      <c r="M40" s="5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4.2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4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4.2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4.2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4.2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4.2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4.2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5"/>
      <c r="B50" s="5"/>
      <c r="C50" s="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4.2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4.2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4.2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4.2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4.2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4.2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4.2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4.2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4.2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4.2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4.2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4.2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4.2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4.2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4.2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4.2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4.2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4.2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4.2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4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4.2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4.2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4.2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4.2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4.2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4.2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4.2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4.2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4.2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4.2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4.2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4.2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4.2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4.2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4.2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4.2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4.2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4.2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4.2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4.2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4.2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4.2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4.2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4.2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4.2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4.2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4.2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4.2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4.2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4.2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4.2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4.2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4.2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4.2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4.2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4.2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4.2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4.2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4.2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4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4.2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4.2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4.2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4.2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4.2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4.2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4.2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4.2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4.2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4.2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4.2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4.2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4.2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4.2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4.2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4.2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4.2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4.2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4.2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4.2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4.2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4.2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4.2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4.2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4.2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4.2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4.2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4.2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4.2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4.2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4.2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4.2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4.2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4.2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4.2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4.2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4.2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4.2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4.2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4.2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4.2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4.2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4.2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4.2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4.2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4.2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4.2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4.2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4.2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4.2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4.2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4.2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4.2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4.2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4.2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4.2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4.2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4.2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4.2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4.2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4.2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4.2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4.2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4.2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4.2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4.2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4.2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4.2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4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4.2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4.2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4.2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4.2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4.2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4.2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4.2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4.2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4.2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4.2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4.2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4.2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4.2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4.2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4.2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4.2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4.2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4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4.2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4.2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4.2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4.2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4.2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4.2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4.2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4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4.2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4.2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4.2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4.2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4.2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4.2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4.2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4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4.2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4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4.2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4.2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4.2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4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4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4.2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4.2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4.2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4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4.2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4.2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4.2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4.2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4.2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4.2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4.2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4.2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4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4.2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4.2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4.2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4.2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4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4.2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4.2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4.2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4.2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4.2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4.2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4.2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4.2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4.2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4.2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4.2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4.2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4.2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4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4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4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4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4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4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4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4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4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4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4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4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4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4.2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4.2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4.2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4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4.2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4.2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4.2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4.2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4.2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4.2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4.2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4.2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4.2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4.2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4.2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4.2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4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4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4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4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4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4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4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4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4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4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4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4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4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4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4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4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4.2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4.2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4.2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4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4.2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4.2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4.2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4.2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4.2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4.2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4.2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4.2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4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4.2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4.2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4.2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4.2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4.2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4.2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4.2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4.2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4.2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4.2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4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4.2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4.2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4.2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4.2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4.2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4.2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4.2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4.2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4.2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4.2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4.2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4.2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4.2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4.2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4.2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4.2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4.2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4.2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4.2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4.2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4.2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4.2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4.2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4.2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4.2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4.2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4.2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4.2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4.2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4.2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4.2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4.2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4.2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4.2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4.2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4.2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4.2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4.2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4.2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4.2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4.2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4.2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4.2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4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4.2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4.2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4.2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4.2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4.2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4.2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4.2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4.2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4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4.2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4.2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4.2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4.2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4.2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4.2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4.2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4.2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4.2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4.2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4.2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4.2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4.2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4.2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4.2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4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4.2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4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4.2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4.2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4.2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4.2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4.2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4.2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4.2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4.2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4.2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4.2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4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4.2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4.2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4.2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4.2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4.2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4.2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4.2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4.2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4.2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4.2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4.2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4.2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4.2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4.2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4.2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4.2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4.2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4.2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4.2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4.2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4.2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4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4.2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4.2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4.2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4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4.2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4.2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4.2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4.2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4.2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4.2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4.2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4.2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4.2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4.2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4.2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4.2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4.2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4.2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4.2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4.2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4.2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4.2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4.2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4.2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4.2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4.2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4.2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4.2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4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4.2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4.2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4.2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4.2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4.2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4.2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4.2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4.2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4.2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4.2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4.2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4.2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4.2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4.2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4.2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4.2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4.2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4.2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4.2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4.2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4.2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4.2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4.2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4.2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4.2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4.2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4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4.2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4.2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4.2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4.2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4.2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4.2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4.2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4.2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4.2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4.2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4.2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4.2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4.2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4.2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4.2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4.2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4.2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4.2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4.2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4.2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4.2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4.2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4.2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4.2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4.2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4.2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4.2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4.2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4.2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4.2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4.2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4.2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4.2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4.2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4.2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4.2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4.2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4.2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4.2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4.2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4.2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4.2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4.2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4.2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4.2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4.2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4.2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4.2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4.2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4.2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4.2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4.2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4.2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4.2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4.2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4.2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4.2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4.2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4.2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4.2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4.2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4.2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4.2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4.2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4.2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4.2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4.2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4.2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4.2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4.2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4.2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4.2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4.2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4.2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4.2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4.2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4.2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4.2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4.2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4.2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4.2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4.2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4.2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4.2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4.2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4.2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4.2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4.2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4.2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4.2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4.2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4.2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4.2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4.2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4.2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4.2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4.2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4.2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4.2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4.2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4.2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4.2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4.2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4.2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4.2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4.2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4.2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4.2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4.2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4.2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4.2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4.2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4.2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4.2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4.2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4.2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4.2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4.2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4.2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4.2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4.2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4.2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4.2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4.2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4.2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4.2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4.2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4.2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4.2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4.2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4.2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4.2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4.2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4.2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4.2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4.2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4.2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4.2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4.2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4.2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4.2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4.2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4.2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4.2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4.2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4.2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4.2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4.2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4.2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4.2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4.2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4.2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4.2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4.2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4.2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4.2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4.2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4.2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4.2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4.2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4.2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4.2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4.2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4.2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4.2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4.2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4.2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4.2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4.2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4.2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4.2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4.2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4.2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4.2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4.2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4.2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4.2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4.2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4.2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4.2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4.2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4.2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4.2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4.2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4.2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4.2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4.2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4.2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4.2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4.2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4.2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4.2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4.2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4.2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4.2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4.2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4.2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4.2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4.2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4.2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4.2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4.2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4.2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4.2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4.2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4.2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4.2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4.2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4.2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4.2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4.2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4.2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4.2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4.2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4.2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4.2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4.2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4.2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4.2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4.2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4.2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4.2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4.2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4.2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4.2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4.2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4.2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4.2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4.2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4.2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4.2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4.2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4.2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4.2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4.2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4.2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4.2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4.2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4.2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4.2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4.2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4.2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4.2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4.2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4.2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4.2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4.2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4.2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4.2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4.2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4.2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4.2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4.2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4.2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4.2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4.2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4.2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4.2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4.2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4.2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4.2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4.2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4.2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4.2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4.2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4.2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4.2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4.2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4.2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4.2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4.2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4.2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4.2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4.2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4.2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4.2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4.2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4.2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4.2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4.2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4.2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4.2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4.2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4.2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4.2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4.2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4.2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4.2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4.2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4.2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4.2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4.2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4.2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4.2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4.2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4.2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4.2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4.2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4.2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4.2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4.2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4.2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4.2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4.2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4.2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4.2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4.2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4.2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4.2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4.2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4.2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4.2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4.2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4.2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4.2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4.2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4.2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4.2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4.2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4.2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4.2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4.2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4.2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4.2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4.2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4.2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4.2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4.2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4.2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4.2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4.2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4.2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4.2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4.2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4.2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4.2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4.2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4.2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4.2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4.2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4.2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4.2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4.2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4.2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4.2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4.2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4.2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4.2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4.2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4.2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4.2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4.2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4.2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4.2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4.2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4.2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4.2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4.2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4.2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4.2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4.2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4.2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4.2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4.2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4.2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4.2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4.2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4.2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4.2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4.2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4.2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4.2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4.2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4.2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4.2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4.2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4.2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4.2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4.2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4.2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4.2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4.2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4.2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4.2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4.2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4.2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4.2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4.2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4.2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4.2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4.2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4.2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4.2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4.2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4.2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4.2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4.2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4.2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4.2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4.2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4.2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4.2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4.2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4.2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4.2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4.2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4.2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4.2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4.2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4.2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4.2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4.2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4.2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4.2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4.2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4.2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4.2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4.2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4.2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4.2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4.2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4.2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4.2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4.2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4.2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4.2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4.2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4.2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4.2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4.2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4.2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4.2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4.2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4.2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4.2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4.2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4.2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4.2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4.2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4.2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4.2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4.2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4.2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4.2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4.2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4.2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4.2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4.2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4.2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4.2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4.2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4.2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4.2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4.2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4.2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4.2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4.2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4.2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4.2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4.2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4.2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4.2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4.2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4.2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4.2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4.2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4.2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4.2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4.2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4.2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4.2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4.2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4.2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4.2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4.2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4.2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4.2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4.2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4.2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4.2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4.2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4.2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4.2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4.2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4.2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4.2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4.2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4.2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4.2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4.2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4.2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4.2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4.2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4.2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4.2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4.2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4.2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4.2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4.2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4.2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4.2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4.2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4.2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4.2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4.2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4.2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4.2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4.2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4.2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4.2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4.2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2">
    <mergeCell ref="A21:A23"/>
    <mergeCell ref="A25:A2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