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phical Representation" sheetId="1" r:id="rId4"/>
    <sheet state="visible" name="Central Tendency" sheetId="2" r:id="rId5"/>
    <sheet state="visible" name="Dispersion" sheetId="3" r:id="rId6"/>
    <sheet state="visible" name="Skewness &amp; Kurtosis" sheetId="4" r:id="rId7"/>
    <sheet state="visible" name="Correlation &amp; Regression" sheetId="5" r:id="rId8"/>
  </sheets>
  <definedNames/>
  <calcPr/>
  <extLst>
    <ext uri="GoogleSheetsCustomDataVersion1">
      <go:sheetsCustomData xmlns:go="http://customooxmlschemas.google.com/" r:id="rId9" roundtripDataSignature="AMtx7mgk+VbQ7HuMHlHIfZx7ACpw/d/hdw=="/>
    </ext>
  </extLst>
</workbook>
</file>

<file path=xl/sharedStrings.xml><?xml version="1.0" encoding="utf-8"?>
<sst xmlns="http://schemas.openxmlformats.org/spreadsheetml/2006/main" count="182" uniqueCount="136">
  <si>
    <t>Class Marks (x)</t>
  </si>
  <si>
    <t>Frequency (f)</t>
  </si>
  <si>
    <t>Class Upper Boundary</t>
  </si>
  <si>
    <t>CF (F)</t>
  </si>
  <si>
    <t xml:space="preserve">Original Class </t>
  </si>
  <si>
    <t>Percentage</t>
  </si>
  <si>
    <t>Angle (θ)</t>
  </si>
  <si>
    <t>53.5-57.5</t>
  </si>
  <si>
    <t>57.5-61.5</t>
  </si>
  <si>
    <t>61.5-65.5</t>
  </si>
  <si>
    <t>N = 40</t>
  </si>
  <si>
    <t>65.5-69.5</t>
  </si>
  <si>
    <t>69.5-73.5</t>
  </si>
  <si>
    <t>Class Interval (Class)</t>
  </si>
  <si>
    <t>Class Boundary (Original Class)</t>
  </si>
  <si>
    <t>Class Mark (Mid Value) (x)</t>
  </si>
  <si>
    <t>Cumulative Frequency (F)</t>
  </si>
  <si>
    <t>f*x</t>
  </si>
  <si>
    <t>u = (x - 63.5)/4</t>
  </si>
  <si>
    <t>f*u</t>
  </si>
  <si>
    <t>log(x)</t>
  </si>
  <si>
    <t>f*log(x)</t>
  </si>
  <si>
    <t>f/x</t>
  </si>
  <si>
    <t>54-57</t>
  </si>
  <si>
    <t>58-61</t>
  </si>
  <si>
    <t>62-65</t>
  </si>
  <si>
    <t>66-69</t>
  </si>
  <si>
    <t>70-73</t>
  </si>
  <si>
    <t>SUM</t>
  </si>
  <si>
    <t>AM (Direct) =</t>
  </si>
  <si>
    <t>GM =</t>
  </si>
  <si>
    <t>a = 63.5, h = 4</t>
  </si>
  <si>
    <t>AM (Code) =</t>
  </si>
  <si>
    <t>HM =</t>
  </si>
  <si>
    <t>L = 65.5</t>
  </si>
  <si>
    <t>40/2 = 20</t>
  </si>
  <si>
    <t>del1 = 5</t>
  </si>
  <si>
    <t>Mode (Mo) =</t>
  </si>
  <si>
    <t>del2 = 7</t>
  </si>
  <si>
    <t>F_(m - 1) = 19</t>
  </si>
  <si>
    <t>Median(Me) =</t>
  </si>
  <si>
    <t>C = 4</t>
  </si>
  <si>
    <t>f_m = 14</t>
  </si>
  <si>
    <t>3*40/4 =  30</t>
  </si>
  <si>
    <t>2*40/10 = 8</t>
  </si>
  <si>
    <t>35*40/100 = 14</t>
  </si>
  <si>
    <t xml:space="preserve">Quartile (Q3) = </t>
  </si>
  <si>
    <t>L = 57.5</t>
  </si>
  <si>
    <t>L = 61.5</t>
  </si>
  <si>
    <t>F_(q - 1) = 19</t>
  </si>
  <si>
    <t>F_(d - 1) = 5</t>
  </si>
  <si>
    <t xml:space="preserve">Decile (D2) = </t>
  </si>
  <si>
    <t>F_(p - 1) = 10</t>
  </si>
  <si>
    <t xml:space="preserve">Percentile (P35) = </t>
  </si>
  <si>
    <t>f_q = 14</t>
  </si>
  <si>
    <t>f_d = 5</t>
  </si>
  <si>
    <t>f_p = 9</t>
  </si>
  <si>
    <t>Original Class</t>
  </si>
  <si>
    <t>f*ABS(x - AM)</t>
  </si>
  <si>
    <t>f*ABS(x - Mode)</t>
  </si>
  <si>
    <t>f*ABS(x - Median)</t>
  </si>
  <si>
    <t>f*x^2</t>
  </si>
  <si>
    <t>f*u^2</t>
  </si>
  <si>
    <t>z = (x - AM)/SD</t>
  </si>
  <si>
    <t>Sum</t>
  </si>
  <si>
    <t>Arithmatic mean =</t>
  </si>
  <si>
    <t>Mode =</t>
  </si>
  <si>
    <t xml:space="preserve">Median = </t>
  </si>
  <si>
    <t>MD (AM) =</t>
  </si>
  <si>
    <t>MD (Mode) =</t>
  </si>
  <si>
    <t>MD (Median) =</t>
  </si>
  <si>
    <t>Co-efficient of MD (AM) =</t>
  </si>
  <si>
    <t>%</t>
  </si>
  <si>
    <t>Co-efficient of MD (Mode) =</t>
  </si>
  <si>
    <t>Co-efficient of MD (Median) =</t>
  </si>
  <si>
    <t>SD (Direct) =</t>
  </si>
  <si>
    <t>SD (Code) =</t>
  </si>
  <si>
    <t>Co-efficient of SD =</t>
  </si>
  <si>
    <t>Class Mark (x)</t>
  </si>
  <si>
    <t>u = (x - 65.5)/4</t>
  </si>
  <si>
    <t>f*u^3</t>
  </si>
  <si>
    <t>f*u^4</t>
  </si>
  <si>
    <t>A = 65.5</t>
  </si>
  <si>
    <t>h = 4</t>
  </si>
  <si>
    <t>m1 =</t>
  </si>
  <si>
    <t>m2 =</t>
  </si>
  <si>
    <t>m3 =</t>
  </si>
  <si>
    <t>m4 =</t>
  </si>
  <si>
    <t>M1 =</t>
  </si>
  <si>
    <t>M2 =</t>
  </si>
  <si>
    <t>M3 =</t>
  </si>
  <si>
    <t>M4 =</t>
  </si>
  <si>
    <t>gamma_3 =</t>
  </si>
  <si>
    <t>&lt;0</t>
  </si>
  <si>
    <t>negatively skewed</t>
  </si>
  <si>
    <t>gamma_4 =</t>
  </si>
  <si>
    <t>&lt;3</t>
  </si>
  <si>
    <t>platykurtic</t>
  </si>
  <si>
    <t>corrected M2 =</t>
  </si>
  <si>
    <t>corrected M4 =</t>
  </si>
  <si>
    <t>Weight</t>
  </si>
  <si>
    <t>Height</t>
  </si>
  <si>
    <t>X</t>
  </si>
  <si>
    <t>Y</t>
  </si>
  <si>
    <t>X^2</t>
  </si>
  <si>
    <t>Y^2</t>
  </si>
  <si>
    <t>X*Y</t>
  </si>
  <si>
    <t>U = (X - 70)/10</t>
  </si>
  <si>
    <t>V = (Y - 65)/5</t>
  </si>
  <si>
    <t>U^2</t>
  </si>
  <si>
    <t>V^2</t>
  </si>
  <si>
    <t>U*V</t>
  </si>
  <si>
    <t>Serial</t>
  </si>
  <si>
    <t>X-rank</t>
  </si>
  <si>
    <t>Y-rank</t>
  </si>
  <si>
    <t>d = X - Y</t>
  </si>
  <si>
    <t>d^2</t>
  </si>
  <si>
    <t>N = 12</t>
  </si>
  <si>
    <t>N = 10</t>
  </si>
  <si>
    <t>a = 70, h = 10</t>
  </si>
  <si>
    <t>b = 65, k = 5</t>
  </si>
  <si>
    <t xml:space="preserve">Rank Correlation Coefficient = </t>
  </si>
  <si>
    <t>Direct</t>
  </si>
  <si>
    <t>Positively Correlated (Strong)</t>
  </si>
  <si>
    <t>Comment: Positively Correlated (Moderate)</t>
  </si>
  <si>
    <t>Y is more depending on X</t>
  </si>
  <si>
    <t>X is less depending on Y</t>
  </si>
  <si>
    <t>Code</t>
  </si>
  <si>
    <t>y = 2.31 x  - 91.41</t>
  </si>
  <si>
    <t>y = (x - 58.81)/0.14</t>
  </si>
  <si>
    <t>Regression line of y on x</t>
  </si>
  <si>
    <t>y = 2.31(X - 68) + 65.67</t>
  </si>
  <si>
    <t>y = 2.31 X  - 91.41</t>
  </si>
  <si>
    <t>Regression line of x on y</t>
  </si>
  <si>
    <t>x = 0.14(Y - 65.67) + 68</t>
  </si>
  <si>
    <t>x = 0.14 Y  +  58.81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</si>
</sst>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</font>
    <font>
      <sz val="12.0"/>
      <color rgb="FF000000"/>
      <name val="Times New Roman"/>
    </font>
    <font>
      <sz val="12.0"/>
      <color rgb="FFFF0000"/>
      <name val="Times New Roman"/>
    </font>
    <font>
      <sz val="12.0"/>
      <color theme="1"/>
      <name val="Times New Roman"/>
    </font>
    <font>
      <sz val="12.0"/>
      <color rgb="FF002060"/>
      <name val="Times New Roman"/>
    </font>
    <font>
      <sz val="12.0"/>
      <color rgb="FF1F497D"/>
      <name val="Times New Roman"/>
    </font>
    <font>
      <sz val="12.0"/>
      <color theme="4"/>
      <name val="Times New Roman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1" numFmtId="10" xfId="0" applyAlignment="1" applyFont="1" applyNumberFormat="1">
      <alignment horizontal="center"/>
    </xf>
    <xf borderId="0" fillId="0" fontId="1" numFmtId="9" xfId="0" applyAlignment="1" applyFont="1" applyNumberFormat="1">
      <alignment horizontal="center"/>
    </xf>
    <xf borderId="0" fillId="0" fontId="0" numFmtId="0" xfId="0" applyAlignment="1" applyFont="1">
      <alignment horizontal="center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4" numFmtId="0" xfId="0" applyAlignment="1" applyFont="1">
      <alignment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left" vertical="top"/>
    </xf>
    <xf borderId="0" fillId="0" fontId="0" numFmtId="0" xfId="0" applyAlignment="1" applyFont="1">
      <alignment horizontal="left"/>
    </xf>
    <xf borderId="0" fillId="0" fontId="1" numFmtId="0" xfId="0" applyAlignment="1" applyFont="1">
      <alignment horizontal="center" vertical="top"/>
    </xf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'Graphical Representation'!$B$3:$B$7</c:f>
            </c:strRef>
          </c:cat>
          <c:val>
            <c:numRef>
              <c:f>'Graphical Representation'!$C$3:$C$7</c:f>
              <c:numCache/>
            </c:numRef>
          </c:val>
          <c:smooth val="0"/>
        </c:ser>
        <c:axId val="1577081345"/>
        <c:axId val="1836415165"/>
      </c:lineChart>
      <c:catAx>
        <c:axId val="15770813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Class mark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36415165"/>
      </c:catAx>
      <c:valAx>
        <c:axId val="18364151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77081345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'Graphical Representation'!$I$3:$I$7</c:f>
            </c:strRef>
          </c:cat>
          <c:val>
            <c:numRef>
              <c:f>'Graphical Representation'!$J$3:$J$7</c:f>
              <c:numCache/>
            </c:numRef>
          </c:val>
          <c:smooth val="0"/>
        </c:ser>
        <c:axId val="645177098"/>
        <c:axId val="509784108"/>
      </c:lineChart>
      <c:catAx>
        <c:axId val="6451770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Class upper boundary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09784108"/>
      </c:catAx>
      <c:valAx>
        <c:axId val="5097841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Cumulative 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45177098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53.5-57.5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'Graphical Representation'!$C$29</c:f>
              <c:numCache/>
            </c:numRef>
          </c:val>
        </c:ser>
        <c:ser>
          <c:idx val="1"/>
          <c:order val="1"/>
          <c:tx>
            <c:v>57.5-61.5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'Graphical Representation'!$C$30</c:f>
              <c:numCache/>
            </c:numRef>
          </c:val>
        </c:ser>
        <c:ser>
          <c:idx val="2"/>
          <c:order val="2"/>
          <c:tx>
            <c:v>61.5-65.5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'Graphical Representation'!$C$31</c:f>
              <c:numCache/>
            </c:numRef>
          </c:val>
        </c:ser>
        <c:ser>
          <c:idx val="3"/>
          <c:order val="3"/>
          <c:tx>
            <c:v>65.5-69.5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'Graphical Representation'!$C$32</c:f>
              <c:numCache/>
            </c:numRef>
          </c:val>
        </c:ser>
        <c:ser>
          <c:idx val="4"/>
          <c:order val="4"/>
          <c:tx>
            <c:v>69.5-73.5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'Graphical Representation'!$C$33</c:f>
              <c:numCache/>
            </c:numRef>
          </c:val>
        </c:ser>
        <c:axId val="374815552"/>
        <c:axId val="1209081362"/>
      </c:barChart>
      <c:catAx>
        <c:axId val="374815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dk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dk1"/>
                    </a:solidFill>
                    <a:latin typeface="+mn-lt"/>
                  </a:rPr>
                  <a:t>Class boundary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1209081362"/>
      </c:catAx>
      <c:valAx>
        <c:axId val="12090813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dk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dk1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37481555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Pt>
            <c:idx val="4"/>
            <c:spPr>
              <a:solidFill>
                <a:srgbClr val="4BAC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'Graphical Representation'!$L$29:$L$33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chemeClr val="dk1"/>
                </a:solidFill>
                <a:latin typeface="+mn-lt"/>
              </a:defRPr>
            </a:pPr>
            <a:r>
              <a:rPr b="0" i="0" sz="1400">
                <a:solidFill>
                  <a:schemeClr val="dk1"/>
                </a:solidFill>
                <a:latin typeface="+mn-lt"/>
              </a:rPr>
              <a:t>Regression lines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'Correlation &amp; Regression'!$L$26:$L$27</c:f>
              <c:numCache/>
            </c:numRef>
          </c:val>
          <c:smooth val="0"/>
        </c:ser>
        <c:ser>
          <c:idx val="1"/>
          <c:order val="1"/>
          <c:spPr>
            <a:ln cmpd="sng" w="19050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'Correlation &amp; Regression'!$M$26:$M$27</c:f>
              <c:numCache/>
            </c:numRef>
          </c:val>
          <c:smooth val="0"/>
        </c:ser>
        <c:axId val="132408296"/>
        <c:axId val="1901216143"/>
      </c:lineChart>
      <c:catAx>
        <c:axId val="132408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chemeClr val="dk1"/>
                    </a:solidFill>
                    <a:latin typeface="+mn-lt"/>
                  </a:defRPr>
                </a:pPr>
                <a:r>
                  <a:rPr b="0" i="0" sz="900">
                    <a:solidFill>
                      <a:schemeClr val="dk1"/>
                    </a:solidFill>
                    <a:latin typeface="+mn-lt"/>
                  </a:rPr>
                  <a:t>Weight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1216143"/>
      </c:catAx>
      <c:valAx>
        <c:axId val="19012161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chemeClr val="dk1"/>
                    </a:solidFill>
                    <a:latin typeface="+mn-lt"/>
                  </a:defRPr>
                </a:pPr>
                <a:r>
                  <a:rPr b="0" i="0" sz="900">
                    <a:solidFill>
                      <a:schemeClr val="dk1"/>
                    </a:solidFill>
                    <a:latin typeface="+mn-lt"/>
                  </a:rPr>
                  <a:t>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132408296"/>
      </c:valAx>
      <c:spPr>
        <a:solidFill>
          <a:schemeClr val="lt1"/>
        </a:solidFill>
      </c:spPr>
    </c:plotArea>
    <c:plotVisOnly val="1"/>
  </c:chart>
  <c:spPr>
    <a:solidFill>
      <a:schemeClr val="lt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8</xdr:row>
      <xdr:rowOff>0</xdr:rowOff>
    </xdr:from>
    <xdr:ext cx="4505325" cy="2876550"/>
    <xdr:graphicFrame>
      <xdr:nvGraphicFramePr>
        <xdr:cNvPr id="420383518" name="Chart 1" title="Frequency Polyg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0</xdr:colOff>
      <xdr:row>8</xdr:row>
      <xdr:rowOff>0</xdr:rowOff>
    </xdr:from>
    <xdr:ext cx="4419600" cy="2876550"/>
    <xdr:graphicFrame>
      <xdr:nvGraphicFramePr>
        <xdr:cNvPr id="175573580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0</xdr:colOff>
      <xdr:row>34</xdr:row>
      <xdr:rowOff>0</xdr:rowOff>
    </xdr:from>
    <xdr:ext cx="4010025" cy="2876550"/>
    <xdr:graphicFrame>
      <xdr:nvGraphicFramePr>
        <xdr:cNvPr id="1831309588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723900</xdr:colOff>
      <xdr:row>34</xdr:row>
      <xdr:rowOff>28575</xdr:rowOff>
    </xdr:from>
    <xdr:ext cx="4248150" cy="2733675"/>
    <xdr:graphicFrame>
      <xdr:nvGraphicFramePr>
        <xdr:cNvPr id="123510001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152400</xdr:colOff>
      <xdr:row>7</xdr:row>
      <xdr:rowOff>85725</xdr:rowOff>
    </xdr:from>
    <xdr:ext cx="38100" cy="171450"/>
    <xdr:sp>
      <xdr:nvSpPr>
        <xdr:cNvPr id="3" name="Shape 3"/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161925</xdr:colOff>
      <xdr:row>25</xdr:row>
      <xdr:rowOff>9525</xdr:rowOff>
    </xdr:from>
    <xdr:ext cx="4638675" cy="3209925"/>
    <xdr:graphicFrame>
      <xdr:nvGraphicFramePr>
        <xdr:cNvPr id="829934842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466725</xdr:colOff>
      <xdr:row>27</xdr:row>
      <xdr:rowOff>190500</xdr:rowOff>
    </xdr:from>
    <xdr:ext cx="38100" cy="171450"/>
    <xdr:sp>
      <xdr:nvSpPr>
        <xdr:cNvPr id="4" name="Shape 4"/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257175</xdr:colOff>
      <xdr:row>28</xdr:row>
      <xdr:rowOff>28575</xdr:rowOff>
    </xdr:from>
    <xdr:ext cx="257175" cy="180975"/>
    <xdr:sp>
      <xdr:nvSpPr>
        <xdr:cNvPr id="5" name="Shape 5"/>
        <xdr:cNvSpPr txBox="1"/>
      </xdr:nvSpPr>
      <xdr:spPr>
        <a:xfrm>
          <a:off x="5218081" y="3693887"/>
          <a:ext cx="255839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266700</xdr:colOff>
      <xdr:row>29</xdr:row>
      <xdr:rowOff>0</xdr:rowOff>
    </xdr:from>
    <xdr:ext cx="266700" cy="180975"/>
    <xdr:sp>
      <xdr:nvSpPr>
        <xdr:cNvPr id="6" name="Shape 6"/>
        <xdr:cNvSpPr txBox="1"/>
      </xdr:nvSpPr>
      <xdr:spPr>
        <a:xfrm>
          <a:off x="5217087" y="3693887"/>
          <a:ext cx="257827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190500</xdr:colOff>
      <xdr:row>24</xdr:row>
      <xdr:rowOff>19050</xdr:rowOff>
    </xdr:from>
    <xdr:ext cx="381000" cy="180975"/>
    <xdr:sp>
      <xdr:nvSpPr>
        <xdr:cNvPr id="7" name="Shape 7"/>
        <xdr:cNvSpPr txBox="1"/>
      </xdr:nvSpPr>
      <xdr:spPr>
        <a:xfrm>
          <a:off x="5158962" y="3693887"/>
          <a:ext cx="374077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    </a:t>
          </a:r>
          <a:endParaRPr sz="1100"/>
        </a:p>
      </xdr:txBody>
    </xdr:sp>
    <xdr:clientData fLocksWithSheet="0"/>
  </xdr:oneCellAnchor>
  <xdr:oneCellAnchor>
    <xdr:from>
      <xdr:col>1</xdr:col>
      <xdr:colOff>152400</xdr:colOff>
      <xdr:row>25</xdr:row>
      <xdr:rowOff>0</xdr:rowOff>
    </xdr:from>
    <xdr:ext cx="438150" cy="219075"/>
    <xdr:sp>
      <xdr:nvSpPr>
        <xdr:cNvPr id="8" name="Shape 8"/>
        <xdr:cNvSpPr txBox="1"/>
      </xdr:nvSpPr>
      <xdr:spPr>
        <a:xfrm>
          <a:off x="5131134" y="3673946"/>
          <a:ext cx="429733" cy="212109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152400</xdr:colOff>
      <xdr:row>26</xdr:row>
      <xdr:rowOff>0</xdr:rowOff>
    </xdr:from>
    <xdr:ext cx="438150" cy="219075"/>
    <xdr:sp>
      <xdr:nvSpPr>
        <xdr:cNvPr id="9" name="Shape 9"/>
        <xdr:cNvSpPr txBox="1"/>
      </xdr:nvSpPr>
      <xdr:spPr>
        <a:xfrm>
          <a:off x="5131134" y="3673946"/>
          <a:ext cx="429733" cy="212109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161925</xdr:colOff>
      <xdr:row>20</xdr:row>
      <xdr:rowOff>0</xdr:rowOff>
    </xdr:from>
    <xdr:ext cx="381000" cy="180975"/>
    <xdr:sp>
      <xdr:nvSpPr>
        <xdr:cNvPr id="10" name="Shape 10"/>
        <xdr:cNvSpPr txBox="1"/>
      </xdr:nvSpPr>
      <xdr:spPr>
        <a:xfrm>
          <a:off x="5158962" y="3693887"/>
          <a:ext cx="374077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    </a:t>
          </a:r>
          <a:endParaRPr sz="1100"/>
        </a:p>
      </xdr:txBody>
    </xdr:sp>
    <xdr:clientData fLocksWithSheet="0"/>
  </xdr:oneCellAnchor>
  <xdr:oneCellAnchor>
    <xdr:from>
      <xdr:col>1</xdr:col>
      <xdr:colOff>133350</xdr:colOff>
      <xdr:row>21</xdr:row>
      <xdr:rowOff>0</xdr:rowOff>
    </xdr:from>
    <xdr:ext cx="438150" cy="219075"/>
    <xdr:sp>
      <xdr:nvSpPr>
        <xdr:cNvPr id="9" name="Shape 9"/>
        <xdr:cNvSpPr txBox="1"/>
      </xdr:nvSpPr>
      <xdr:spPr>
        <a:xfrm>
          <a:off x="5131134" y="3673946"/>
          <a:ext cx="429733" cy="212109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142875</xdr:colOff>
      <xdr:row>22</xdr:row>
      <xdr:rowOff>0</xdr:rowOff>
    </xdr:from>
    <xdr:ext cx="438150" cy="219075"/>
    <xdr:sp>
      <xdr:nvSpPr>
        <xdr:cNvPr id="9" name="Shape 9"/>
        <xdr:cNvSpPr txBox="1"/>
      </xdr:nvSpPr>
      <xdr:spPr>
        <a:xfrm>
          <a:off x="5131134" y="3673946"/>
          <a:ext cx="429733" cy="212109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5</xdr:col>
      <xdr:colOff>142875</xdr:colOff>
      <xdr:row>27</xdr:row>
      <xdr:rowOff>95250</xdr:rowOff>
    </xdr:from>
    <xdr:ext cx="3409950" cy="1695450"/>
    <xdr:grpSp>
      <xdr:nvGrpSpPr>
        <xdr:cNvPr id="2" name="Shape 2"/>
        <xdr:cNvGrpSpPr/>
      </xdr:nvGrpSpPr>
      <xdr:grpSpPr>
        <a:xfrm>
          <a:off x="3641025" y="2937038"/>
          <a:ext cx="3409950" cy="1685925"/>
          <a:chOff x="3641025" y="2937038"/>
          <a:chExt cx="3409950" cy="1685925"/>
        </a:xfrm>
      </xdr:grpSpPr>
      <xdr:cxnSp>
        <xdr:nvCxnSpPr>
          <xdr:cNvPr id="11" name="Shape 11"/>
          <xdr:cNvCxnSpPr/>
        </xdr:nvCxnSpPr>
        <xdr:spPr>
          <a:xfrm flipH="1" rot="10800000">
            <a:off x="3641025" y="2937038"/>
            <a:ext cx="3409950" cy="1685925"/>
          </a:xfrm>
          <a:prstGeom prst="straightConnector1">
            <a:avLst/>
          </a:prstGeom>
          <a:noFill/>
          <a:ln cap="flat" cmpd="sng" w="9525">
            <a:solidFill>
              <a:srgbClr val="BD4B48"/>
            </a:solidFill>
            <a:prstDash val="solid"/>
            <a:round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5</xdr:col>
      <xdr:colOff>152400</xdr:colOff>
      <xdr:row>29</xdr:row>
      <xdr:rowOff>47625</xdr:rowOff>
    </xdr:from>
    <xdr:ext cx="3867150" cy="628650"/>
    <xdr:grpSp>
      <xdr:nvGrpSpPr>
        <xdr:cNvPr id="2" name="Shape 2"/>
        <xdr:cNvGrpSpPr/>
      </xdr:nvGrpSpPr>
      <xdr:grpSpPr>
        <a:xfrm>
          <a:off x="3412425" y="3465675"/>
          <a:ext cx="3867150" cy="628650"/>
          <a:chOff x="3412425" y="3465675"/>
          <a:chExt cx="3867150" cy="628650"/>
        </a:xfrm>
      </xdr:grpSpPr>
      <xdr:cxnSp>
        <xdr:nvCxnSpPr>
          <xdr:cNvPr id="12" name="Shape 12"/>
          <xdr:cNvCxnSpPr/>
        </xdr:nvCxnSpPr>
        <xdr:spPr>
          <a:xfrm flipH="1" rot="10800000">
            <a:off x="3412425" y="3465675"/>
            <a:ext cx="3867150" cy="628650"/>
          </a:xfrm>
          <a:prstGeom prst="straightConnector1">
            <a:avLst/>
          </a:prstGeom>
          <a:noFill/>
          <a:ln cap="flat" cmpd="sng" w="9525">
            <a:solidFill>
              <a:srgbClr val="4A7DBA"/>
            </a:solidFill>
            <a:prstDash val="solid"/>
            <a:round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8</xdr:col>
      <xdr:colOff>438150</xdr:colOff>
      <xdr:row>28</xdr:row>
      <xdr:rowOff>142875</xdr:rowOff>
    </xdr:from>
    <xdr:ext cx="28575" cy="2162175"/>
    <xdr:grpSp>
      <xdr:nvGrpSpPr>
        <xdr:cNvPr id="2" name="Shape 2"/>
        <xdr:cNvGrpSpPr/>
      </xdr:nvGrpSpPr>
      <xdr:grpSpPr>
        <a:xfrm>
          <a:off x="5341238" y="2698913"/>
          <a:ext cx="9525" cy="2162175"/>
          <a:chOff x="5341238" y="2698913"/>
          <a:chExt cx="9525" cy="2162175"/>
        </a:xfrm>
      </xdr:grpSpPr>
      <xdr:cxnSp>
        <xdr:nvCxnSpPr>
          <xdr:cNvPr id="13" name="Shape 13"/>
          <xdr:cNvCxnSpPr/>
        </xdr:nvCxnSpPr>
        <xdr:spPr>
          <a:xfrm>
            <a:off x="5341238" y="2698913"/>
            <a:ext cx="9525" cy="2162175"/>
          </a:xfrm>
          <a:prstGeom prst="straightConnector1">
            <a:avLst/>
          </a:prstGeom>
          <a:noFill/>
          <a:ln cap="flat" cmpd="sng" w="9525">
            <a:solidFill>
              <a:srgbClr val="7C5F9F"/>
            </a:solidFill>
            <a:prstDash val="solid"/>
            <a:round/>
            <a:headEnd len="sm" w="sm" type="none"/>
            <a:tailEnd len="med" w="med" type="triangle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13.57"/>
    <col customWidth="1" min="3" max="3" width="12.71"/>
    <col customWidth="1" min="4" max="7" width="9.14"/>
    <col customWidth="1" min="8" max="8" width="11.29"/>
    <col customWidth="1" min="9" max="9" width="11.0"/>
    <col customWidth="1" min="10" max="10" width="10.86"/>
    <col customWidth="1" min="11" max="11" width="11.43"/>
    <col customWidth="1" min="12" max="12" width="9.14"/>
    <col customWidth="1" min="13" max="26" width="8.71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/>
      <c r="B2" s="2" t="s">
        <v>0</v>
      </c>
      <c r="C2" s="2" t="s">
        <v>1</v>
      </c>
      <c r="D2" s="3"/>
      <c r="E2" s="3"/>
      <c r="F2" s="3"/>
      <c r="G2" s="3"/>
      <c r="H2" s="3"/>
      <c r="I2" s="2" t="s">
        <v>2</v>
      </c>
      <c r="J2" s="2" t="s">
        <v>3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/>
      <c r="B3" s="1">
        <v>55.5</v>
      </c>
      <c r="C3" s="1">
        <v>5.0</v>
      </c>
      <c r="D3" s="1"/>
      <c r="E3" s="1"/>
      <c r="F3" s="1"/>
      <c r="G3" s="1"/>
      <c r="H3" s="1"/>
      <c r="I3" s="1">
        <v>57.5</v>
      </c>
      <c r="J3" s="1">
        <f>C3</f>
        <v>5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"/>
      <c r="B4" s="4">
        <v>59.5</v>
      </c>
      <c r="C4" s="4">
        <v>5.0</v>
      </c>
      <c r="D4" s="1"/>
      <c r="E4" s="1"/>
      <c r="F4" s="1"/>
      <c r="G4" s="1"/>
      <c r="H4" s="1"/>
      <c r="I4" s="4">
        <v>61.5</v>
      </c>
      <c r="J4" s="4">
        <f t="shared" ref="J4:J7" si="1">J3+C4</f>
        <v>10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/>
      <c r="B5" s="1">
        <v>63.5</v>
      </c>
      <c r="C5" s="1">
        <v>9.0</v>
      </c>
      <c r="D5" s="1"/>
      <c r="E5" s="1"/>
      <c r="F5" s="1"/>
      <c r="G5" s="1"/>
      <c r="H5" s="1"/>
      <c r="I5" s="1">
        <v>65.5</v>
      </c>
      <c r="J5" s="5">
        <f t="shared" si="1"/>
        <v>19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/>
      <c r="B6" s="1">
        <v>67.5</v>
      </c>
      <c r="C6" s="1">
        <v>14.0</v>
      </c>
      <c r="D6" s="1"/>
      <c r="E6" s="1"/>
      <c r="F6" s="1"/>
      <c r="G6" s="1"/>
      <c r="H6" s="1"/>
      <c r="I6" s="1">
        <v>69.5</v>
      </c>
      <c r="J6" s="5">
        <f t="shared" si="1"/>
        <v>33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"/>
      <c r="B7" s="1">
        <v>71.5</v>
      </c>
      <c r="C7" s="1">
        <v>7.0</v>
      </c>
      <c r="D7" s="1"/>
      <c r="E7" s="1"/>
      <c r="F7" s="1"/>
      <c r="G7" s="1"/>
      <c r="H7" s="1"/>
      <c r="I7" s="1">
        <v>73.5</v>
      </c>
      <c r="J7" s="5">
        <f t="shared" si="1"/>
        <v>40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2" t="s">
        <v>4</v>
      </c>
      <c r="C28" s="2" t="s">
        <v>1</v>
      </c>
      <c r="D28" s="3"/>
      <c r="E28" s="3"/>
      <c r="F28" s="3"/>
      <c r="G28" s="3"/>
      <c r="H28" s="3"/>
      <c r="I28" s="2" t="s">
        <v>4</v>
      </c>
      <c r="J28" s="2" t="s">
        <v>1</v>
      </c>
      <c r="K28" s="1" t="s">
        <v>5</v>
      </c>
      <c r="L28" s="2" t="s">
        <v>6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 t="s">
        <v>7</v>
      </c>
      <c r="C29" s="1">
        <v>5.0</v>
      </c>
      <c r="D29" s="1"/>
      <c r="E29" s="1"/>
      <c r="F29" s="1"/>
      <c r="G29" s="1"/>
      <c r="H29" s="1"/>
      <c r="I29" s="1" t="s">
        <v>7</v>
      </c>
      <c r="J29" s="1">
        <v>5.0</v>
      </c>
      <c r="K29" s="6">
        <v>0.125</v>
      </c>
      <c r="L29" s="1">
        <f t="shared" ref="L29:L33" si="2">(C3/40)*360</f>
        <v>45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4" t="s">
        <v>8</v>
      </c>
      <c r="C30" s="4">
        <v>5.0</v>
      </c>
      <c r="D30" s="1"/>
      <c r="E30" s="1"/>
      <c r="F30" s="1"/>
      <c r="G30" s="1"/>
      <c r="H30" s="1"/>
      <c r="I30" s="4" t="s">
        <v>8</v>
      </c>
      <c r="J30" s="1">
        <v>5.0</v>
      </c>
      <c r="K30" s="6">
        <v>0.125</v>
      </c>
      <c r="L30" s="1">
        <f t="shared" si="2"/>
        <v>45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 t="s">
        <v>9</v>
      </c>
      <c r="C31" s="1">
        <v>9.0</v>
      </c>
      <c r="D31" s="1"/>
      <c r="E31" s="1"/>
      <c r="F31" s="1"/>
      <c r="G31" s="1"/>
      <c r="H31" s="1" t="s">
        <v>10</v>
      </c>
      <c r="I31" s="1" t="s">
        <v>9</v>
      </c>
      <c r="J31" s="1">
        <v>9.0</v>
      </c>
      <c r="K31" s="6">
        <v>0.225</v>
      </c>
      <c r="L31" s="1">
        <f t="shared" si="2"/>
        <v>81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 t="s">
        <v>11</v>
      </c>
      <c r="C32" s="1">
        <v>14.0</v>
      </c>
      <c r="D32" s="1"/>
      <c r="E32" s="1"/>
      <c r="F32" s="1"/>
      <c r="G32" s="1"/>
      <c r="H32" s="1"/>
      <c r="I32" s="1" t="s">
        <v>11</v>
      </c>
      <c r="J32" s="1">
        <v>14.0</v>
      </c>
      <c r="K32" s="7">
        <v>0.35</v>
      </c>
      <c r="L32" s="1">
        <f t="shared" si="2"/>
        <v>126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 t="s">
        <v>12</v>
      </c>
      <c r="C33" s="1">
        <v>7.0</v>
      </c>
      <c r="D33" s="1"/>
      <c r="E33" s="1"/>
      <c r="F33" s="1"/>
      <c r="G33" s="1"/>
      <c r="H33" s="1"/>
      <c r="I33" s="1" t="s">
        <v>12</v>
      </c>
      <c r="J33" s="1">
        <v>7.0</v>
      </c>
      <c r="K33" s="6">
        <v>0.175</v>
      </c>
      <c r="L33" s="1">
        <f t="shared" si="2"/>
        <v>63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7.0"/>
    <col customWidth="1" min="3" max="3" width="15.0"/>
    <col customWidth="1" min="4" max="4" width="16.29"/>
    <col customWidth="1" min="5" max="5" width="14.71"/>
    <col customWidth="1" min="6" max="6" width="11.0"/>
    <col customWidth="1" min="7" max="7" width="11.86"/>
    <col customWidth="1" min="8" max="8" width="14.14"/>
    <col customWidth="1" min="9" max="9" width="14.71"/>
    <col customWidth="1" min="10" max="11" width="9.14"/>
    <col customWidth="1" min="12" max="12" width="13.86"/>
    <col customWidth="1" min="13" max="13" width="17.71"/>
    <col customWidth="1" min="14" max="14" width="9.14"/>
    <col customWidth="1" min="15" max="26" width="8.71"/>
  </cols>
  <sheetData>
    <row r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9" t="s">
        <v>13</v>
      </c>
      <c r="B3" s="9"/>
      <c r="C3" s="10" t="s">
        <v>13</v>
      </c>
      <c r="D3" s="11" t="s">
        <v>14</v>
      </c>
      <c r="E3" s="12" t="s">
        <v>15</v>
      </c>
      <c r="F3" s="10" t="s">
        <v>1</v>
      </c>
      <c r="G3" s="13" t="s">
        <v>16</v>
      </c>
      <c r="H3" s="3" t="s">
        <v>17</v>
      </c>
      <c r="I3" s="3" t="s">
        <v>18</v>
      </c>
      <c r="J3" s="3" t="s">
        <v>19</v>
      </c>
      <c r="K3" s="3" t="s">
        <v>20</v>
      </c>
      <c r="L3" s="3" t="s">
        <v>21</v>
      </c>
      <c r="M3" s="3" t="s">
        <v>22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1" t="s">
        <v>23</v>
      </c>
      <c r="B4" s="1"/>
      <c r="C4" s="4" t="s">
        <v>23</v>
      </c>
      <c r="D4" s="14" t="s">
        <v>7</v>
      </c>
      <c r="E4" s="14">
        <v>55.5</v>
      </c>
      <c r="F4" s="4">
        <v>5.0</v>
      </c>
      <c r="G4" s="15">
        <f>F4</f>
        <v>5</v>
      </c>
      <c r="H4" s="1">
        <f t="shared" ref="H4:H8" si="1">F4*E4</f>
        <v>277.5</v>
      </c>
      <c r="I4" s="1">
        <f t="shared" ref="I4:I8" si="2">(E4-63.5)/4</f>
        <v>-2</v>
      </c>
      <c r="J4" s="1">
        <f t="shared" ref="J4:J8" si="3">F4*I4</f>
        <v>-10</v>
      </c>
      <c r="K4" s="1">
        <f t="shared" ref="K4:K8" si="4">LOG10(E4)</f>
        <v>1.744292983</v>
      </c>
      <c r="L4" s="1">
        <f t="shared" ref="L4:L8" si="5">F4*K4</f>
        <v>8.721464916</v>
      </c>
      <c r="M4" s="1">
        <f t="shared" ref="M4:M8" si="6">F4/E4</f>
        <v>0.09009009009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1" t="s">
        <v>24</v>
      </c>
      <c r="B5" s="1"/>
      <c r="C5" s="4" t="s">
        <v>24</v>
      </c>
      <c r="D5" s="14" t="s">
        <v>8</v>
      </c>
      <c r="E5" s="14">
        <v>59.5</v>
      </c>
      <c r="F5" s="4">
        <v>5.0</v>
      </c>
      <c r="G5" s="15">
        <f t="shared" ref="G5:G8" si="7">G4+F5</f>
        <v>10</v>
      </c>
      <c r="H5" s="5">
        <f t="shared" si="1"/>
        <v>297.5</v>
      </c>
      <c r="I5" s="5">
        <f t="shared" si="2"/>
        <v>-1</v>
      </c>
      <c r="J5" s="5">
        <f t="shared" si="3"/>
        <v>-5</v>
      </c>
      <c r="K5" s="1">
        <f t="shared" si="4"/>
        <v>1.774516966</v>
      </c>
      <c r="L5" s="5">
        <f t="shared" si="5"/>
        <v>8.872584829</v>
      </c>
      <c r="M5" s="1">
        <f t="shared" si="6"/>
        <v>0.08403361345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1" t="s">
        <v>25</v>
      </c>
      <c r="B6" s="1"/>
      <c r="C6" s="4" t="s">
        <v>25</v>
      </c>
      <c r="D6" s="14" t="s">
        <v>9</v>
      </c>
      <c r="E6" s="14">
        <v>63.5</v>
      </c>
      <c r="F6" s="4">
        <v>9.0</v>
      </c>
      <c r="G6" s="15">
        <f t="shared" si="7"/>
        <v>19</v>
      </c>
      <c r="H6" s="5">
        <f t="shared" si="1"/>
        <v>571.5</v>
      </c>
      <c r="I6" s="5">
        <f t="shared" si="2"/>
        <v>0</v>
      </c>
      <c r="J6" s="5">
        <f t="shared" si="3"/>
        <v>0</v>
      </c>
      <c r="K6" s="1">
        <f t="shared" si="4"/>
        <v>1.802773725</v>
      </c>
      <c r="L6" s="5">
        <f t="shared" si="5"/>
        <v>16.22496353</v>
      </c>
      <c r="M6" s="1">
        <f t="shared" si="6"/>
        <v>0.1417322835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1" t="s">
        <v>26</v>
      </c>
      <c r="B7" s="1"/>
      <c r="C7" s="4" t="s">
        <v>26</v>
      </c>
      <c r="D7" s="15" t="s">
        <v>11</v>
      </c>
      <c r="E7" s="15">
        <v>67.5</v>
      </c>
      <c r="F7" s="4">
        <v>14.0</v>
      </c>
      <c r="G7" s="16">
        <f t="shared" si="7"/>
        <v>33</v>
      </c>
      <c r="H7" s="5">
        <f t="shared" si="1"/>
        <v>945</v>
      </c>
      <c r="I7" s="5">
        <f t="shared" si="2"/>
        <v>1</v>
      </c>
      <c r="J7" s="5">
        <f t="shared" si="3"/>
        <v>14</v>
      </c>
      <c r="K7" s="1">
        <f t="shared" si="4"/>
        <v>1.829303773</v>
      </c>
      <c r="L7" s="5">
        <f t="shared" si="5"/>
        <v>25.61025282</v>
      </c>
      <c r="M7" s="5">
        <f t="shared" si="6"/>
        <v>0.2074074074</v>
      </c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1" t="s">
        <v>27</v>
      </c>
      <c r="B8" s="1"/>
      <c r="C8" s="4" t="s">
        <v>27</v>
      </c>
      <c r="D8" s="14" t="s">
        <v>12</v>
      </c>
      <c r="E8" s="14">
        <v>71.5</v>
      </c>
      <c r="F8" s="4">
        <v>7.0</v>
      </c>
      <c r="G8" s="15">
        <f t="shared" si="7"/>
        <v>40</v>
      </c>
      <c r="H8" s="1">
        <f t="shared" si="1"/>
        <v>500.5</v>
      </c>
      <c r="I8" s="1">
        <f t="shared" si="2"/>
        <v>2</v>
      </c>
      <c r="J8" s="1">
        <f t="shared" si="3"/>
        <v>14</v>
      </c>
      <c r="K8" s="1">
        <f t="shared" si="4"/>
        <v>1.854306042</v>
      </c>
      <c r="L8" s="1">
        <f t="shared" si="5"/>
        <v>12.98014229</v>
      </c>
      <c r="M8" s="1">
        <f t="shared" si="6"/>
        <v>0.0979020979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8"/>
      <c r="B10" s="8"/>
      <c r="C10" s="8"/>
      <c r="D10" s="1" t="s">
        <v>28</v>
      </c>
      <c r="E10" s="1"/>
      <c r="F10" s="15">
        <f>SUM(F4:F8)</f>
        <v>40</v>
      </c>
      <c r="G10" s="1"/>
      <c r="H10" s="1">
        <f>SUM(H4:H8)</f>
        <v>2592</v>
      </c>
      <c r="I10" s="1"/>
      <c r="J10" s="1">
        <f>SUM(J4:J8)</f>
        <v>13</v>
      </c>
      <c r="K10" s="1"/>
      <c r="L10" s="1">
        <f t="shared" ref="L10:M10" si="8">SUM(L4:L8)</f>
        <v>72.40940838</v>
      </c>
      <c r="M10" s="1">
        <f t="shared" si="8"/>
        <v>0.6211654923</v>
      </c>
      <c r="N10" s="1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8"/>
      <c r="B11" s="8"/>
      <c r="C11" s="8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8"/>
      <c r="B12" s="8"/>
      <c r="C12" s="8"/>
      <c r="D12" s="17"/>
      <c r="E12" s="17" t="s">
        <v>29</v>
      </c>
      <c r="F12" s="17">
        <f>H10/F10</f>
        <v>64.8</v>
      </c>
      <c r="G12" s="17"/>
      <c r="H12" s="17" t="s">
        <v>30</v>
      </c>
      <c r="I12" s="17">
        <f>10^(L10/F10)</f>
        <v>64.60040037</v>
      </c>
      <c r="J12" s="17"/>
      <c r="K12" s="17"/>
      <c r="L12" s="17"/>
      <c r="M12" s="17"/>
      <c r="N12" s="17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8"/>
      <c r="B13" s="8"/>
      <c r="C13" s="8"/>
      <c r="D13" s="17" t="s">
        <v>31</v>
      </c>
      <c r="E13" s="17" t="s">
        <v>32</v>
      </c>
      <c r="F13" s="17">
        <f>63.5+4*(J10/F10)</f>
        <v>64.8</v>
      </c>
      <c r="G13" s="17"/>
      <c r="H13" s="17" t="s">
        <v>33</v>
      </c>
      <c r="I13" s="17">
        <f>F10/M10</f>
        <v>64.39507747</v>
      </c>
      <c r="J13" s="17"/>
      <c r="K13" s="17"/>
      <c r="L13" s="17"/>
      <c r="M13" s="17"/>
      <c r="N13" s="17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8"/>
      <c r="B14" s="8"/>
      <c r="C14" s="8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8"/>
      <c r="B15" s="8"/>
      <c r="C15" s="8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8"/>
      <c r="B16" s="8"/>
      <c r="C16" s="8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8"/>
      <c r="B17" s="8"/>
      <c r="C17" s="8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8"/>
      <c r="B18" s="8"/>
      <c r="C18" s="8"/>
      <c r="D18" s="17" t="s">
        <v>34</v>
      </c>
      <c r="E18" s="17"/>
      <c r="F18" s="17"/>
      <c r="G18" s="17"/>
      <c r="H18" s="17" t="s">
        <v>35</v>
      </c>
      <c r="I18" s="17"/>
      <c r="J18" s="17"/>
      <c r="K18" s="17"/>
      <c r="L18" s="17"/>
      <c r="M18" s="17"/>
      <c r="N18" s="17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8"/>
      <c r="B19" s="8"/>
      <c r="C19" s="8"/>
      <c r="D19" s="17" t="s">
        <v>36</v>
      </c>
      <c r="E19" s="17" t="s">
        <v>37</v>
      </c>
      <c r="F19" s="17">
        <f>65.5+(5*4)/(5+7)</f>
        <v>67.16666667</v>
      </c>
      <c r="G19" s="17"/>
      <c r="H19" s="17" t="s">
        <v>34</v>
      </c>
      <c r="I19" s="17"/>
      <c r="J19" s="17"/>
      <c r="K19" s="17"/>
      <c r="L19" s="17"/>
      <c r="M19" s="17"/>
      <c r="N19" s="17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8"/>
      <c r="B20" s="8"/>
      <c r="C20" s="8"/>
      <c r="D20" s="17" t="s">
        <v>38</v>
      </c>
      <c r="E20" s="17"/>
      <c r="F20" s="17"/>
      <c r="G20" s="17"/>
      <c r="H20" s="17" t="s">
        <v>39</v>
      </c>
      <c r="I20" s="17" t="s">
        <v>40</v>
      </c>
      <c r="J20" s="17">
        <f>65.5+(20-19)*4/14</f>
        <v>65.78571429</v>
      </c>
      <c r="K20" s="17"/>
      <c r="L20" s="17"/>
      <c r="M20" s="17"/>
      <c r="N20" s="17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8"/>
      <c r="B21" s="8"/>
      <c r="C21" s="8"/>
      <c r="D21" s="17" t="s">
        <v>41</v>
      </c>
      <c r="E21" s="17"/>
      <c r="F21" s="17"/>
      <c r="G21" s="17"/>
      <c r="H21" s="17" t="s">
        <v>42</v>
      </c>
      <c r="I21" s="17"/>
      <c r="J21" s="17"/>
      <c r="K21" s="17"/>
      <c r="L21" s="17"/>
      <c r="M21" s="17"/>
      <c r="N21" s="17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8"/>
      <c r="B22" s="8"/>
      <c r="C22" s="8"/>
      <c r="D22" s="17"/>
      <c r="E22" s="17"/>
      <c r="F22" s="17"/>
      <c r="G22" s="17"/>
      <c r="H22" s="17" t="s">
        <v>41</v>
      </c>
      <c r="I22" s="17"/>
      <c r="J22" s="17"/>
      <c r="K22" s="17"/>
      <c r="L22" s="17"/>
      <c r="M22" s="17"/>
      <c r="N22" s="17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8"/>
      <c r="B23" s="8"/>
      <c r="C23" s="8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8"/>
      <c r="B24" s="8"/>
      <c r="C24" s="8"/>
      <c r="D24" s="17" t="s">
        <v>43</v>
      </c>
      <c r="E24" s="17"/>
      <c r="F24" s="17"/>
      <c r="G24" s="17"/>
      <c r="H24" s="17" t="s">
        <v>44</v>
      </c>
      <c r="I24" s="17"/>
      <c r="J24" s="17"/>
      <c r="K24" s="17"/>
      <c r="L24" s="17" t="s">
        <v>45</v>
      </c>
      <c r="M24" s="17"/>
      <c r="N24" s="17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8"/>
      <c r="B25" s="8"/>
      <c r="C25" s="8"/>
      <c r="D25" s="17" t="s">
        <v>34</v>
      </c>
      <c r="E25" s="17" t="s">
        <v>46</v>
      </c>
      <c r="F25" s="17">
        <f>65.5+(30-19)*4/14</f>
        <v>68.64285714</v>
      </c>
      <c r="G25" s="17"/>
      <c r="H25" s="17" t="s">
        <v>47</v>
      </c>
      <c r="I25" s="17"/>
      <c r="J25" s="17"/>
      <c r="K25" s="17"/>
      <c r="L25" s="17" t="s">
        <v>48</v>
      </c>
      <c r="M25" s="17"/>
      <c r="N25" s="17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8"/>
      <c r="B26" s="8"/>
      <c r="C26" s="8"/>
      <c r="D26" s="17" t="s">
        <v>49</v>
      </c>
      <c r="E26" s="17"/>
      <c r="F26" s="17"/>
      <c r="G26" s="17"/>
      <c r="H26" s="17" t="s">
        <v>50</v>
      </c>
      <c r="I26" s="17" t="s">
        <v>51</v>
      </c>
      <c r="J26" s="17">
        <f>57.5+(8-5)*4/5</f>
        <v>59.9</v>
      </c>
      <c r="K26" s="17"/>
      <c r="L26" s="17" t="s">
        <v>52</v>
      </c>
      <c r="M26" s="17" t="s">
        <v>53</v>
      </c>
      <c r="N26" s="17">
        <f>61.5+(14-10)*4/9</f>
        <v>63.27777778</v>
      </c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8"/>
      <c r="B27" s="8"/>
      <c r="C27" s="8"/>
      <c r="D27" s="17" t="s">
        <v>54</v>
      </c>
      <c r="E27" s="17"/>
      <c r="F27" s="17"/>
      <c r="G27" s="17"/>
      <c r="H27" s="17" t="s">
        <v>55</v>
      </c>
      <c r="I27" s="17"/>
      <c r="J27" s="17"/>
      <c r="K27" s="17"/>
      <c r="L27" s="17" t="s">
        <v>56</v>
      </c>
      <c r="M27" s="17"/>
      <c r="N27" s="1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8"/>
      <c r="B28" s="8"/>
      <c r="C28" s="8"/>
      <c r="D28" s="17" t="s">
        <v>41</v>
      </c>
      <c r="E28" s="17"/>
      <c r="F28" s="17"/>
      <c r="G28" s="17"/>
      <c r="H28" s="17" t="s">
        <v>41</v>
      </c>
      <c r="I28" s="17"/>
      <c r="J28" s="17"/>
      <c r="K28" s="17"/>
      <c r="L28" s="17" t="s">
        <v>41</v>
      </c>
      <c r="M28" s="17"/>
      <c r="N28" s="17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8"/>
      <c r="B29" s="8"/>
      <c r="C29" s="8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7.29"/>
    <col customWidth="1" min="3" max="3" width="17.0"/>
    <col customWidth="1" min="4" max="4" width="14.29"/>
    <col customWidth="1" min="5" max="5" width="14.14"/>
    <col customWidth="1" min="6" max="6" width="18.71"/>
    <col customWidth="1" min="7" max="7" width="18.0"/>
    <col customWidth="1" min="8" max="9" width="9.14"/>
    <col customWidth="1" min="10" max="10" width="14.86"/>
    <col customWidth="1" min="11" max="12" width="9.14"/>
    <col customWidth="1" min="13" max="13" width="16.29"/>
    <col customWidth="1" min="14" max="14" width="9.14"/>
    <col customWidth="1" min="15" max="26" width="8.71"/>
  </cols>
  <sheetData>
    <row r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1"/>
      <c r="B3" s="1" t="s">
        <v>57</v>
      </c>
      <c r="C3" s="1" t="s">
        <v>0</v>
      </c>
      <c r="D3" s="1" t="s">
        <v>1</v>
      </c>
      <c r="E3" s="1" t="s">
        <v>58</v>
      </c>
      <c r="F3" s="1" t="s">
        <v>59</v>
      </c>
      <c r="G3" s="1" t="s">
        <v>60</v>
      </c>
      <c r="H3" s="1" t="s">
        <v>17</v>
      </c>
      <c r="I3" s="1" t="s">
        <v>61</v>
      </c>
      <c r="J3" s="1" t="s">
        <v>18</v>
      </c>
      <c r="K3" s="1" t="s">
        <v>19</v>
      </c>
      <c r="L3" s="1" t="s">
        <v>62</v>
      </c>
      <c r="M3" s="1" t="s">
        <v>63</v>
      </c>
      <c r="N3" s="1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1"/>
      <c r="B4" s="1" t="s">
        <v>7</v>
      </c>
      <c r="C4" s="1">
        <v>55.5</v>
      </c>
      <c r="D4" s="1">
        <v>5.0</v>
      </c>
      <c r="E4" s="1">
        <f t="shared" ref="E4:E8" si="1">D4*ABS(C4-64.8)</f>
        <v>46.5</v>
      </c>
      <c r="F4" s="1">
        <f t="shared" ref="F4:F8" si="2">D4*ABS(C4-67.17)</f>
        <v>58.35</v>
      </c>
      <c r="G4" s="1">
        <f t="shared" ref="G4:G8" si="3">D4*ABS(C4-65.79)</f>
        <v>51.45</v>
      </c>
      <c r="H4" s="1">
        <f t="shared" ref="H4:H8" si="4">D4*C4</f>
        <v>277.5</v>
      </c>
      <c r="I4" s="1">
        <f t="shared" ref="I4:I8" si="5">D4*C4^2</f>
        <v>15401.25</v>
      </c>
      <c r="J4" s="1">
        <f t="shared" ref="J4:J8" si="6">(C4-63.5)/4</f>
        <v>-2</v>
      </c>
      <c r="K4" s="1">
        <f t="shared" ref="K4:K8" si="7">D4*J4</f>
        <v>-10</v>
      </c>
      <c r="L4" s="1">
        <f t="shared" ref="L4:L8" si="8">D4*J4^2</f>
        <v>20</v>
      </c>
      <c r="M4" s="1">
        <f t="shared" ref="M4:M8" si="9">(C4-64.8)/5.1</f>
        <v>-1.823529412</v>
      </c>
      <c r="N4" s="1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1"/>
      <c r="B5" s="5" t="s">
        <v>8</v>
      </c>
      <c r="C5" s="5">
        <v>59.5</v>
      </c>
      <c r="D5" s="5">
        <v>5.0</v>
      </c>
      <c r="E5" s="1">
        <f t="shared" si="1"/>
        <v>26.5</v>
      </c>
      <c r="F5" s="1">
        <f t="shared" si="2"/>
        <v>38.35</v>
      </c>
      <c r="G5" s="1">
        <f t="shared" si="3"/>
        <v>31.45</v>
      </c>
      <c r="H5" s="1">
        <f t="shared" si="4"/>
        <v>297.5</v>
      </c>
      <c r="I5" s="1">
        <f t="shared" si="5"/>
        <v>17701.25</v>
      </c>
      <c r="J5" s="1">
        <f t="shared" si="6"/>
        <v>-1</v>
      </c>
      <c r="K5" s="1">
        <f t="shared" si="7"/>
        <v>-5</v>
      </c>
      <c r="L5" s="1">
        <f t="shared" si="8"/>
        <v>5</v>
      </c>
      <c r="M5" s="1">
        <f t="shared" si="9"/>
        <v>-1.039215686</v>
      </c>
      <c r="N5" s="1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1"/>
      <c r="B6" s="1" t="s">
        <v>9</v>
      </c>
      <c r="C6" s="1">
        <v>63.5</v>
      </c>
      <c r="D6" s="1">
        <v>9.0</v>
      </c>
      <c r="E6" s="1">
        <f t="shared" si="1"/>
        <v>11.7</v>
      </c>
      <c r="F6" s="1">
        <f t="shared" si="2"/>
        <v>33.03</v>
      </c>
      <c r="G6" s="1">
        <f t="shared" si="3"/>
        <v>20.61</v>
      </c>
      <c r="H6" s="1">
        <f t="shared" si="4"/>
        <v>571.5</v>
      </c>
      <c r="I6" s="1">
        <f t="shared" si="5"/>
        <v>36290.25</v>
      </c>
      <c r="J6" s="1">
        <f t="shared" si="6"/>
        <v>0</v>
      </c>
      <c r="K6" s="1">
        <f t="shared" si="7"/>
        <v>0</v>
      </c>
      <c r="L6" s="1">
        <f t="shared" si="8"/>
        <v>0</v>
      </c>
      <c r="M6" s="1">
        <f t="shared" si="9"/>
        <v>-0.2549019608</v>
      </c>
      <c r="N6" s="1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1"/>
      <c r="B7" s="5" t="s">
        <v>11</v>
      </c>
      <c r="C7" s="5">
        <v>67.5</v>
      </c>
      <c r="D7" s="5">
        <v>14.0</v>
      </c>
      <c r="E7" s="1">
        <f t="shared" si="1"/>
        <v>37.8</v>
      </c>
      <c r="F7" s="1">
        <f t="shared" si="2"/>
        <v>4.62</v>
      </c>
      <c r="G7" s="1">
        <f t="shared" si="3"/>
        <v>23.94</v>
      </c>
      <c r="H7" s="1">
        <f t="shared" si="4"/>
        <v>945</v>
      </c>
      <c r="I7" s="1">
        <f t="shared" si="5"/>
        <v>63787.5</v>
      </c>
      <c r="J7" s="1">
        <f t="shared" si="6"/>
        <v>1</v>
      </c>
      <c r="K7" s="1">
        <f t="shared" si="7"/>
        <v>14</v>
      </c>
      <c r="L7" s="1">
        <f t="shared" si="8"/>
        <v>14</v>
      </c>
      <c r="M7" s="1">
        <f t="shared" si="9"/>
        <v>0.5294117647</v>
      </c>
      <c r="N7" s="1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1"/>
      <c r="B8" s="1" t="s">
        <v>12</v>
      </c>
      <c r="C8" s="1">
        <v>71.5</v>
      </c>
      <c r="D8" s="1">
        <v>7.0</v>
      </c>
      <c r="E8" s="1">
        <f t="shared" si="1"/>
        <v>46.9</v>
      </c>
      <c r="F8" s="1">
        <f t="shared" si="2"/>
        <v>30.31</v>
      </c>
      <c r="G8" s="1">
        <f t="shared" si="3"/>
        <v>39.97</v>
      </c>
      <c r="H8" s="1">
        <f t="shared" si="4"/>
        <v>500.5</v>
      </c>
      <c r="I8" s="1">
        <f t="shared" si="5"/>
        <v>35785.75</v>
      </c>
      <c r="J8" s="1">
        <f t="shared" si="6"/>
        <v>2</v>
      </c>
      <c r="K8" s="1">
        <f t="shared" si="7"/>
        <v>14</v>
      </c>
      <c r="L8" s="1">
        <f t="shared" si="8"/>
        <v>28</v>
      </c>
      <c r="M8" s="1">
        <f t="shared" si="9"/>
        <v>1.31372549</v>
      </c>
      <c r="N8" s="1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1"/>
      <c r="B10" s="1"/>
      <c r="C10" s="1" t="s">
        <v>64</v>
      </c>
      <c r="D10" s="1">
        <f t="shared" ref="D10:I10" si="10">SUM(D4:D8)</f>
        <v>40</v>
      </c>
      <c r="E10" s="1">
        <f t="shared" si="10"/>
        <v>169.4</v>
      </c>
      <c r="F10" s="1">
        <f t="shared" si="10"/>
        <v>164.66</v>
      </c>
      <c r="G10" s="1">
        <f t="shared" si="10"/>
        <v>167.42</v>
      </c>
      <c r="H10" s="1">
        <f t="shared" si="10"/>
        <v>2592</v>
      </c>
      <c r="I10" s="1">
        <f t="shared" si="10"/>
        <v>168966</v>
      </c>
      <c r="J10" s="1"/>
      <c r="K10" s="1">
        <f t="shared" ref="K10:L10" si="11">SUM(K4:K8)</f>
        <v>13</v>
      </c>
      <c r="L10" s="1">
        <f t="shared" si="11"/>
        <v>67</v>
      </c>
      <c r="M10" s="1"/>
      <c r="N10" s="1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8"/>
      <c r="B12" s="17" t="s">
        <v>65</v>
      </c>
      <c r="C12" s="18">
        <v>64.8</v>
      </c>
      <c r="D12" s="1"/>
      <c r="E12" s="1"/>
      <c r="F12" s="1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8"/>
      <c r="B13" s="17" t="s">
        <v>66</v>
      </c>
      <c r="C13" s="18">
        <v>67.17</v>
      </c>
      <c r="D13" s="1"/>
      <c r="E13" s="1"/>
      <c r="F13" s="1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8"/>
      <c r="B14" s="17" t="s">
        <v>67</v>
      </c>
      <c r="C14" s="19">
        <v>65.79</v>
      </c>
      <c r="D14" s="1"/>
      <c r="E14" s="17"/>
      <c r="F14" s="1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8"/>
      <c r="B15" s="17" t="s">
        <v>68</v>
      </c>
      <c r="C15" s="17">
        <f>E10/D10</f>
        <v>4.235</v>
      </c>
      <c r="D15" s="1"/>
      <c r="E15" s="17"/>
      <c r="F15" s="1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8"/>
      <c r="B16" s="17" t="s">
        <v>69</v>
      </c>
      <c r="C16" s="17">
        <f>F10/D10</f>
        <v>4.1165</v>
      </c>
      <c r="D16" s="1"/>
      <c r="E16" s="1"/>
      <c r="F16" s="1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8"/>
      <c r="B17" s="17" t="s">
        <v>70</v>
      </c>
      <c r="C17" s="17">
        <f>G10/D10</f>
        <v>4.1855</v>
      </c>
      <c r="D17" s="1"/>
      <c r="E17" s="1"/>
      <c r="F17" s="1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8"/>
      <c r="B18" s="17" t="s">
        <v>71</v>
      </c>
      <c r="C18" s="17"/>
      <c r="D18" s="1">
        <f>C15*100/64.8</f>
        <v>6.535493827</v>
      </c>
      <c r="E18" s="17" t="s">
        <v>72</v>
      </c>
      <c r="F18" s="17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8"/>
      <c r="B19" s="17" t="s">
        <v>73</v>
      </c>
      <c r="C19" s="17"/>
      <c r="D19" s="1">
        <f>C16*100/67.17</f>
        <v>6.128479976</v>
      </c>
      <c r="E19" s="17" t="s">
        <v>72</v>
      </c>
      <c r="F19" s="17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8"/>
      <c r="B20" s="17" t="s">
        <v>74</v>
      </c>
      <c r="C20" s="17"/>
      <c r="D20" s="1">
        <f>C17*100/65.79</f>
        <v>6.361909105</v>
      </c>
      <c r="E20" s="17" t="s">
        <v>72</v>
      </c>
      <c r="F20" s="17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8"/>
      <c r="B21" s="17"/>
      <c r="C21" s="17"/>
      <c r="D21" s="1"/>
      <c r="E21" s="17"/>
      <c r="F21" s="17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8"/>
      <c r="B22" s="17" t="s">
        <v>75</v>
      </c>
      <c r="C22" s="17">
        <f>SQRT((I10/D10)-(H10/D10)^2)</f>
        <v>5.010987927</v>
      </c>
      <c r="D22" s="1"/>
      <c r="E22" s="17"/>
      <c r="F22" s="17"/>
      <c r="G22" s="8"/>
      <c r="H22" s="20"/>
      <c r="I22" s="20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8"/>
      <c r="B23" s="17" t="s">
        <v>76</v>
      </c>
      <c r="C23" s="17">
        <f>4*SQRT((L10/D10)-(K10/D10)^2)</f>
        <v>5.010987927</v>
      </c>
      <c r="D23" s="1"/>
      <c r="E23" s="17"/>
      <c r="F23" s="17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8"/>
      <c r="B24" s="17"/>
      <c r="C24" s="17"/>
      <c r="D24" s="1"/>
      <c r="E24" s="17"/>
      <c r="F24" s="1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8"/>
      <c r="B25" s="17" t="s">
        <v>31</v>
      </c>
      <c r="C25" s="17"/>
      <c r="D25" s="1"/>
      <c r="E25" s="17"/>
      <c r="F25" s="17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8"/>
      <c r="B26" s="17"/>
      <c r="C26" s="17"/>
      <c r="D26" s="1"/>
      <c r="E26" s="17"/>
      <c r="F26" s="17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8"/>
      <c r="B27" s="17" t="s">
        <v>77</v>
      </c>
      <c r="C27" s="17"/>
      <c r="D27" s="1">
        <f>C22*100/64.8</f>
        <v>7.733006059</v>
      </c>
      <c r="E27" s="17" t="s">
        <v>72</v>
      </c>
      <c r="F27" s="17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5.57"/>
    <col customWidth="1" min="3" max="3" width="15.29"/>
    <col customWidth="1" min="4" max="4" width="14.43"/>
    <col customWidth="1" min="5" max="5" width="11.29"/>
    <col customWidth="1" min="6" max="8" width="9.14"/>
    <col customWidth="1" min="9" max="26" width="8.71"/>
  </cols>
  <sheetData>
    <row r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8"/>
      <c r="B3" s="1" t="s">
        <v>78</v>
      </c>
      <c r="C3" s="1" t="s">
        <v>1</v>
      </c>
      <c r="D3" s="1" t="s">
        <v>79</v>
      </c>
      <c r="E3" s="1" t="s">
        <v>19</v>
      </c>
      <c r="F3" s="1" t="s">
        <v>62</v>
      </c>
      <c r="G3" s="1" t="s">
        <v>80</v>
      </c>
      <c r="H3" s="1" t="s">
        <v>81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8"/>
      <c r="B4" s="1">
        <v>55.5</v>
      </c>
      <c r="C4" s="1">
        <v>5.0</v>
      </c>
      <c r="D4" s="1">
        <f t="shared" ref="D4:D8" si="1">(B4-65.5)/4</f>
        <v>-2.5</v>
      </c>
      <c r="E4" s="1">
        <f t="shared" ref="E4:E8" si="2">C4*D4</f>
        <v>-12.5</v>
      </c>
      <c r="F4" s="1">
        <f t="shared" ref="F4:F8" si="3">C4*D4^2</f>
        <v>31.25</v>
      </c>
      <c r="G4" s="1">
        <f t="shared" ref="G4:G8" si="4">C4*D4^3</f>
        <v>-78.125</v>
      </c>
      <c r="H4" s="1">
        <f t="shared" ref="H4:H8" si="5">C4*D4^4</f>
        <v>195.3125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8"/>
      <c r="B5" s="5">
        <v>59.5</v>
      </c>
      <c r="C5" s="5">
        <v>5.0</v>
      </c>
      <c r="D5" s="1">
        <f t="shared" si="1"/>
        <v>-1.5</v>
      </c>
      <c r="E5" s="1">
        <f t="shared" si="2"/>
        <v>-7.5</v>
      </c>
      <c r="F5" s="1">
        <f t="shared" si="3"/>
        <v>11.25</v>
      </c>
      <c r="G5" s="1">
        <f t="shared" si="4"/>
        <v>-16.875</v>
      </c>
      <c r="H5" s="1">
        <f t="shared" si="5"/>
        <v>25.3125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8" t="s">
        <v>82</v>
      </c>
      <c r="B6" s="1">
        <v>63.5</v>
      </c>
      <c r="C6" s="1">
        <v>9.0</v>
      </c>
      <c r="D6" s="1">
        <f t="shared" si="1"/>
        <v>-0.5</v>
      </c>
      <c r="E6" s="1">
        <f t="shared" si="2"/>
        <v>-4.5</v>
      </c>
      <c r="F6" s="1">
        <f t="shared" si="3"/>
        <v>2.25</v>
      </c>
      <c r="G6" s="1">
        <f t="shared" si="4"/>
        <v>-1.125</v>
      </c>
      <c r="H6" s="1">
        <f t="shared" si="5"/>
        <v>0.5625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8" t="s">
        <v>83</v>
      </c>
      <c r="B7" s="5">
        <v>67.5</v>
      </c>
      <c r="C7" s="5">
        <v>14.0</v>
      </c>
      <c r="D7" s="1">
        <f t="shared" si="1"/>
        <v>0.5</v>
      </c>
      <c r="E7" s="1">
        <f t="shared" si="2"/>
        <v>7</v>
      </c>
      <c r="F7" s="1">
        <f t="shared" si="3"/>
        <v>3.5</v>
      </c>
      <c r="G7" s="1">
        <f t="shared" si="4"/>
        <v>1.75</v>
      </c>
      <c r="H7" s="1">
        <f t="shared" si="5"/>
        <v>0.875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8"/>
      <c r="B8" s="1">
        <v>71.5</v>
      </c>
      <c r="C8" s="1">
        <v>7.0</v>
      </c>
      <c r="D8" s="1">
        <f t="shared" si="1"/>
        <v>1.5</v>
      </c>
      <c r="E8" s="1">
        <f t="shared" si="2"/>
        <v>10.5</v>
      </c>
      <c r="F8" s="1">
        <f t="shared" si="3"/>
        <v>15.75</v>
      </c>
      <c r="G8" s="1">
        <f t="shared" si="4"/>
        <v>23.625</v>
      </c>
      <c r="H8" s="1">
        <f t="shared" si="5"/>
        <v>35.4375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8"/>
      <c r="B9" s="1"/>
      <c r="C9" s="1"/>
      <c r="D9" s="1"/>
      <c r="E9" s="1"/>
      <c r="F9" s="1"/>
      <c r="G9" s="1"/>
      <c r="H9" s="1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8"/>
      <c r="B10" s="1" t="s">
        <v>28</v>
      </c>
      <c r="C10" s="1">
        <f>SUM(C4:C8)</f>
        <v>40</v>
      </c>
      <c r="D10" s="1"/>
      <c r="E10" s="1">
        <f t="shared" ref="E10:H10" si="6">SUM(E4:E8)</f>
        <v>-7</v>
      </c>
      <c r="F10" s="1">
        <f t="shared" si="6"/>
        <v>64</v>
      </c>
      <c r="G10" s="1">
        <f t="shared" si="6"/>
        <v>-70.75</v>
      </c>
      <c r="H10" s="1">
        <f t="shared" si="6"/>
        <v>257.5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8"/>
      <c r="B11" s="1"/>
      <c r="C11" s="1"/>
      <c r="D11" s="1"/>
      <c r="E11" s="1"/>
      <c r="F11" s="1"/>
      <c r="G11" s="1"/>
      <c r="H11" s="1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8"/>
      <c r="B12" s="1" t="s">
        <v>84</v>
      </c>
      <c r="C12" s="1">
        <f>4*E10/C10</f>
        <v>-0.7</v>
      </c>
      <c r="D12" s="1"/>
      <c r="E12" s="1"/>
      <c r="F12" s="1"/>
      <c r="G12" s="1"/>
      <c r="H12" s="1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8"/>
      <c r="B13" s="1" t="s">
        <v>85</v>
      </c>
      <c r="C13" s="1">
        <f>(4^2)*F10/C10</f>
        <v>25.6</v>
      </c>
      <c r="D13" s="1"/>
      <c r="E13" s="1"/>
      <c r="F13" s="1"/>
      <c r="G13" s="1"/>
      <c r="H13" s="1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8"/>
      <c r="B14" s="1" t="s">
        <v>86</v>
      </c>
      <c r="C14" s="1">
        <f>(4^3)*G10/C10</f>
        <v>-113.2</v>
      </c>
      <c r="D14" s="1"/>
      <c r="E14" s="1"/>
      <c r="F14" s="1"/>
      <c r="G14" s="1"/>
      <c r="H14" s="1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8"/>
      <c r="B15" s="1" t="s">
        <v>87</v>
      </c>
      <c r="C15" s="1">
        <f>(4^4)*H10/C10</f>
        <v>1648</v>
      </c>
      <c r="D15" s="1"/>
      <c r="E15" s="1"/>
      <c r="F15" s="1"/>
      <c r="G15" s="1"/>
      <c r="H15" s="1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8"/>
      <c r="B16" s="1"/>
      <c r="C16" s="1"/>
      <c r="D16" s="1"/>
      <c r="E16" s="1"/>
      <c r="F16" s="1"/>
      <c r="G16" s="1"/>
      <c r="H16" s="1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8"/>
      <c r="B17" s="1" t="s">
        <v>88</v>
      </c>
      <c r="C17" s="1">
        <v>0.0</v>
      </c>
      <c r="D17" s="1"/>
      <c r="E17" s="1"/>
      <c r="F17" s="1"/>
      <c r="G17" s="1"/>
      <c r="H17" s="1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8"/>
      <c r="B18" s="1" t="s">
        <v>89</v>
      </c>
      <c r="C18" s="1">
        <f>C13-(C12^2)</f>
        <v>25.11</v>
      </c>
      <c r="D18" s="1"/>
      <c r="E18" s="1"/>
      <c r="F18" s="1"/>
      <c r="G18" s="1"/>
      <c r="H18" s="1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8"/>
      <c r="B19" s="1" t="s">
        <v>90</v>
      </c>
      <c r="C19" s="1">
        <f>C14-3*C12*C13+2*(C12^3)</f>
        <v>-60.126</v>
      </c>
      <c r="D19" s="1"/>
      <c r="E19" s="1"/>
      <c r="F19" s="1"/>
      <c r="G19" s="1"/>
      <c r="H19" s="1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8"/>
      <c r="B20" s="1" t="s">
        <v>91</v>
      </c>
      <c r="C20" s="1">
        <f>C15-4*C12*C14+6*(C12^2)*C13-3*(C12^4)</f>
        <v>1405.5837</v>
      </c>
      <c r="D20" s="1"/>
      <c r="E20" s="1"/>
      <c r="F20" s="1"/>
      <c r="G20" s="1"/>
      <c r="H20" s="1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8"/>
      <c r="B21" s="1"/>
      <c r="C21" s="1"/>
      <c r="D21" s="1"/>
      <c r="E21" s="1"/>
      <c r="F21" s="1"/>
      <c r="G21" s="1"/>
      <c r="H21" s="1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8"/>
      <c r="B22" s="3" t="s">
        <v>92</v>
      </c>
      <c r="C22" s="3">
        <f>C19/((SQRT(C18))^3)</f>
        <v>-0.4778507186</v>
      </c>
      <c r="D22" s="3" t="s">
        <v>93</v>
      </c>
      <c r="E22" s="2" t="s">
        <v>94</v>
      </c>
      <c r="F22" s="1"/>
      <c r="G22" s="1"/>
      <c r="H22" s="1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8"/>
      <c r="B23" s="3" t="s">
        <v>95</v>
      </c>
      <c r="C23" s="3">
        <f>C20/(C18^2)</f>
        <v>2.229273157</v>
      </c>
      <c r="D23" s="3" t="s">
        <v>96</v>
      </c>
      <c r="E23" s="3" t="s">
        <v>97</v>
      </c>
      <c r="F23" s="1"/>
      <c r="G23" s="1"/>
      <c r="H23" s="1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8"/>
      <c r="B24" s="1"/>
      <c r="C24" s="1"/>
      <c r="D24" s="1"/>
      <c r="E24" s="1"/>
      <c r="F24" s="1"/>
      <c r="G24" s="1"/>
      <c r="H24" s="1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8"/>
      <c r="B25" s="1" t="s">
        <v>98</v>
      </c>
      <c r="C25" s="1">
        <f>C18-16/12</f>
        <v>23.77666667</v>
      </c>
      <c r="D25" s="1"/>
      <c r="E25" s="1"/>
      <c r="F25" s="1"/>
      <c r="G25" s="1"/>
      <c r="H25" s="1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8"/>
      <c r="B26" s="1" t="s">
        <v>99</v>
      </c>
      <c r="C26" s="1">
        <f>C20-0.5*16*C18+7*256/240</f>
        <v>1212.170367</v>
      </c>
      <c r="D26" s="1"/>
      <c r="E26" s="1"/>
      <c r="F26" s="1"/>
      <c r="G26" s="1"/>
      <c r="H26" s="1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9.14"/>
    <col customWidth="1" min="7" max="7" width="14.29"/>
    <col customWidth="1" min="8" max="8" width="15.14"/>
    <col customWidth="1" min="9" max="11" width="8.86"/>
    <col customWidth="1" min="12" max="12" width="21.86"/>
    <col customWidth="1" min="13" max="13" width="20.29"/>
    <col customWidth="1" min="14" max="14" width="9.0"/>
    <col customWidth="1" min="15" max="17" width="9.14"/>
    <col customWidth="1" min="18" max="26" width="8.71"/>
  </cols>
  <sheetData>
    <row r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8"/>
      <c r="B3" s="8" t="s">
        <v>100</v>
      </c>
      <c r="C3" s="8" t="s">
        <v>101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1"/>
      <c r="B4" s="1" t="s">
        <v>102</v>
      </c>
      <c r="C4" s="1" t="s">
        <v>103</v>
      </c>
      <c r="D4" s="1" t="s">
        <v>104</v>
      </c>
      <c r="E4" s="1" t="s">
        <v>105</v>
      </c>
      <c r="F4" s="1" t="s">
        <v>106</v>
      </c>
      <c r="G4" s="1" t="s">
        <v>107</v>
      </c>
      <c r="H4" s="1" t="s">
        <v>108</v>
      </c>
      <c r="I4" s="1" t="s">
        <v>109</v>
      </c>
      <c r="J4" s="1" t="s">
        <v>110</v>
      </c>
      <c r="K4" s="1" t="s">
        <v>111</v>
      </c>
      <c r="L4" s="1"/>
      <c r="M4" s="1" t="s">
        <v>112</v>
      </c>
      <c r="N4" s="1" t="s">
        <v>113</v>
      </c>
      <c r="O4" s="1" t="s">
        <v>114</v>
      </c>
      <c r="P4" s="1" t="s">
        <v>115</v>
      </c>
      <c r="Q4" s="1" t="s">
        <v>116</v>
      </c>
      <c r="R4" s="8"/>
      <c r="S4" s="8"/>
      <c r="T4" s="8"/>
      <c r="U4" s="8"/>
      <c r="V4" s="8"/>
      <c r="W4" s="8"/>
      <c r="X4" s="8"/>
      <c r="Y4" s="8"/>
      <c r="Z4" s="8"/>
    </row>
    <row r="5">
      <c r="A5" s="1"/>
      <c r="B5" s="1">
        <v>75.0</v>
      </c>
      <c r="C5" s="1">
        <v>69.0</v>
      </c>
      <c r="D5" s="1">
        <f t="shared" ref="D5:E5" si="1">B5^2</f>
        <v>5625</v>
      </c>
      <c r="E5" s="1">
        <f t="shared" si="1"/>
        <v>4761</v>
      </c>
      <c r="F5" s="1">
        <f t="shared" ref="F5:F16" si="4">B5*C5</f>
        <v>5175</v>
      </c>
      <c r="G5" s="1">
        <f t="shared" ref="G5:G16" si="5">(B5-70)/10</f>
        <v>0.5</v>
      </c>
      <c r="H5" s="1">
        <f t="shared" ref="H5:H16" si="6">(C5-65)/5</f>
        <v>0.8</v>
      </c>
      <c r="I5" s="1">
        <f t="shared" ref="I5:J5" si="2">G5^2</f>
        <v>0.25</v>
      </c>
      <c r="J5" s="1">
        <f t="shared" si="2"/>
        <v>0.64</v>
      </c>
      <c r="K5" s="1">
        <f t="shared" ref="K5:K16" si="8">G5*H5</f>
        <v>0.4</v>
      </c>
      <c r="L5" s="1"/>
      <c r="M5" s="1">
        <v>1.0</v>
      </c>
      <c r="N5" s="1">
        <v>1.0</v>
      </c>
      <c r="O5" s="1">
        <v>4.0</v>
      </c>
      <c r="P5" s="1">
        <f t="shared" ref="P5:P14" si="9">N5-O5</f>
        <v>-3</v>
      </c>
      <c r="Q5" s="1">
        <f t="shared" ref="Q5:Q14" si="10">P5^2</f>
        <v>9</v>
      </c>
      <c r="R5" s="8"/>
      <c r="S5" s="8"/>
      <c r="T5" s="8"/>
      <c r="U5" s="8"/>
      <c r="V5" s="8"/>
      <c r="W5" s="8"/>
      <c r="X5" s="8"/>
      <c r="Y5" s="8"/>
      <c r="Z5" s="8"/>
    </row>
    <row r="6">
      <c r="A6" s="1"/>
      <c r="B6" s="1">
        <v>70.0</v>
      </c>
      <c r="C6" s="1">
        <v>67.0</v>
      </c>
      <c r="D6" s="1">
        <f t="shared" ref="D6:E6" si="3">B6^2</f>
        <v>4900</v>
      </c>
      <c r="E6" s="1">
        <f t="shared" si="3"/>
        <v>4489</v>
      </c>
      <c r="F6" s="1">
        <f t="shared" si="4"/>
        <v>4690</v>
      </c>
      <c r="G6" s="1">
        <f t="shared" si="5"/>
        <v>0</v>
      </c>
      <c r="H6" s="1">
        <f t="shared" si="6"/>
        <v>0.4</v>
      </c>
      <c r="I6" s="1">
        <f t="shared" ref="I6:J6" si="7">G6^2</f>
        <v>0</v>
      </c>
      <c r="J6" s="1">
        <f t="shared" si="7"/>
        <v>0.16</v>
      </c>
      <c r="K6" s="1">
        <f t="shared" si="8"/>
        <v>0</v>
      </c>
      <c r="L6" s="1"/>
      <c r="M6" s="1">
        <v>2.0</v>
      </c>
      <c r="N6" s="1">
        <v>5.0</v>
      </c>
      <c r="O6" s="1">
        <v>3.0</v>
      </c>
      <c r="P6" s="1">
        <f t="shared" si="9"/>
        <v>2</v>
      </c>
      <c r="Q6" s="1">
        <f t="shared" si="10"/>
        <v>4</v>
      </c>
      <c r="R6" s="8"/>
      <c r="S6" s="8"/>
      <c r="T6" s="8"/>
      <c r="U6" s="8"/>
      <c r="V6" s="8"/>
      <c r="W6" s="8"/>
      <c r="X6" s="8"/>
      <c r="Y6" s="8"/>
      <c r="Z6" s="8"/>
    </row>
    <row r="7">
      <c r="A7" s="1"/>
      <c r="B7" s="4">
        <v>80.0</v>
      </c>
      <c r="C7" s="4">
        <v>63.0</v>
      </c>
      <c r="D7" s="1">
        <f t="shared" ref="D7:E7" si="11">B7^2</f>
        <v>6400</v>
      </c>
      <c r="E7" s="1">
        <f t="shared" si="11"/>
        <v>3969</v>
      </c>
      <c r="F7" s="1">
        <f t="shared" si="4"/>
        <v>5040</v>
      </c>
      <c r="G7" s="1">
        <f t="shared" si="5"/>
        <v>1</v>
      </c>
      <c r="H7" s="1">
        <f t="shared" si="6"/>
        <v>-0.4</v>
      </c>
      <c r="I7" s="1">
        <f t="shared" ref="I7:J7" si="12">G7^2</f>
        <v>1</v>
      </c>
      <c r="J7" s="1">
        <f t="shared" si="12"/>
        <v>0.16</v>
      </c>
      <c r="K7" s="1">
        <f t="shared" si="8"/>
        <v>-0.4</v>
      </c>
      <c r="L7" s="1"/>
      <c r="M7" s="1">
        <v>3.0</v>
      </c>
      <c r="N7" s="1">
        <v>2.0</v>
      </c>
      <c r="O7" s="1">
        <v>9.0</v>
      </c>
      <c r="P7" s="1">
        <f t="shared" si="9"/>
        <v>-7</v>
      </c>
      <c r="Q7" s="1">
        <f t="shared" si="10"/>
        <v>49</v>
      </c>
      <c r="R7" s="8"/>
      <c r="S7" s="8"/>
      <c r="T7" s="8"/>
      <c r="U7" s="8"/>
      <c r="V7" s="8"/>
      <c r="W7" s="8"/>
      <c r="X7" s="8"/>
      <c r="Y7" s="8"/>
      <c r="Z7" s="8"/>
    </row>
    <row r="8">
      <c r="A8" s="1"/>
      <c r="B8" s="1">
        <v>74.0</v>
      </c>
      <c r="C8" s="1">
        <v>68.0</v>
      </c>
      <c r="D8" s="1">
        <f t="shared" ref="D8:E8" si="13">B8^2</f>
        <v>5476</v>
      </c>
      <c r="E8" s="1">
        <f t="shared" si="13"/>
        <v>4624</v>
      </c>
      <c r="F8" s="1">
        <f t="shared" si="4"/>
        <v>5032</v>
      </c>
      <c r="G8" s="1">
        <f t="shared" si="5"/>
        <v>0.4</v>
      </c>
      <c r="H8" s="1">
        <f t="shared" si="6"/>
        <v>0.6</v>
      </c>
      <c r="I8" s="1">
        <f t="shared" ref="I8:J8" si="14">G8^2</f>
        <v>0.16</v>
      </c>
      <c r="J8" s="1">
        <f t="shared" si="14"/>
        <v>0.36</v>
      </c>
      <c r="K8" s="1">
        <f t="shared" si="8"/>
        <v>0.24</v>
      </c>
      <c r="L8" s="1"/>
      <c r="M8" s="1">
        <v>4.0</v>
      </c>
      <c r="N8" s="1">
        <v>8.0</v>
      </c>
      <c r="O8" s="1">
        <v>6.0</v>
      </c>
      <c r="P8" s="1">
        <f t="shared" si="9"/>
        <v>2</v>
      </c>
      <c r="Q8" s="1">
        <f t="shared" si="10"/>
        <v>4</v>
      </c>
      <c r="R8" s="8"/>
      <c r="S8" s="8"/>
      <c r="T8" s="8"/>
      <c r="U8" s="8"/>
      <c r="V8" s="8"/>
      <c r="W8" s="8"/>
      <c r="X8" s="8"/>
      <c r="Y8" s="8"/>
      <c r="Z8" s="8"/>
    </row>
    <row r="9">
      <c r="A9" s="1"/>
      <c r="B9" s="1">
        <v>60.0</v>
      </c>
      <c r="C9" s="1">
        <v>65.0</v>
      </c>
      <c r="D9" s="1">
        <f t="shared" ref="D9:E9" si="15">B9^2</f>
        <v>3600</v>
      </c>
      <c r="E9" s="1">
        <f t="shared" si="15"/>
        <v>4225</v>
      </c>
      <c r="F9" s="1">
        <f t="shared" si="4"/>
        <v>3900</v>
      </c>
      <c r="G9" s="1">
        <f t="shared" si="5"/>
        <v>-1</v>
      </c>
      <c r="H9" s="1">
        <f t="shared" si="6"/>
        <v>0</v>
      </c>
      <c r="I9" s="1">
        <f t="shared" ref="I9:J9" si="16">G9^2</f>
        <v>1</v>
      </c>
      <c r="J9" s="1">
        <f t="shared" si="16"/>
        <v>0</v>
      </c>
      <c r="K9" s="1">
        <f t="shared" si="8"/>
        <v>0</v>
      </c>
      <c r="L9" s="1"/>
      <c r="M9" s="1">
        <v>5.0</v>
      </c>
      <c r="N9" s="1">
        <v>7.0</v>
      </c>
      <c r="O9" s="1">
        <v>5.0</v>
      </c>
      <c r="P9" s="1">
        <f t="shared" si="9"/>
        <v>2</v>
      </c>
      <c r="Q9" s="1">
        <f t="shared" si="10"/>
        <v>4</v>
      </c>
      <c r="R9" s="8"/>
      <c r="S9" s="8"/>
      <c r="T9" s="8"/>
      <c r="U9" s="8"/>
      <c r="V9" s="8"/>
      <c r="W9" s="8"/>
      <c r="X9" s="8"/>
      <c r="Y9" s="8"/>
      <c r="Z9" s="8"/>
    </row>
    <row r="10">
      <c r="A10" s="21" t="s">
        <v>117</v>
      </c>
      <c r="B10" s="1">
        <v>60.0</v>
      </c>
      <c r="C10" s="1">
        <v>63.0</v>
      </c>
      <c r="D10" s="1">
        <f t="shared" ref="D10:E10" si="17">B10^2</f>
        <v>3600</v>
      </c>
      <c r="E10" s="1">
        <f t="shared" si="17"/>
        <v>3969</v>
      </c>
      <c r="F10" s="1">
        <f t="shared" si="4"/>
        <v>3780</v>
      </c>
      <c r="G10" s="1">
        <f t="shared" si="5"/>
        <v>-1</v>
      </c>
      <c r="H10" s="1">
        <f t="shared" si="6"/>
        <v>-0.4</v>
      </c>
      <c r="I10" s="1">
        <f t="shared" ref="I10:J10" si="18">G10^2</f>
        <v>1</v>
      </c>
      <c r="J10" s="1">
        <f t="shared" si="18"/>
        <v>0.16</v>
      </c>
      <c r="K10" s="1">
        <f t="shared" si="8"/>
        <v>0.4</v>
      </c>
      <c r="L10" s="1"/>
      <c r="M10" s="1">
        <v>6.0</v>
      </c>
      <c r="N10" s="1">
        <v>3.0</v>
      </c>
      <c r="O10" s="1">
        <v>1.0</v>
      </c>
      <c r="P10" s="1">
        <f t="shared" si="9"/>
        <v>2</v>
      </c>
      <c r="Q10" s="1">
        <f t="shared" si="10"/>
        <v>4</v>
      </c>
      <c r="R10" s="8"/>
      <c r="S10" s="8"/>
      <c r="T10" s="8"/>
      <c r="U10" s="8"/>
      <c r="V10" s="8"/>
      <c r="W10" s="8"/>
      <c r="X10" s="8"/>
      <c r="Y10" s="8"/>
      <c r="Z10" s="8"/>
    </row>
    <row r="11">
      <c r="A11" s="1"/>
      <c r="B11" s="4">
        <v>49.0</v>
      </c>
      <c r="C11" s="1">
        <v>63.0</v>
      </c>
      <c r="D11" s="1">
        <f t="shared" ref="D11:E11" si="19">B11^2</f>
        <v>2401</v>
      </c>
      <c r="E11" s="1">
        <f t="shared" si="19"/>
        <v>3969</v>
      </c>
      <c r="F11" s="1">
        <f t="shared" si="4"/>
        <v>3087</v>
      </c>
      <c r="G11" s="1">
        <f t="shared" si="5"/>
        <v>-2.1</v>
      </c>
      <c r="H11" s="1">
        <f t="shared" si="6"/>
        <v>-0.4</v>
      </c>
      <c r="I11" s="1">
        <f t="shared" ref="I11:J11" si="20">G11^2</f>
        <v>4.41</v>
      </c>
      <c r="J11" s="1">
        <f t="shared" si="20"/>
        <v>0.16</v>
      </c>
      <c r="K11" s="1">
        <f t="shared" si="8"/>
        <v>0.84</v>
      </c>
      <c r="L11" s="1"/>
      <c r="M11" s="1">
        <v>7.0</v>
      </c>
      <c r="N11" s="1">
        <v>9.0</v>
      </c>
      <c r="O11" s="1">
        <v>10.0</v>
      </c>
      <c r="P11" s="1">
        <f t="shared" si="9"/>
        <v>-1</v>
      </c>
      <c r="Q11" s="1">
        <f t="shared" si="10"/>
        <v>1</v>
      </c>
      <c r="R11" s="8"/>
      <c r="S11" s="8"/>
      <c r="T11" s="8"/>
      <c r="U11" s="8"/>
      <c r="V11" s="8"/>
      <c r="W11" s="8"/>
      <c r="X11" s="8"/>
      <c r="Y11" s="8"/>
      <c r="Z11" s="8"/>
    </row>
    <row r="12">
      <c r="A12" s="1"/>
      <c r="B12" s="1">
        <v>64.0</v>
      </c>
      <c r="C12" s="1">
        <v>65.0</v>
      </c>
      <c r="D12" s="1">
        <f t="shared" ref="D12:E12" si="21">B12^2</f>
        <v>4096</v>
      </c>
      <c r="E12" s="1">
        <f t="shared" si="21"/>
        <v>4225</v>
      </c>
      <c r="F12" s="1">
        <f t="shared" si="4"/>
        <v>4160</v>
      </c>
      <c r="G12" s="1">
        <f t="shared" si="5"/>
        <v>-0.6</v>
      </c>
      <c r="H12" s="1">
        <f t="shared" si="6"/>
        <v>0</v>
      </c>
      <c r="I12" s="1">
        <f t="shared" ref="I12:J12" si="22">G12^2</f>
        <v>0.36</v>
      </c>
      <c r="J12" s="1">
        <f t="shared" si="22"/>
        <v>0</v>
      </c>
      <c r="K12" s="1">
        <f t="shared" si="8"/>
        <v>0</v>
      </c>
      <c r="L12" s="1"/>
      <c r="M12" s="1">
        <v>8.0</v>
      </c>
      <c r="N12" s="1">
        <v>4.0</v>
      </c>
      <c r="O12" s="1">
        <v>2.0</v>
      </c>
      <c r="P12" s="1">
        <f t="shared" si="9"/>
        <v>2</v>
      </c>
      <c r="Q12" s="1">
        <f t="shared" si="10"/>
        <v>4</v>
      </c>
      <c r="R12" s="8"/>
      <c r="S12" s="8"/>
      <c r="T12" s="8"/>
      <c r="U12" s="8"/>
      <c r="V12" s="8"/>
      <c r="W12" s="8"/>
      <c r="X12" s="8"/>
      <c r="Y12" s="8"/>
      <c r="Z12" s="8"/>
    </row>
    <row r="13">
      <c r="A13" s="1"/>
      <c r="B13" s="1">
        <v>75.0</v>
      </c>
      <c r="C13" s="1">
        <v>65.0</v>
      </c>
      <c r="D13" s="1">
        <f t="shared" ref="D13:E13" si="23">B13^2</f>
        <v>5625</v>
      </c>
      <c r="E13" s="1">
        <f t="shared" si="23"/>
        <v>4225</v>
      </c>
      <c r="F13" s="1">
        <f t="shared" si="4"/>
        <v>4875</v>
      </c>
      <c r="G13" s="1">
        <f t="shared" si="5"/>
        <v>0.5</v>
      </c>
      <c r="H13" s="1">
        <f t="shared" si="6"/>
        <v>0</v>
      </c>
      <c r="I13" s="1">
        <f t="shared" ref="I13:J13" si="24">G13^2</f>
        <v>0.25</v>
      </c>
      <c r="J13" s="1">
        <f t="shared" si="24"/>
        <v>0</v>
      </c>
      <c r="K13" s="1">
        <f t="shared" si="8"/>
        <v>0</v>
      </c>
      <c r="L13" s="1"/>
      <c r="M13" s="1">
        <v>9.0</v>
      </c>
      <c r="N13" s="1">
        <v>10.0</v>
      </c>
      <c r="O13" s="1">
        <v>7.0</v>
      </c>
      <c r="P13" s="1">
        <f t="shared" si="9"/>
        <v>3</v>
      </c>
      <c r="Q13" s="1">
        <f t="shared" si="10"/>
        <v>9</v>
      </c>
      <c r="R13" s="8"/>
      <c r="S13" s="8"/>
      <c r="T13" s="8"/>
      <c r="U13" s="8"/>
      <c r="V13" s="8"/>
      <c r="W13" s="8"/>
      <c r="X13" s="8"/>
      <c r="Y13" s="8"/>
      <c r="Z13" s="8"/>
    </row>
    <row r="14">
      <c r="A14" s="1"/>
      <c r="B14" s="1">
        <v>80.0</v>
      </c>
      <c r="C14" s="4">
        <v>70.0</v>
      </c>
      <c r="D14" s="1">
        <f t="shared" ref="D14:E14" si="25">B14^2</f>
        <v>6400</v>
      </c>
      <c r="E14" s="1">
        <f t="shared" si="25"/>
        <v>4900</v>
      </c>
      <c r="F14" s="1">
        <f t="shared" si="4"/>
        <v>5600</v>
      </c>
      <c r="G14" s="1">
        <f t="shared" si="5"/>
        <v>1</v>
      </c>
      <c r="H14" s="1">
        <f t="shared" si="6"/>
        <v>1</v>
      </c>
      <c r="I14" s="1">
        <f t="shared" ref="I14:J14" si="26">G14^2</f>
        <v>1</v>
      </c>
      <c r="J14" s="1">
        <f t="shared" si="26"/>
        <v>1</v>
      </c>
      <c r="K14" s="1">
        <f t="shared" si="8"/>
        <v>1</v>
      </c>
      <c r="L14" s="1"/>
      <c r="M14" s="1">
        <v>10.0</v>
      </c>
      <c r="N14" s="1">
        <v>6.0</v>
      </c>
      <c r="O14" s="1">
        <v>8.0</v>
      </c>
      <c r="P14" s="1">
        <f t="shared" si="9"/>
        <v>-2</v>
      </c>
      <c r="Q14" s="1">
        <f t="shared" si="10"/>
        <v>4</v>
      </c>
      <c r="R14" s="8"/>
      <c r="S14" s="8"/>
      <c r="T14" s="8"/>
      <c r="U14" s="8"/>
      <c r="V14" s="8"/>
      <c r="W14" s="8"/>
      <c r="X14" s="8"/>
      <c r="Y14" s="8"/>
      <c r="Z14" s="8"/>
    </row>
    <row r="15">
      <c r="A15" s="8"/>
      <c r="B15" s="1">
        <v>69.0</v>
      </c>
      <c r="C15" s="1">
        <v>65.0</v>
      </c>
      <c r="D15" s="1">
        <f t="shared" ref="D15:E15" si="27">B15^2</f>
        <v>4761</v>
      </c>
      <c r="E15" s="1">
        <f t="shared" si="27"/>
        <v>4225</v>
      </c>
      <c r="F15" s="1">
        <f t="shared" si="4"/>
        <v>4485</v>
      </c>
      <c r="G15" s="1">
        <f t="shared" si="5"/>
        <v>-0.1</v>
      </c>
      <c r="H15" s="1">
        <f t="shared" si="6"/>
        <v>0</v>
      </c>
      <c r="I15" s="1">
        <f t="shared" ref="I15:J15" si="28">G15^2</f>
        <v>0.01</v>
      </c>
      <c r="J15" s="1">
        <f t="shared" si="28"/>
        <v>0</v>
      </c>
      <c r="K15" s="1">
        <f t="shared" si="8"/>
        <v>0</v>
      </c>
      <c r="L15" s="1"/>
      <c r="M15" s="1"/>
      <c r="N15" s="1"/>
      <c r="O15" s="1"/>
      <c r="P15" s="1"/>
      <c r="Q15" s="1"/>
      <c r="R15" s="8"/>
      <c r="S15" s="8"/>
      <c r="T15" s="8"/>
      <c r="U15" s="8"/>
      <c r="V15" s="8"/>
      <c r="W15" s="8"/>
      <c r="X15" s="8"/>
      <c r="Y15" s="8"/>
      <c r="Z15" s="8"/>
    </row>
    <row r="16">
      <c r="A16" s="1"/>
      <c r="B16" s="1">
        <v>60.0</v>
      </c>
      <c r="C16" s="1">
        <v>65.0</v>
      </c>
      <c r="D16" s="1">
        <f t="shared" ref="D16:E16" si="29">B16^2</f>
        <v>3600</v>
      </c>
      <c r="E16" s="1">
        <f t="shared" si="29"/>
        <v>4225</v>
      </c>
      <c r="F16" s="1">
        <f t="shared" si="4"/>
        <v>3900</v>
      </c>
      <c r="G16" s="1">
        <f t="shared" si="5"/>
        <v>-1</v>
      </c>
      <c r="H16" s="1">
        <f t="shared" si="6"/>
        <v>0</v>
      </c>
      <c r="I16" s="1">
        <f t="shared" ref="I16:J16" si="30">G16^2</f>
        <v>1</v>
      </c>
      <c r="J16" s="1">
        <f t="shared" si="30"/>
        <v>0</v>
      </c>
      <c r="K16" s="1">
        <f t="shared" si="8"/>
        <v>0</v>
      </c>
      <c r="L16" s="1"/>
      <c r="M16" s="1" t="s">
        <v>28</v>
      </c>
      <c r="N16" s="1"/>
      <c r="O16" s="1" t="s">
        <v>118</v>
      </c>
      <c r="P16" s="1"/>
      <c r="Q16" s="1">
        <f>SUM(Q5:Q14)</f>
        <v>92</v>
      </c>
      <c r="R16" s="8"/>
      <c r="S16" s="8"/>
      <c r="T16" s="8"/>
      <c r="U16" s="8"/>
      <c r="V16" s="8"/>
      <c r="W16" s="8"/>
      <c r="X16" s="8"/>
      <c r="Y16" s="8"/>
      <c r="Z16" s="8"/>
    </row>
    <row r="17">
      <c r="A17" s="1"/>
      <c r="B17" s="1"/>
      <c r="C17" s="1"/>
      <c r="D17" s="1"/>
      <c r="E17" s="1"/>
      <c r="F17" s="1"/>
      <c r="G17" s="22" t="s">
        <v>119</v>
      </c>
      <c r="H17" s="22" t="s">
        <v>120</v>
      </c>
      <c r="I17" s="1"/>
      <c r="J17" s="1"/>
      <c r="K17" s="1"/>
      <c r="L17" s="1"/>
      <c r="M17" s="1"/>
      <c r="N17" s="1"/>
      <c r="O17" s="1"/>
      <c r="P17" s="1"/>
      <c r="Q17" s="1"/>
      <c r="R17" s="8"/>
      <c r="S17" s="8"/>
      <c r="T17" s="8"/>
      <c r="U17" s="8"/>
      <c r="V17" s="8"/>
      <c r="W17" s="8"/>
      <c r="X17" s="8"/>
      <c r="Y17" s="8"/>
      <c r="Z17" s="8"/>
    </row>
    <row r="18">
      <c r="A18" s="21" t="s">
        <v>28</v>
      </c>
      <c r="B18" s="1">
        <f t="shared" ref="B18:K18" si="31">SUM(B5:B16)</f>
        <v>816</v>
      </c>
      <c r="C18" s="1">
        <f t="shared" si="31"/>
        <v>788</v>
      </c>
      <c r="D18" s="1">
        <f t="shared" si="31"/>
        <v>56484</v>
      </c>
      <c r="E18" s="1">
        <f t="shared" si="31"/>
        <v>51806</v>
      </c>
      <c r="F18" s="1">
        <f t="shared" si="31"/>
        <v>53724</v>
      </c>
      <c r="G18" s="1">
        <f t="shared" si="31"/>
        <v>-2.4</v>
      </c>
      <c r="H18" s="1">
        <f t="shared" si="31"/>
        <v>1.6</v>
      </c>
      <c r="I18" s="1">
        <f t="shared" si="31"/>
        <v>10.44</v>
      </c>
      <c r="J18" s="1">
        <f t="shared" si="31"/>
        <v>2.64</v>
      </c>
      <c r="K18" s="1">
        <f t="shared" si="31"/>
        <v>2.48</v>
      </c>
      <c r="L18" s="1"/>
      <c r="M18" s="1"/>
      <c r="N18" s="1"/>
      <c r="O18" s="1"/>
      <c r="P18" s="1"/>
      <c r="Q18" s="1"/>
      <c r="R18" s="8"/>
      <c r="S18" s="8"/>
      <c r="T18" s="8"/>
      <c r="U18" s="8"/>
      <c r="V18" s="8"/>
      <c r="W18" s="8"/>
      <c r="X18" s="8"/>
      <c r="Y18" s="8"/>
      <c r="Z18" s="8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7" t="s">
        <v>121</v>
      </c>
      <c r="O19" s="1"/>
      <c r="P19" s="1"/>
      <c r="Q19" s="1">
        <f>1-((6*Q16)/(10*(10^2-1)))</f>
        <v>0.4424242424</v>
      </c>
      <c r="R19" s="8"/>
      <c r="S19" s="8"/>
      <c r="T19" s="8"/>
      <c r="U19" s="8"/>
      <c r="V19" s="8"/>
      <c r="W19" s="8"/>
      <c r="X19" s="8"/>
      <c r="Y19" s="8"/>
      <c r="Z19" s="8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3" t="s">
        <v>122</v>
      </c>
      <c r="B21" s="23"/>
      <c r="C21" s="1">
        <f>((12*F18)-B18*C18)/SQRT((12*D18-B18^2)*(12*E18-C18^2))</f>
        <v>0.569538779</v>
      </c>
      <c r="D21" s="1"/>
      <c r="E21" s="17" t="s">
        <v>123</v>
      </c>
      <c r="F21" s="1"/>
      <c r="G21" s="1"/>
      <c r="H21" s="1"/>
      <c r="I21" s="1"/>
      <c r="J21" s="1"/>
      <c r="K21" s="1"/>
      <c r="L21" s="1"/>
      <c r="M21" s="1"/>
      <c r="N21" s="17" t="s">
        <v>124</v>
      </c>
      <c r="O21" s="1"/>
      <c r="P21" s="1"/>
      <c r="Q21" s="1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B22" s="1"/>
      <c r="C22" s="1">
        <f>(12*F18-B18*C18)/(12*E18-C18^2)</f>
        <v>2.307692308</v>
      </c>
      <c r="D22" s="1"/>
      <c r="E22" s="17" t="s">
        <v>125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B23" s="1"/>
      <c r="C23" s="1">
        <f>(12*F18-B18*C18)/(12*D18-B18^2)</f>
        <v>0.140562249</v>
      </c>
      <c r="D23" s="1"/>
      <c r="E23" s="17" t="s">
        <v>126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3" t="s">
        <v>127</v>
      </c>
      <c r="B25" s="1"/>
      <c r="C25" s="1">
        <f>((12*K18)-G18*H18)/SQRT((12*I18-G18^2)*(12*J18-H18^2))</f>
        <v>0.569538779</v>
      </c>
      <c r="D25" s="1"/>
      <c r="E25" s="1"/>
      <c r="F25" s="1"/>
      <c r="G25" s="1"/>
      <c r="H25" s="1"/>
      <c r="I25" s="1"/>
      <c r="J25" s="1"/>
      <c r="K25" s="1"/>
      <c r="L25" s="1" t="s">
        <v>128</v>
      </c>
      <c r="M25" s="1" t="s">
        <v>129</v>
      </c>
      <c r="N25" s="1"/>
      <c r="O25" s="1"/>
      <c r="P25" s="1"/>
      <c r="Q25" s="1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B26" s="1"/>
      <c r="C26" s="1">
        <f>(10/5)*((12*K18)-G18*H18)/(12*J18-H18^2)</f>
        <v>2.307692308</v>
      </c>
      <c r="D26" s="1"/>
      <c r="E26" s="1"/>
      <c r="F26" s="1"/>
      <c r="G26" s="1"/>
      <c r="H26" s="1"/>
      <c r="I26" s="1"/>
      <c r="J26" s="1"/>
      <c r="K26" s="1"/>
      <c r="L26" s="1">
        <f>2.31*65-91.41</f>
        <v>58.74</v>
      </c>
      <c r="M26" s="1">
        <f>(65-58.81)/0.14</f>
        <v>44.21428571</v>
      </c>
      <c r="N26" s="1"/>
      <c r="O26" s="1"/>
      <c r="P26" s="1"/>
      <c r="Q26" s="1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B27" s="1"/>
      <c r="C27" s="1">
        <f>(5/10)*((12*K18)-G18*H18)/(12*I18-G18^2)</f>
        <v>0.140562249</v>
      </c>
      <c r="D27" s="1"/>
      <c r="E27" s="1"/>
      <c r="F27" s="1"/>
      <c r="G27" s="1"/>
      <c r="H27" s="1"/>
      <c r="I27" s="1"/>
      <c r="J27" s="1"/>
      <c r="K27" s="1"/>
      <c r="L27" s="1">
        <f>2.31*70-91.41</f>
        <v>70.29</v>
      </c>
      <c r="M27" s="1">
        <f>(70-58.81)/0.14</f>
        <v>79.92857143</v>
      </c>
      <c r="N27" s="1"/>
      <c r="O27" s="1"/>
      <c r="P27" s="1"/>
      <c r="Q27" s="1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1"/>
      <c r="B29" s="1"/>
      <c r="C29" s="1">
        <f>B18/12</f>
        <v>68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1"/>
      <c r="B30" s="1"/>
      <c r="C30" s="1">
        <f>C18/12</f>
        <v>65.66666667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1"/>
      <c r="B32" s="8"/>
      <c r="C32" s="1" t="s">
        <v>130</v>
      </c>
      <c r="D32" s="1"/>
      <c r="E32" s="8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1"/>
      <c r="B33" s="8"/>
      <c r="C33" s="8"/>
      <c r="D33" s="8"/>
      <c r="E33" s="8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1"/>
      <c r="B34" s="1"/>
      <c r="C34" s="1" t="s">
        <v>131</v>
      </c>
      <c r="D34" s="1"/>
      <c r="E34" s="8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1"/>
      <c r="B35" s="8"/>
      <c r="C35" s="1" t="s">
        <v>132</v>
      </c>
      <c r="D35" s="1"/>
      <c r="E35" s="8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1"/>
      <c r="B36" s="8"/>
      <c r="C36" s="8"/>
      <c r="D36" s="8"/>
      <c r="E36" s="8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1"/>
      <c r="B37" s="8"/>
      <c r="C37" s="1" t="s">
        <v>133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1"/>
      <c r="B38" s="8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8"/>
      <c r="B39" s="1"/>
      <c r="C39" s="1" t="s">
        <v>134</v>
      </c>
      <c r="D39" s="1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8"/>
      <c r="B40" s="1"/>
      <c r="C40" s="1" t="s">
        <v>135</v>
      </c>
      <c r="D40" s="1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2">
    <mergeCell ref="A21:A23"/>
    <mergeCell ref="A25:A27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