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80" windowHeight="12915"/>
  </bookViews>
  <sheets>
    <sheet name="Sheet1" sheetId="1" r:id="rId1"/>
    <sheet name="Sheet2" sheetId="2" r:id="rId2"/>
    <sheet name="Sheet3" sheetId="3" r:id="rId3"/>
  </sheets>
  <definedNames>
    <definedName name="B">Sheet1!$F$4</definedName>
    <definedName name="bbk">Sheet1!$F$13</definedName>
    <definedName name="Bf">Sheet1!$U$21</definedName>
    <definedName name="BL">Sheet1!$X$20</definedName>
    <definedName name="BR">Sheet1!#REF!</definedName>
    <definedName name="Cb">Sheet1!$F$5</definedName>
    <definedName name="Cf">Sheet1!$U$17</definedName>
    <definedName name="Cm">Sheet1!$F$6</definedName>
    <definedName name="d">Sheet1!$F$7</definedName>
    <definedName name="fa">Sheet1!$F$32</definedName>
    <definedName name="g">Sheet1!$O$6</definedName>
    <definedName name="Ka">Sheet1!$O$14</definedName>
    <definedName name="L">Sheet1!$F$3</definedName>
    <definedName name="lbk">Sheet1!$F$14</definedName>
    <definedName name="mu">Sheet1!$F$34</definedName>
    <definedName name="nu">Sheet1!$O$5</definedName>
    <definedName name="OG">Sheet1!$O$12</definedName>
    <definedName name="rf">Sheet1!$U$16</definedName>
    <definedName name="rho">Sheet1!$O$3</definedName>
    <definedName name="Sf">Sheet1!$O$11</definedName>
    <definedName name="Tr">Sheet1!$F$33</definedName>
    <definedName name="V">Sheet1!$F$10</definedName>
    <definedName name="we">Sheet1!$O$13</definedName>
  </definedNames>
  <calcPr calcId="145621"/>
</workbook>
</file>

<file path=xl/calcChain.xml><?xml version="1.0" encoding="utf-8"?>
<calcChain xmlns="http://schemas.openxmlformats.org/spreadsheetml/2006/main">
  <c r="O13" i="1" l="1"/>
  <c r="U25" i="1" l="1"/>
  <c r="U26" i="1" l="1"/>
  <c r="U29" i="1" s="1"/>
  <c r="R27" i="1" s="1"/>
  <c r="F14" i="1"/>
  <c r="F9" i="1"/>
  <c r="O12" i="1" s="1"/>
  <c r="AA24" i="1"/>
  <c r="F27" i="1"/>
  <c r="AA17" i="1" s="1"/>
  <c r="O11" i="1"/>
  <c r="O14" i="1"/>
  <c r="AE31" i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25" i="1"/>
  <c r="AE24" i="1"/>
  <c r="AE23" i="1"/>
  <c r="AE22" i="1"/>
  <c r="AE21" i="1"/>
  <c r="AE20" i="1"/>
  <c r="AE19" i="1"/>
  <c r="AE18" i="1"/>
  <c r="AE17" i="1"/>
  <c r="AE16" i="1"/>
  <c r="AF16" i="1" s="1"/>
  <c r="AH25" i="1"/>
  <c r="AH24" i="1"/>
  <c r="AO37" i="1" s="1"/>
  <c r="AR37" i="1" s="1"/>
  <c r="AH23" i="1"/>
  <c r="AH22" i="1"/>
  <c r="AH21" i="1"/>
  <c r="AH20" i="1"/>
  <c r="AH19" i="1"/>
  <c r="AH18" i="1"/>
  <c r="AH17" i="1"/>
  <c r="AH16" i="1"/>
  <c r="AG25" i="1"/>
  <c r="AT38" i="1" s="1"/>
  <c r="AG24" i="1"/>
  <c r="AT37" i="1" s="1"/>
  <c r="AG23" i="1"/>
  <c r="AT36" i="1" s="1"/>
  <c r="AG22" i="1"/>
  <c r="AT35" i="1" s="1"/>
  <c r="AG21" i="1"/>
  <c r="AT34" i="1" s="1"/>
  <c r="AG20" i="1"/>
  <c r="AT33" i="1" s="1"/>
  <c r="AG19" i="1"/>
  <c r="AT32" i="1" s="1"/>
  <c r="AG18" i="1"/>
  <c r="AT31" i="1" s="1"/>
  <c r="AG17" i="1"/>
  <c r="AT30" i="1" s="1"/>
  <c r="AG16" i="1"/>
  <c r="AT29" i="1" s="1"/>
  <c r="R31" i="1" l="1"/>
  <c r="Q33" i="1"/>
  <c r="R32" i="1" s="1"/>
  <c r="AN49" i="1"/>
  <c r="AN47" i="1"/>
  <c r="AN48" i="1"/>
  <c r="AN45" i="1"/>
  <c r="AN44" i="1"/>
  <c r="AN46" i="1"/>
  <c r="AN43" i="1"/>
  <c r="AN50" i="1"/>
  <c r="AN51" i="1"/>
  <c r="AO38" i="1"/>
  <c r="AR38" i="1" s="1"/>
  <c r="AO35" i="1"/>
  <c r="AR35" i="1" s="1"/>
  <c r="AO33" i="1"/>
  <c r="AR33" i="1" s="1"/>
  <c r="AO31" i="1"/>
  <c r="AR31" i="1" s="1"/>
  <c r="AO30" i="1"/>
  <c r="AR30" i="1" s="1"/>
  <c r="AO34" i="1"/>
  <c r="AR34" i="1" s="1"/>
  <c r="AO32" i="1"/>
  <c r="AR32" i="1" s="1"/>
  <c r="AO29" i="1"/>
  <c r="AR29" i="1" s="1"/>
  <c r="AO36" i="1"/>
  <c r="AR36" i="1" s="1"/>
  <c r="AN42" i="1"/>
  <c r="Y11" i="1"/>
  <c r="Y10" i="1"/>
  <c r="AF22" i="1"/>
  <c r="AJ24" i="1"/>
  <c r="AJ22" i="1"/>
  <c r="AW35" i="1" s="1"/>
  <c r="AF25" i="1"/>
  <c r="AF20" i="1"/>
  <c r="AJ16" i="1"/>
  <c r="AJ23" i="1"/>
  <c r="AJ19" i="1"/>
  <c r="AU32" i="1" s="1"/>
  <c r="AJ17" i="1"/>
  <c r="AU30" i="1" s="1"/>
  <c r="AJ20" i="1"/>
  <c r="AJ18" i="1"/>
  <c r="AF17" i="1"/>
  <c r="AF23" i="1"/>
  <c r="AJ21" i="1"/>
  <c r="AU34" i="1" s="1"/>
  <c r="AF21" i="1"/>
  <c r="AJ25" i="1"/>
  <c r="AF19" i="1"/>
  <c r="AF24" i="1"/>
  <c r="AF18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C68" i="1"/>
  <c r="C69" i="1"/>
  <c r="C70" i="1"/>
  <c r="C71" i="1"/>
  <c r="C72" i="1"/>
  <c r="C73" i="1"/>
  <c r="C74" i="1"/>
  <c r="C75" i="1"/>
  <c r="C76" i="1"/>
  <c r="C67" i="1"/>
  <c r="B68" i="1"/>
  <c r="B69" i="1"/>
  <c r="B70" i="1"/>
  <c r="B71" i="1"/>
  <c r="B72" i="1"/>
  <c r="B73" i="1"/>
  <c r="B74" i="1"/>
  <c r="B75" i="1"/>
  <c r="B76" i="1"/>
  <c r="B67" i="1"/>
  <c r="X18" i="1"/>
  <c r="X19" i="1" s="1"/>
  <c r="X17" i="1"/>
  <c r="X16" i="1"/>
  <c r="O5" i="1"/>
  <c r="F29" i="1"/>
  <c r="F22" i="1"/>
  <c r="O9" i="1"/>
  <c r="O10" i="1"/>
  <c r="M72" i="1" l="1"/>
  <c r="M67" i="1"/>
  <c r="M71" i="1"/>
  <c r="M75" i="1"/>
  <c r="P73" i="1"/>
  <c r="D80" i="1"/>
  <c r="D84" i="1"/>
  <c r="G82" i="1"/>
  <c r="AP38" i="1"/>
  <c r="AU38" i="1"/>
  <c r="AV38" i="1" s="1"/>
  <c r="AU35" i="1"/>
  <c r="AV35" i="1" s="1"/>
  <c r="AP30" i="1"/>
  <c r="AP32" i="1"/>
  <c r="AU31" i="1"/>
  <c r="AV31" i="1" s="1"/>
  <c r="AP31" i="1"/>
  <c r="AP34" i="1"/>
  <c r="AU33" i="1"/>
  <c r="AV33" i="1" s="1"/>
  <c r="AP33" i="1"/>
  <c r="AP37" i="1"/>
  <c r="AU37" i="1"/>
  <c r="AV37" i="1" s="1"/>
  <c r="AU36" i="1"/>
  <c r="AV36" i="1" s="1"/>
  <c r="AP35" i="1"/>
  <c r="AP36" i="1"/>
  <c r="AW37" i="1"/>
  <c r="AW31" i="1"/>
  <c r="AW32" i="1"/>
  <c r="AW38" i="1"/>
  <c r="AW36" i="1"/>
  <c r="AQ34" i="1"/>
  <c r="AW34" i="1"/>
  <c r="AW30" i="1"/>
  <c r="AQ31" i="1"/>
  <c r="AQ35" i="1"/>
  <c r="AQ33" i="1"/>
  <c r="AW33" i="1"/>
  <c r="AW29" i="1"/>
  <c r="AQ38" i="1"/>
  <c r="AV32" i="1"/>
  <c r="AQ32" i="1"/>
  <c r="AQ36" i="1"/>
  <c r="AQ29" i="1"/>
  <c r="AQ37" i="1"/>
  <c r="AQ30" i="1"/>
  <c r="P80" i="1"/>
  <c r="AU29" i="1"/>
  <c r="AV29" i="1" s="1"/>
  <c r="AV30" i="1"/>
  <c r="AV34" i="1"/>
  <c r="AP29" i="1"/>
  <c r="G83" i="1"/>
  <c r="G87" i="1"/>
  <c r="P81" i="1"/>
  <c r="P85" i="1"/>
  <c r="P89" i="1"/>
  <c r="J83" i="1"/>
  <c r="J87" i="1"/>
  <c r="M81" i="1"/>
  <c r="AA23" i="1"/>
  <c r="AA18" i="1"/>
  <c r="AA25" i="1"/>
  <c r="AA16" i="1"/>
  <c r="D67" i="1"/>
  <c r="D82" i="1"/>
  <c r="G84" i="1"/>
  <c r="J86" i="1"/>
  <c r="M88" i="1"/>
  <c r="BD19" i="1"/>
  <c r="BD24" i="1"/>
  <c r="BD20" i="1"/>
  <c r="BD23" i="1"/>
  <c r="BD25" i="1"/>
  <c r="M89" i="1"/>
  <c r="J82" i="1"/>
  <c r="J81" i="1"/>
  <c r="G89" i="1"/>
  <c r="BD22" i="1"/>
  <c r="BD21" i="1"/>
  <c r="M74" i="1"/>
  <c r="M68" i="1"/>
  <c r="BD17" i="1"/>
  <c r="BD18" i="1"/>
  <c r="BD16" i="1"/>
  <c r="G74" i="1"/>
  <c r="J68" i="1"/>
  <c r="J72" i="1"/>
  <c r="G69" i="1"/>
  <c r="G73" i="1"/>
  <c r="J67" i="1"/>
  <c r="J71" i="1"/>
  <c r="J74" i="1"/>
  <c r="M76" i="1"/>
  <c r="P70" i="1"/>
  <c r="P74" i="1"/>
  <c r="D81" i="1"/>
  <c r="D85" i="1"/>
  <c r="D72" i="1"/>
  <c r="G67" i="1"/>
  <c r="D71" i="1"/>
  <c r="G75" i="1"/>
  <c r="J69" i="1"/>
  <c r="P83" i="1"/>
  <c r="G72" i="1"/>
  <c r="G76" i="1"/>
  <c r="J80" i="1"/>
  <c r="J84" i="1"/>
  <c r="J88" i="1"/>
  <c r="M82" i="1"/>
  <c r="M86" i="1"/>
  <c r="P84" i="1"/>
  <c r="P88" i="1"/>
  <c r="G70" i="1"/>
  <c r="J75" i="1"/>
  <c r="M69" i="1"/>
  <c r="M73" i="1"/>
  <c r="P67" i="1"/>
  <c r="P71" i="1"/>
  <c r="P75" i="1"/>
  <c r="G80" i="1"/>
  <c r="J85" i="1"/>
  <c r="J76" i="1"/>
  <c r="P68" i="1"/>
  <c r="D83" i="1"/>
  <c r="D87" i="1"/>
  <c r="P82" i="1"/>
  <c r="P86" i="1"/>
  <c r="P87" i="1"/>
  <c r="M84" i="1"/>
  <c r="M80" i="1"/>
  <c r="M83" i="1"/>
  <c r="M87" i="1"/>
  <c r="M85" i="1"/>
  <c r="J89" i="1"/>
  <c r="G85" i="1"/>
  <c r="G86" i="1"/>
  <c r="G81" i="1"/>
  <c r="G88" i="1"/>
  <c r="D86" i="1"/>
  <c r="D88" i="1"/>
  <c r="D89" i="1"/>
  <c r="P72" i="1"/>
  <c r="P69" i="1"/>
  <c r="P76" i="1"/>
  <c r="M70" i="1"/>
  <c r="J73" i="1"/>
  <c r="J70" i="1"/>
  <c r="G71" i="1"/>
  <c r="G68" i="1"/>
  <c r="D74" i="1"/>
  <c r="D73" i="1"/>
  <c r="D75" i="1"/>
  <c r="D76" i="1"/>
  <c r="D68" i="1"/>
  <c r="D70" i="1"/>
  <c r="D69" i="1"/>
  <c r="X20" i="1"/>
  <c r="Q21" i="1" s="1"/>
  <c r="U16" i="1"/>
  <c r="R21" i="1" l="1"/>
  <c r="AA26" i="1"/>
  <c r="Q25" i="1" s="1"/>
  <c r="AA19" i="1"/>
  <c r="Q26" i="1" s="1"/>
  <c r="R26" i="1" s="1"/>
  <c r="U17" i="1"/>
  <c r="U19" i="1" s="1"/>
  <c r="P90" i="1"/>
  <c r="AD25" i="1" s="1"/>
  <c r="AI25" i="1" s="1"/>
  <c r="AJ38" i="1" s="1"/>
  <c r="AK38" i="1" s="1"/>
  <c r="J90" i="1"/>
  <c r="AD23" i="1" s="1"/>
  <c r="AI23" i="1" s="1"/>
  <c r="AJ36" i="1" s="1"/>
  <c r="AK36" i="1" s="1"/>
  <c r="G90" i="1"/>
  <c r="AD22" i="1" s="1"/>
  <c r="AI22" i="1" s="1"/>
  <c r="AJ35" i="1" s="1"/>
  <c r="AK35" i="1" s="1"/>
  <c r="P77" i="1"/>
  <c r="AD20" i="1" s="1"/>
  <c r="AI20" i="1" s="1"/>
  <c r="G77" i="1"/>
  <c r="AD17" i="1" s="1"/>
  <c r="AI17" i="1" s="1"/>
  <c r="D77" i="1"/>
  <c r="AD16" i="1" s="1"/>
  <c r="AI16" i="1" s="1"/>
  <c r="J77" i="1"/>
  <c r="AD18" i="1" s="1"/>
  <c r="AI18" i="1" s="1"/>
  <c r="M90" i="1"/>
  <c r="AD24" i="1" s="1"/>
  <c r="AI24" i="1" s="1"/>
  <c r="M77" i="1"/>
  <c r="AD19" i="1" s="1"/>
  <c r="AI19" i="1" s="1"/>
  <c r="D90" i="1"/>
  <c r="AD21" i="1" s="1"/>
  <c r="AI21" i="1" s="1"/>
  <c r="R25" i="1" l="1"/>
  <c r="AJ37" i="1"/>
  <c r="AK37" i="1" s="1"/>
  <c r="AJ30" i="1"/>
  <c r="AK30" i="1" s="1"/>
  <c r="AJ33" i="1"/>
  <c r="AK33" i="1" s="1"/>
  <c r="AJ31" i="1"/>
  <c r="AK31" i="1" s="1"/>
  <c r="AJ29" i="1"/>
  <c r="AK29" i="1" s="1"/>
  <c r="AJ34" i="1"/>
  <c r="AK34" i="1" s="1"/>
  <c r="AJ32" i="1"/>
  <c r="AK32" i="1" s="1"/>
  <c r="AQ22" i="1"/>
  <c r="AM35" i="1"/>
  <c r="AQ23" i="1"/>
  <c r="AM36" i="1"/>
  <c r="AQ25" i="1"/>
  <c r="AM38" i="1"/>
  <c r="BM19" i="1"/>
  <c r="BN19" i="1" s="1"/>
  <c r="AQ19" i="1"/>
  <c r="BM24" i="1"/>
  <c r="BN24" i="1" s="1"/>
  <c r="AQ24" i="1"/>
  <c r="BM18" i="1"/>
  <c r="BN18" i="1" s="1"/>
  <c r="AQ18" i="1"/>
  <c r="BM16" i="1"/>
  <c r="AQ16" i="1"/>
  <c r="BM17" i="1"/>
  <c r="BN17" i="1" s="1"/>
  <c r="AQ17" i="1"/>
  <c r="BM20" i="1"/>
  <c r="BN20" i="1" s="1"/>
  <c r="AQ20" i="1"/>
  <c r="BM21" i="1"/>
  <c r="BN21" i="1" s="1"/>
  <c r="AQ21" i="1"/>
  <c r="BN16" i="1"/>
  <c r="AK22" i="1"/>
  <c r="AM22" i="1" s="1"/>
  <c r="BM22" i="1"/>
  <c r="BM23" i="1"/>
  <c r="BM25" i="1"/>
  <c r="BH16" i="1"/>
  <c r="BC16" i="1"/>
  <c r="BG16" i="1"/>
  <c r="AK16" i="1"/>
  <c r="AN16" i="1" s="1"/>
  <c r="U20" i="1"/>
  <c r="U21" i="1" s="1"/>
  <c r="Q20" i="1" s="1"/>
  <c r="BG25" i="1"/>
  <c r="BH25" i="1"/>
  <c r="AK25" i="1"/>
  <c r="AN25" i="1" s="1"/>
  <c r="AO25" i="1" s="1"/>
  <c r="AP25" i="1" s="1"/>
  <c r="BC25" i="1"/>
  <c r="BH24" i="1"/>
  <c r="BC24" i="1"/>
  <c r="BG24" i="1"/>
  <c r="AK24" i="1"/>
  <c r="BC23" i="1"/>
  <c r="BH23" i="1"/>
  <c r="BG23" i="1"/>
  <c r="AK23" i="1"/>
  <c r="AL23" i="1" s="1"/>
  <c r="BG22" i="1"/>
  <c r="BH22" i="1"/>
  <c r="BC22" i="1"/>
  <c r="AK21" i="1"/>
  <c r="BC21" i="1"/>
  <c r="BH21" i="1"/>
  <c r="BG21" i="1"/>
  <c r="BG20" i="1"/>
  <c r="BC20" i="1"/>
  <c r="AK20" i="1"/>
  <c r="BH20" i="1"/>
  <c r="AK19" i="1"/>
  <c r="BG19" i="1"/>
  <c r="BC19" i="1"/>
  <c r="BH19" i="1"/>
  <c r="BH17" i="1"/>
  <c r="BG17" i="1"/>
  <c r="AK17" i="1"/>
  <c r="BC17" i="1"/>
  <c r="BH18" i="1"/>
  <c r="BC18" i="1"/>
  <c r="AK18" i="1"/>
  <c r="BG18" i="1"/>
  <c r="AL37" i="1" l="1"/>
  <c r="AL29" i="1"/>
  <c r="R20" i="1"/>
  <c r="AM31" i="1"/>
  <c r="AL33" i="1"/>
  <c r="AL31" i="1"/>
  <c r="AM37" i="1"/>
  <c r="AL34" i="1"/>
  <c r="AM32" i="1"/>
  <c r="AM33" i="1"/>
  <c r="AM34" i="1"/>
  <c r="AM30" i="1"/>
  <c r="AL30" i="1"/>
  <c r="AL32" i="1"/>
  <c r="AM29" i="1"/>
  <c r="AL38" i="1"/>
  <c r="AL36" i="1"/>
  <c r="AL35" i="1"/>
  <c r="BN22" i="1"/>
  <c r="AL22" i="1"/>
  <c r="AN22" i="1"/>
  <c r="AO22" i="1" s="1"/>
  <c r="AP22" i="1" s="1"/>
  <c r="BN25" i="1"/>
  <c r="BN23" i="1"/>
  <c r="AL16" i="1"/>
  <c r="AM16" i="1"/>
  <c r="AM25" i="1"/>
  <c r="AL25" i="1"/>
  <c r="AT25" i="1"/>
  <c r="AR25" i="1"/>
  <c r="AM24" i="1"/>
  <c r="AN24" i="1"/>
  <c r="AO24" i="1" s="1"/>
  <c r="AP24" i="1" s="1"/>
  <c r="AL24" i="1"/>
  <c r="AM23" i="1"/>
  <c r="AN23" i="1"/>
  <c r="AO23" i="1" s="1"/>
  <c r="AP23" i="1" s="1"/>
  <c r="AL21" i="1"/>
  <c r="AN21" i="1"/>
  <c r="AO21" i="1" s="1"/>
  <c r="AP21" i="1" s="1"/>
  <c r="AM21" i="1"/>
  <c r="AL20" i="1"/>
  <c r="AM20" i="1"/>
  <c r="AN20" i="1"/>
  <c r="AO20" i="1" s="1"/>
  <c r="AP20" i="1" s="1"/>
  <c r="AL19" i="1"/>
  <c r="AN19" i="1"/>
  <c r="AM19" i="1"/>
  <c r="AM17" i="1"/>
  <c r="AL17" i="1"/>
  <c r="AN17" i="1"/>
  <c r="AO17" i="1" s="1"/>
  <c r="AM18" i="1"/>
  <c r="AN18" i="1"/>
  <c r="AL18" i="1"/>
  <c r="AO16" i="1"/>
  <c r="AK42" i="1" l="1"/>
  <c r="AS42" i="1" s="1"/>
  <c r="AJ50" i="1"/>
  <c r="AM50" i="1" s="1"/>
  <c r="AJ43" i="1"/>
  <c r="AJ3" i="1" s="1"/>
  <c r="AK3" i="1" s="1"/>
  <c r="AK50" i="1"/>
  <c r="AS50" i="1" s="1"/>
  <c r="AK43" i="1"/>
  <c r="AS43" i="1" s="1"/>
  <c r="AJ44" i="1"/>
  <c r="AJ4" i="1" s="1"/>
  <c r="AK4" i="1" s="1"/>
  <c r="AK44" i="1"/>
  <c r="AS44" i="1" s="1"/>
  <c r="AJ47" i="1"/>
  <c r="AJ7" i="1" s="1"/>
  <c r="AK7" i="1" s="1"/>
  <c r="AJ42" i="1"/>
  <c r="AJ2" i="1" s="1"/>
  <c r="AK2" i="1" s="1"/>
  <c r="AJ46" i="1"/>
  <c r="AM46" i="1" s="1"/>
  <c r="AJ45" i="1"/>
  <c r="BO19" i="1" s="1"/>
  <c r="AK46" i="1"/>
  <c r="AS46" i="1" s="1"/>
  <c r="AK45" i="1"/>
  <c r="AS45" i="1" s="1"/>
  <c r="AK47" i="1"/>
  <c r="AJ49" i="1"/>
  <c r="AK49" i="1"/>
  <c r="AS49" i="1" s="1"/>
  <c r="AJ48" i="1"/>
  <c r="AK48" i="1"/>
  <c r="AS48" i="1" s="1"/>
  <c r="AJ51" i="1"/>
  <c r="AK51" i="1"/>
  <c r="AS51" i="1" s="1"/>
  <c r="AR22" i="1"/>
  <c r="AT22" i="1"/>
  <c r="AU22" i="1" s="1"/>
  <c r="AO19" i="1"/>
  <c r="AT19" i="1" s="1"/>
  <c r="AU19" i="1" s="1"/>
  <c r="AH31" i="1"/>
  <c r="AV25" i="1"/>
  <c r="AW25" i="1" s="1"/>
  <c r="AU25" i="1"/>
  <c r="AR24" i="1"/>
  <c r="AT24" i="1"/>
  <c r="AU24" i="1" s="1"/>
  <c r="AR23" i="1"/>
  <c r="AT23" i="1"/>
  <c r="AU23" i="1" s="1"/>
  <c r="AR21" i="1"/>
  <c r="AT21" i="1"/>
  <c r="AU21" i="1" s="1"/>
  <c r="AT20" i="1"/>
  <c r="AU20" i="1" s="1"/>
  <c r="AR20" i="1"/>
  <c r="AP17" i="1"/>
  <c r="AR17" i="1"/>
  <c r="AT17" i="1"/>
  <c r="AO18" i="1"/>
  <c r="AT16" i="1"/>
  <c r="AR16" i="1"/>
  <c r="AP16" i="1"/>
  <c r="BP24" i="1" l="1"/>
  <c r="BQ24" i="1" s="1"/>
  <c r="BO24" i="1"/>
  <c r="AJ10" i="1"/>
  <c r="AK10" i="1" s="1"/>
  <c r="AM10" i="1" s="1"/>
  <c r="AM43" i="1"/>
  <c r="AO43" i="1" s="1"/>
  <c r="BO17" i="1"/>
  <c r="BP16" i="1"/>
  <c r="BR16" i="1" s="1"/>
  <c r="BP17" i="1"/>
  <c r="BQ17" i="1" s="1"/>
  <c r="BP18" i="1"/>
  <c r="BQ18" i="1" s="1"/>
  <c r="AJ5" i="1"/>
  <c r="AK5" i="1" s="1"/>
  <c r="AL5" i="1" s="1"/>
  <c r="BR24" i="1"/>
  <c r="BR18" i="1"/>
  <c r="BO18" i="1"/>
  <c r="AM44" i="1"/>
  <c r="AO44" i="1" s="1"/>
  <c r="AJ6" i="1"/>
  <c r="AK6" i="1" s="1"/>
  <c r="AM6" i="1" s="1"/>
  <c r="BO20" i="1"/>
  <c r="AM47" i="1"/>
  <c r="AQ47" i="1" s="1"/>
  <c r="BR17" i="1"/>
  <c r="BO16" i="1"/>
  <c r="AM42" i="1"/>
  <c r="AQ42" i="1" s="1"/>
  <c r="BR20" i="1"/>
  <c r="BO21" i="1"/>
  <c r="BP21" i="1"/>
  <c r="BQ21" i="1" s="1"/>
  <c r="AS47" i="1"/>
  <c r="AM45" i="1"/>
  <c r="AP45" i="1" s="1"/>
  <c r="BP20" i="1"/>
  <c r="BQ20" i="1" s="1"/>
  <c r="BR19" i="1"/>
  <c r="BR21" i="1"/>
  <c r="BP19" i="1"/>
  <c r="BQ19" i="1" s="1"/>
  <c r="AL2" i="1"/>
  <c r="AM2" i="1"/>
  <c r="BR22" i="1"/>
  <c r="AL3" i="1"/>
  <c r="AM3" i="1"/>
  <c r="BO22" i="1"/>
  <c r="AM48" i="1"/>
  <c r="AJ8" i="1"/>
  <c r="AK8" i="1" s="1"/>
  <c r="AL4" i="1"/>
  <c r="AM4" i="1"/>
  <c r="BO23" i="1"/>
  <c r="AJ9" i="1"/>
  <c r="AK9" i="1" s="1"/>
  <c r="AM49" i="1"/>
  <c r="BR25" i="1"/>
  <c r="AP46" i="1"/>
  <c r="AO46" i="1"/>
  <c r="AR46" i="1"/>
  <c r="AQ46" i="1"/>
  <c r="BR23" i="1"/>
  <c r="AQ50" i="1"/>
  <c r="AR50" i="1"/>
  <c r="AO50" i="1"/>
  <c r="AP50" i="1"/>
  <c r="BO25" i="1"/>
  <c r="AJ11" i="1"/>
  <c r="AK11" i="1" s="1"/>
  <c r="AM51" i="1"/>
  <c r="AM7" i="1"/>
  <c r="AL7" i="1"/>
  <c r="BP25" i="1"/>
  <c r="AT46" i="1"/>
  <c r="AT50" i="1"/>
  <c r="AU50" i="1" s="1"/>
  <c r="BP23" i="1"/>
  <c r="BP22" i="1"/>
  <c r="AV22" i="1"/>
  <c r="AW22" i="1" s="1"/>
  <c r="AX22" i="1" s="1"/>
  <c r="AZ22" i="1" s="1"/>
  <c r="AR19" i="1"/>
  <c r="AV19" i="1" s="1"/>
  <c r="AW19" i="1" s="1"/>
  <c r="AX19" i="1" s="1"/>
  <c r="AV20" i="1"/>
  <c r="AW20" i="1" s="1"/>
  <c r="AX20" i="1" s="1"/>
  <c r="AP19" i="1"/>
  <c r="AH30" i="1"/>
  <c r="AU16" i="1"/>
  <c r="AV16" i="1"/>
  <c r="AW16" i="1" s="1"/>
  <c r="AX25" i="1"/>
  <c r="BA25" i="1" s="1"/>
  <c r="AV24" i="1"/>
  <c r="AW24" i="1" s="1"/>
  <c r="AX24" i="1" s="1"/>
  <c r="AV23" i="1"/>
  <c r="AW23" i="1" s="1"/>
  <c r="AX23" i="1" s="1"/>
  <c r="AV21" i="1"/>
  <c r="AW21" i="1" s="1"/>
  <c r="AX21" i="1" s="1"/>
  <c r="AU17" i="1"/>
  <c r="AV17" i="1"/>
  <c r="AW17" i="1" s="1"/>
  <c r="AP18" i="1"/>
  <c r="AH29" i="1" s="1"/>
  <c r="AT18" i="1"/>
  <c r="AR18" i="1"/>
  <c r="AQ43" i="1" l="1"/>
  <c r="AL10" i="1"/>
  <c r="AN10" i="1" s="1"/>
  <c r="AO10" i="1" s="1"/>
  <c r="AT43" i="1"/>
  <c r="AU43" i="1" s="1"/>
  <c r="AW43" i="1" s="1"/>
  <c r="AR43" i="1"/>
  <c r="AV43" i="1" s="1"/>
  <c r="AP43" i="1"/>
  <c r="AT44" i="1"/>
  <c r="AU44" i="1" s="1"/>
  <c r="AP42" i="1"/>
  <c r="AR44" i="1"/>
  <c r="AQ44" i="1"/>
  <c r="AP44" i="1"/>
  <c r="BQ16" i="1"/>
  <c r="AO47" i="1"/>
  <c r="AM5" i="1"/>
  <c r="AN5" i="1" s="1"/>
  <c r="AO5" i="1" s="1"/>
  <c r="AT45" i="1"/>
  <c r="AU45" i="1" s="1"/>
  <c r="AP47" i="1"/>
  <c r="AR47" i="1"/>
  <c r="AR45" i="1"/>
  <c r="AQ45" i="1"/>
  <c r="AL6" i="1"/>
  <c r="AN6" i="1" s="1"/>
  <c r="AO6" i="1" s="1"/>
  <c r="AV50" i="1"/>
  <c r="AT47" i="1"/>
  <c r="AU47" i="1" s="1"/>
  <c r="AO45" i="1"/>
  <c r="AV46" i="1"/>
  <c r="AO42" i="1"/>
  <c r="AR42" i="1"/>
  <c r="AT42" i="1"/>
  <c r="AU42" i="1" s="1"/>
  <c r="AN2" i="1"/>
  <c r="AO2" i="1" s="1"/>
  <c r="AW50" i="1"/>
  <c r="AN7" i="1"/>
  <c r="AO7" i="1" s="1"/>
  <c r="AM9" i="1"/>
  <c r="AL9" i="1"/>
  <c r="AN4" i="1"/>
  <c r="AO4" i="1" s="1"/>
  <c r="AL11" i="1"/>
  <c r="AM11" i="1"/>
  <c r="AN3" i="1"/>
  <c r="AO3" i="1" s="1"/>
  <c r="AP51" i="1"/>
  <c r="AR51" i="1"/>
  <c r="AO51" i="1"/>
  <c r="AQ51" i="1"/>
  <c r="AM8" i="1"/>
  <c r="AL8" i="1"/>
  <c r="AQ48" i="1"/>
  <c r="AP48" i="1"/>
  <c r="AR48" i="1"/>
  <c r="AO48" i="1"/>
  <c r="AR49" i="1"/>
  <c r="AQ49" i="1"/>
  <c r="AP49" i="1"/>
  <c r="AO49" i="1"/>
  <c r="AU46" i="1"/>
  <c r="AW46" i="1" s="1"/>
  <c r="BB22" i="1"/>
  <c r="BQ23" i="1"/>
  <c r="BQ22" i="1"/>
  <c r="BQ25" i="1"/>
  <c r="AT48" i="1"/>
  <c r="AU48" i="1" s="1"/>
  <c r="AT51" i="1"/>
  <c r="AU51" i="1" s="1"/>
  <c r="AT49" i="1"/>
  <c r="AU49" i="1" s="1"/>
  <c r="AY22" i="1"/>
  <c r="BA22" i="1"/>
  <c r="AX16" i="1"/>
  <c r="AY16" i="1" s="1"/>
  <c r="BB25" i="1"/>
  <c r="AY25" i="1"/>
  <c r="AZ25" i="1"/>
  <c r="AY23" i="1"/>
  <c r="BB23" i="1"/>
  <c r="AZ23" i="1"/>
  <c r="BA23" i="1"/>
  <c r="AY21" i="1"/>
  <c r="BB21" i="1"/>
  <c r="AZ21" i="1"/>
  <c r="AX17" i="1"/>
  <c r="AC31" i="1"/>
  <c r="AD43" i="1"/>
  <c r="AD44" i="1"/>
  <c r="AC45" i="1"/>
  <c r="AD41" i="1"/>
  <c r="AC30" i="1"/>
  <c r="AC35" i="1"/>
  <c r="AD34" i="1"/>
  <c r="AD45" i="1"/>
  <c r="AD42" i="1"/>
  <c r="AC41" i="1"/>
  <c r="AC47" i="1"/>
  <c r="AD35" i="1"/>
  <c r="AC36" i="1"/>
  <c r="AC46" i="1"/>
  <c r="AD39" i="1"/>
  <c r="AC44" i="1"/>
  <c r="AC43" i="1"/>
  <c r="AD38" i="1"/>
  <c r="AD30" i="1"/>
  <c r="AC42" i="1"/>
  <c r="AD33" i="1"/>
  <c r="AD46" i="1"/>
  <c r="AC48" i="1"/>
  <c r="AU18" i="1"/>
  <c r="AV18" i="1"/>
  <c r="AW18" i="1" s="1"/>
  <c r="AD31" i="1"/>
  <c r="AD47" i="1"/>
  <c r="AC34" i="1"/>
  <c r="AD32" i="1"/>
  <c r="AC33" i="1"/>
  <c r="AC39" i="1"/>
  <c r="AC38" i="1"/>
  <c r="AD48" i="1"/>
  <c r="AC37" i="1"/>
  <c r="AC32" i="1"/>
  <c r="AC40" i="1"/>
  <c r="AD40" i="1"/>
  <c r="AD36" i="1"/>
  <c r="AD37" i="1"/>
  <c r="BA21" i="1"/>
  <c r="BA19" i="1"/>
  <c r="AZ19" i="1"/>
  <c r="BB19" i="1"/>
  <c r="AY19" i="1"/>
  <c r="BA24" i="1"/>
  <c r="AZ24" i="1"/>
  <c r="BB24" i="1"/>
  <c r="AY24" i="1"/>
  <c r="BA20" i="1"/>
  <c r="AZ20" i="1"/>
  <c r="BB20" i="1"/>
  <c r="AY20" i="1"/>
  <c r="AV44" i="1" l="1"/>
  <c r="AX43" i="1"/>
  <c r="BS17" i="1" s="1"/>
  <c r="AW44" i="1"/>
  <c r="AX44" i="1" s="1"/>
  <c r="BS18" i="1" s="1"/>
  <c r="AX46" i="1"/>
  <c r="BS20" i="1" s="1"/>
  <c r="AV45" i="1"/>
  <c r="AV42" i="1"/>
  <c r="AW47" i="1"/>
  <c r="AV47" i="1"/>
  <c r="AW45" i="1"/>
  <c r="AX50" i="1"/>
  <c r="BS24" i="1" s="1"/>
  <c r="AV49" i="1"/>
  <c r="AV48" i="1"/>
  <c r="AV51" i="1"/>
  <c r="AW42" i="1"/>
  <c r="AX42" i="1" s="1"/>
  <c r="BS16" i="1" s="1"/>
  <c r="AN8" i="1"/>
  <c r="AO8" i="1" s="1"/>
  <c r="AN9" i="1"/>
  <c r="AO9" i="1" s="1"/>
  <c r="BQ26" i="1"/>
  <c r="Q23" i="1" s="1"/>
  <c r="R23" i="1" s="1"/>
  <c r="AN11" i="1"/>
  <c r="AO11" i="1" s="1"/>
  <c r="AW51" i="1"/>
  <c r="AW49" i="1"/>
  <c r="AW48" i="1"/>
  <c r="BE22" i="1"/>
  <c r="BF22" i="1" s="1"/>
  <c r="BI22" i="1" s="1"/>
  <c r="BB16" i="1"/>
  <c r="AZ16" i="1"/>
  <c r="BA16" i="1"/>
  <c r="BE25" i="1"/>
  <c r="BE23" i="1"/>
  <c r="BE21" i="1"/>
  <c r="AY17" i="1"/>
  <c r="BB17" i="1"/>
  <c r="BA17" i="1"/>
  <c r="AZ17" i="1"/>
  <c r="AX18" i="1"/>
  <c r="BE24" i="1"/>
  <c r="BE19" i="1"/>
  <c r="BE20" i="1"/>
  <c r="AX47" i="1" l="1"/>
  <c r="BS21" i="1" s="1"/>
  <c r="AX45" i="1"/>
  <c r="BS19" i="1" s="1"/>
  <c r="AO12" i="1"/>
  <c r="Q22" i="1" s="1"/>
  <c r="AX48" i="1"/>
  <c r="BS22" i="1" s="1"/>
  <c r="AX49" i="1"/>
  <c r="BS23" i="1" s="1"/>
  <c r="AX51" i="1"/>
  <c r="BS25" i="1" s="1"/>
  <c r="BJ22" i="1"/>
  <c r="BK22" i="1" s="1"/>
  <c r="BE16" i="1"/>
  <c r="BF16" i="1" s="1"/>
  <c r="BI16" i="1" s="1"/>
  <c r="BF24" i="1"/>
  <c r="BI24" i="1" s="1"/>
  <c r="BF19" i="1"/>
  <c r="BI19" i="1" s="1"/>
  <c r="BF23" i="1"/>
  <c r="BI23" i="1" s="1"/>
  <c r="BF21" i="1"/>
  <c r="BI21" i="1" s="1"/>
  <c r="BF25" i="1"/>
  <c r="BI25" i="1" s="1"/>
  <c r="BF20" i="1"/>
  <c r="BI20" i="1" s="1"/>
  <c r="BE17" i="1"/>
  <c r="AY18" i="1"/>
  <c r="BB18" i="1"/>
  <c r="BA18" i="1"/>
  <c r="AZ18" i="1"/>
  <c r="BS26" i="1" l="1"/>
  <c r="Q24" i="1" s="1"/>
  <c r="BJ23" i="1"/>
  <c r="BK23" i="1" s="1"/>
  <c r="BL22" i="1" s="1"/>
  <c r="BJ25" i="1"/>
  <c r="BK25" i="1" s="1"/>
  <c r="BJ21" i="1"/>
  <c r="BK21" i="1" s="1"/>
  <c r="BJ19" i="1"/>
  <c r="BK19" i="1" s="1"/>
  <c r="BJ24" i="1"/>
  <c r="BK24" i="1" s="1"/>
  <c r="BJ16" i="1"/>
  <c r="BK16" i="1" s="1"/>
  <c r="BL15" i="1" s="1"/>
  <c r="BJ20" i="1"/>
  <c r="BK20" i="1" s="1"/>
  <c r="BF17" i="1"/>
  <c r="BI17" i="1" s="1"/>
  <c r="BE18" i="1"/>
  <c r="R24" i="1" l="1"/>
  <c r="R22" i="1"/>
  <c r="BL23" i="1"/>
  <c r="BL19" i="1"/>
  <c r="BL21" i="1"/>
  <c r="BL20" i="1"/>
  <c r="BL25" i="1"/>
  <c r="BL24" i="1"/>
  <c r="BJ17" i="1"/>
  <c r="BK17" i="1" s="1"/>
  <c r="BL16" i="1" s="1"/>
  <c r="BF18" i="1"/>
  <c r="BI18" i="1" s="1"/>
  <c r="BJ18" i="1" l="1"/>
  <c r="BK18" i="1" s="1"/>
  <c r="BL17" i="1" s="1"/>
  <c r="BL18" i="1" l="1"/>
  <c r="BL26" i="1" s="1"/>
  <c r="Q19" i="1" s="1"/>
  <c r="Q30" i="1" s="1"/>
  <c r="R30" i="1" s="1"/>
  <c r="Q28" i="1" l="1"/>
  <c r="R28" i="1" s="1"/>
  <c r="Q29" i="1"/>
  <c r="O33" i="1"/>
  <c r="R19" i="1"/>
  <c r="O32" i="1" l="1"/>
  <c r="R29" i="1"/>
  <c r="T50" i="1"/>
</calcChain>
</file>

<file path=xl/comments1.xml><?xml version="1.0" encoding="utf-8"?>
<comments xmlns="http://schemas.openxmlformats.org/spreadsheetml/2006/main">
  <authors>
    <author>Vasil Yordanov</author>
  </authors>
  <commentList>
    <comment ref="T17" authorId="0">
      <text>
        <r>
          <rPr>
            <b/>
            <sz val="8"/>
            <color indexed="81"/>
            <rFont val="Tahoma"/>
            <family val="2"/>
          </rPr>
          <t>Vasil Yordanov:</t>
        </r>
        <r>
          <rPr>
            <sz val="8"/>
            <color indexed="81"/>
            <rFont val="Tahoma"/>
            <family val="2"/>
          </rPr>
          <t xml:space="preserve">
frictional coefficient</t>
        </r>
      </text>
    </comment>
  </commentList>
</comments>
</file>

<file path=xl/sharedStrings.xml><?xml version="1.0" encoding="utf-8"?>
<sst xmlns="http://schemas.openxmlformats.org/spreadsheetml/2006/main" count="322" uniqueCount="220">
  <si>
    <t>B</t>
  </si>
  <si>
    <t>Ship Beam</t>
  </si>
  <si>
    <t>[m]</t>
  </si>
  <si>
    <t>Hull Block Coefficient</t>
  </si>
  <si>
    <t>[-]</t>
  </si>
  <si>
    <t>Ship Draft</t>
  </si>
  <si>
    <t>d</t>
  </si>
  <si>
    <t>Metacetric Height</t>
  </si>
  <si>
    <t>Width of the bilge keel</t>
  </si>
  <si>
    <t>Ship Length</t>
  </si>
  <si>
    <t>L</t>
  </si>
  <si>
    <t>KG</t>
  </si>
  <si>
    <t>Distance from keel to G</t>
  </si>
  <si>
    <t>Length of bilge keel</t>
  </si>
  <si>
    <t>R</t>
  </si>
  <si>
    <t>Forward Speed of the Ship</t>
  </si>
  <si>
    <t>U</t>
  </si>
  <si>
    <t>[m/s]</t>
  </si>
  <si>
    <t>Density of the Water</t>
  </si>
  <si>
    <t>ρ</t>
  </si>
  <si>
    <t>[kg/m^3]</t>
  </si>
  <si>
    <t>Midship Coefficient</t>
  </si>
  <si>
    <t>Water Temperature</t>
  </si>
  <si>
    <t>t</t>
  </si>
  <si>
    <t>[deg]</t>
  </si>
  <si>
    <t>[deg C]</t>
  </si>
  <si>
    <t>Kinematic Viscosity of the Water</t>
  </si>
  <si>
    <t>ν</t>
  </si>
  <si>
    <t>[m^2/s]</t>
  </si>
  <si>
    <t>Ship Displacement</t>
  </si>
  <si>
    <t>Δ</t>
  </si>
  <si>
    <t>[MT]</t>
  </si>
  <si>
    <t>Froude Number</t>
  </si>
  <si>
    <t>Fn</t>
  </si>
  <si>
    <t>Acceleration due to Gravity</t>
  </si>
  <si>
    <t>g</t>
  </si>
  <si>
    <t>[m/s^2]</t>
  </si>
  <si>
    <t>BL</t>
  </si>
  <si>
    <r>
      <t>B</t>
    </r>
    <r>
      <rPr>
        <sz val="8"/>
        <color theme="1"/>
        <rFont val="Calibri"/>
        <family val="2"/>
        <scheme val="minor"/>
      </rPr>
      <t>F</t>
    </r>
  </si>
  <si>
    <r>
      <t>C</t>
    </r>
    <r>
      <rPr>
        <b/>
        <sz val="8"/>
        <color theme="1"/>
        <rFont val="Calibri"/>
        <family val="2"/>
        <scheme val="minor"/>
      </rPr>
      <t>B</t>
    </r>
  </si>
  <si>
    <r>
      <t>C</t>
    </r>
    <r>
      <rPr>
        <b/>
        <sz val="8"/>
        <color theme="1"/>
        <rFont val="Calibri"/>
        <family val="2"/>
        <scheme val="minor"/>
      </rPr>
      <t>M</t>
    </r>
  </si>
  <si>
    <r>
      <t>b</t>
    </r>
    <r>
      <rPr>
        <b/>
        <sz val="8"/>
        <color theme="1"/>
        <rFont val="Calibri"/>
        <family val="2"/>
        <scheme val="minor"/>
      </rPr>
      <t>BK</t>
    </r>
  </si>
  <si>
    <r>
      <t>ℓ</t>
    </r>
    <r>
      <rPr>
        <b/>
        <sz val="8"/>
        <color theme="1"/>
        <rFont val="Calibri"/>
        <family val="2"/>
      </rPr>
      <t>BK</t>
    </r>
  </si>
  <si>
    <t>without anti-rolling tanks</t>
  </si>
  <si>
    <t>with anti-rolling tanks</t>
  </si>
  <si>
    <t>Ship's Wetted Surface</t>
  </si>
  <si>
    <t>Sf</t>
  </si>
  <si>
    <t>[m^2]</t>
  </si>
  <si>
    <t>φa</t>
  </si>
  <si>
    <t>Ship Roll Angle</t>
  </si>
  <si>
    <t>Roll Period</t>
  </si>
  <si>
    <t>[sec]</t>
  </si>
  <si>
    <r>
      <t>T</t>
    </r>
    <r>
      <rPr>
        <b/>
        <sz val="8"/>
        <color theme="1"/>
        <rFont val="Calibri"/>
        <family val="2"/>
        <scheme val="minor"/>
      </rPr>
      <t>R</t>
    </r>
  </si>
  <si>
    <t>Ship Input Parameters</t>
  </si>
  <si>
    <t>Bilge Keel Input Parameters</t>
  </si>
  <si>
    <t>Anti-Rolling Tanks Input Parameters</t>
  </si>
  <si>
    <t>[rad/s]</t>
  </si>
  <si>
    <t>h</t>
  </si>
  <si>
    <t>Length of the compartment</t>
  </si>
  <si>
    <t>Breadth of the compartment</t>
  </si>
  <si>
    <t>Water Depth</t>
  </si>
  <si>
    <t>Fluid Density</t>
  </si>
  <si>
    <t>Tank Natural Frequency</t>
  </si>
  <si>
    <t>Moonpool Input Parameters</t>
  </si>
  <si>
    <t>Moonpool Natural Frequency</t>
  </si>
  <si>
    <t>Physical Inputs</t>
  </si>
  <si>
    <t>Calculated Parameters</t>
  </si>
  <si>
    <t>Distance from WL to Rolling Axis</t>
  </si>
  <si>
    <t>OG</t>
  </si>
  <si>
    <r>
      <t>ℓ</t>
    </r>
    <r>
      <rPr>
        <b/>
        <sz val="8"/>
        <color theme="1"/>
        <rFont val="Calibri"/>
        <family val="2"/>
      </rPr>
      <t>comp</t>
    </r>
  </si>
  <si>
    <r>
      <t>B</t>
    </r>
    <r>
      <rPr>
        <b/>
        <sz val="8"/>
        <color theme="1"/>
        <rFont val="Calibri"/>
        <family val="2"/>
        <scheme val="minor"/>
      </rPr>
      <t>comp</t>
    </r>
  </si>
  <si>
    <r>
      <t>ρ</t>
    </r>
    <r>
      <rPr>
        <b/>
        <sz val="8"/>
        <color theme="1"/>
        <rFont val="Calibri"/>
        <family val="2"/>
      </rPr>
      <t>comp</t>
    </r>
  </si>
  <si>
    <r>
      <t>ω</t>
    </r>
    <r>
      <rPr>
        <b/>
        <sz val="8"/>
        <color theme="1"/>
        <rFont val="Calibri"/>
        <family val="2"/>
      </rPr>
      <t>IW</t>
    </r>
  </si>
  <si>
    <r>
      <t>r</t>
    </r>
    <r>
      <rPr>
        <sz val="8"/>
        <color theme="1"/>
        <rFont val="Calibri"/>
        <family val="2"/>
        <scheme val="minor"/>
      </rPr>
      <t>f</t>
    </r>
  </si>
  <si>
    <r>
      <t>C</t>
    </r>
    <r>
      <rPr>
        <sz val="8"/>
        <color theme="1"/>
        <rFont val="Calibri"/>
        <family val="2"/>
        <scheme val="minor"/>
      </rPr>
      <t>f</t>
    </r>
  </si>
  <si>
    <r>
      <t>B'</t>
    </r>
    <r>
      <rPr>
        <sz val="8"/>
        <color theme="1"/>
        <rFont val="Calibri"/>
        <family val="2"/>
        <scheme val="minor"/>
      </rPr>
      <t>F0</t>
    </r>
  </si>
  <si>
    <t>Wave Encouter Frequency</t>
  </si>
  <si>
    <r>
      <t>ω</t>
    </r>
    <r>
      <rPr>
        <b/>
        <sz val="8"/>
        <color theme="1"/>
        <rFont val="Calibri"/>
        <family val="2"/>
      </rPr>
      <t>E</t>
    </r>
  </si>
  <si>
    <t>Wave Direction</t>
  </si>
  <si>
    <t>μ</t>
  </si>
  <si>
    <r>
      <t>B</t>
    </r>
    <r>
      <rPr>
        <sz val="8"/>
        <color theme="1"/>
        <rFont val="Calibri"/>
        <family val="2"/>
        <scheme val="minor"/>
      </rPr>
      <t>F0</t>
    </r>
  </si>
  <si>
    <t>l0</t>
  </si>
  <si>
    <t>lR</t>
  </si>
  <si>
    <t>kN</t>
  </si>
  <si>
    <t>Friction</t>
  </si>
  <si>
    <t>k</t>
  </si>
  <si>
    <t>Lift</t>
  </si>
  <si>
    <t>H0</t>
  </si>
  <si>
    <t>f3</t>
  </si>
  <si>
    <t>FRAME 1</t>
  </si>
  <si>
    <t>x-coord</t>
  </si>
  <si>
    <t>y-coord</t>
  </si>
  <si>
    <t>z-coord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</si>
  <si>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</si>
  <si>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</si>
  <si>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</si>
  <si>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</si>
  <si>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</si>
  <si>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</si>
  <si>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</si>
  <si>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</si>
  <si>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</si>
  <si>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RESULTS</t>
  </si>
  <si>
    <r>
      <t>B</t>
    </r>
    <r>
      <rPr>
        <b/>
        <sz val="8"/>
        <color theme="1"/>
        <rFont val="Calibri"/>
        <family val="2"/>
        <scheme val="minor"/>
      </rPr>
      <t>E</t>
    </r>
  </si>
  <si>
    <r>
      <t>B</t>
    </r>
    <r>
      <rPr>
        <b/>
        <sz val="8"/>
        <color theme="1"/>
        <rFont val="Calibri"/>
        <family val="2"/>
        <scheme val="minor"/>
      </rPr>
      <t>F</t>
    </r>
  </si>
  <si>
    <r>
      <t>B</t>
    </r>
    <r>
      <rPr>
        <b/>
        <sz val="8"/>
        <color theme="1"/>
        <rFont val="Calibri"/>
        <family val="2"/>
        <scheme val="minor"/>
      </rPr>
      <t>L</t>
    </r>
  </si>
  <si>
    <r>
      <t>B</t>
    </r>
    <r>
      <rPr>
        <b/>
        <sz val="8"/>
        <color theme="1"/>
        <rFont val="Calibri"/>
        <family val="2"/>
        <scheme val="minor"/>
      </rPr>
      <t>IW</t>
    </r>
  </si>
  <si>
    <t>Total Roll Damping</t>
  </si>
  <si>
    <t>B44</t>
  </si>
  <si>
    <t>xj</t>
  </si>
  <si>
    <t>dx</t>
  </si>
  <si>
    <t>dz</t>
  </si>
  <si>
    <t>(y2+y1)/2</t>
  </si>
  <si>
    <t>A</t>
  </si>
  <si>
    <t>Atj</t>
  </si>
  <si>
    <t>θ</t>
  </si>
  <si>
    <t>Y</t>
  </si>
  <si>
    <t>Z</t>
  </si>
  <si>
    <t>Bs</t>
  </si>
  <si>
    <t>Ds</t>
  </si>
  <si>
    <t>σs</t>
  </si>
  <si>
    <t>c1</t>
  </si>
  <si>
    <t>c2</t>
  </si>
  <si>
    <t>c3</t>
  </si>
  <si>
    <t>a3</t>
  </si>
  <si>
    <t>a1</t>
  </si>
  <si>
    <t>Ms</t>
  </si>
  <si>
    <t>frame</t>
  </si>
  <si>
    <r>
      <t xml:space="preserve">Ship Frames Geometrical Inputs (No Bulbous Bows or Moonpools, </t>
    </r>
    <r>
      <rPr>
        <b/>
        <u/>
        <sz val="16"/>
        <color theme="1"/>
        <rFont val="Calibri"/>
        <family val="2"/>
        <scheme val="minor"/>
      </rPr>
      <t>ONLY UP TO THE WATERLINE</t>
    </r>
    <r>
      <rPr>
        <b/>
        <sz val="16"/>
        <color theme="1"/>
        <rFont val="Calibri"/>
        <family val="2"/>
        <scheme val="minor"/>
      </rPr>
      <t>)</t>
    </r>
  </si>
  <si>
    <t>ψ2</t>
  </si>
  <si>
    <t>ψ1</t>
  </si>
  <si>
    <r>
      <t>rmax(</t>
    </r>
    <r>
      <rPr>
        <sz val="11"/>
        <color theme="1"/>
        <rFont val="Calibri"/>
        <family val="2"/>
      </rPr>
      <t>ψ1)</t>
    </r>
  </si>
  <si>
    <t>M</t>
  </si>
  <si>
    <r>
      <t>rmax(</t>
    </r>
    <r>
      <rPr>
        <sz val="11"/>
        <color theme="1"/>
        <rFont val="Calibri"/>
        <family val="2"/>
      </rPr>
      <t>ψ2)</t>
    </r>
  </si>
  <si>
    <t>ψ</t>
  </si>
  <si>
    <t>corr</t>
  </si>
  <si>
    <r>
      <t>rmax(</t>
    </r>
    <r>
      <rPr>
        <sz val="11"/>
        <color theme="1"/>
        <rFont val="Calibri"/>
        <family val="2"/>
      </rPr>
      <t>ψ)</t>
    </r>
  </si>
  <si>
    <t>B0</t>
  </si>
  <si>
    <t>A0</t>
  </si>
  <si>
    <t>FR</t>
  </si>
  <si>
    <t>H</t>
  </si>
  <si>
    <t>σ'</t>
  </si>
  <si>
    <t>H'0</t>
  </si>
  <si>
    <t>γ</t>
  </si>
  <si>
    <t>f2</t>
  </si>
  <si>
    <t>f1</t>
  </si>
  <si>
    <t>CR</t>
  </si>
  <si>
    <t>CP</t>
  </si>
  <si>
    <t>B'E0</t>
  </si>
  <si>
    <t>Reduced Frequency</t>
  </si>
  <si>
    <t>K</t>
  </si>
  <si>
    <t>GM</t>
  </si>
  <si>
    <t>I44</t>
  </si>
  <si>
    <t>A44</t>
  </si>
  <si>
    <t>M44</t>
  </si>
  <si>
    <t>K44</t>
  </si>
  <si>
    <t>moonpool</t>
  </si>
  <si>
    <t>A()</t>
  </si>
  <si>
    <t>B()</t>
  </si>
  <si>
    <t>C()</t>
  </si>
  <si>
    <t>Biw</t>
  </si>
  <si>
    <t>anti-rolling</t>
  </si>
  <si>
    <t>CD</t>
  </si>
  <si>
    <t>f</t>
  </si>
  <si>
    <t>Eddy making</t>
  </si>
  <si>
    <t>Lewis</t>
  </si>
  <si>
    <t>Sectional properties</t>
  </si>
  <si>
    <t>B'BKN0</t>
  </si>
  <si>
    <t>l</t>
  </si>
  <si>
    <t>CP-</t>
  </si>
  <si>
    <t>m1</t>
  </si>
  <si>
    <t>m2</t>
  </si>
  <si>
    <t>m3</t>
  </si>
  <si>
    <t>m4</t>
  </si>
  <si>
    <t>R1</t>
  </si>
  <si>
    <t>R2</t>
  </si>
  <si>
    <t>R3</t>
  </si>
  <si>
    <t>l(R1)</t>
  </si>
  <si>
    <t>l(R2)</t>
  </si>
  <si>
    <t>l(R3)</t>
  </si>
  <si>
    <t>R&lt;Ds</t>
  </si>
  <si>
    <t>R&lt;Bs/2</t>
  </si>
  <si>
    <t>H0&gt;=1</t>
  </si>
  <si>
    <t>R/Ds&gt;1</t>
  </si>
  <si>
    <t>H0&lt;=l</t>
  </si>
  <si>
    <t>R/Ds&gt;H0</t>
  </si>
  <si>
    <t>m5</t>
  </si>
  <si>
    <t>m6</t>
  </si>
  <si>
    <t>m7</t>
  </si>
  <si>
    <t>m8</t>
  </si>
  <si>
    <t>S0</t>
  </si>
  <si>
    <t>integral</t>
  </si>
  <si>
    <t>B'BKH0</t>
  </si>
  <si>
    <t>LBK</t>
  </si>
  <si>
    <t>u</t>
  </si>
  <si>
    <t>l1</t>
  </si>
  <si>
    <t>α</t>
  </si>
  <si>
    <t>Vr</t>
  </si>
  <si>
    <t>B'BKL</t>
  </si>
  <si>
    <t>Rolling Condition Parameters</t>
  </si>
  <si>
    <t>kg m^2</t>
  </si>
  <si>
    <r>
      <t>B</t>
    </r>
    <r>
      <rPr>
        <b/>
        <sz val="8"/>
        <color theme="1"/>
        <rFont val="Calibri"/>
        <family val="2"/>
        <scheme val="minor"/>
      </rPr>
      <t>BKL</t>
    </r>
  </si>
  <si>
    <r>
      <t>B</t>
    </r>
    <r>
      <rPr>
        <b/>
        <sz val="8"/>
        <color theme="1"/>
        <rFont val="Calibri"/>
        <family val="2"/>
        <scheme val="minor"/>
      </rPr>
      <t>BKN</t>
    </r>
  </si>
  <si>
    <r>
      <t>B</t>
    </r>
    <r>
      <rPr>
        <b/>
        <sz val="8"/>
        <color theme="1"/>
        <rFont val="Calibri"/>
        <family val="2"/>
        <scheme val="minor"/>
      </rPr>
      <t>BNH</t>
    </r>
  </si>
  <si>
    <t>N.m/rad</t>
  </si>
  <si>
    <t>Damping Component: bare-hull eddy making (2)</t>
  </si>
  <si>
    <t>Damping Component: bare-hull skin friction (2)</t>
  </si>
  <si>
    <t>Damping Component: lift (due to forward speed) (1)</t>
  </si>
  <si>
    <t>Damping Component: bilge-keel lift component (2)</t>
  </si>
  <si>
    <t>Damping Component: bilge-keel normal force component (2)</t>
  </si>
  <si>
    <t>Damping Component: hull pressure due to bilge-keel (2)</t>
  </si>
  <si>
    <t>Damping Component: anti-rolling tanks (1)</t>
  </si>
  <si>
    <t>Damping Component: moonpool (1)</t>
  </si>
  <si>
    <t>B44e</t>
  </si>
  <si>
    <t>Variance of Roll Velocity</t>
  </si>
  <si>
    <r>
      <t>σ</t>
    </r>
    <r>
      <rPr>
        <b/>
        <sz val="8"/>
        <color theme="1"/>
        <rFont val="Calibri"/>
        <family val="2"/>
      </rPr>
      <t>φ</t>
    </r>
  </si>
  <si>
    <t>Equivalent Damping (irregular seastate)</t>
  </si>
  <si>
    <t>Equivalent Damping (regular seastate)</t>
  </si>
  <si>
    <r>
      <t>B</t>
    </r>
    <r>
      <rPr>
        <b/>
        <sz val="8"/>
        <color theme="1"/>
        <rFont val="Calibri"/>
        <family val="2"/>
        <scheme val="minor"/>
      </rPr>
      <t>W</t>
    </r>
  </si>
  <si>
    <t>Damping Component: wave-making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</si>
</sst>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1" fontId="0" fillId="6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11" fontId="1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711555529578315E-2"/>
          <c:y val="6.0659813356663754E-2"/>
          <c:w val="0.8792125518610544"/>
          <c:h val="0.8971988918051911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Sheet1!$C$41:$C$51</c:f>
              <c:numCache>
                <c:formatCode>0.0</c:formatCode>
                <c:ptCount val="11"/>
                <c:pt idx="0">
                  <c:v>16</c:v>
                </c:pt>
                <c:pt idx="1">
                  <c:v>15.9</c:v>
                </c:pt>
                <c:pt idx="2">
                  <c:v>14.5</c:v>
                </c:pt>
                <c:pt idx="3">
                  <c:v>12.7</c:v>
                </c:pt>
                <c:pt idx="4">
                  <c:v>10.9</c:v>
                </c:pt>
                <c:pt idx="5">
                  <c:v>9.06</c:v>
                </c:pt>
                <c:pt idx="6">
                  <c:v>7.25</c:v>
                </c:pt>
                <c:pt idx="7">
                  <c:v>5.44</c:v>
                </c:pt>
                <c:pt idx="8">
                  <c:v>3.62</c:v>
                </c:pt>
                <c:pt idx="9">
                  <c:v>1.81</c:v>
                </c:pt>
                <c:pt idx="10">
                  <c:v>-1.12E-10</c:v>
                </c:pt>
              </c:numCache>
            </c:numRef>
          </c:xVal>
          <c:yVal>
            <c:numRef>
              <c:f>Sheet1!$D$41:$D$51</c:f>
              <c:numCache>
                <c:formatCode>0.0</c:formatCode>
                <c:ptCount val="11"/>
                <c:pt idx="0">
                  <c:v>6.69</c:v>
                </c:pt>
                <c:pt idx="1">
                  <c:v>4.8899999999999997</c:v>
                </c:pt>
                <c:pt idx="2">
                  <c:v>3.9</c:v>
                </c:pt>
                <c:pt idx="3">
                  <c:v>3.92</c:v>
                </c:pt>
                <c:pt idx="4">
                  <c:v>3.92</c:v>
                </c:pt>
                <c:pt idx="5">
                  <c:v>3.92</c:v>
                </c:pt>
                <c:pt idx="6">
                  <c:v>3.92</c:v>
                </c:pt>
                <c:pt idx="7">
                  <c:v>3.92</c:v>
                </c:pt>
                <c:pt idx="8">
                  <c:v>3.92</c:v>
                </c:pt>
                <c:pt idx="9">
                  <c:v>3.92</c:v>
                </c:pt>
                <c:pt idx="10">
                  <c:v>3.92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Sheet1!$AC$30:$AC$48</c:f>
              <c:numCache>
                <c:formatCode>0.00</c:formatCode>
                <c:ptCount val="19"/>
                <c:pt idx="0">
                  <c:v>0</c:v>
                </c:pt>
                <c:pt idx="1">
                  <c:v>1.6022475359388091</c:v>
                </c:pt>
                <c:pt idx="2">
                  <c:v>3.1828922739100616</c:v>
                </c:pt>
                <c:pt idx="3">
                  <c:v>4.7211370154625962</c:v>
                </c:pt>
                <c:pt idx="4">
                  <c:v>6.1977459340963001</c:v>
                </c:pt>
                <c:pt idx="5">
                  <c:v>7.5957040505564972</c:v>
                </c:pt>
                <c:pt idx="6">
                  <c:v>8.9007404264942185</c:v>
                </c:pt>
                <c:pt idx="7">
                  <c:v>10.101684264709585</c:v>
                </c:pt>
                <c:pt idx="8">
                  <c:v>11.190634339820548</c:v>
                </c:pt>
                <c:pt idx="9">
                  <c:v>12.162934717201992</c:v>
                </c:pt>
                <c:pt idx="10">
                  <c:v>13.016962697674066</c:v>
                </c:pt>
                <c:pt idx="11">
                  <c:v>13.7537474678285</c:v>
                </c:pt>
                <c:pt idx="12">
                  <c:v>14.376449188257432</c:v>
                </c:pt>
                <c:pt idx="13">
                  <c:v>14.889737449626368</c:v>
                </c:pt>
                <c:pt idx="14">
                  <c:v>15.299114545089905</c:v>
                </c:pt>
                <c:pt idx="15">
                  <c:v>15.61023240533874</c:v>
                </c:pt>
                <c:pt idx="16">
                  <c:v>15.828252090797596</c:v>
                </c:pt>
                <c:pt idx="17">
                  <c:v>15.957291433799289</c:v>
                </c:pt>
                <c:pt idx="18">
                  <c:v>16</c:v>
                </c:pt>
              </c:numCache>
            </c:numRef>
          </c:xVal>
          <c:yVal>
            <c:numRef>
              <c:f>Sheet1!$AD$30:$AD$48</c:f>
              <c:numCache>
                <c:formatCode>0.00</c:formatCode>
                <c:ptCount val="19"/>
                <c:pt idx="0">
                  <c:v>3.9000000000000017</c:v>
                </c:pt>
                <c:pt idx="1">
                  <c:v>3.8924785810117526</c:v>
                </c:pt>
                <c:pt idx="2">
                  <c:v>3.871210248963548</c:v>
                </c:pt>
                <c:pt idx="3">
                  <c:v>3.839988501676963</c:v>
                </c:pt>
                <c:pt idx="4">
                  <c:v>3.8048280492840845</c:v>
                </c:pt>
                <c:pt idx="5">
                  <c:v>3.7735253392574122</c:v>
                </c:pt>
                <c:pt idx="6">
                  <c:v>3.7550861416971566</c:v>
                </c:pt>
                <c:pt idx="7">
                  <c:v>3.7590595167861913</c:v>
                </c:pt>
                <c:pt idx="8">
                  <c:v>3.7948239514964461</c:v>
                </c:pt>
                <c:pt idx="9">
                  <c:v>3.8708747944604336</c:v>
                </c:pt>
                <c:pt idx="10">
                  <c:v>3.9941621080417726</c:v>
                </c:pt>
                <c:pt idx="11">
                  <c:v>4.1695246951242231</c:v>
                </c:pt>
                <c:pt idx="12">
                  <c:v>4.3992595735057805</c:v>
                </c:pt>
                <c:pt idx="13">
                  <c:v>4.6828570044207352</c:v>
                </c:pt>
                <c:pt idx="14">
                  <c:v>5.0169199578025268</c:v>
                </c:pt>
                <c:pt idx="15">
                  <c:v>5.3952743798906777</c:v>
                </c:pt>
                <c:pt idx="16">
                  <c:v>5.8092636712934187</c:v>
                </c:pt>
                <c:pt idx="17">
                  <c:v>6.2482082683302798</c:v>
                </c:pt>
                <c:pt idx="18">
                  <c:v>6.7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Sheet1!$AJ$39:$AJ$40</c:f>
              <c:numCache>
                <c:formatCode>0.00</c:formatCode>
                <c:ptCount val="2"/>
              </c:numCache>
            </c:numRef>
          </c:xVal>
          <c:yVal>
            <c:numRef>
              <c:f>Sheet1!$AK$39:$AK$40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39712"/>
        <c:axId val="157141248"/>
      </c:scatterChart>
      <c:valAx>
        <c:axId val="15713971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de-DE"/>
            </a:pPr>
            <a:endParaRPr lang="de-DE"/>
          </a:p>
        </c:txPr>
        <c:crossAx val="157141248"/>
        <c:crosses val="autoZero"/>
        <c:crossBetween val="midCat"/>
      </c:valAx>
      <c:valAx>
        <c:axId val="15714124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de-DE"/>
            </a:pPr>
            <a:endParaRPr lang="de-DE"/>
          </a:p>
        </c:txPr>
        <c:crossAx val="15713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21084864391951"/>
          <c:y val="5.1400554097404488E-2"/>
          <c:w val="0.7835599300087488"/>
          <c:h val="0.8326195683872849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Sheet1!$S$51:$S$68</c:f>
              <c:numCache>
                <c:formatCode>0.00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Sheet1!$T$51:$T$68</c:f>
              <c:numCache>
                <c:formatCode>0.00E+00</c:formatCode>
                <c:ptCount val="18"/>
                <c:pt idx="0">
                  <c:v>76230088.924407706</c:v>
                </c:pt>
                <c:pt idx="1">
                  <c:v>45443636.450632833</c:v>
                </c:pt>
                <c:pt idx="2">
                  <c:v>31167211.543558668</c:v>
                </c:pt>
                <c:pt idx="3">
                  <c:v>23399226.40394932</c:v>
                </c:pt>
                <c:pt idx="4">
                  <c:v>18708300.322884344</c:v>
                </c:pt>
                <c:pt idx="5">
                  <c:v>15659466.658193476</c:v>
                </c:pt>
                <c:pt idx="6">
                  <c:v>13566484.929594588</c:v>
                </c:pt>
                <c:pt idx="7">
                  <c:v>12067568.633535799</c:v>
                </c:pt>
                <c:pt idx="8">
                  <c:v>10957273.467990885</c:v>
                </c:pt>
                <c:pt idx="9">
                  <c:v>10111894.258248035</c:v>
                </c:pt>
                <c:pt idx="10">
                  <c:v>9453322.8013958484</c:v>
                </c:pt>
                <c:pt idx="11">
                  <c:v>8930266.3362915404</c:v>
                </c:pt>
                <c:pt idx="12">
                  <c:v>8507910.3363030963</c:v>
                </c:pt>
                <c:pt idx="13">
                  <c:v>8161949.2384812227</c:v>
                </c:pt>
                <c:pt idx="14">
                  <c:v>7874996.1561072152</c:v>
                </c:pt>
                <c:pt idx="15">
                  <c:v>7634346.4907159386</c:v>
                </c:pt>
                <c:pt idx="16">
                  <c:v>7430541.8184085144</c:v>
                </c:pt>
                <c:pt idx="17">
                  <c:v>7256422.6991023272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2384"/>
        <c:axId val="158673920"/>
      </c:scatterChart>
      <c:valAx>
        <c:axId val="1586723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58673920"/>
        <c:crosses val="autoZero"/>
        <c:crossBetween val="midCat"/>
      </c:valAx>
      <c:valAx>
        <c:axId val="158673920"/>
        <c:scaling>
          <c:orientation val="minMax"/>
        </c:scaling>
        <c:delete val="0"/>
        <c:axPos val="l"/>
        <c:numFmt formatCode="0.00E+00" sourceLinked="1"/>
        <c:majorTickMark val="out"/>
        <c:minorTickMark val="none"/>
        <c:tickLblPos val="nextTo"/>
        <c:crossAx val="158672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30616</xdr:colOff>
      <xdr:row>33</xdr:row>
      <xdr:rowOff>7483</xdr:rowOff>
    </xdr:from>
    <xdr:to>
      <xdr:col>23</xdr:col>
      <xdr:colOff>466726</xdr:colOff>
      <xdr:row>47</xdr:row>
      <xdr:rowOff>83683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257175</xdr:colOff>
      <xdr:row>50</xdr:row>
      <xdr:rowOff>9525</xdr:rowOff>
    </xdr:from>
    <xdr:to>
      <xdr:col>27</xdr:col>
      <xdr:colOff>581025</xdr:colOff>
      <xdr:row>64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S90"/>
  <sheetViews>
    <sheetView tabSelected="1" workbookViewId="0">
      <selection activeCell="J35" sqref="J35"/>
    </sheetView>
  </sheetViews>
  <sheetFormatPr defaultColWidth="9.125" defaultRowHeight="15" x14ac:dyDescent="0.25"/>
  <cols>
    <col min="1" max="1" width="9.125" style="1"/>
    <col min="2" max="2" width="9.125" style="2"/>
    <col min="3" max="3" width="8.375" style="1" customWidth="1"/>
    <col min="4" max="6" width="9.125" style="1"/>
    <col min="7" max="7" width="9.125" style="2"/>
    <col min="8" max="9" width="9.125" style="1"/>
    <col min="10" max="10" width="9.125" style="2" customWidth="1"/>
    <col min="11" max="20" width="9.125" style="1"/>
    <col min="21" max="21" width="8.875" style="1" customWidth="1"/>
    <col min="22" max="63" width="9.125" style="1"/>
    <col min="64" max="64" width="9.25" style="1" bestFit="1" customWidth="1"/>
    <col min="65" max="68" width="9.125" style="1"/>
    <col min="69" max="69" width="10" style="1" bestFit="1" customWidth="1"/>
    <col min="70" max="16384" width="9.125" style="1"/>
  </cols>
  <sheetData>
    <row r="1" spans="2:71" x14ac:dyDescent="0.25">
      <c r="AJ1" s="1" t="s">
        <v>195</v>
      </c>
      <c r="AK1" s="1" t="s">
        <v>194</v>
      </c>
      <c r="AL1" s="3" t="s">
        <v>196</v>
      </c>
      <c r="AM1" s="1" t="s">
        <v>197</v>
      </c>
      <c r="AN1" s="1" t="s">
        <v>193</v>
      </c>
      <c r="AO1" s="1" t="s">
        <v>198</v>
      </c>
    </row>
    <row r="2" spans="2:71" x14ac:dyDescent="0.25">
      <c r="B2" s="45" t="s">
        <v>53</v>
      </c>
      <c r="C2" s="45"/>
      <c r="D2" s="45"/>
      <c r="E2" s="45"/>
      <c r="F2" s="45"/>
      <c r="G2" s="45"/>
      <c r="J2" s="45" t="s">
        <v>65</v>
      </c>
      <c r="K2" s="45"/>
      <c r="L2" s="45"/>
      <c r="M2" s="45"/>
      <c r="N2" s="45"/>
      <c r="O2" s="45"/>
      <c r="P2" s="45"/>
      <c r="S2" s="4">
        <v>0</v>
      </c>
      <c r="T2" s="4">
        <v>1.7869999999999999</v>
      </c>
      <c r="U2" s="4">
        <v>1.7869999999999999</v>
      </c>
      <c r="AI2" s="1">
        <v>1</v>
      </c>
      <c r="AJ2" s="6">
        <f t="shared" ref="AJ2:AJ11" si="0">AH16-OG-AJ42/2</f>
        <v>8.1827684968697589</v>
      </c>
      <c r="AK2" s="5">
        <f t="shared" ref="AK2:AK11" si="1">AJ2*RADIANS(fa)*we</f>
        <v>1.1216762218027934</v>
      </c>
      <c r="AL2" s="5">
        <f t="shared" ref="AL2:AL11" si="2">ATAN((AK2/V))</f>
        <v>0.84268451498470898</v>
      </c>
      <c r="AM2" s="5">
        <f t="shared" ref="AM2:AM11" si="3">SQRT(V^2+AK2^2)</f>
        <v>1.5027167219931337</v>
      </c>
      <c r="AN2" s="6">
        <f t="shared" ref="AN2:AN11" si="4">PI()*rho*AL2*AM2^2*bbk^2/2</f>
        <v>530.21212561122024</v>
      </c>
      <c r="AO2" s="20">
        <f t="shared" ref="AO2:AO11" si="5">2*AN2*AJ2/(RADIANS(fa)*we)</f>
        <v>63301.305488886646</v>
      </c>
    </row>
    <row r="3" spans="2:71" x14ac:dyDescent="0.25">
      <c r="B3" s="43" t="s">
        <v>9</v>
      </c>
      <c r="C3" s="43"/>
      <c r="D3" s="43"/>
      <c r="E3" s="9" t="s">
        <v>10</v>
      </c>
      <c r="F3" s="8">
        <v>170</v>
      </c>
      <c r="G3" s="40" t="s">
        <v>2</v>
      </c>
      <c r="J3" s="43" t="s">
        <v>18</v>
      </c>
      <c r="K3" s="43"/>
      <c r="L3" s="43"/>
      <c r="M3" s="43"/>
      <c r="N3" s="13" t="s">
        <v>19</v>
      </c>
      <c r="O3" s="16">
        <v>1025</v>
      </c>
      <c r="P3" s="40" t="s">
        <v>20</v>
      </c>
      <c r="S3" s="4">
        <v>5</v>
      </c>
      <c r="T3" s="4">
        <v>1.5189999999999999</v>
      </c>
      <c r="U3" s="4">
        <v>1.5189999999999999</v>
      </c>
      <c r="AI3" s="1">
        <v>2</v>
      </c>
      <c r="AJ3" s="6">
        <f t="shared" si="0"/>
        <v>10.727366226359871</v>
      </c>
      <c r="AK3" s="5">
        <f t="shared" si="1"/>
        <v>1.470484179441371</v>
      </c>
      <c r="AL3" s="5">
        <f t="shared" si="2"/>
        <v>0.97358676542373013</v>
      </c>
      <c r="AM3" s="5">
        <f t="shared" si="3"/>
        <v>1.778292361223925</v>
      </c>
      <c r="AN3" s="6">
        <f t="shared" si="4"/>
        <v>857.85007031235273</v>
      </c>
      <c r="AO3" s="20">
        <f t="shared" si="5"/>
        <v>134266.36931433814</v>
      </c>
    </row>
    <row r="4" spans="2:71" x14ac:dyDescent="0.25">
      <c r="B4" s="43" t="s">
        <v>1</v>
      </c>
      <c r="C4" s="43"/>
      <c r="D4" s="43"/>
      <c r="E4" s="9" t="s">
        <v>0</v>
      </c>
      <c r="F4" s="10">
        <v>32</v>
      </c>
      <c r="G4" s="40" t="s">
        <v>2</v>
      </c>
      <c r="J4" s="43" t="s">
        <v>22</v>
      </c>
      <c r="K4" s="43"/>
      <c r="L4" s="43"/>
      <c r="M4" s="43"/>
      <c r="N4" s="9" t="s">
        <v>23</v>
      </c>
      <c r="O4" s="8">
        <v>10</v>
      </c>
      <c r="P4" s="40" t="s">
        <v>25</v>
      </c>
      <c r="S4" s="4">
        <v>10</v>
      </c>
      <c r="T4" s="4">
        <v>1.3069999999999999</v>
      </c>
      <c r="U4" s="4">
        <v>1.3069999999999999</v>
      </c>
      <c r="AI4" s="1">
        <v>3</v>
      </c>
      <c r="AJ4" s="6">
        <f t="shared" si="0"/>
        <v>12.142271064615731</v>
      </c>
      <c r="AK4" s="5">
        <f t="shared" si="1"/>
        <v>1.6644362769243246</v>
      </c>
      <c r="AL4" s="5">
        <f t="shared" si="2"/>
        <v>1.0297858477879058</v>
      </c>
      <c r="AM4" s="5">
        <f t="shared" si="3"/>
        <v>1.941738427271219</v>
      </c>
      <c r="AN4" s="6">
        <f t="shared" si="4"/>
        <v>1081.8293848371382</v>
      </c>
      <c r="AO4" s="20">
        <f t="shared" si="5"/>
        <v>191655.56943973529</v>
      </c>
    </row>
    <row r="5" spans="2:71" x14ac:dyDescent="0.25">
      <c r="B5" s="43" t="s">
        <v>3</v>
      </c>
      <c r="C5" s="43"/>
      <c r="D5" s="43"/>
      <c r="E5" s="9" t="s">
        <v>39</v>
      </c>
      <c r="F5" s="11">
        <v>0.8459285557506584</v>
      </c>
      <c r="G5" s="40" t="s">
        <v>4</v>
      </c>
      <c r="J5" s="43" t="s">
        <v>26</v>
      </c>
      <c r="K5" s="43"/>
      <c r="L5" s="43"/>
      <c r="M5" s="43"/>
      <c r="N5" s="13" t="s">
        <v>27</v>
      </c>
      <c r="O5" s="17">
        <f>VLOOKUP(O4,S2:U6,3)*0.00001</f>
        <v>1.307E-5</v>
      </c>
      <c r="P5" s="40" t="s">
        <v>28</v>
      </c>
      <c r="S5" s="4">
        <v>20</v>
      </c>
      <c r="T5" s="4">
        <v>1.002</v>
      </c>
      <c r="U5" s="4">
        <v>1.004</v>
      </c>
      <c r="AI5" s="1">
        <v>4</v>
      </c>
      <c r="AJ5" s="6">
        <f t="shared" si="0"/>
        <v>12.11665861957812</v>
      </c>
      <c r="AK5" s="5">
        <f t="shared" si="1"/>
        <v>1.6609253783095208</v>
      </c>
      <c r="AL5" s="5">
        <f t="shared" si="2"/>
        <v>1.0288532157135439</v>
      </c>
      <c r="AM5" s="5">
        <f t="shared" si="3"/>
        <v>1.9387297677377899</v>
      </c>
      <c r="AN5" s="6">
        <f t="shared" si="4"/>
        <v>1077.5027326170996</v>
      </c>
      <c r="AO5" s="20">
        <f t="shared" si="5"/>
        <v>190486.41089134049</v>
      </c>
    </row>
    <row r="6" spans="2:71" x14ac:dyDescent="0.25">
      <c r="B6" s="43" t="s">
        <v>21</v>
      </c>
      <c r="C6" s="43"/>
      <c r="D6" s="43"/>
      <c r="E6" s="9" t="s">
        <v>40</v>
      </c>
      <c r="F6" s="11">
        <v>0.99796484141791042</v>
      </c>
      <c r="G6" s="40" t="s">
        <v>4</v>
      </c>
      <c r="J6" s="43" t="s">
        <v>34</v>
      </c>
      <c r="K6" s="43"/>
      <c r="L6" s="43"/>
      <c r="M6" s="43"/>
      <c r="N6" s="9" t="s">
        <v>35</v>
      </c>
      <c r="O6" s="8">
        <v>9.8064999999999998</v>
      </c>
      <c r="P6" s="40" t="s">
        <v>36</v>
      </c>
      <c r="S6" s="4">
        <v>30</v>
      </c>
      <c r="T6" s="4">
        <v>0.79800000000000004</v>
      </c>
      <c r="U6" s="4">
        <v>0.80100000000000005</v>
      </c>
      <c r="AI6" s="1">
        <v>5</v>
      </c>
      <c r="AJ6" s="6">
        <f t="shared" si="0"/>
        <v>12.045296270446464</v>
      </c>
      <c r="AK6" s="5">
        <f t="shared" si="1"/>
        <v>1.6511431817114395</v>
      </c>
      <c r="AL6" s="5">
        <f t="shared" si="2"/>
        <v>1.0262393563267289</v>
      </c>
      <c r="AM6" s="5">
        <f t="shared" si="3"/>
        <v>1.9303558756126229</v>
      </c>
      <c r="AN6" s="6">
        <f t="shared" si="4"/>
        <v>1065.5009302294866</v>
      </c>
      <c r="AO6" s="20">
        <f t="shared" si="5"/>
        <v>187255.27749291348</v>
      </c>
    </row>
    <row r="7" spans="2:71" x14ac:dyDescent="0.25">
      <c r="B7" s="43" t="s">
        <v>5</v>
      </c>
      <c r="C7" s="43"/>
      <c r="D7" s="43"/>
      <c r="E7" s="9" t="s">
        <v>6</v>
      </c>
      <c r="F7" s="12">
        <v>6.7</v>
      </c>
      <c r="G7" s="40" t="s">
        <v>2</v>
      </c>
      <c r="AI7" s="1">
        <v>6</v>
      </c>
      <c r="AJ7" s="6">
        <f t="shared" si="0"/>
        <v>12.044976446569791</v>
      </c>
      <c r="AK7" s="5">
        <f t="shared" si="1"/>
        <v>1.6510993409455954</v>
      </c>
      <c r="AL7" s="5">
        <f t="shared" si="2"/>
        <v>1.0262275907883398</v>
      </c>
      <c r="AM7" s="5">
        <f t="shared" si="3"/>
        <v>1.9303183762454783</v>
      </c>
      <c r="AN7" s="6">
        <f t="shared" si="4"/>
        <v>1065.4473183006489</v>
      </c>
      <c r="AO7" s="20">
        <f t="shared" si="5"/>
        <v>187240.88381606396</v>
      </c>
    </row>
    <row r="8" spans="2:71" x14ac:dyDescent="0.25">
      <c r="B8" s="43" t="s">
        <v>7</v>
      </c>
      <c r="C8" s="43"/>
      <c r="D8" s="43"/>
      <c r="E8" s="9" t="s">
        <v>151</v>
      </c>
      <c r="F8" s="12">
        <v>3.7977161000000002</v>
      </c>
      <c r="G8" s="40" t="s">
        <v>2</v>
      </c>
      <c r="J8" s="45" t="s">
        <v>66</v>
      </c>
      <c r="K8" s="45"/>
      <c r="L8" s="45"/>
      <c r="M8" s="45"/>
      <c r="N8" s="45"/>
      <c r="O8" s="45"/>
      <c r="P8" s="45"/>
      <c r="AI8" s="1">
        <v>7</v>
      </c>
      <c r="AJ8" s="6">
        <f t="shared" si="0"/>
        <v>12.116077903041253</v>
      </c>
      <c r="AK8" s="5">
        <f t="shared" si="1"/>
        <v>1.6608457749416317</v>
      </c>
      <c r="AL8" s="5">
        <f t="shared" si="2"/>
        <v>1.0288320363862311</v>
      </c>
      <c r="AM8" s="5">
        <f t="shared" si="3"/>
        <v>1.9386615713273601</v>
      </c>
      <c r="AN8" s="6">
        <f t="shared" si="4"/>
        <v>1077.4047506294364</v>
      </c>
      <c r="AO8" s="20">
        <f t="shared" si="5"/>
        <v>190459.96050278074</v>
      </c>
    </row>
    <row r="9" spans="2:71" x14ac:dyDescent="0.25">
      <c r="B9" s="43" t="s">
        <v>12</v>
      </c>
      <c r="C9" s="43"/>
      <c r="D9" s="43"/>
      <c r="E9" s="9" t="s">
        <v>11</v>
      </c>
      <c r="F9" s="8">
        <f>6.62+6.7</f>
        <v>13.32</v>
      </c>
      <c r="G9" s="40" t="s">
        <v>2</v>
      </c>
      <c r="J9" s="43" t="s">
        <v>29</v>
      </c>
      <c r="K9" s="43"/>
      <c r="L9" s="43"/>
      <c r="M9" s="43"/>
      <c r="N9" s="13" t="s">
        <v>30</v>
      </c>
      <c r="O9" s="22">
        <f>L*B*Cb*d*rho/1000</f>
        <v>31603.214099999997</v>
      </c>
      <c r="P9" s="14" t="s">
        <v>31</v>
      </c>
      <c r="AI9" s="1">
        <v>8</v>
      </c>
      <c r="AJ9" s="6">
        <f t="shared" si="0"/>
        <v>12.198200028556444</v>
      </c>
      <c r="AK9" s="5">
        <f t="shared" si="1"/>
        <v>1.6721028984334585</v>
      </c>
      <c r="AL9" s="5">
        <f t="shared" si="2"/>
        <v>1.0318123851082548</v>
      </c>
      <c r="AM9" s="5">
        <f t="shared" si="3"/>
        <v>1.9483141694679462</v>
      </c>
      <c r="AN9" s="6">
        <f t="shared" si="4"/>
        <v>1091.3124712430326</v>
      </c>
      <c r="AO9" s="20">
        <f t="shared" si="5"/>
        <v>194226.11159199534</v>
      </c>
    </row>
    <row r="10" spans="2:71" x14ac:dyDescent="0.25">
      <c r="B10" s="43" t="s">
        <v>15</v>
      </c>
      <c r="C10" s="43"/>
      <c r="D10" s="43"/>
      <c r="E10" s="9" t="s">
        <v>16</v>
      </c>
      <c r="F10" s="8">
        <v>1</v>
      </c>
      <c r="G10" s="40" t="s">
        <v>17</v>
      </c>
      <c r="J10" s="43" t="s">
        <v>32</v>
      </c>
      <c r="K10" s="43"/>
      <c r="L10" s="43"/>
      <c r="M10" s="43"/>
      <c r="N10" s="9" t="s">
        <v>33</v>
      </c>
      <c r="O10" s="11">
        <f>V/SQRT(g*L)</f>
        <v>2.4491676984038639E-2</v>
      </c>
      <c r="P10" s="14" t="s">
        <v>4</v>
      </c>
      <c r="T10" s="2" t="s">
        <v>43</v>
      </c>
      <c r="X10" s="20">
        <v>5916666.1642607804</v>
      </c>
      <c r="Y10" s="21">
        <f>X10/$U$29</f>
        <v>1.2003432254244948E-3</v>
      </c>
      <c r="AI10" s="1">
        <v>9</v>
      </c>
      <c r="AJ10" s="6">
        <f t="shared" si="0"/>
        <v>10.887917777910372</v>
      </c>
      <c r="AK10" s="5">
        <f t="shared" si="1"/>
        <v>1.492492239160601</v>
      </c>
      <c r="AL10" s="5">
        <f t="shared" si="2"/>
        <v>0.98047561460136168</v>
      </c>
      <c r="AM10" s="5">
        <f t="shared" si="3"/>
        <v>1.7965336300650274</v>
      </c>
      <c r="AN10" s="6">
        <f t="shared" si="4"/>
        <v>881.73464058544766</v>
      </c>
      <c r="AO10" s="20">
        <f t="shared" si="5"/>
        <v>140070.11411015535</v>
      </c>
    </row>
    <row r="11" spans="2:71" x14ac:dyDescent="0.25">
      <c r="J11" s="43" t="s">
        <v>45</v>
      </c>
      <c r="K11" s="43"/>
      <c r="L11" s="43"/>
      <c r="M11" s="43"/>
      <c r="N11" s="9" t="s">
        <v>46</v>
      </c>
      <c r="O11" s="22">
        <f>L*(1.7*d+Cb*B)</f>
        <v>6538.1513432835818</v>
      </c>
      <c r="P11" s="14" t="s">
        <v>47</v>
      </c>
      <c r="T11" s="2" t="s">
        <v>44</v>
      </c>
      <c r="X11" s="20">
        <v>8283332.4000000004</v>
      </c>
      <c r="Y11" s="21">
        <f>X11/$U$29</f>
        <v>1.6804804689401409E-3</v>
      </c>
      <c r="AI11" s="1">
        <v>10</v>
      </c>
      <c r="AJ11" s="6">
        <f t="shared" si="0"/>
        <v>10.386522373435003</v>
      </c>
      <c r="AK11" s="5">
        <f t="shared" si="1"/>
        <v>1.423762040678711</v>
      </c>
      <c r="AL11" s="5">
        <f t="shared" si="2"/>
        <v>0.95848517129644728</v>
      </c>
      <c r="AM11" s="5">
        <f t="shared" si="3"/>
        <v>1.7398558412919181</v>
      </c>
      <c r="AN11" s="6">
        <f t="shared" si="4"/>
        <v>808.4298357322989</v>
      </c>
      <c r="AO11" s="20">
        <f t="shared" si="5"/>
        <v>122511.04399253453</v>
      </c>
    </row>
    <row r="12" spans="2:71" x14ac:dyDescent="0.25">
      <c r="B12" s="45" t="s">
        <v>54</v>
      </c>
      <c r="C12" s="45"/>
      <c r="D12" s="45"/>
      <c r="E12" s="45"/>
      <c r="F12" s="45"/>
      <c r="G12" s="45"/>
      <c r="J12" s="43" t="s">
        <v>67</v>
      </c>
      <c r="K12" s="43"/>
      <c r="L12" s="43"/>
      <c r="M12" s="43"/>
      <c r="N12" s="9" t="s">
        <v>68</v>
      </c>
      <c r="O12" s="12">
        <f>-(F9-d)</f>
        <v>-6.62</v>
      </c>
      <c r="P12" s="14" t="s">
        <v>2</v>
      </c>
      <c r="T12" s="32"/>
      <c r="U12" s="32"/>
      <c r="V12" s="32"/>
      <c r="W12" s="32"/>
      <c r="X12" s="33"/>
      <c r="Y12" s="34"/>
      <c r="AO12" s="20">
        <f>AVERAGE(AO2:AO11)</f>
        <v>160147.30466407439</v>
      </c>
    </row>
    <row r="13" spans="2:71" x14ac:dyDescent="0.25">
      <c r="B13" s="43" t="s">
        <v>8</v>
      </c>
      <c r="C13" s="43"/>
      <c r="D13" s="43"/>
      <c r="E13" s="9" t="s">
        <v>41</v>
      </c>
      <c r="F13" s="8">
        <v>0.41599999999999998</v>
      </c>
      <c r="G13" s="40" t="s">
        <v>2</v>
      </c>
      <c r="J13" s="43" t="s">
        <v>76</v>
      </c>
      <c r="K13" s="43"/>
      <c r="L13" s="43"/>
      <c r="M13" s="43"/>
      <c r="N13" s="13" t="s">
        <v>77</v>
      </c>
      <c r="O13" s="11">
        <f>V*(2*PI()/Tr)^2/g*COS(RADIANS(mu))+(2*PI()/Tr)</f>
        <v>1.5707963267948966</v>
      </c>
      <c r="P13" s="14" t="s">
        <v>56</v>
      </c>
    </row>
    <row r="14" spans="2:71" x14ac:dyDescent="0.25">
      <c r="B14" s="43" t="s">
        <v>13</v>
      </c>
      <c r="C14" s="43"/>
      <c r="D14" s="43"/>
      <c r="E14" s="13" t="s">
        <v>42</v>
      </c>
      <c r="F14" s="8">
        <f>(167-71)*0.7</f>
        <v>67.199999999999989</v>
      </c>
      <c r="G14" s="40" t="s">
        <v>2</v>
      </c>
      <c r="J14" s="43" t="s">
        <v>149</v>
      </c>
      <c r="K14" s="43"/>
      <c r="L14" s="43"/>
      <c r="M14" s="43"/>
      <c r="N14" s="9" t="s">
        <v>150</v>
      </c>
      <c r="O14" s="12">
        <f>((2*PI()/Tr)*L)/V</f>
        <v>267.03537555513242</v>
      </c>
      <c r="P14" s="14" t="s">
        <v>56</v>
      </c>
      <c r="R14" s="5"/>
      <c r="AD14" s="41" t="s">
        <v>166</v>
      </c>
      <c r="AE14" s="41"/>
      <c r="AF14" s="41"/>
      <c r="AG14" s="41"/>
      <c r="AH14" s="41"/>
      <c r="AI14" s="41"/>
      <c r="AJ14" s="41"/>
      <c r="AK14" s="41" t="s">
        <v>165</v>
      </c>
      <c r="AL14" s="41"/>
      <c r="AM14" s="41"/>
      <c r="AN14" s="41"/>
      <c r="AO14" s="41"/>
      <c r="AP14" s="41"/>
      <c r="AQ14" s="41" t="s">
        <v>164</v>
      </c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</row>
    <row r="15" spans="2:71" x14ac:dyDescent="0.25">
      <c r="B15" s="1"/>
      <c r="D15" s="2"/>
      <c r="G15" s="1"/>
      <c r="J15" s="1"/>
      <c r="T15" s="42" t="s">
        <v>84</v>
      </c>
      <c r="U15" s="42"/>
      <c r="W15" s="42" t="s">
        <v>86</v>
      </c>
      <c r="X15" s="42"/>
      <c r="Z15" s="42" t="s">
        <v>156</v>
      </c>
      <c r="AA15" s="42"/>
      <c r="AC15" s="1" t="s">
        <v>139</v>
      </c>
      <c r="AD15" s="1" t="s">
        <v>114</v>
      </c>
      <c r="AE15" s="1" t="s">
        <v>109</v>
      </c>
      <c r="AF15" s="1" t="s">
        <v>110</v>
      </c>
      <c r="AG15" s="3" t="s">
        <v>118</v>
      </c>
      <c r="AH15" s="3" t="s">
        <v>119</v>
      </c>
      <c r="AI15" s="3" t="s">
        <v>120</v>
      </c>
      <c r="AJ15" s="3" t="s">
        <v>87</v>
      </c>
      <c r="AK15" s="3" t="s">
        <v>121</v>
      </c>
      <c r="AL15" s="3" t="s">
        <v>122</v>
      </c>
      <c r="AM15" s="1" t="s">
        <v>123</v>
      </c>
      <c r="AN15" s="1" t="s">
        <v>124</v>
      </c>
      <c r="AO15" s="1" t="s">
        <v>125</v>
      </c>
      <c r="AP15" s="1" t="s">
        <v>126</v>
      </c>
      <c r="AQ15" s="1" t="s">
        <v>88</v>
      </c>
      <c r="AR15" s="3" t="s">
        <v>129</v>
      </c>
      <c r="AS15" s="3" t="s">
        <v>130</v>
      </c>
      <c r="AT15" s="1" t="s">
        <v>132</v>
      </c>
      <c r="AU15" s="1" t="s">
        <v>131</v>
      </c>
      <c r="AV15" s="1" t="s">
        <v>133</v>
      </c>
      <c r="AW15" s="1" t="s">
        <v>135</v>
      </c>
      <c r="AX15" s="3" t="s">
        <v>134</v>
      </c>
      <c r="AY15" s="1" t="s">
        <v>136</v>
      </c>
      <c r="AZ15" s="1" t="s">
        <v>137</v>
      </c>
      <c r="BA15" s="1" t="s">
        <v>138</v>
      </c>
      <c r="BB15" s="1" t="s">
        <v>140</v>
      </c>
      <c r="BC15" s="3" t="s">
        <v>141</v>
      </c>
      <c r="BD15" s="1" t="s">
        <v>142</v>
      </c>
      <c r="BE15" s="3" t="s">
        <v>143</v>
      </c>
      <c r="BF15" s="3" t="s">
        <v>135</v>
      </c>
      <c r="BG15" s="1" t="s">
        <v>144</v>
      </c>
      <c r="BH15" s="1" t="s">
        <v>145</v>
      </c>
      <c r="BI15" s="1" t="s">
        <v>147</v>
      </c>
      <c r="BJ15" s="1" t="s">
        <v>146</v>
      </c>
      <c r="BK15" s="1" t="s">
        <v>148</v>
      </c>
      <c r="BL15" s="20">
        <f>((BK16+0)/2)*AF16</f>
        <v>7474.6275607259831</v>
      </c>
      <c r="BM15" s="1" t="s">
        <v>163</v>
      </c>
      <c r="BN15" s="1" t="s">
        <v>162</v>
      </c>
      <c r="BO15" s="1" t="s">
        <v>14</v>
      </c>
      <c r="BP15" s="1" t="s">
        <v>168</v>
      </c>
      <c r="BQ15" s="1" t="s">
        <v>167</v>
      </c>
      <c r="BR15" s="1" t="s">
        <v>169</v>
      </c>
      <c r="BS15" s="1" t="s">
        <v>192</v>
      </c>
    </row>
    <row r="16" spans="2:71" x14ac:dyDescent="0.25">
      <c r="T16" s="7" t="s">
        <v>73</v>
      </c>
      <c r="U16" s="8">
        <f>(1/PI())*((0.887+0.145*Cb)*(Sf/L)-2*OG)</f>
        <v>16.574784365067902</v>
      </c>
      <c r="W16" s="8" t="s">
        <v>81</v>
      </c>
      <c r="X16" s="8">
        <f>0.3*d</f>
        <v>2.0099999999999998</v>
      </c>
      <c r="Z16" s="19" t="s">
        <v>157</v>
      </c>
      <c r="AA16" s="12">
        <f>(1.8*F27/F26-1.9882*RADIANS(fa)+0.429)/(1.2*OG/B+1)</f>
        <v>4.6178873549175172</v>
      </c>
      <c r="AC16" s="1">
        <v>1</v>
      </c>
      <c r="AD16" s="25">
        <f>D77*2</f>
        <v>86.972000000000023</v>
      </c>
      <c r="AE16" s="26">
        <f>B41</f>
        <v>12</v>
      </c>
      <c r="AF16" s="26">
        <f>AE16</f>
        <v>12</v>
      </c>
      <c r="AG16" s="25">
        <f>MAX(C41:C51)*2</f>
        <v>32</v>
      </c>
      <c r="AH16" s="25">
        <f>d-MIN(D41:D51)</f>
        <v>2.8000000000000003</v>
      </c>
      <c r="AI16" s="26">
        <f>AD16/(AG16*AH16)</f>
        <v>0.97066964285714297</v>
      </c>
      <c r="AJ16" s="26">
        <f>(AG16/2)/AH16</f>
        <v>5.7142857142857135</v>
      </c>
      <c r="AK16" s="24">
        <f>3+(4*AI16/PI())+(1-(4*AI16/PI()))*(((AJ16-1)/(AJ16+1))^2)</f>
        <v>4.1196027030596802</v>
      </c>
      <c r="AL16" s="24">
        <f>2*AK16-6</f>
        <v>2.2392054061193605</v>
      </c>
      <c r="AM16" s="24">
        <f>AK16-4</f>
        <v>0.11960270305968024</v>
      </c>
      <c r="AN16" s="24">
        <f>(-AK16+3+SQRT(9-2*AK16))/AK16</f>
        <v>-6.004639777002857E-2</v>
      </c>
      <c r="AO16" s="24">
        <f>(AJ16-1)/(AJ16+1)*(AN16+1)</f>
        <v>0.65996742284232046</v>
      </c>
      <c r="AP16" s="24">
        <f>(AG16/2)/(1+AO16+AN16)</f>
        <v>10.000493617662812</v>
      </c>
      <c r="AQ16" s="29">
        <f>1+4*EXP(-(165000*(1-AI16)^2))</f>
        <v>1</v>
      </c>
      <c r="AR16" s="27" t="e">
        <f>0.5*ACOS((AO16*(1+AN16))/(4*AN16))</f>
        <v>#NUM!</v>
      </c>
      <c r="AS16" s="28">
        <v>0</v>
      </c>
      <c r="AT16" s="27">
        <f>AG16/(2*(1+AO16+AN16))</f>
        <v>10.000493617662812</v>
      </c>
      <c r="AU16" s="27">
        <f>AT16*SQRT(((1+AO16)*SIN(AS16)-AN16*SIN(3*AS16))^2+((1-AO16)*COS(AS16)+AN16*COS(3*AS16))^2)</f>
        <v>2.7999999999999985</v>
      </c>
      <c r="AV16" s="27" t="e">
        <f>AT16*SQRT(((1+AO16)*SIN(AR16)-AN16*SIN(3*AR16))^2+((1-AO16)*COS(AR16)+AN16*COS(3*AR16))^2)</f>
        <v>#NUM!</v>
      </c>
      <c r="AW16" s="27">
        <f>IFERROR(AV16,-9999)</f>
        <v>-9999</v>
      </c>
      <c r="AX16" s="27">
        <f>IF(AU16&gt;=AW16,AS16,AR16)</f>
        <v>0</v>
      </c>
      <c r="AY16" s="27">
        <f>AT16*SQRT(((1+AO16)*SIN(AX16)-AN16*SIN(3*AX16))^2+((1-AO16)*COS(AX16)+AN16*COS(3*AX16))^2)</f>
        <v>2.7999999999999985</v>
      </c>
      <c r="AZ16" s="27">
        <f>-2*AN16*SIN(5*AX16)+AO16*(1-AN16)*SIN(3*AX16)+((6+3*AO16)*AN16^2+(3*AO16+AO16^2)*AN16+AO16^2)*SIN(AX16)</f>
        <v>0</v>
      </c>
      <c r="BA16" s="27">
        <f>-2*AN16*COS(5*AX16)+AO16*(1-AN16)*COS(3*AX16)+((6-3*AO16)*AN16^2+(-3*AO16+AO16^2)*AN16+AO16^2)*COS(AX16)</f>
        <v>1.3624729976342276</v>
      </c>
      <c r="BB16" s="27">
        <f>1+AO16^2+9*AN16^2+2*AO16*(1-3*AN16)*COS(2*AX16)-6*AN16*COS(4*AX16)</f>
        <v>3.3859923588078589</v>
      </c>
      <c r="BC16" s="27">
        <f t="shared" ref="BC16:BC25" si="6">(AI16-OG/AH16)/(1-OG/AH16)</f>
        <v>0.991281847133758</v>
      </c>
      <c r="BD16" s="27">
        <f t="shared" ref="BD16:BD25" si="7">AJ16/(1-OG/AH16)</f>
        <v>1.6985138004246285</v>
      </c>
      <c r="BE16" s="27">
        <f t="shared" ref="BE16:BE25" si="8">(SQRT(PI())*AQ16*(AY16+2*AT16/BB16)*SQRT(BA16^2+AZ16^2))/(2*AH16*(1-OG/AH16)*SQRT(BD16*BC16))</f>
        <v>0.86011464826756467</v>
      </c>
      <c r="BF16" s="27">
        <f>IF(BE16&lt;1,1,BE16)</f>
        <v>1</v>
      </c>
      <c r="BG16" s="27">
        <f>0.5*(1-COS(PI()*AI16))-1.5*(1-EXP(-5*(1-AI16)))*SIN(PI()*AI16)^2</f>
        <v>0.9961465524768246</v>
      </c>
      <c r="BH16" s="27">
        <f>0.5*(1+TANH(20*(AI16-0.7)))</f>
        <v>0.99998014005312708</v>
      </c>
      <c r="BI16" s="27">
        <f>0.5*(0.87*EXP(-BF16)-4*EXP(-0.187*BF16)+3)</f>
        <v>1.1400841387696481E-3</v>
      </c>
      <c r="BJ16" s="27">
        <f t="shared" ref="BJ16:BJ25" si="9">((1-BH16*BO16/AH16)*(1-OG/AH16)+BG16*(AJ16-BH16*BO16/AH16))*BI16*(AY16/AH16)^2</f>
        <v>5.9320331790790144E-3</v>
      </c>
      <c r="BK16" s="31">
        <f t="shared" ref="BK16:BK25" si="10">(4*rho*AH16^4*we*fa)/(3*PI())*BJ16</f>
        <v>1245.7712601209971</v>
      </c>
      <c r="BL16" s="20">
        <f t="shared" ref="BL16:BL24" si="11">(BK17+BK16)/2*AF17</f>
        <v>78740.832607979566</v>
      </c>
      <c r="BM16" s="5">
        <f>1+0.3*EXP(-160*(1-AI16))</f>
        <v>1.0027481427827516</v>
      </c>
      <c r="BN16" s="5">
        <f t="shared" ref="BN16:BN25" si="12">22.5*bbk/(PI()*RADIANS(fa)*BM16*SQRT((B/2)^2+(OG+d)^2))+2.4</f>
        <v>4.5279495460191921</v>
      </c>
      <c r="BO16" s="5">
        <f t="shared" ref="BO16:BO25" si="13">AJ42</f>
        <v>2.4744630062604829</v>
      </c>
      <c r="BP16" s="5">
        <f t="shared" ref="BP16:BP25" si="14">AK42</f>
        <v>17.576702491088245</v>
      </c>
      <c r="BQ16" s="20">
        <f t="shared" ref="BQ16:BQ25" si="15">(8/(3*PI()))*rho*BP16^3*we*RADIANS(fa)*bbk*BM16*BN16</f>
        <v>1223232.3418059375</v>
      </c>
      <c r="BR16" s="5">
        <f>-22.5*(bbk)/(PI()*BP16*RADIANS(fa)*BM16)-1.2</f>
        <v>-3.137087934487099</v>
      </c>
      <c r="BS16" s="20">
        <f t="shared" ref="BS16:BS25" si="16">((4)/(3*PI()))*rho*(BP16^2)*(BM16^2)*we*RADIANS(fa)*AX42</f>
        <v>2030264.6359675676</v>
      </c>
    </row>
    <row r="17" spans="2:71" x14ac:dyDescent="0.25">
      <c r="B17" s="45" t="s">
        <v>55</v>
      </c>
      <c r="C17" s="45"/>
      <c r="D17" s="45"/>
      <c r="E17" s="45"/>
      <c r="F17" s="45"/>
      <c r="G17" s="45"/>
      <c r="J17" s="44" t="s">
        <v>102</v>
      </c>
      <c r="K17" s="44"/>
      <c r="L17" s="44"/>
      <c r="M17" s="44"/>
      <c r="N17" s="44"/>
      <c r="O17" s="44"/>
      <c r="P17" s="44"/>
      <c r="Q17" s="44"/>
      <c r="T17" s="7" t="s">
        <v>74</v>
      </c>
      <c r="U17" s="17">
        <f>1.328*((3.22*rf^2*RADIANS(fa)^2)/(Tr*nu))^(-0.5)</f>
        <v>3.6994969166124297E-3</v>
      </c>
      <c r="W17" s="8" t="s">
        <v>82</v>
      </c>
      <c r="X17" s="8">
        <f>0.5*d</f>
        <v>3.35</v>
      </c>
      <c r="Z17" s="19" t="s">
        <v>158</v>
      </c>
      <c r="AA17" s="10">
        <f>40.842*F27/F26-10.502*RADIANS(fa)+2.1</f>
        <v>74.154567609777757</v>
      </c>
      <c r="AC17" s="1">
        <v>2</v>
      </c>
      <c r="AD17" s="25">
        <f>G77*2</f>
        <v>168.54900000000001</v>
      </c>
      <c r="AE17" s="26">
        <f>E41</f>
        <v>24</v>
      </c>
      <c r="AF17" s="26">
        <f>AE17-AE16</f>
        <v>12</v>
      </c>
      <c r="AG17" s="25">
        <f>MAX(F41:F51)*2</f>
        <v>32</v>
      </c>
      <c r="AH17" s="25">
        <f>d-MIN(G41:G51)</f>
        <v>5.35</v>
      </c>
      <c r="AI17" s="26">
        <f t="shared" ref="AI17:AI25" si="17">AD17/(AG17*AH17)</f>
        <v>0.98451518691588791</v>
      </c>
      <c r="AJ17" s="26">
        <f t="shared" ref="AJ17:AJ25" si="18">(AG17/2)/AH17</f>
        <v>2.990654205607477</v>
      </c>
      <c r="AK17" s="24">
        <f t="shared" ref="AK17:AK25" si="19">3+(4*AI17/PI())+(1-(4*AI17/PI()))*(((AJ17-1)/(AJ17+1))^2)</f>
        <v>4.1904392697840365</v>
      </c>
      <c r="AL17" s="24">
        <f t="shared" ref="AL17:AL25" si="20">2*AK17-6</f>
        <v>2.3808785395680729</v>
      </c>
      <c r="AM17" s="24">
        <f t="shared" ref="AM17:AM25" si="21">AK17-4</f>
        <v>0.19043926978403647</v>
      </c>
      <c r="AN17" s="24">
        <f t="shared" ref="AN17:AN25" si="22">(-AK17+3+SQRT(9-2*AK17))/AK17</f>
        <v>-9.6313662446628395E-2</v>
      </c>
      <c r="AO17" s="24">
        <f t="shared" ref="AO17:AO25" si="23">(AJ17-1)/(AJ17+1)*(AN17+1)</f>
        <v>0.45078498805355544</v>
      </c>
      <c r="AP17" s="24">
        <f t="shared" ref="AP17:AP25" si="24">(AG17/2)/(1+AO17+AN17)</f>
        <v>11.812727000942996</v>
      </c>
      <c r="AQ17" s="29">
        <f t="shared" ref="AQ17:AQ25" si="25">1+4*EXP(-(165000*(1-AI17)^2))</f>
        <v>1</v>
      </c>
      <c r="AR17" s="27" t="e">
        <f t="shared" ref="AR17:AR25" si="26">0.5*ACOS((AO17*(1+AN17))/(4*AN17))</f>
        <v>#NUM!</v>
      </c>
      <c r="AS17" s="28">
        <v>0</v>
      </c>
      <c r="AT17" s="27">
        <f t="shared" ref="AT17:AT25" si="27">AG17/(2*(1+AO17+AN17))</f>
        <v>11.812727000942996</v>
      </c>
      <c r="AU17" s="27">
        <f t="shared" ref="AU17:AU25" si="28">AT17*SQRT(((1+AO17)*SIN(AS17)-AN17*SIN(3*AS17))^2+((1-AO17)*COS(AS17)+AN17*COS(3*AS17))^2)</f>
        <v>5.3499999999999979</v>
      </c>
      <c r="AV17" s="27" t="e">
        <f>AT17*SQRT(((1+AO17)*SIN(AR17)-AN17*SIN(3*AR17))^2+((1-AO17)*COS(AR17)+AN17*COS(3*AR17))^2)</f>
        <v>#NUM!</v>
      </c>
      <c r="AW17" s="27">
        <f t="shared" ref="AW17:AW25" si="29">IFERROR(AV17,-9999)</f>
        <v>-9999</v>
      </c>
      <c r="AX17" s="27">
        <f t="shared" ref="AX17:AX25" si="30">IF(AU17&gt;=AW17,AS17,AR17)</f>
        <v>0</v>
      </c>
      <c r="AY17" s="27">
        <f t="shared" ref="AY17:AY25" si="31">AT17*SQRT(((1+AO17)*SIN(AX17)-AN17*SIN(3*AX17))^2+((1-AO17)*COS(AX17)+AN17*COS(3*AX17))^2)</f>
        <v>5.3499999999999979</v>
      </c>
      <c r="AZ17" s="27">
        <f t="shared" ref="AZ17:AZ25" si="32">-2*AN17*SIN(5*AX17)+AO17*(1-AN17)*SIN(3*AX17)+((6+3*AO17)*AN17^2+(3*AO17+AO17^2)*AN17+AO17^2)*SIN(AX17)</f>
        <v>0</v>
      </c>
      <c r="BA17" s="27">
        <f t="shared" ref="BA17:BA25" si="33">-2*AN17*COS(5*AX17)+AO17*(1-AN17)*COS(3*AX17)+((6-3*AO17)*AN17^2+(-3*AO17+AO17^2)*AN17+AO17^2)*COS(AX17)</f>
        <v>1.0438278604550577</v>
      </c>
      <c r="BB17" s="27">
        <f t="shared" ref="BB17:BB25" si="34">1+AO17^2+9*AN17^2+2*AO17*(1-3*AN17)*COS(2*AX17)-6*AN17*COS(4*AX17)</f>
        <v>3.0266464694586581</v>
      </c>
      <c r="BC17" s="27">
        <f t="shared" si="6"/>
        <v>0.99307905179615696</v>
      </c>
      <c r="BD17" s="27">
        <f t="shared" si="7"/>
        <v>1.3366750208855473</v>
      </c>
      <c r="BE17" s="27">
        <f t="shared" si="8"/>
        <v>0.88245533312920799</v>
      </c>
      <c r="BF17" s="27">
        <f t="shared" ref="BF17:BF25" si="35">IF(BE17&lt;1,1,BE17)</f>
        <v>1</v>
      </c>
      <c r="BG17" s="27">
        <f t="shared" ref="BG17:BG25" si="36">0.5*(1-COS(PI()*AI17))-1.5*(1-EXP(-5*(1-AI17)))*SIN(PI()*AI17)^2</f>
        <v>0.99914422406873848</v>
      </c>
      <c r="BH17" s="27">
        <f t="shared" ref="BH17:BH25" si="37">0.5*(1+TANH(20*(AI17-0.7)))</f>
        <v>0.99998858541793312</v>
      </c>
      <c r="BI17" s="27">
        <f t="shared" ref="BI17:BI25" si="38">0.5*(0.87*EXP(-BF17)-4*EXP(-0.187*BF17)+3)</f>
        <v>1.1400841387696481E-3</v>
      </c>
      <c r="BJ17" s="27">
        <f t="shared" si="9"/>
        <v>4.2434065647880548E-3</v>
      </c>
      <c r="BK17" s="31">
        <f t="shared" si="10"/>
        <v>11877.700841208931</v>
      </c>
      <c r="BL17" s="20">
        <f t="shared" si="11"/>
        <v>980762.87704059179</v>
      </c>
      <c r="BM17" s="5">
        <f t="shared" ref="BM17:BM25" si="39">1+0.3*EXP(-160*(1-AI17))</f>
        <v>1.0251840883698862</v>
      </c>
      <c r="BN17" s="5">
        <f t="shared" si="12"/>
        <v>4.4813798023328957</v>
      </c>
      <c r="BO17" s="5">
        <f t="shared" si="13"/>
        <v>2.4852675472802539</v>
      </c>
      <c r="BP17" s="5">
        <f t="shared" si="14"/>
        <v>18.963673053966584</v>
      </c>
      <c r="BQ17" s="20">
        <f t="shared" si="15"/>
        <v>1554476.967621932</v>
      </c>
      <c r="BR17" s="5">
        <f t="shared" ref="BR17:BR25" si="40">-22.5*(bbk)/(PI()*AK43*RADIANS(fa)*BM17)-1.2</f>
        <v>-2.9561204000888068</v>
      </c>
      <c r="BS17" s="20">
        <f t="shared" si="16"/>
        <v>3143789.2327536554</v>
      </c>
    </row>
    <row r="18" spans="2:71" x14ac:dyDescent="0.25">
      <c r="B18" s="46" t="s">
        <v>58</v>
      </c>
      <c r="C18" s="47"/>
      <c r="D18" s="48"/>
      <c r="E18" s="13" t="s">
        <v>69</v>
      </c>
      <c r="F18" s="12">
        <v>44.8</v>
      </c>
      <c r="G18" s="40" t="s">
        <v>2</v>
      </c>
      <c r="J18" s="44"/>
      <c r="K18" s="44"/>
      <c r="L18" s="44"/>
      <c r="M18" s="44"/>
      <c r="N18" s="44"/>
      <c r="O18" s="44"/>
      <c r="P18" s="44"/>
      <c r="Q18" s="44"/>
      <c r="T18" s="8"/>
      <c r="U18" s="8"/>
      <c r="W18" s="8" t="s">
        <v>85</v>
      </c>
      <c r="X18" s="8">
        <f>IF(Cm&lt;=0.92,0,IF(Cm&lt;=0.97,0.1,0.3))</f>
        <v>0.3</v>
      </c>
      <c r="Z18" s="19" t="s">
        <v>159</v>
      </c>
      <c r="AA18" s="12">
        <f>we/F29</f>
        <v>0.23131662884930881</v>
      </c>
      <c r="AC18" s="1">
        <v>3</v>
      </c>
      <c r="AD18" s="25">
        <f>J77*2</f>
        <v>212.0187</v>
      </c>
      <c r="AE18" s="26">
        <f>H41</f>
        <v>36</v>
      </c>
      <c r="AF18" s="26">
        <f t="shared" ref="AF18:AF25" si="41">AE18-AE17</f>
        <v>12</v>
      </c>
      <c r="AG18" s="25">
        <f>MAX(I41:I51)*2</f>
        <v>32</v>
      </c>
      <c r="AH18" s="25">
        <f>d-MIN(J41:J51)</f>
        <v>6.7</v>
      </c>
      <c r="AI18" s="26">
        <f t="shared" si="17"/>
        <v>0.98889319029850742</v>
      </c>
      <c r="AJ18" s="26">
        <f t="shared" si="18"/>
        <v>2.3880597014925371</v>
      </c>
      <c r="AK18" s="24">
        <f t="shared" si="19"/>
        <v>4.2156090475784165</v>
      </c>
      <c r="AL18" s="24">
        <f t="shared" si="20"/>
        <v>2.431218095156833</v>
      </c>
      <c r="AM18" s="24">
        <f t="shared" si="21"/>
        <v>0.21560904757841648</v>
      </c>
      <c r="AN18" s="24">
        <f t="shared" si="22"/>
        <v>-0.10945814317984583</v>
      </c>
      <c r="AO18" s="24">
        <f t="shared" si="23"/>
        <v>0.36484754486464466</v>
      </c>
      <c r="AP18" s="24">
        <f t="shared" si="24"/>
        <v>12.745049447229007</v>
      </c>
      <c r="AQ18" s="29">
        <f t="shared" si="25"/>
        <v>1.0000000057832084</v>
      </c>
      <c r="AR18" s="27">
        <f t="shared" si="26"/>
        <v>1.2034910909485903</v>
      </c>
      <c r="AS18" s="28">
        <v>0</v>
      </c>
      <c r="AT18" s="27">
        <f t="shared" si="27"/>
        <v>12.745049447229007</v>
      </c>
      <c r="AU18" s="27">
        <f t="shared" si="28"/>
        <v>6.7</v>
      </c>
      <c r="AV18" s="27">
        <f>AT18*SQRT(((1+AO18)*SIN(AR18)-AN18*SIN(3*AR18))^2+((1-AO18)*COS(AR18)+AN18*COS(3*AR18))^2)</f>
        <v>16.147156174208774</v>
      </c>
      <c r="AW18" s="27">
        <f t="shared" si="29"/>
        <v>16.147156174208774</v>
      </c>
      <c r="AX18" s="27">
        <f t="shared" si="30"/>
        <v>1.2034910909485903</v>
      </c>
      <c r="AY18" s="27">
        <f t="shared" si="31"/>
        <v>16.147156174208774</v>
      </c>
      <c r="AZ18" s="27">
        <f t="shared" si="32"/>
        <v>-0.16225533349723259</v>
      </c>
      <c r="BA18" s="27">
        <f t="shared" si="33"/>
        <v>-4.3166917250412967E-2</v>
      </c>
      <c r="BB18" s="27">
        <f t="shared" si="34"/>
        <v>0.58822251361618849</v>
      </c>
      <c r="BC18" s="27">
        <f t="shared" si="6"/>
        <v>0.99441324136636644</v>
      </c>
      <c r="BD18" s="27">
        <f t="shared" si="7"/>
        <v>1.2012012012012012</v>
      </c>
      <c r="BE18" s="27">
        <f t="shared" si="8"/>
        <v>0.60796487088806261</v>
      </c>
      <c r="BF18" s="27">
        <f t="shared" si="35"/>
        <v>1</v>
      </c>
      <c r="BG18" s="27">
        <f t="shared" si="36"/>
        <v>0.99959703279102552</v>
      </c>
      <c r="BH18" s="27">
        <f t="shared" si="37"/>
        <v>0.9999904190824499</v>
      </c>
      <c r="BI18" s="27">
        <f t="shared" si="38"/>
        <v>1.1400841387696481E-3</v>
      </c>
      <c r="BJ18" s="27">
        <f t="shared" si="9"/>
        <v>2.2016487974415022E-2</v>
      </c>
      <c r="BK18" s="31">
        <f t="shared" si="10"/>
        <v>151582.77866555637</v>
      </c>
      <c r="BL18" s="20">
        <f t="shared" si="11"/>
        <v>1812381.2097679134</v>
      </c>
      <c r="BM18" s="5">
        <f t="shared" si="39"/>
        <v>1.0507389024166862</v>
      </c>
      <c r="BN18" s="5">
        <f t="shared" si="12"/>
        <v>4.4307589738025657</v>
      </c>
      <c r="BO18" s="5">
        <f t="shared" si="13"/>
        <v>2.3554578707685399</v>
      </c>
      <c r="BP18" s="5">
        <f t="shared" si="14"/>
        <v>19.847385722928969</v>
      </c>
      <c r="BQ18" s="20">
        <f t="shared" si="15"/>
        <v>1805868.7064624247</v>
      </c>
      <c r="BR18" s="5">
        <f t="shared" si="40"/>
        <v>-2.837119879851981</v>
      </c>
      <c r="BS18" s="20">
        <f t="shared" si="16"/>
        <v>4256889.8761536907</v>
      </c>
    </row>
    <row r="19" spans="2:71" x14ac:dyDescent="0.25">
      <c r="B19" s="46" t="s">
        <v>59</v>
      </c>
      <c r="C19" s="47"/>
      <c r="D19" s="48"/>
      <c r="E19" s="9" t="s">
        <v>70</v>
      </c>
      <c r="F19" s="12">
        <v>3</v>
      </c>
      <c r="G19" s="40" t="s">
        <v>2</v>
      </c>
      <c r="J19" s="43" t="s">
        <v>205</v>
      </c>
      <c r="K19" s="43"/>
      <c r="L19" s="43"/>
      <c r="M19" s="43"/>
      <c r="N19" s="43"/>
      <c r="O19" s="43"/>
      <c r="P19" s="9" t="s">
        <v>103</v>
      </c>
      <c r="Q19" s="17">
        <f>BL26*((0.04*Ka)^2/(1+(0.04*Ka)^2))</f>
        <v>17376186.732053634</v>
      </c>
      <c r="R19" s="21">
        <f t="shared" ref="R19:R26" si="42">Q19/$U$29</f>
        <v>3.5251926420184401E-3</v>
      </c>
      <c r="T19" s="7" t="s">
        <v>75</v>
      </c>
      <c r="U19" s="17">
        <f>4/(3*PI())*rho*Sf*rf^3*RADIANS(fa)*we*Cf</f>
        <v>6567820.5513491267</v>
      </c>
      <c r="W19" s="8" t="s">
        <v>83</v>
      </c>
      <c r="X19" s="11">
        <f>2*PI()*d/L+X18*(4.1*B/L-0.045)</f>
        <v>0.46566083269472486</v>
      </c>
      <c r="Z19" s="19" t="s">
        <v>160</v>
      </c>
      <c r="AA19" s="17">
        <f>AA16*(AA18^(AA17))*(EXP(-(AA18^AA17)))*F25*F28*(F26^5)*SQRT(2*g/F26)</f>
        <v>2.4036067047394629E-40</v>
      </c>
      <c r="AC19" s="1">
        <v>4</v>
      </c>
      <c r="AD19" s="25">
        <f>M77*2</f>
        <v>211.91400000000002</v>
      </c>
      <c r="AE19" s="26">
        <f>K41</f>
        <v>48</v>
      </c>
      <c r="AF19" s="26">
        <f t="shared" si="41"/>
        <v>12</v>
      </c>
      <c r="AG19" s="25">
        <f>MAX(L41:L51)*2</f>
        <v>32</v>
      </c>
      <c r="AH19" s="25">
        <f>d-MIN(M41:M51)</f>
        <v>6.7</v>
      </c>
      <c r="AI19" s="26">
        <f t="shared" si="17"/>
        <v>0.98840485074626871</v>
      </c>
      <c r="AJ19" s="26">
        <f t="shared" si="18"/>
        <v>2.3880597014925371</v>
      </c>
      <c r="AK19" s="24">
        <f t="shared" si="19"/>
        <v>4.2150916372644804</v>
      </c>
      <c r="AL19" s="24">
        <f t="shared" si="20"/>
        <v>2.4301832745289609</v>
      </c>
      <c r="AM19" s="24">
        <f t="shared" si="21"/>
        <v>0.21509163726448044</v>
      </c>
      <c r="AN19" s="24">
        <f t="shared" si="22"/>
        <v>-0.10918613867105627</v>
      </c>
      <c r="AO19" s="24">
        <f t="shared" si="23"/>
        <v>0.36495898283520595</v>
      </c>
      <c r="AP19" s="24">
        <f t="shared" si="24"/>
        <v>12.741157825123778</v>
      </c>
      <c r="AQ19" s="29">
        <f t="shared" si="25"/>
        <v>1.0000000009284162</v>
      </c>
      <c r="AR19" s="27">
        <f t="shared" si="26"/>
        <v>1.2052124332524972</v>
      </c>
      <c r="AS19" s="28">
        <v>0</v>
      </c>
      <c r="AT19" s="27">
        <f t="shared" si="27"/>
        <v>12.741157825123778</v>
      </c>
      <c r="AU19" s="27">
        <f t="shared" si="28"/>
        <v>6.6999999999999993</v>
      </c>
      <c r="AV19" s="27">
        <f t="shared" ref="AV19:AV25" si="43">AT19*SQRT(((1+AO19)*SIN(AR19)-AN19*SIN(3*AR19))^2+((1-AO19)*COS(AR19)+AN19*COS(3*AR19))^2)</f>
        <v>16.144106037579412</v>
      </c>
      <c r="AW19" s="27">
        <f t="shared" si="29"/>
        <v>16.144106037579412</v>
      </c>
      <c r="AX19" s="27">
        <f t="shared" si="30"/>
        <v>1.2052124332524972</v>
      </c>
      <c r="AY19" s="27">
        <f t="shared" si="31"/>
        <v>16.144106037579412</v>
      </c>
      <c r="AZ19" s="27">
        <f t="shared" si="32"/>
        <v>-0.16216350335678975</v>
      </c>
      <c r="BA19" s="27">
        <f t="shared" si="33"/>
        <v>-4.2916103502971231E-2</v>
      </c>
      <c r="BB19" s="27">
        <f t="shared" si="34"/>
        <v>0.59007942232799404</v>
      </c>
      <c r="BC19" s="27">
        <f t="shared" si="6"/>
        <v>0.99416760510510516</v>
      </c>
      <c r="BD19" s="27">
        <f t="shared" si="7"/>
        <v>1.2012012012012012</v>
      </c>
      <c r="BE19" s="27">
        <f t="shared" si="8"/>
        <v>0.60592699123186877</v>
      </c>
      <c r="BF19" s="27">
        <f t="shared" si="35"/>
        <v>1</v>
      </c>
      <c r="BG19" s="27">
        <f t="shared" si="36"/>
        <v>0.99955623593807796</v>
      </c>
      <c r="BH19" s="27">
        <f t="shared" si="37"/>
        <v>0.99999023009484578</v>
      </c>
      <c r="BI19" s="27">
        <f t="shared" si="38"/>
        <v>1.1400841387696481E-3</v>
      </c>
      <c r="BJ19" s="27">
        <f t="shared" si="9"/>
        <v>2.1856425845552519E-2</v>
      </c>
      <c r="BK19" s="31">
        <f t="shared" si="10"/>
        <v>150480.75629576252</v>
      </c>
      <c r="BL19" s="20">
        <f t="shared" si="11"/>
        <v>1787341.4885830481</v>
      </c>
      <c r="BM19" s="5">
        <f t="shared" si="39"/>
        <v>1.0469253759452082</v>
      </c>
      <c r="BN19" s="5">
        <f t="shared" si="12"/>
        <v>4.4381562088698656</v>
      </c>
      <c r="BO19" s="5">
        <f t="shared" si="13"/>
        <v>2.4066827608437618</v>
      </c>
      <c r="BP19" s="5">
        <f t="shared" si="14"/>
        <v>19.826264721909379</v>
      </c>
      <c r="BQ19" s="20">
        <f t="shared" si="15"/>
        <v>1796570.7181160308</v>
      </c>
      <c r="BR19" s="5">
        <f t="shared" si="40"/>
        <v>-2.8448336299360855</v>
      </c>
      <c r="BS19" s="20">
        <f t="shared" si="16"/>
        <v>4166764.6595156742</v>
      </c>
    </row>
    <row r="20" spans="2:71" x14ac:dyDescent="0.25">
      <c r="B20" s="46" t="s">
        <v>60</v>
      </c>
      <c r="C20" s="47"/>
      <c r="D20" s="48"/>
      <c r="E20" s="9" t="s">
        <v>57</v>
      </c>
      <c r="F20" s="12">
        <v>8.6</v>
      </c>
      <c r="G20" s="40" t="s">
        <v>2</v>
      </c>
      <c r="J20" s="43" t="s">
        <v>206</v>
      </c>
      <c r="K20" s="43"/>
      <c r="L20" s="43"/>
      <c r="M20" s="43"/>
      <c r="N20" s="43"/>
      <c r="O20" s="43"/>
      <c r="P20" s="9" t="s">
        <v>104</v>
      </c>
      <c r="Q20" s="17">
        <f>Bf</f>
        <v>6668661.3639364159</v>
      </c>
      <c r="R20" s="21">
        <f t="shared" si="42"/>
        <v>1.3529041978408193E-3</v>
      </c>
      <c r="T20" s="7" t="s">
        <v>80</v>
      </c>
      <c r="U20" s="17">
        <f>U19</f>
        <v>6567820.5513491267</v>
      </c>
      <c r="W20" s="8" t="s">
        <v>37</v>
      </c>
      <c r="X20" s="17">
        <f>rho/2*V*L*d*X19*X16*X17*(1-1.4*OG/X17+0.7*OG/(X16*X17))</f>
        <v>5634410.3813236952</v>
      </c>
      <c r="AC20" s="1">
        <v>5</v>
      </c>
      <c r="AD20" s="25">
        <f>P77*2</f>
        <v>211.6104</v>
      </c>
      <c r="AE20" s="26">
        <f>N41</f>
        <v>60</v>
      </c>
      <c r="AF20" s="26">
        <f t="shared" si="41"/>
        <v>12</v>
      </c>
      <c r="AG20" s="25">
        <f>MAX(O41:O51)*2</f>
        <v>32</v>
      </c>
      <c r="AH20" s="25">
        <f>d-MIN(P41:P51)</f>
        <v>6.7</v>
      </c>
      <c r="AI20" s="26">
        <f t="shared" si="17"/>
        <v>0.98698880597014926</v>
      </c>
      <c r="AJ20" s="26">
        <f t="shared" si="18"/>
        <v>2.3880597014925371</v>
      </c>
      <c r="AK20" s="24">
        <f t="shared" si="19"/>
        <v>4.2135912956091746</v>
      </c>
      <c r="AL20" s="24">
        <f t="shared" si="20"/>
        <v>2.4271825912183491</v>
      </c>
      <c r="AM20" s="24">
        <f t="shared" si="21"/>
        <v>0.21359129560917456</v>
      </c>
      <c r="AN20" s="24">
        <f t="shared" si="22"/>
        <v>-0.10839785956501899</v>
      </c>
      <c r="AO20" s="24">
        <f t="shared" si="23"/>
        <v>0.3652819341870186</v>
      </c>
      <c r="AP20" s="24">
        <f t="shared" si="24"/>
        <v>12.729893172377018</v>
      </c>
      <c r="AQ20" s="29">
        <f t="shared" si="25"/>
        <v>1.0000000000029572</v>
      </c>
      <c r="AR20" s="27">
        <f t="shared" si="26"/>
        <v>1.2102888040150659</v>
      </c>
      <c r="AS20" s="28">
        <v>0</v>
      </c>
      <c r="AT20" s="27">
        <f t="shared" si="27"/>
        <v>12.729893172377018</v>
      </c>
      <c r="AU20" s="27">
        <f t="shared" si="28"/>
        <v>6.7</v>
      </c>
      <c r="AV20" s="27">
        <f t="shared" si="43"/>
        <v>16.135416104320655</v>
      </c>
      <c r="AW20" s="27">
        <f t="shared" si="29"/>
        <v>16.135416104320655</v>
      </c>
      <c r="AX20" s="27">
        <f t="shared" si="30"/>
        <v>1.2102888040150659</v>
      </c>
      <c r="AY20" s="27">
        <f t="shared" si="31"/>
        <v>16.135416104320655</v>
      </c>
      <c r="AZ20" s="27">
        <f t="shared" si="32"/>
        <v>-0.16189288887127606</v>
      </c>
      <c r="BA20" s="27">
        <f t="shared" si="33"/>
        <v>-4.2180214546273881E-2</v>
      </c>
      <c r="BB20" s="27">
        <f t="shared" si="34"/>
        <v>0.59549466799332951</v>
      </c>
      <c r="BC20" s="27">
        <f t="shared" si="6"/>
        <v>0.9934553303303304</v>
      </c>
      <c r="BD20" s="27">
        <f t="shared" si="7"/>
        <v>1.2012012012012012</v>
      </c>
      <c r="BE20" s="27">
        <f t="shared" si="8"/>
        <v>0.60004751911275545</v>
      </c>
      <c r="BF20" s="27">
        <f t="shared" si="35"/>
        <v>1</v>
      </c>
      <c r="BG20" s="27">
        <f t="shared" si="36"/>
        <v>0.99942458038726723</v>
      </c>
      <c r="BH20" s="27">
        <f t="shared" si="37"/>
        <v>0.99998966074330797</v>
      </c>
      <c r="BI20" s="27">
        <f t="shared" si="38"/>
        <v>1.1400841387696481E-3</v>
      </c>
      <c r="BJ20" s="27">
        <f t="shared" si="9"/>
        <v>2.1410343128232093E-2</v>
      </c>
      <c r="BK20" s="31">
        <f t="shared" si="10"/>
        <v>147409.49180141216</v>
      </c>
      <c r="BL20" s="20">
        <f t="shared" si="11"/>
        <v>7075325.217006675</v>
      </c>
      <c r="BM20" s="5">
        <f t="shared" si="39"/>
        <v>1.0374119970559668</v>
      </c>
      <c r="BN20" s="5">
        <f t="shared" si="12"/>
        <v>4.4568467120696198</v>
      </c>
      <c r="BO20" s="5">
        <f t="shared" si="13"/>
        <v>2.5494074591070737</v>
      </c>
      <c r="BP20" s="5">
        <f t="shared" si="14"/>
        <v>19.767417697887765</v>
      </c>
      <c r="BQ20" s="20">
        <f t="shared" si="15"/>
        <v>1771870.9411712254</v>
      </c>
      <c r="BR20" s="5">
        <f t="shared" si="40"/>
        <v>-2.8648587722918348</v>
      </c>
      <c r="BS20" s="20">
        <f t="shared" si="16"/>
        <v>3930700.1818757406</v>
      </c>
    </row>
    <row r="21" spans="2:71" x14ac:dyDescent="0.25">
      <c r="B21" s="46" t="s">
        <v>61</v>
      </c>
      <c r="C21" s="47"/>
      <c r="D21" s="48"/>
      <c r="E21" s="13" t="s">
        <v>71</v>
      </c>
      <c r="F21" s="8">
        <v>1000</v>
      </c>
      <c r="G21" s="40" t="s">
        <v>20</v>
      </c>
      <c r="J21" s="43" t="s">
        <v>207</v>
      </c>
      <c r="K21" s="43"/>
      <c r="L21" s="43"/>
      <c r="M21" s="43"/>
      <c r="N21" s="43"/>
      <c r="O21" s="43"/>
      <c r="P21" s="9" t="s">
        <v>105</v>
      </c>
      <c r="Q21" s="17">
        <f>BL</f>
        <v>5634410.3813236952</v>
      </c>
      <c r="R21" s="21">
        <f t="shared" si="42"/>
        <v>1.1430806036237351E-3</v>
      </c>
      <c r="T21" s="7" t="s">
        <v>38</v>
      </c>
      <c r="U21" s="17">
        <f>U20*(1+4.1*V/(we*L))</f>
        <v>6668661.3639364159</v>
      </c>
      <c r="AC21" s="1">
        <v>6</v>
      </c>
      <c r="AD21" s="25">
        <f>D90*2</f>
        <v>211.60900000000001</v>
      </c>
      <c r="AE21" s="26">
        <f>B54</f>
        <v>108</v>
      </c>
      <c r="AF21" s="26">
        <f t="shared" si="41"/>
        <v>48</v>
      </c>
      <c r="AG21" s="25">
        <f>MAX(C54:C64)*2</f>
        <v>32</v>
      </c>
      <c r="AH21" s="25">
        <f>d-MIN(D54:D64)</f>
        <v>6.7</v>
      </c>
      <c r="AI21" s="26">
        <f t="shared" si="17"/>
        <v>0.98698227611940303</v>
      </c>
      <c r="AJ21" s="26">
        <f t="shared" si="18"/>
        <v>2.3880597014925371</v>
      </c>
      <c r="AK21" s="24">
        <f t="shared" si="19"/>
        <v>4.2135843770376411</v>
      </c>
      <c r="AL21" s="24">
        <f t="shared" si="20"/>
        <v>2.4271687540752822</v>
      </c>
      <c r="AM21" s="24">
        <f t="shared" si="21"/>
        <v>0.2135843770376411</v>
      </c>
      <c r="AN21" s="24">
        <f t="shared" si="22"/>
        <v>-0.10839422611084029</v>
      </c>
      <c r="AO21" s="24">
        <f t="shared" si="23"/>
        <v>0.36528342278278347</v>
      </c>
      <c r="AP21" s="24">
        <f t="shared" si="24"/>
        <v>12.729841295768662</v>
      </c>
      <c r="AQ21" s="29">
        <f t="shared" si="25"/>
        <v>1.0000000000028755</v>
      </c>
      <c r="AR21" s="27">
        <f t="shared" si="26"/>
        <v>1.2103125121645322</v>
      </c>
      <c r="AS21" s="28">
        <v>0</v>
      </c>
      <c r="AT21" s="27">
        <f t="shared" si="27"/>
        <v>12.729841295768662</v>
      </c>
      <c r="AU21" s="27">
        <f t="shared" si="28"/>
        <v>6.7000000000000011</v>
      </c>
      <c r="AV21" s="27">
        <f t="shared" si="43"/>
        <v>16.135376567727686</v>
      </c>
      <c r="AW21" s="27">
        <f t="shared" si="29"/>
        <v>16.135376567727686</v>
      </c>
      <c r="AX21" s="27">
        <f t="shared" si="30"/>
        <v>1.2103125121645322</v>
      </c>
      <c r="AY21" s="27">
        <f t="shared" si="31"/>
        <v>16.135376567727686</v>
      </c>
      <c r="AZ21" s="27">
        <f t="shared" si="32"/>
        <v>-0.16189162604685786</v>
      </c>
      <c r="BA21" s="27">
        <f t="shared" si="33"/>
        <v>-4.2176790953724563E-2</v>
      </c>
      <c r="BB21" s="27">
        <f t="shared" si="34"/>
        <v>0.59551974622253612</v>
      </c>
      <c r="BC21" s="27">
        <f t="shared" si="6"/>
        <v>0.99345204579579582</v>
      </c>
      <c r="BD21" s="27">
        <f t="shared" si="7"/>
        <v>1.2012012012012012</v>
      </c>
      <c r="BE21" s="27">
        <f t="shared" si="8"/>
        <v>0.60002050889563696</v>
      </c>
      <c r="BF21" s="27">
        <f t="shared" si="35"/>
        <v>1</v>
      </c>
      <c r="BG21" s="27">
        <f t="shared" si="36"/>
        <v>0.99942392611782682</v>
      </c>
      <c r="BH21" s="27">
        <f t="shared" si="37"/>
        <v>0.99998965804243112</v>
      </c>
      <c r="BI21" s="27">
        <f t="shared" si="38"/>
        <v>1.1400841387696481E-3</v>
      </c>
      <c r="BJ21" s="27">
        <f t="shared" si="9"/>
        <v>2.1408343666380995E-2</v>
      </c>
      <c r="BK21" s="31">
        <f t="shared" si="10"/>
        <v>147395.72557386593</v>
      </c>
      <c r="BL21" s="20">
        <f t="shared" si="11"/>
        <v>1787108.9604629469</v>
      </c>
      <c r="BM21" s="5">
        <f t="shared" si="39"/>
        <v>1.0373729303064207</v>
      </c>
      <c r="BN21" s="5">
        <f t="shared" si="12"/>
        <v>4.4569241714991152</v>
      </c>
      <c r="BO21" s="5">
        <f t="shared" si="13"/>
        <v>2.5500471068604189</v>
      </c>
      <c r="BP21" s="5">
        <f t="shared" si="14"/>
        <v>19.767153967456494</v>
      </c>
      <c r="BQ21" s="20">
        <f t="shared" si="15"/>
        <v>1771764.0931917697</v>
      </c>
      <c r="BR21" s="5">
        <f t="shared" si="40"/>
        <v>-2.8649436828605745</v>
      </c>
      <c r="BS21" s="20">
        <f t="shared" si="16"/>
        <v>3929689.1604261389</v>
      </c>
    </row>
    <row r="22" spans="2:71" x14ac:dyDescent="0.25">
      <c r="B22" s="46" t="s">
        <v>62</v>
      </c>
      <c r="C22" s="47"/>
      <c r="D22" s="48"/>
      <c r="E22" s="13" t="s">
        <v>72</v>
      </c>
      <c r="F22" s="12">
        <f>(PI()/F19)*SQRT(g*F20)</f>
        <v>9.616894681351333</v>
      </c>
      <c r="G22" s="40" t="s">
        <v>56</v>
      </c>
      <c r="J22" s="43" t="s">
        <v>208</v>
      </c>
      <c r="K22" s="43"/>
      <c r="L22" s="43"/>
      <c r="M22" s="43"/>
      <c r="N22" s="43"/>
      <c r="O22" s="43"/>
      <c r="P22" s="9" t="s">
        <v>201</v>
      </c>
      <c r="Q22" s="17">
        <f>AO12</f>
        <v>160147.30466407439</v>
      </c>
      <c r="R22" s="21">
        <f t="shared" si="42"/>
        <v>3.2489872993794543E-5</v>
      </c>
      <c r="Z22" s="42" t="s">
        <v>161</v>
      </c>
      <c r="AA22" s="42"/>
      <c r="AC22" s="1">
        <v>7</v>
      </c>
      <c r="AD22" s="25">
        <f>G90*2</f>
        <v>211.91159999999999</v>
      </c>
      <c r="AE22" s="26">
        <f>E54</f>
        <v>120</v>
      </c>
      <c r="AF22" s="26">
        <f t="shared" si="41"/>
        <v>12</v>
      </c>
      <c r="AG22" s="25">
        <f>MAX(F54:F64)*2</f>
        <v>32</v>
      </c>
      <c r="AH22" s="25">
        <f>d-MIN(G54:G64)</f>
        <v>6.7</v>
      </c>
      <c r="AI22" s="26">
        <f t="shared" si="17"/>
        <v>0.98839365671641788</v>
      </c>
      <c r="AJ22" s="26">
        <f t="shared" si="18"/>
        <v>2.3880597014925371</v>
      </c>
      <c r="AK22" s="24">
        <f t="shared" si="19"/>
        <v>4.2150797768561388</v>
      </c>
      <c r="AL22" s="24">
        <f t="shared" si="20"/>
        <v>2.4301595537122775</v>
      </c>
      <c r="AM22" s="24">
        <f t="shared" si="21"/>
        <v>0.21507977685613877</v>
      </c>
      <c r="AN22" s="24">
        <f t="shared" si="22"/>
        <v>-0.10917990456047615</v>
      </c>
      <c r="AO22" s="24">
        <f t="shared" si="23"/>
        <v>0.36496153689813088</v>
      </c>
      <c r="AP22" s="24">
        <f t="shared" si="24"/>
        <v>12.741068660333708</v>
      </c>
      <c r="AQ22" s="29">
        <f t="shared" si="25"/>
        <v>1.0000000008894709</v>
      </c>
      <c r="AR22" s="27">
        <f t="shared" si="26"/>
        <v>1.2052520642754356</v>
      </c>
      <c r="AS22" s="28">
        <v>0</v>
      </c>
      <c r="AT22" s="27">
        <f t="shared" si="27"/>
        <v>12.741068660333708</v>
      </c>
      <c r="AU22" s="27">
        <f t="shared" si="28"/>
        <v>6.7</v>
      </c>
      <c r="AV22" s="27">
        <f t="shared" si="43"/>
        <v>16.144036439617565</v>
      </c>
      <c r="AW22" s="27">
        <f t="shared" si="29"/>
        <v>16.144036439617565</v>
      </c>
      <c r="AX22" s="27">
        <f t="shared" si="30"/>
        <v>1.2052520642754356</v>
      </c>
      <c r="AY22" s="27">
        <f t="shared" si="31"/>
        <v>16.144036439617565</v>
      </c>
      <c r="AZ22" s="27">
        <f t="shared" si="32"/>
        <v>-0.16216138938420316</v>
      </c>
      <c r="BA22" s="27">
        <f t="shared" si="33"/>
        <v>-4.2910336588688397E-2</v>
      </c>
      <c r="BB22" s="27">
        <f t="shared" si="34"/>
        <v>0.59012205094688219</v>
      </c>
      <c r="BC22" s="27">
        <f t="shared" si="6"/>
        <v>0.99416197447447452</v>
      </c>
      <c r="BD22" s="27">
        <f t="shared" si="7"/>
        <v>1.2012012012012012</v>
      </c>
      <c r="BE22" s="27">
        <f t="shared" si="8"/>
        <v>0.60588033975021305</v>
      </c>
      <c r="BF22" s="27">
        <f t="shared" si="35"/>
        <v>1</v>
      </c>
      <c r="BG22" s="27">
        <f t="shared" si="36"/>
        <v>0.99955527358396379</v>
      </c>
      <c r="BH22" s="27">
        <f t="shared" si="37"/>
        <v>0.9999902257193245</v>
      </c>
      <c r="BI22" s="27">
        <f t="shared" si="38"/>
        <v>1.1400841387696481E-3</v>
      </c>
      <c r="BJ22" s="27">
        <f t="shared" si="9"/>
        <v>2.1852796421979879E-2</v>
      </c>
      <c r="BK22" s="31">
        <f t="shared" si="10"/>
        <v>150455.76783662522</v>
      </c>
      <c r="BL22" s="20">
        <f t="shared" si="11"/>
        <v>1826665.4355383317</v>
      </c>
      <c r="BM22" s="5">
        <f t="shared" si="39"/>
        <v>1.0468414057154212</v>
      </c>
      <c r="BN22" s="5">
        <f t="shared" si="12"/>
        <v>4.4383196953772446</v>
      </c>
      <c r="BO22" s="5">
        <f t="shared" si="13"/>
        <v>2.4078441939174939</v>
      </c>
      <c r="BP22" s="5">
        <f t="shared" si="14"/>
        <v>19.825785843262274</v>
      </c>
      <c r="BQ22" s="20">
        <f t="shared" si="15"/>
        <v>1796362.6226967908</v>
      </c>
      <c r="BR22" s="5">
        <f t="shared" si="40"/>
        <v>-2.8450052999291691</v>
      </c>
      <c r="BS22" s="20">
        <f t="shared" si="16"/>
        <v>4164755.6944533917</v>
      </c>
    </row>
    <row r="23" spans="2:71" x14ac:dyDescent="0.25">
      <c r="J23" s="43" t="s">
        <v>209</v>
      </c>
      <c r="K23" s="43"/>
      <c r="L23" s="43"/>
      <c r="M23" s="43"/>
      <c r="N23" s="43"/>
      <c r="O23" s="43"/>
      <c r="P23" s="9" t="s">
        <v>202</v>
      </c>
      <c r="Q23" s="17">
        <f>BQ26</f>
        <v>104995390.812787</v>
      </c>
      <c r="R23" s="21">
        <f t="shared" si="42"/>
        <v>2.1300932410925059E-2</v>
      </c>
      <c r="W23" s="30"/>
      <c r="X23" s="30"/>
      <c r="Z23" s="19" t="s">
        <v>157</v>
      </c>
      <c r="AA23" s="12">
        <f>(1.8*F20/F19-1.9882*RADIANS(fa)+0.429)/(1.2*OG/B+1)</f>
        <v>7.2038534340661711</v>
      </c>
      <c r="AC23" s="1">
        <v>8</v>
      </c>
      <c r="AD23" s="25">
        <f>J90*2</f>
        <v>212.23950000000002</v>
      </c>
      <c r="AE23" s="26">
        <f>H54</f>
        <v>132</v>
      </c>
      <c r="AF23" s="26">
        <f t="shared" si="41"/>
        <v>12</v>
      </c>
      <c r="AG23" s="25">
        <f>MAX(I54:I64)*2</f>
        <v>32</v>
      </c>
      <c r="AH23" s="25">
        <f>d-MIN(J54:J64)</f>
        <v>6.7</v>
      </c>
      <c r="AI23" s="26">
        <f t="shared" si="17"/>
        <v>0.98992304104477624</v>
      </c>
      <c r="AJ23" s="26">
        <f t="shared" si="18"/>
        <v>2.3880597014925371</v>
      </c>
      <c r="AK23" s="24">
        <f t="shared" si="19"/>
        <v>4.2167002051459122</v>
      </c>
      <c r="AL23" s="24">
        <f t="shared" si="20"/>
        <v>2.4334004102918243</v>
      </c>
      <c r="AM23" s="24">
        <f t="shared" si="21"/>
        <v>0.21670020514591215</v>
      </c>
      <c r="AN23" s="24">
        <f t="shared" si="22"/>
        <v>-0.11003203558408919</v>
      </c>
      <c r="AO23" s="24">
        <f t="shared" si="23"/>
        <v>0.36461242595013083</v>
      </c>
      <c r="AP23" s="24">
        <f t="shared" si="24"/>
        <v>12.753268043135739</v>
      </c>
      <c r="AQ23" s="29">
        <f t="shared" si="25"/>
        <v>1.0000002115832216</v>
      </c>
      <c r="AR23" s="27">
        <f t="shared" si="26"/>
        <v>1.1999086040877767</v>
      </c>
      <c r="AS23" s="28">
        <v>0</v>
      </c>
      <c r="AT23" s="27">
        <f t="shared" si="27"/>
        <v>12.753268043135739</v>
      </c>
      <c r="AU23" s="27">
        <f t="shared" si="28"/>
        <v>6.7</v>
      </c>
      <c r="AV23" s="27">
        <f t="shared" si="43"/>
        <v>16.15367740611504</v>
      </c>
      <c r="AW23" s="27">
        <f t="shared" si="29"/>
        <v>16.15367740611504</v>
      </c>
      <c r="AX23" s="27">
        <f t="shared" si="30"/>
        <v>1.1999086040877767</v>
      </c>
      <c r="AY23" s="27">
        <f t="shared" si="31"/>
        <v>16.15367740611504</v>
      </c>
      <c r="AZ23" s="27">
        <f t="shared" si="32"/>
        <v>-0.16244648110619536</v>
      </c>
      <c r="BA23" s="27">
        <f t="shared" si="33"/>
        <v>-4.3690999945233441E-2</v>
      </c>
      <c r="BB23" s="27">
        <f t="shared" si="34"/>
        <v>0.58432412058929772</v>
      </c>
      <c r="BC23" s="27">
        <f t="shared" si="6"/>
        <v>0.99493125938438454</v>
      </c>
      <c r="BD23" s="27">
        <f t="shared" si="7"/>
        <v>1.2012012012012012</v>
      </c>
      <c r="BE23" s="27">
        <f t="shared" si="8"/>
        <v>0.6122800755069665</v>
      </c>
      <c r="BF23" s="27">
        <f t="shared" si="35"/>
        <v>1</v>
      </c>
      <c r="BG23" s="27">
        <f t="shared" si="36"/>
        <v>0.99967562541643773</v>
      </c>
      <c r="BH23" s="27">
        <f t="shared" si="37"/>
        <v>0.99999080573682275</v>
      </c>
      <c r="BI23" s="27">
        <f t="shared" si="38"/>
        <v>1.1400841387696481E-3</v>
      </c>
      <c r="BJ23" s="27">
        <f t="shared" si="9"/>
        <v>2.2365900394872074E-2</v>
      </c>
      <c r="BK23" s="31">
        <f t="shared" si="10"/>
        <v>153988.47141976343</v>
      </c>
      <c r="BL23" s="20">
        <f t="shared" si="11"/>
        <v>1415900.6048363391</v>
      </c>
      <c r="BM23" s="5">
        <f t="shared" si="39"/>
        <v>1.0598277165968304</v>
      </c>
      <c r="BN23" s="5">
        <f t="shared" si="12"/>
        <v>4.4133436989720316</v>
      </c>
      <c r="BO23" s="5">
        <f t="shared" si="13"/>
        <v>2.2435999428871107</v>
      </c>
      <c r="BP23" s="5">
        <f t="shared" si="14"/>
        <v>19.893507601977824</v>
      </c>
      <c r="BQ23" s="20">
        <f t="shared" si="15"/>
        <v>1827007.8804385762</v>
      </c>
      <c r="BR23" s="5">
        <f t="shared" si="40"/>
        <v>-2.8193173418333188</v>
      </c>
      <c r="BS23" s="20">
        <f t="shared" si="16"/>
        <v>4464499.8847864857</v>
      </c>
    </row>
    <row r="24" spans="2:71" x14ac:dyDescent="0.25">
      <c r="B24" s="45" t="s">
        <v>63</v>
      </c>
      <c r="C24" s="45"/>
      <c r="D24" s="45"/>
      <c r="E24" s="45"/>
      <c r="F24" s="45"/>
      <c r="G24" s="45"/>
      <c r="J24" s="43" t="s">
        <v>210</v>
      </c>
      <c r="K24" s="43"/>
      <c r="L24" s="43"/>
      <c r="M24" s="43"/>
      <c r="N24" s="43"/>
      <c r="O24" s="43"/>
      <c r="P24" s="9" t="s">
        <v>203</v>
      </c>
      <c r="Q24" s="17">
        <f>BS26</f>
        <v>212934709.7045967</v>
      </c>
      <c r="R24" s="21">
        <f t="shared" si="42"/>
        <v>4.3199114020585898E-2</v>
      </c>
      <c r="T24" s="1" t="s">
        <v>152</v>
      </c>
      <c r="U24" s="20">
        <v>5157930549.2480001</v>
      </c>
      <c r="V24" s="2" t="s">
        <v>200</v>
      </c>
      <c r="X24" s="5"/>
      <c r="Z24" s="19" t="s">
        <v>158</v>
      </c>
      <c r="AA24" s="10">
        <f>40.842*F20/F19-10.502*RADIANS(fa)+2.1</f>
        <v>118.26392760977777</v>
      </c>
      <c r="AC24" s="1">
        <v>9</v>
      </c>
      <c r="AD24" s="25">
        <f>M90*2</f>
        <v>192.185</v>
      </c>
      <c r="AE24" s="26">
        <f>K54</f>
        <v>144</v>
      </c>
      <c r="AF24" s="26">
        <f t="shared" si="41"/>
        <v>12</v>
      </c>
      <c r="AG24" s="25">
        <f>MAX(L54:L64)*2</f>
        <v>30.2</v>
      </c>
      <c r="AH24" s="25">
        <f>d-MIN(M54:M64)</f>
        <v>6.7</v>
      </c>
      <c r="AI24" s="26">
        <f t="shared" si="17"/>
        <v>0.9498121972916872</v>
      </c>
      <c r="AJ24" s="26">
        <f t="shared" si="18"/>
        <v>2.2537313432835822</v>
      </c>
      <c r="AK24" s="24">
        <f t="shared" si="19"/>
        <v>4.1782574779266364</v>
      </c>
      <c r="AL24" s="24">
        <f t="shared" si="20"/>
        <v>2.3565149558532728</v>
      </c>
      <c r="AM24" s="24">
        <f t="shared" si="21"/>
        <v>0.17825747792663638</v>
      </c>
      <c r="AN24" s="24">
        <f t="shared" si="22"/>
        <v>-9.0009360240168895E-2</v>
      </c>
      <c r="AO24" s="24">
        <f t="shared" si="23"/>
        <v>0.35063859513681567</v>
      </c>
      <c r="AP24" s="24">
        <f t="shared" si="24"/>
        <v>11.978145184962317</v>
      </c>
      <c r="AQ24" s="29">
        <f t="shared" si="25"/>
        <v>1</v>
      </c>
      <c r="AR24" s="27">
        <f t="shared" si="26"/>
        <v>1.3299749762028812</v>
      </c>
      <c r="AS24" s="28">
        <v>0</v>
      </c>
      <c r="AT24" s="27">
        <f t="shared" si="27"/>
        <v>11.978145184962317</v>
      </c>
      <c r="AU24" s="27">
        <f t="shared" si="28"/>
        <v>6.7</v>
      </c>
      <c r="AV24" s="27">
        <f t="shared" si="43"/>
        <v>15.122121673285248</v>
      </c>
      <c r="AW24" s="27">
        <f t="shared" si="29"/>
        <v>15.122121673285248</v>
      </c>
      <c r="AX24" s="27">
        <f t="shared" si="30"/>
        <v>1.3299749762028812</v>
      </c>
      <c r="AY24" s="27">
        <f t="shared" si="31"/>
        <v>15.122121673285248</v>
      </c>
      <c r="AZ24" s="27">
        <f t="shared" si="32"/>
        <v>-0.14999010585496603</v>
      </c>
      <c r="BA24" s="27">
        <f t="shared" si="33"/>
        <v>-2.5846318201777102E-2</v>
      </c>
      <c r="BB24" s="27">
        <f t="shared" si="34"/>
        <v>0.71482241708690875</v>
      </c>
      <c r="BC24" s="27">
        <f t="shared" si="6"/>
        <v>0.97475538452359645</v>
      </c>
      <c r="BD24" s="27">
        <f t="shared" si="7"/>
        <v>1.1336336336336337</v>
      </c>
      <c r="BE24" s="27">
        <f t="shared" si="8"/>
        <v>0.46852079607135638</v>
      </c>
      <c r="BF24" s="27">
        <f t="shared" si="35"/>
        <v>1</v>
      </c>
      <c r="BG24" s="27">
        <f t="shared" si="36"/>
        <v>0.9855906055374748</v>
      </c>
      <c r="BH24" s="27">
        <f t="shared" si="37"/>
        <v>0.99995425982909292</v>
      </c>
      <c r="BI24" s="27">
        <f t="shared" si="38"/>
        <v>1.1400841387696481E-3</v>
      </c>
      <c r="BJ24" s="27">
        <f t="shared" si="9"/>
        <v>1.1909275753957806E-2</v>
      </c>
      <c r="BK24" s="31">
        <f t="shared" si="10"/>
        <v>81994.962719626419</v>
      </c>
      <c r="BL24" s="20">
        <f t="shared" si="11"/>
        <v>614191.92134698702</v>
      </c>
      <c r="BM24" s="5">
        <f t="shared" si="39"/>
        <v>1.0000976597325755</v>
      </c>
      <c r="BN24" s="5">
        <f t="shared" si="12"/>
        <v>4.5335890894662398</v>
      </c>
      <c r="BO24" s="5">
        <f t="shared" si="13"/>
        <v>4.8641644441792566</v>
      </c>
      <c r="BP24" s="5">
        <f t="shared" si="14"/>
        <v>18.124926898305063</v>
      </c>
      <c r="BQ24" s="20">
        <f t="shared" si="15"/>
        <v>1339419.6345240683</v>
      </c>
      <c r="BR24" s="5">
        <f t="shared" si="40"/>
        <v>-3.083475301067458</v>
      </c>
      <c r="BS24" s="20">
        <f t="shared" si="16"/>
        <v>1096335.7435281137</v>
      </c>
    </row>
    <row r="25" spans="2:71" x14ac:dyDescent="0.25">
      <c r="B25" s="46" t="s">
        <v>58</v>
      </c>
      <c r="C25" s="47"/>
      <c r="D25" s="48"/>
      <c r="E25" s="13" t="s">
        <v>69</v>
      </c>
      <c r="F25" s="8">
        <v>4.2</v>
      </c>
      <c r="G25" s="40" t="s">
        <v>2</v>
      </c>
      <c r="J25" s="43" t="s">
        <v>211</v>
      </c>
      <c r="K25" s="43"/>
      <c r="L25" s="43"/>
      <c r="M25" s="43"/>
      <c r="N25" s="43"/>
      <c r="O25" s="43"/>
      <c r="P25" s="9" t="s">
        <v>106</v>
      </c>
      <c r="Q25" s="17">
        <f>AA26</f>
        <v>1.7318248612042101E-85</v>
      </c>
      <c r="R25" s="21">
        <f t="shared" si="42"/>
        <v>3.5134384500598398E-95</v>
      </c>
      <c r="T25" s="1" t="s">
        <v>153</v>
      </c>
      <c r="U25" s="20">
        <f>31989156*RADIANS(fa)</f>
        <v>2791580.4856704958</v>
      </c>
      <c r="V25" s="2" t="s">
        <v>200</v>
      </c>
      <c r="Z25" s="19" t="s">
        <v>159</v>
      </c>
      <c r="AA25" s="12">
        <f>we/F22</f>
        <v>0.16333716639747725</v>
      </c>
      <c r="AC25" s="1">
        <v>10</v>
      </c>
      <c r="AD25" s="25">
        <f>P90*2</f>
        <v>132.62630999999999</v>
      </c>
      <c r="AE25" s="26">
        <f>N54</f>
        <v>156</v>
      </c>
      <c r="AF25" s="26">
        <f t="shared" si="41"/>
        <v>12</v>
      </c>
      <c r="AG25" s="25">
        <f>MAX(O54:O64)*2</f>
        <v>22</v>
      </c>
      <c r="AH25" s="25">
        <f>d-MIN(P54:P64)</f>
        <v>6.7</v>
      </c>
      <c r="AI25" s="26">
        <f t="shared" si="17"/>
        <v>0.89977143826322925</v>
      </c>
      <c r="AJ25" s="26">
        <f t="shared" si="18"/>
        <v>1.6417910447761193</v>
      </c>
      <c r="AK25" s="24">
        <f t="shared" si="19"/>
        <v>4.137029988600367</v>
      </c>
      <c r="AL25" s="24">
        <f t="shared" si="20"/>
        <v>2.2740599772007339</v>
      </c>
      <c r="AM25" s="24">
        <f t="shared" si="21"/>
        <v>0.13702998860036697</v>
      </c>
      <c r="AN25" s="24">
        <f t="shared" si="22"/>
        <v>-6.8892139894455626E-2</v>
      </c>
      <c r="AO25" s="24">
        <f t="shared" si="23"/>
        <v>0.22620134454541468</v>
      </c>
      <c r="AP25" s="24">
        <f t="shared" si="24"/>
        <v>9.5048064560391747</v>
      </c>
      <c r="AQ25" s="29">
        <f t="shared" si="25"/>
        <v>1</v>
      </c>
      <c r="AR25" s="27">
        <f t="shared" si="26"/>
        <v>1.2203779765072225</v>
      </c>
      <c r="AS25" s="28">
        <v>0</v>
      </c>
      <c r="AT25" s="27">
        <f t="shared" si="27"/>
        <v>9.5048064560391747</v>
      </c>
      <c r="AU25" s="27">
        <f t="shared" si="28"/>
        <v>6.6999999999999993</v>
      </c>
      <c r="AV25" s="27">
        <f t="shared" si="43"/>
        <v>11.062685388146411</v>
      </c>
      <c r="AW25" s="27">
        <f t="shared" si="29"/>
        <v>11.062685388146411</v>
      </c>
      <c r="AX25" s="27">
        <f t="shared" si="30"/>
        <v>1.2203779765072225</v>
      </c>
      <c r="AY25" s="27">
        <f t="shared" si="31"/>
        <v>11.062685388146411</v>
      </c>
      <c r="AZ25" s="27">
        <f t="shared" si="32"/>
        <v>-0.1142762696546261</v>
      </c>
      <c r="BA25" s="27">
        <f t="shared" si="33"/>
        <v>-3.32802422523139E-2</v>
      </c>
      <c r="BB25" s="27">
        <f t="shared" si="34"/>
        <v>0.74622110364510597</v>
      </c>
      <c r="BC25" s="27">
        <f t="shared" si="6"/>
        <v>0.94958473245973252</v>
      </c>
      <c r="BD25" s="27">
        <f t="shared" si="7"/>
        <v>0.82582582582582575</v>
      </c>
      <c r="BE25" s="27">
        <f t="shared" si="8"/>
        <v>0.32673691264055449</v>
      </c>
      <c r="BF25" s="27">
        <f t="shared" si="35"/>
        <v>1</v>
      </c>
      <c r="BG25" s="27">
        <f t="shared" si="36"/>
        <v>0.91870870976635333</v>
      </c>
      <c r="BH25" s="27">
        <f t="shared" si="37"/>
        <v>0.99966157092567398</v>
      </c>
      <c r="BI25" s="27">
        <f t="shared" si="38"/>
        <v>1.1400841387696481E-3</v>
      </c>
      <c r="BJ25" s="27">
        <f t="shared" si="9"/>
        <v>2.9586720535717667E-3</v>
      </c>
      <c r="BK25" s="31">
        <f t="shared" si="10"/>
        <v>20370.357504871412</v>
      </c>
      <c r="BL25" s="1">
        <f>(BK25+0)/2*(L-AE25)</f>
        <v>142592.50253409988</v>
      </c>
      <c r="BM25" s="5">
        <f t="shared" si="39"/>
        <v>1.0000000325482354</v>
      </c>
      <c r="BN25" s="5">
        <f t="shared" si="12"/>
        <v>4.533797385754804</v>
      </c>
      <c r="BO25" s="5">
        <f t="shared" si="13"/>
        <v>5.8669552531299924</v>
      </c>
      <c r="BP25" s="5">
        <f t="shared" si="14"/>
        <v>14.857509210726693</v>
      </c>
      <c r="BQ25" s="20">
        <f t="shared" si="15"/>
        <v>737740.20301693061</v>
      </c>
      <c r="BR25" s="5">
        <f t="shared" si="40"/>
        <v>-3.4979077074532698</v>
      </c>
      <c r="BS25" s="20">
        <f t="shared" si="16"/>
        <v>503023.68419976858</v>
      </c>
    </row>
    <row r="26" spans="2:71" x14ac:dyDescent="0.25">
      <c r="B26" s="46" t="s">
        <v>59</v>
      </c>
      <c r="C26" s="47"/>
      <c r="D26" s="48"/>
      <c r="E26" s="9" t="s">
        <v>70</v>
      </c>
      <c r="F26" s="8">
        <v>3.75</v>
      </c>
      <c r="G26" s="40" t="s">
        <v>2</v>
      </c>
      <c r="J26" s="43" t="s">
        <v>212</v>
      </c>
      <c r="K26" s="43"/>
      <c r="L26" s="43"/>
      <c r="M26" s="43"/>
      <c r="N26" s="43"/>
      <c r="O26" s="43"/>
      <c r="P26" s="9" t="s">
        <v>106</v>
      </c>
      <c r="Q26" s="17">
        <f>AA19</f>
        <v>2.4036067047394629E-40</v>
      </c>
      <c r="R26" s="21">
        <f t="shared" si="42"/>
        <v>4.8763153852527271E-50</v>
      </c>
      <c r="T26" s="1" t="s">
        <v>154</v>
      </c>
      <c r="U26" s="20">
        <f>SUM(U24:U25)</f>
        <v>5160722129.7336702</v>
      </c>
      <c r="V26" s="2" t="s">
        <v>200</v>
      </c>
      <c r="W26" s="3"/>
      <c r="Z26" s="19" t="s">
        <v>160</v>
      </c>
      <c r="AA26" s="17">
        <f>AA23*(AA25^(AA24))*(EXP(-(AA25^AA24)))*F18*F21*(F19^5)*SQRT(2*g/F19)</f>
        <v>1.7318248612042101E-85</v>
      </c>
      <c r="BL26" s="20">
        <f>SUM(BL15:BL25)</f>
        <v>17528485.677285638</v>
      </c>
      <c r="BQ26" s="20">
        <f>AVERAGE(BQ16:BQ25)*lbk</f>
        <v>104995390.812787</v>
      </c>
      <c r="BS26" s="20">
        <f>AVERAGE(BS16:BS25)*lbk</f>
        <v>212934709.7045967</v>
      </c>
    </row>
    <row r="27" spans="2:71" x14ac:dyDescent="0.25">
      <c r="B27" s="46" t="s">
        <v>60</v>
      </c>
      <c r="C27" s="47"/>
      <c r="D27" s="48"/>
      <c r="E27" s="9" t="s">
        <v>57</v>
      </c>
      <c r="F27" s="8">
        <f>d</f>
        <v>6.7</v>
      </c>
      <c r="G27" s="40" t="s">
        <v>2</v>
      </c>
      <c r="J27" s="46" t="s">
        <v>219</v>
      </c>
      <c r="K27" s="47"/>
      <c r="L27" s="47"/>
      <c r="M27" s="47"/>
      <c r="N27" s="47"/>
      <c r="O27" s="48"/>
      <c r="P27" s="9" t="s">
        <v>218</v>
      </c>
      <c r="Q27" s="17"/>
      <c r="R27" s="21">
        <f>Q27/$U$29</f>
        <v>0</v>
      </c>
      <c r="T27" s="1" t="s">
        <v>155</v>
      </c>
      <c r="U27" s="20">
        <v>1176990000</v>
      </c>
      <c r="V27" s="2" t="s">
        <v>204</v>
      </c>
      <c r="BL27" s="20"/>
    </row>
    <row r="28" spans="2:71" x14ac:dyDescent="0.25">
      <c r="B28" s="46" t="s">
        <v>61</v>
      </c>
      <c r="C28" s="47"/>
      <c r="D28" s="48"/>
      <c r="E28" s="13" t="s">
        <v>71</v>
      </c>
      <c r="F28" s="8">
        <v>1025</v>
      </c>
      <c r="G28" s="40" t="s">
        <v>20</v>
      </c>
      <c r="J28" s="63" t="s">
        <v>107</v>
      </c>
      <c r="K28" s="63"/>
      <c r="L28" s="63"/>
      <c r="M28" s="63"/>
      <c r="N28" s="63"/>
      <c r="O28" s="63"/>
      <c r="P28" s="64" t="s">
        <v>108</v>
      </c>
      <c r="Q28" s="65">
        <f>SUM(Q19:Q27)</f>
        <v>347769506.29936153</v>
      </c>
      <c r="R28" s="21">
        <f t="shared" ref="R28:R30" si="44">Q28/$U$29</f>
        <v>7.0553713747987745E-2</v>
      </c>
      <c r="AG28" s="1" t="s">
        <v>127</v>
      </c>
      <c r="AH28" s="1">
        <v>1</v>
      </c>
      <c r="AJ28" s="1" t="s">
        <v>174</v>
      </c>
      <c r="AK28" s="1" t="s">
        <v>177</v>
      </c>
      <c r="AL28" s="1" t="s">
        <v>180</v>
      </c>
      <c r="AM28" s="1" t="s">
        <v>181</v>
      </c>
      <c r="AO28" s="1" t="s">
        <v>175</v>
      </c>
      <c r="AP28" s="1" t="s">
        <v>178</v>
      </c>
      <c r="AQ28" s="1" t="s">
        <v>182</v>
      </c>
      <c r="AR28" s="1" t="s">
        <v>183</v>
      </c>
      <c r="AT28" s="1" t="s">
        <v>176</v>
      </c>
      <c r="AU28" s="1" t="s">
        <v>179</v>
      </c>
      <c r="AV28" s="1" t="s">
        <v>184</v>
      </c>
      <c r="AW28" s="1" t="s">
        <v>185</v>
      </c>
    </row>
    <row r="29" spans="2:71" x14ac:dyDescent="0.25">
      <c r="B29" s="46" t="s">
        <v>64</v>
      </c>
      <c r="C29" s="47"/>
      <c r="D29" s="48"/>
      <c r="E29" s="13" t="s">
        <v>72</v>
      </c>
      <c r="F29" s="12">
        <f>(PI()/F26)*SQRT(g*F27)</f>
        <v>6.7906762026096779</v>
      </c>
      <c r="G29" s="40" t="s">
        <v>56</v>
      </c>
      <c r="J29" s="60" t="s">
        <v>217</v>
      </c>
      <c r="K29" s="60"/>
      <c r="L29" s="60"/>
      <c r="M29" s="60"/>
      <c r="N29" s="60"/>
      <c r="O29" s="60"/>
      <c r="P29" s="61" t="s">
        <v>213</v>
      </c>
      <c r="Q29" s="62">
        <f>(Q21+Q25+Q26+Q27)+8/(3*PI())*RADIANS(fa)*we*(Q19+Q20+Q22+Q23+Q24)</f>
        <v>45443636.450632833</v>
      </c>
      <c r="R29" s="21">
        <f t="shared" si="44"/>
        <v>9.2193744987107782E-3</v>
      </c>
      <c r="T29" s="1" t="s">
        <v>108</v>
      </c>
      <c r="U29" s="20">
        <f>2*SQRT(U26*U27)</f>
        <v>4929145296.8948812</v>
      </c>
      <c r="AC29" s="1" t="s">
        <v>116</v>
      </c>
      <c r="AD29" s="1" t="s">
        <v>117</v>
      </c>
      <c r="AE29" s="3" t="s">
        <v>115</v>
      </c>
      <c r="AG29" s="1" t="s">
        <v>126</v>
      </c>
      <c r="AH29" s="5">
        <f>VLOOKUP(AH28,AC16:AP25,14)</f>
        <v>10.000493617662812</v>
      </c>
      <c r="AJ29" s="5">
        <f>2*AH16*SQRT((AJ16*(AI16-1))/(PI()-4))</f>
        <v>2.4744630062604829</v>
      </c>
      <c r="AK29" s="5">
        <f t="shared" ref="AK29:AK38" si="45">AH16*SQRT((AJ16-(1-SQRT(2)/2)*(AJ29/AH16))^2+(1-OG/AH16-(1-SQRT(2)/2)*AJ29/AH16)^2)</f>
        <v>17.576702491088245</v>
      </c>
      <c r="AL29" s="1" t="b">
        <f>AJ29&lt;AH16</f>
        <v>1</v>
      </c>
      <c r="AM29" s="1" t="b">
        <f>AJ29&lt;AG16/2</f>
        <v>1</v>
      </c>
      <c r="AO29" s="5">
        <f t="shared" ref="AO29:AO38" si="46">AH16</f>
        <v>2.8000000000000003</v>
      </c>
      <c r="AP29" s="5">
        <f t="shared" ref="AP29:AP38" si="47">AH16*SQRT((AJ16-(1-SQRT(2)/2)*(AO29/AH16))^2+(1-OG/AH16-(1-SQRT(2)/2)*AO29/AH16)^2)</f>
        <v>17.446707307038121</v>
      </c>
      <c r="AQ29" s="1" t="b">
        <f>AJ16&gt;=1</f>
        <v>1</v>
      </c>
      <c r="AR29" s="1" t="b">
        <f>AO29/AH16&gt;1</f>
        <v>0</v>
      </c>
      <c r="AT29" s="5">
        <f t="shared" ref="AT29:AT38" si="48">AG16/2</f>
        <v>16</v>
      </c>
      <c r="AU29" s="5">
        <f t="shared" ref="AU29:AU38" si="49">AH16*SQRT((AJ16-(1-SQRT(2)/2)*(AT29/AH16))^2+(1-OG/AH16-(1-SQRT(2)/2)*AT29/AH16)^2)</f>
        <v>12.264093776278806</v>
      </c>
      <c r="AV29" s="1" t="b">
        <f>AJ16&lt;=AU29</f>
        <v>1</v>
      </c>
      <c r="AW29" s="1" t="b">
        <f>AT29/AH16&gt;AJ16</f>
        <v>0</v>
      </c>
      <c r="BL29" s="20"/>
    </row>
    <row r="30" spans="2:71" x14ac:dyDescent="0.25">
      <c r="J30" s="60" t="s">
        <v>216</v>
      </c>
      <c r="K30" s="60"/>
      <c r="L30" s="60"/>
      <c r="M30" s="60"/>
      <c r="N30" s="60"/>
      <c r="O30" s="60"/>
      <c r="P30" s="61" t="s">
        <v>213</v>
      </c>
      <c r="Q30" s="62">
        <f>(Q21+Q25+Q26+Q27)+SQRT(8/PI())*F35*(Q24+Q23+Q22+Q20+Q19)</f>
        <v>60231272.529685669</v>
      </c>
      <c r="R30" s="21">
        <f t="shared" si="44"/>
        <v>1.2219415111911675E-2</v>
      </c>
      <c r="AC30" s="5">
        <f>$AH$29*((1+$AH$30)*SIN(RADIANS(AE30))-$AH$31*SIN(RADIANS(3*AE30)))</f>
        <v>0</v>
      </c>
      <c r="AD30" s="5">
        <f t="shared" ref="AD30:AD48" si="50">-$AH$29*((1-$AH$30)*COS(RADIANS(AE30))+$AH$31*COS(RADIANS(3*AE30)))+d</f>
        <v>3.9000000000000017</v>
      </c>
      <c r="AE30" s="1">
        <v>0</v>
      </c>
      <c r="AG30" s="1" t="s">
        <v>125</v>
      </c>
      <c r="AH30" s="5">
        <f>VLOOKUP(AH28,AC16:AP25,13)</f>
        <v>0.65996742284232046</v>
      </c>
      <c r="AJ30" s="5">
        <f t="shared" ref="AJ30:AJ38" si="51">2*AH17*SQRT((AJ17*(AI17-1))/(PI()-4))</f>
        <v>2.4852675472802539</v>
      </c>
      <c r="AK30" s="5">
        <f t="shared" si="45"/>
        <v>18.963673053966584</v>
      </c>
      <c r="AL30" s="1" t="b">
        <f t="shared" ref="AL30:AL38" si="52">AJ30&lt;AH17</f>
        <v>1</v>
      </c>
      <c r="AM30" s="1" t="b">
        <f t="shared" ref="AM30:AM38" si="53">AJ30&lt;AG17/2</f>
        <v>1</v>
      </c>
      <c r="AO30" s="5">
        <f t="shared" si="46"/>
        <v>5.35</v>
      </c>
      <c r="AP30" s="5">
        <f t="shared" si="47"/>
        <v>17.791429256489792</v>
      </c>
      <c r="AQ30" s="1" t="b">
        <f t="shared" ref="AQ30:AQ38" si="54">AJ17&gt;=1</f>
        <v>1</v>
      </c>
      <c r="AR30" s="1" t="b">
        <f t="shared" ref="AR30:AR38" si="55">AO30/AH17&gt;1</f>
        <v>0</v>
      </c>
      <c r="AT30" s="5">
        <f t="shared" si="48"/>
        <v>16</v>
      </c>
      <c r="AU30" s="5">
        <f t="shared" si="49"/>
        <v>13.455571689756733</v>
      </c>
      <c r="AV30" s="1" t="b">
        <f t="shared" ref="AV30:AV38" si="56">AJ17&lt;=AU30</f>
        <v>1</v>
      </c>
      <c r="AW30" s="1" t="b">
        <f t="shared" ref="AW30:AW38" si="57">AT30/AH17&gt;AJ17</f>
        <v>0</v>
      </c>
    </row>
    <row r="31" spans="2:71" x14ac:dyDescent="0.25">
      <c r="B31" s="45" t="s">
        <v>199</v>
      </c>
      <c r="C31" s="45"/>
      <c r="D31" s="45"/>
      <c r="E31" s="45"/>
      <c r="F31" s="45"/>
      <c r="G31" s="45"/>
      <c r="H31" s="15"/>
      <c r="R31" s="21">
        <f>Q32/U29</f>
        <v>9.6284438423629881E-2</v>
      </c>
      <c r="AC31" s="5">
        <f t="shared" ref="AC31:AC48" si="58">$AH$29*((1+$AH$30)*SIN(RADIANS(AE31))-$AH$31*SIN(RADIANS(3*AE31)))</f>
        <v>1.6022475359388091</v>
      </c>
      <c r="AD31" s="5">
        <f t="shared" si="50"/>
        <v>3.8924785810117526</v>
      </c>
      <c r="AE31" s="1">
        <f>AE30+5</f>
        <v>5</v>
      </c>
      <c r="AG31" s="1" t="s">
        <v>124</v>
      </c>
      <c r="AH31" s="5">
        <f>VLOOKUP(AH28,AC16:AP25,12)</f>
        <v>-6.004639777002857E-2</v>
      </c>
      <c r="AJ31" s="5">
        <f t="shared" si="51"/>
        <v>2.3554578707685399</v>
      </c>
      <c r="AK31" s="5">
        <f t="shared" si="45"/>
        <v>19.847385722928969</v>
      </c>
      <c r="AL31" s="1" t="b">
        <f t="shared" si="52"/>
        <v>1</v>
      </c>
      <c r="AM31" s="1" t="b">
        <f t="shared" si="53"/>
        <v>1</v>
      </c>
      <c r="AO31" s="5">
        <f t="shared" si="46"/>
        <v>6.7</v>
      </c>
      <c r="AP31" s="5">
        <f t="shared" si="47"/>
        <v>18.056856742438971</v>
      </c>
      <c r="AQ31" s="1" t="b">
        <f t="shared" si="54"/>
        <v>1</v>
      </c>
      <c r="AR31" s="1" t="b">
        <f t="shared" si="55"/>
        <v>0</v>
      </c>
      <c r="AT31" s="5">
        <f t="shared" si="48"/>
        <v>16</v>
      </c>
      <c r="AU31" s="5">
        <f t="shared" si="49"/>
        <v>14.231687266288622</v>
      </c>
      <c r="AV31" s="1" t="b">
        <f t="shared" si="56"/>
        <v>1</v>
      </c>
      <c r="AW31" s="1" t="b">
        <f t="shared" si="57"/>
        <v>0</v>
      </c>
    </row>
    <row r="32" spans="2:71" x14ac:dyDescent="0.25">
      <c r="B32" s="49" t="s">
        <v>49</v>
      </c>
      <c r="C32" s="49"/>
      <c r="D32" s="49"/>
      <c r="E32" s="13" t="s">
        <v>48</v>
      </c>
      <c r="F32" s="37">
        <v>5</v>
      </c>
      <c r="G32" s="40" t="s">
        <v>24</v>
      </c>
      <c r="I32" s="2"/>
      <c r="O32" s="5">
        <f>Q29/Q32</f>
        <v>9.5751449036318867E-2</v>
      </c>
      <c r="Q32" s="23">
        <v>474599986.81999999</v>
      </c>
      <c r="R32" s="21">
        <f>Q33/U29</f>
        <v>0.04</v>
      </c>
      <c r="AC32" s="5">
        <f t="shared" si="58"/>
        <v>3.1828922739100616</v>
      </c>
      <c r="AD32" s="5">
        <f t="shared" si="50"/>
        <v>3.871210248963548</v>
      </c>
      <c r="AE32" s="1">
        <f t="shared" ref="AE32:AE48" si="59">AE31+5</f>
        <v>10</v>
      </c>
      <c r="AJ32" s="5">
        <f t="shared" si="51"/>
        <v>2.4066827608437618</v>
      </c>
      <c r="AK32" s="5">
        <f t="shared" si="45"/>
        <v>19.826264721909379</v>
      </c>
      <c r="AL32" s="1" t="b">
        <f t="shared" si="52"/>
        <v>1</v>
      </c>
      <c r="AM32" s="1" t="b">
        <f t="shared" si="53"/>
        <v>1</v>
      </c>
      <c r="AO32" s="5">
        <f t="shared" si="46"/>
        <v>6.7</v>
      </c>
      <c r="AP32" s="5">
        <f t="shared" si="47"/>
        <v>18.056856742438971</v>
      </c>
      <c r="AQ32" s="1" t="b">
        <f t="shared" si="54"/>
        <v>1</v>
      </c>
      <c r="AR32" s="1" t="b">
        <f t="shared" si="55"/>
        <v>0</v>
      </c>
      <c r="AT32" s="5">
        <f t="shared" si="48"/>
        <v>16</v>
      </c>
      <c r="AU32" s="5">
        <f t="shared" si="49"/>
        <v>14.231687266288622</v>
      </c>
      <c r="AV32" s="1" t="b">
        <f t="shared" si="56"/>
        <v>1</v>
      </c>
      <c r="AW32" s="1" t="b">
        <f t="shared" si="57"/>
        <v>0</v>
      </c>
    </row>
    <row r="33" spans="2:50" x14ac:dyDescent="0.25">
      <c r="B33" s="49" t="s">
        <v>50</v>
      </c>
      <c r="C33" s="49"/>
      <c r="D33" s="49"/>
      <c r="E33" s="9" t="s">
        <v>52</v>
      </c>
      <c r="F33" s="37">
        <v>4</v>
      </c>
      <c r="G33" s="40" t="s">
        <v>51</v>
      </c>
      <c r="I33" s="2"/>
      <c r="O33" s="5">
        <f>Q30/Q33</f>
        <v>0.30548537779779189</v>
      </c>
      <c r="Q33" s="20">
        <f>4%*U29</f>
        <v>197165811.87579525</v>
      </c>
      <c r="AC33" s="5">
        <f t="shared" si="58"/>
        <v>4.7211370154625962</v>
      </c>
      <c r="AD33" s="5">
        <f t="shared" si="50"/>
        <v>3.839988501676963</v>
      </c>
      <c r="AE33" s="1">
        <f t="shared" si="59"/>
        <v>15</v>
      </c>
      <c r="AJ33" s="5">
        <f t="shared" si="51"/>
        <v>2.5494074591070737</v>
      </c>
      <c r="AK33" s="5">
        <f t="shared" si="45"/>
        <v>19.767417697887765</v>
      </c>
      <c r="AL33" s="1" t="b">
        <f t="shared" si="52"/>
        <v>1</v>
      </c>
      <c r="AM33" s="1" t="b">
        <f t="shared" si="53"/>
        <v>1</v>
      </c>
      <c r="AO33" s="5">
        <f t="shared" si="46"/>
        <v>6.7</v>
      </c>
      <c r="AP33" s="5">
        <f t="shared" si="47"/>
        <v>18.056856742438971</v>
      </c>
      <c r="AQ33" s="1" t="b">
        <f t="shared" si="54"/>
        <v>1</v>
      </c>
      <c r="AR33" s="1" t="b">
        <f t="shared" si="55"/>
        <v>0</v>
      </c>
      <c r="AT33" s="5">
        <f t="shared" si="48"/>
        <v>16</v>
      </c>
      <c r="AU33" s="5">
        <f t="shared" si="49"/>
        <v>14.231687266288622</v>
      </c>
      <c r="AV33" s="1" t="b">
        <f t="shared" si="56"/>
        <v>1</v>
      </c>
      <c r="AW33" s="1" t="b">
        <f t="shared" si="57"/>
        <v>0</v>
      </c>
    </row>
    <row r="34" spans="2:50" x14ac:dyDescent="0.25">
      <c r="B34" s="43" t="s">
        <v>78</v>
      </c>
      <c r="C34" s="43"/>
      <c r="D34" s="43"/>
      <c r="E34" s="13" t="s">
        <v>79</v>
      </c>
      <c r="F34" s="37">
        <v>90</v>
      </c>
      <c r="G34" s="40" t="s">
        <v>24</v>
      </c>
      <c r="P34" s="39"/>
      <c r="AC34" s="5">
        <f t="shared" si="58"/>
        <v>6.1977459340963001</v>
      </c>
      <c r="AD34" s="5">
        <f t="shared" si="50"/>
        <v>3.8048280492840845</v>
      </c>
      <c r="AE34" s="1">
        <f t="shared" si="59"/>
        <v>20</v>
      </c>
      <c r="AJ34" s="5">
        <f t="shared" si="51"/>
        <v>2.5500471068604189</v>
      </c>
      <c r="AK34" s="5">
        <f t="shared" si="45"/>
        <v>19.767153967456494</v>
      </c>
      <c r="AL34" s="1" t="b">
        <f t="shared" si="52"/>
        <v>1</v>
      </c>
      <c r="AM34" s="1" t="b">
        <f t="shared" si="53"/>
        <v>1</v>
      </c>
      <c r="AO34" s="5">
        <f t="shared" si="46"/>
        <v>6.7</v>
      </c>
      <c r="AP34" s="5">
        <f t="shared" si="47"/>
        <v>18.056856742438971</v>
      </c>
      <c r="AQ34" s="1" t="b">
        <f t="shared" si="54"/>
        <v>1</v>
      </c>
      <c r="AR34" s="1" t="b">
        <f t="shared" si="55"/>
        <v>0</v>
      </c>
      <c r="AT34" s="5">
        <f t="shared" si="48"/>
        <v>16</v>
      </c>
      <c r="AU34" s="5">
        <f t="shared" si="49"/>
        <v>14.231687266288622</v>
      </c>
      <c r="AV34" s="1" t="b">
        <f t="shared" si="56"/>
        <v>1</v>
      </c>
      <c r="AW34" s="1" t="b">
        <f t="shared" si="57"/>
        <v>0</v>
      </c>
    </row>
    <row r="35" spans="2:50" x14ac:dyDescent="0.25">
      <c r="B35" s="43" t="s">
        <v>214</v>
      </c>
      <c r="C35" s="43"/>
      <c r="D35" s="43"/>
      <c r="E35" s="13" t="s">
        <v>215</v>
      </c>
      <c r="F35" s="37">
        <v>0.1</v>
      </c>
      <c r="G35" s="40" t="s">
        <v>56</v>
      </c>
      <c r="H35" s="38"/>
      <c r="I35" s="38"/>
      <c r="AC35" s="5">
        <f t="shared" si="58"/>
        <v>7.5957040505564972</v>
      </c>
      <c r="AD35" s="5">
        <f t="shared" si="50"/>
        <v>3.7735253392574122</v>
      </c>
      <c r="AE35" s="1">
        <f t="shared" si="59"/>
        <v>25</v>
      </c>
      <c r="AJ35" s="5">
        <f t="shared" si="51"/>
        <v>2.4078441939174939</v>
      </c>
      <c r="AK35" s="5">
        <f t="shared" si="45"/>
        <v>19.825785843262274</v>
      </c>
      <c r="AL35" s="1" t="b">
        <f t="shared" si="52"/>
        <v>1</v>
      </c>
      <c r="AM35" s="1" t="b">
        <f t="shared" si="53"/>
        <v>1</v>
      </c>
      <c r="AO35" s="5">
        <f t="shared" si="46"/>
        <v>6.7</v>
      </c>
      <c r="AP35" s="5">
        <f t="shared" si="47"/>
        <v>18.056856742438971</v>
      </c>
      <c r="AQ35" s="1" t="b">
        <f t="shared" si="54"/>
        <v>1</v>
      </c>
      <c r="AR35" s="1" t="b">
        <f t="shared" si="55"/>
        <v>0</v>
      </c>
      <c r="AT35" s="5">
        <f t="shared" si="48"/>
        <v>16</v>
      </c>
      <c r="AU35" s="5">
        <f t="shared" si="49"/>
        <v>14.231687266288622</v>
      </c>
      <c r="AV35" s="1" t="b">
        <f t="shared" si="56"/>
        <v>1</v>
      </c>
      <c r="AW35" s="1" t="b">
        <f t="shared" si="57"/>
        <v>0</v>
      </c>
    </row>
    <row r="36" spans="2:50" ht="15" customHeight="1" x14ac:dyDescent="0.25">
      <c r="J36" s="1"/>
      <c r="AC36" s="5">
        <f t="shared" si="58"/>
        <v>8.9007404264942185</v>
      </c>
      <c r="AD36" s="5">
        <f t="shared" si="50"/>
        <v>3.7550861416971566</v>
      </c>
      <c r="AE36" s="1">
        <f t="shared" si="59"/>
        <v>30</v>
      </c>
      <c r="AJ36" s="5">
        <f t="shared" si="51"/>
        <v>2.2435999428871107</v>
      </c>
      <c r="AK36" s="5">
        <f t="shared" si="45"/>
        <v>19.893507601977824</v>
      </c>
      <c r="AL36" s="1" t="b">
        <f t="shared" si="52"/>
        <v>1</v>
      </c>
      <c r="AM36" s="1" t="b">
        <f t="shared" si="53"/>
        <v>1</v>
      </c>
      <c r="AO36" s="5">
        <f t="shared" si="46"/>
        <v>6.7</v>
      </c>
      <c r="AP36" s="5">
        <f t="shared" si="47"/>
        <v>18.056856742438971</v>
      </c>
      <c r="AQ36" s="1" t="b">
        <f t="shared" si="54"/>
        <v>1</v>
      </c>
      <c r="AR36" s="1" t="b">
        <f t="shared" si="55"/>
        <v>0</v>
      </c>
      <c r="AT36" s="5">
        <f t="shared" si="48"/>
        <v>16</v>
      </c>
      <c r="AU36" s="5">
        <f t="shared" si="49"/>
        <v>14.231687266288622</v>
      </c>
      <c r="AV36" s="1" t="b">
        <f t="shared" si="56"/>
        <v>1</v>
      </c>
      <c r="AW36" s="1" t="b">
        <f t="shared" si="57"/>
        <v>0</v>
      </c>
    </row>
    <row r="37" spans="2:50" ht="15" customHeight="1" x14ac:dyDescent="0.25">
      <c r="B37" s="54" t="s">
        <v>128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AC37" s="5">
        <f t="shared" si="58"/>
        <v>10.101684264709585</v>
      </c>
      <c r="AD37" s="5">
        <f t="shared" si="50"/>
        <v>3.7590595167861913</v>
      </c>
      <c r="AE37" s="1">
        <f t="shared" si="59"/>
        <v>35</v>
      </c>
      <c r="AJ37" s="5">
        <f t="shared" si="51"/>
        <v>4.8641644441792566</v>
      </c>
      <c r="AK37" s="5">
        <f t="shared" si="45"/>
        <v>18.124926898305063</v>
      </c>
      <c r="AL37" s="1" t="b">
        <f t="shared" si="52"/>
        <v>1</v>
      </c>
      <c r="AM37" s="1" t="b">
        <f t="shared" si="53"/>
        <v>1</v>
      </c>
      <c r="AO37" s="5">
        <f t="shared" si="46"/>
        <v>6.7</v>
      </c>
      <c r="AP37" s="5">
        <f t="shared" si="47"/>
        <v>17.366414933308892</v>
      </c>
      <c r="AQ37" s="1" t="b">
        <f t="shared" si="54"/>
        <v>1</v>
      </c>
      <c r="AR37" s="1" t="b">
        <f t="shared" si="55"/>
        <v>0</v>
      </c>
      <c r="AT37" s="5">
        <f t="shared" si="48"/>
        <v>15.1</v>
      </c>
      <c r="AU37" s="5">
        <f t="shared" si="49"/>
        <v>13.898459190519501</v>
      </c>
      <c r="AV37" s="1" t="b">
        <f t="shared" si="56"/>
        <v>1</v>
      </c>
      <c r="AW37" s="1" t="b">
        <f t="shared" si="57"/>
        <v>0</v>
      </c>
    </row>
    <row r="38" spans="2:50" ht="21" customHeight="1" x14ac:dyDescent="0.25">
      <c r="B38" s="57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AC38" s="5">
        <f t="shared" si="58"/>
        <v>11.190634339820548</v>
      </c>
      <c r="AD38" s="5">
        <f t="shared" si="50"/>
        <v>3.7948239514964461</v>
      </c>
      <c r="AE38" s="1">
        <f t="shared" si="59"/>
        <v>40</v>
      </c>
      <c r="AJ38" s="5">
        <f t="shared" si="51"/>
        <v>5.8669552531299924</v>
      </c>
      <c r="AK38" s="5">
        <f t="shared" si="45"/>
        <v>14.857509210726693</v>
      </c>
      <c r="AL38" s="1" t="b">
        <f t="shared" si="52"/>
        <v>1</v>
      </c>
      <c r="AM38" s="1" t="b">
        <f t="shared" si="53"/>
        <v>1</v>
      </c>
      <c r="AO38" s="5">
        <f t="shared" si="46"/>
        <v>6.7</v>
      </c>
      <c r="AP38" s="5">
        <f t="shared" si="47"/>
        <v>14.51461060715943</v>
      </c>
      <c r="AQ38" s="1" t="b">
        <f t="shared" si="54"/>
        <v>1</v>
      </c>
      <c r="AR38" s="1" t="b">
        <f t="shared" si="55"/>
        <v>0</v>
      </c>
      <c r="AT38" s="5">
        <f t="shared" si="48"/>
        <v>11</v>
      </c>
      <c r="AU38" s="5">
        <f t="shared" si="49"/>
        <v>12.746494816684365</v>
      </c>
      <c r="AV38" s="1" t="b">
        <f t="shared" si="56"/>
        <v>1</v>
      </c>
      <c r="AW38" s="1" t="b">
        <f t="shared" si="57"/>
        <v>0</v>
      </c>
    </row>
    <row r="39" spans="2:50" x14ac:dyDescent="0.25">
      <c r="B39" s="53" t="s">
        <v>89</v>
      </c>
      <c r="C39" s="53"/>
      <c r="D39" s="53"/>
      <c r="E39" s="53" t="s">
        <v>93</v>
      </c>
      <c r="F39" s="53"/>
      <c r="G39" s="53"/>
      <c r="H39" s="50" t="s">
        <v>94</v>
      </c>
      <c r="I39" s="51"/>
      <c r="J39" s="52"/>
      <c r="K39" s="53" t="s">
        <v>95</v>
      </c>
      <c r="L39" s="53"/>
      <c r="M39" s="53"/>
      <c r="N39" s="53" t="s">
        <v>96</v>
      </c>
      <c r="O39" s="53"/>
      <c r="P39" s="53"/>
      <c r="AC39" s="5">
        <f t="shared" si="58"/>
        <v>12.162934717201992</v>
      </c>
      <c r="AD39" s="5">
        <f t="shared" si="50"/>
        <v>3.8708747944604336</v>
      </c>
      <c r="AE39" s="1">
        <f t="shared" si="59"/>
        <v>45</v>
      </c>
      <c r="AI39" s="5"/>
      <c r="AJ39" s="5"/>
      <c r="AK39" s="5"/>
    </row>
    <row r="40" spans="2:50" x14ac:dyDescent="0.25">
      <c r="B40" s="18" t="s">
        <v>90</v>
      </c>
      <c r="C40" s="18" t="s">
        <v>91</v>
      </c>
      <c r="D40" s="18" t="s">
        <v>92</v>
      </c>
      <c r="E40" s="18" t="s">
        <v>90</v>
      </c>
      <c r="F40" s="18" t="s">
        <v>91</v>
      </c>
      <c r="G40" s="18" t="s">
        <v>92</v>
      </c>
      <c r="H40" s="18" t="s">
        <v>90</v>
      </c>
      <c r="I40" s="18" t="s">
        <v>91</v>
      </c>
      <c r="J40" s="18" t="s">
        <v>92</v>
      </c>
      <c r="K40" s="18" t="s">
        <v>90</v>
      </c>
      <c r="L40" s="18" t="s">
        <v>91</v>
      </c>
      <c r="M40" s="18" t="s">
        <v>92</v>
      </c>
      <c r="N40" s="18" t="s">
        <v>90</v>
      </c>
      <c r="O40" s="18" t="s">
        <v>91</v>
      </c>
      <c r="P40" s="18" t="s">
        <v>92</v>
      </c>
      <c r="AC40" s="5">
        <f t="shared" si="58"/>
        <v>13.016962697674066</v>
      </c>
      <c r="AD40" s="5">
        <f t="shared" si="50"/>
        <v>3.9941621080417726</v>
      </c>
      <c r="AE40" s="1">
        <f t="shared" si="59"/>
        <v>50</v>
      </c>
      <c r="AJ40" s="5"/>
      <c r="AK40" s="5"/>
    </row>
    <row r="41" spans="2:50" x14ac:dyDescent="0.25">
      <c r="B41" s="10">
        <v>12</v>
      </c>
      <c r="C41" s="10">
        <v>16</v>
      </c>
      <c r="D41" s="10">
        <v>6.69</v>
      </c>
      <c r="E41" s="10">
        <v>24</v>
      </c>
      <c r="F41" s="10">
        <v>16</v>
      </c>
      <c r="G41" s="10">
        <v>6.69</v>
      </c>
      <c r="H41" s="10">
        <v>36</v>
      </c>
      <c r="I41" s="10">
        <v>16</v>
      </c>
      <c r="J41" s="10">
        <v>6.69</v>
      </c>
      <c r="K41" s="10">
        <v>48</v>
      </c>
      <c r="L41" s="10">
        <v>16</v>
      </c>
      <c r="M41" s="10">
        <v>6.69</v>
      </c>
      <c r="N41" s="10">
        <v>60</v>
      </c>
      <c r="O41" s="10">
        <v>16</v>
      </c>
      <c r="P41" s="10">
        <v>6.69</v>
      </c>
      <c r="AC41" s="5">
        <f t="shared" si="58"/>
        <v>13.7537474678285</v>
      </c>
      <c r="AD41" s="5">
        <f t="shared" si="50"/>
        <v>4.1695246951242231</v>
      </c>
      <c r="AE41" s="1">
        <f t="shared" si="59"/>
        <v>55</v>
      </c>
      <c r="AJ41" s="1" t="s">
        <v>14</v>
      </c>
      <c r="AK41" s="1" t="s">
        <v>168</v>
      </c>
      <c r="AM41" s="1" t="s">
        <v>170</v>
      </c>
      <c r="AN41" s="1" t="s">
        <v>171</v>
      </c>
      <c r="AO41" s="1" t="s">
        <v>172</v>
      </c>
      <c r="AP41" s="1" t="s">
        <v>173</v>
      </c>
      <c r="AQ41" s="1" t="s">
        <v>186</v>
      </c>
      <c r="AR41" s="1" t="s">
        <v>187</v>
      </c>
      <c r="AS41" s="1" t="s">
        <v>190</v>
      </c>
      <c r="AT41" s="1" t="s">
        <v>188</v>
      </c>
      <c r="AU41" s="1" t="s">
        <v>189</v>
      </c>
      <c r="AV41" s="1" t="s">
        <v>137</v>
      </c>
      <c r="AW41" s="1" t="s">
        <v>138</v>
      </c>
      <c r="AX41" s="1" t="s">
        <v>191</v>
      </c>
    </row>
    <row r="42" spans="2:50" x14ac:dyDescent="0.25">
      <c r="B42" s="10">
        <v>12</v>
      </c>
      <c r="C42" s="10">
        <v>15.9</v>
      </c>
      <c r="D42" s="10">
        <v>4.8899999999999997</v>
      </c>
      <c r="E42" s="10">
        <v>24</v>
      </c>
      <c r="F42" s="10">
        <v>16</v>
      </c>
      <c r="G42" s="10">
        <v>4.63</v>
      </c>
      <c r="H42" s="10">
        <v>36</v>
      </c>
      <c r="I42" s="10">
        <v>16</v>
      </c>
      <c r="J42" s="10">
        <v>4.4800000000000004</v>
      </c>
      <c r="K42" s="10">
        <v>48</v>
      </c>
      <c r="L42" s="10">
        <v>16</v>
      </c>
      <c r="M42" s="10">
        <v>4.4800000000000004</v>
      </c>
      <c r="N42" s="10">
        <v>60</v>
      </c>
      <c r="O42" s="10">
        <v>16</v>
      </c>
      <c r="P42" s="10">
        <v>4.49</v>
      </c>
      <c r="AC42" s="5">
        <f t="shared" si="58"/>
        <v>14.376449188257432</v>
      </c>
      <c r="AD42" s="5">
        <f t="shared" si="50"/>
        <v>4.3992595735057805</v>
      </c>
      <c r="AE42" s="1">
        <f t="shared" si="59"/>
        <v>60</v>
      </c>
      <c r="AJ42" s="5">
        <f>IF(AND(AL29,AM29),AJ29,IF(AND(AQ29,AR29),AO29,AT29))</f>
        <v>2.4744630062604829</v>
      </c>
      <c r="AK42" s="5">
        <f>IF(AND(AL29,AM29),AK29,IF(AND(AQ29,AR29),AP29,AU29))</f>
        <v>17.576702491088245</v>
      </c>
      <c r="AL42" s="3"/>
      <c r="AM42" s="5">
        <f>AJ42/AH16</f>
        <v>0.88373678795017241</v>
      </c>
      <c r="AN42" s="5">
        <f t="shared" ref="AN42:AN51" si="60">OG/AH16</f>
        <v>-2.3642857142857139</v>
      </c>
      <c r="AO42" s="5">
        <f>1-AM42-AN42</f>
        <v>2.4805489263355414</v>
      </c>
      <c r="AP42" s="5">
        <f>AJ16-AM42</f>
        <v>4.830548926335541</v>
      </c>
      <c r="AQ42" s="5">
        <f>(0.414*AJ16+0.0651*AM42^2-(0.382*AJ16+0.0106)*AM42)/((AJ16-0.215*AM42)*(1-0.215*AM42))</f>
        <v>0.10685037465094713</v>
      </c>
      <c r="AR42" s="5">
        <f>(0.414*AJ16+0.0651*AM42^2-(0.382+0.0106*AJ16)*AM42)/((AJ16-0.215*AM42)*(1-0.215*AM42))</f>
        <v>0.45264773872695391</v>
      </c>
      <c r="AS42" s="5">
        <f t="shared" ref="AS42:AS51" si="61">0.3*(PI()*AK42*RADIANS(fa)*BM16)+1.95*bbk</f>
        <v>2.2607986217288065</v>
      </c>
      <c r="AT42" s="5">
        <f>IF(AS42&gt;0.2*PI()*AJ42,AS42/AH16-0.25*PI()*AM42,0)</f>
        <v>0.11334282900603376</v>
      </c>
      <c r="AU42" s="5">
        <f>IF(AS42&gt;0.25*PI()*AJ42,AT42+0.414*AM42,AT42+0.414*AM42*(1-COS(AS42/AJ42)))</f>
        <v>0.47920985921740511</v>
      </c>
      <c r="AV42" s="5">
        <f>(AN42^2)/(3*(AJ16-0.215*AM42))+((1-AM42)^2*(2*AO42-AN42))/(6*(1-0.215*AM42))+AM42*(AO42*AQ42+AP42*AR42)</f>
        <v>2.524219207851595</v>
      </c>
      <c r="AW42" s="5">
        <f>(AO42+AP42)*AU42-AT42^2</f>
        <v>3.4907035758160911</v>
      </c>
      <c r="AX42" s="6">
        <f>AH16^2*(-AW42*BR16+AV42*1.2)</f>
        <v>109.60090382068671</v>
      </c>
    </row>
    <row r="43" spans="2:50" x14ac:dyDescent="0.25">
      <c r="B43" s="10">
        <v>12</v>
      </c>
      <c r="C43" s="10">
        <v>14.5</v>
      </c>
      <c r="D43" s="10">
        <v>3.9</v>
      </c>
      <c r="E43" s="10">
        <v>24</v>
      </c>
      <c r="F43" s="10">
        <v>15.9</v>
      </c>
      <c r="G43" s="10">
        <v>2.58</v>
      </c>
      <c r="H43" s="10">
        <v>36</v>
      </c>
      <c r="I43" s="10">
        <v>16</v>
      </c>
      <c r="J43" s="10">
        <v>2.27</v>
      </c>
      <c r="K43" s="10">
        <v>48</v>
      </c>
      <c r="L43" s="10">
        <v>16</v>
      </c>
      <c r="M43" s="10">
        <v>2.2799999999999998</v>
      </c>
      <c r="N43" s="10">
        <v>60</v>
      </c>
      <c r="O43" s="10">
        <v>16</v>
      </c>
      <c r="P43" s="10">
        <v>2.2799999999999998</v>
      </c>
      <c r="AC43" s="5">
        <f t="shared" si="58"/>
        <v>14.889737449626368</v>
      </c>
      <c r="AD43" s="5">
        <f t="shared" si="50"/>
        <v>4.6828570044207352</v>
      </c>
      <c r="AE43" s="1">
        <f t="shared" si="59"/>
        <v>65</v>
      </c>
      <c r="AJ43" s="5">
        <f t="shared" ref="AJ43:AJ51" si="62">IF(AND(AL30,AM30),AJ30,IF(AND(AQ30,AR30),AO30,AT30))</f>
        <v>2.4852675472802539</v>
      </c>
      <c r="AK43" s="5">
        <f t="shared" ref="AK43:AK51" si="63">IF(AND(AL30,AM30),AK30,IF(AND(AQ30,AR30),AP30,AU30))</f>
        <v>18.963673053966584</v>
      </c>
      <c r="AM43" s="5">
        <f t="shared" ref="AM43:AM51" si="64">AJ43/AH17</f>
        <v>0.4645359901458419</v>
      </c>
      <c r="AN43" s="5">
        <f t="shared" si="60"/>
        <v>-1.2373831775700936</v>
      </c>
      <c r="AO43" s="5">
        <f t="shared" ref="AO43:AO51" si="65">1-AM43-AN43</f>
        <v>1.7728471874242517</v>
      </c>
      <c r="AP43" s="5">
        <f t="shared" ref="AP43:AP51" si="66">AJ17-AM43</f>
        <v>2.5261182154616351</v>
      </c>
      <c r="AQ43" s="5">
        <f t="shared" ref="AQ43:AQ51" si="67">(0.414*AJ17+0.0651*AM43^2-(0.382*AJ17+0.0106)*AM43)/((AJ17-0.215*AM43)*(1-0.215*AM43))</f>
        <v>0.27537975457779096</v>
      </c>
      <c r="AR43" s="5">
        <f t="shared" ref="AR43:AR51" si="68">(0.414*AJ17+0.0651*AM43^2-(0.382+0.0106*AJ17)*AM43)/((AJ17-0.215*AM43)*(1-0.215*AM43))</f>
        <v>0.40736928887172852</v>
      </c>
      <c r="AS43" s="5">
        <f t="shared" si="61"/>
        <v>2.4101792043062646</v>
      </c>
      <c r="AT43" s="5">
        <f t="shared" ref="AT43:AT51" si="69">IF(AS43&gt;0.2*PI()*AJ43,AS43/AH17-0.25*PI()*AM43,0)</f>
        <v>8.5655072359078932E-2</v>
      </c>
      <c r="AU43" s="5">
        <f t="shared" ref="AU43:AU51" si="70">IF(AS43&gt;0.25*PI()*AJ43,AT43+0.414*AM43,AT43+0.414*AM43*(1-COS(AS43/AJ43)))</f>
        <v>0.2779729722794575</v>
      </c>
      <c r="AV43" s="5">
        <f t="shared" ref="AV43:AV51" si="71">(AN43^2)/(3*(AJ17-0.215*AM43))+((1-AM43)^2*(2*AO43-AN43))/(6*(1-0.215*AM43))+AM43*(AO43*AQ43+AP43*AR43)</f>
        <v>1.1353080156138164</v>
      </c>
      <c r="AW43" s="5">
        <f t="shared" ref="AW43:AW51" si="72">(AO43+AP43)*AU43-AT43^2</f>
        <v>1.1876593993459064</v>
      </c>
      <c r="AX43" s="6">
        <f t="shared" ref="AX43:AX51" si="73">AH17^2*(-AW43*BR17+AV43*1.2)</f>
        <v>139.48413436895038</v>
      </c>
    </row>
    <row r="44" spans="2:50" x14ac:dyDescent="0.25">
      <c r="B44" s="10">
        <v>12</v>
      </c>
      <c r="C44" s="10">
        <v>12.7</v>
      </c>
      <c r="D44" s="10">
        <v>3.92</v>
      </c>
      <c r="E44" s="10">
        <v>24</v>
      </c>
      <c r="F44" s="10">
        <v>14.4</v>
      </c>
      <c r="G44" s="10">
        <v>1.36</v>
      </c>
      <c r="H44" s="10">
        <v>36</v>
      </c>
      <c r="I44" s="10">
        <v>15.4</v>
      </c>
      <c r="J44" s="10">
        <v>0.25900000000000001</v>
      </c>
      <c r="K44" s="10">
        <v>48</v>
      </c>
      <c r="L44" s="10">
        <v>15.4</v>
      </c>
      <c r="M44" s="10">
        <v>0.28499999999999998</v>
      </c>
      <c r="N44" s="10">
        <v>60</v>
      </c>
      <c r="O44" s="10">
        <v>15.3</v>
      </c>
      <c r="P44" s="10">
        <v>0.312</v>
      </c>
      <c r="AC44" s="5">
        <f t="shared" si="58"/>
        <v>15.299114545089905</v>
      </c>
      <c r="AD44" s="5">
        <f t="shared" si="50"/>
        <v>5.0169199578025268</v>
      </c>
      <c r="AE44" s="1">
        <f t="shared" si="59"/>
        <v>70</v>
      </c>
      <c r="AJ44" s="5">
        <f t="shared" si="62"/>
        <v>2.3554578707685399</v>
      </c>
      <c r="AK44" s="5">
        <f t="shared" si="63"/>
        <v>19.847385722928969</v>
      </c>
      <c r="AM44" s="5">
        <f t="shared" si="64"/>
        <v>0.35156087623411042</v>
      </c>
      <c r="AN44" s="5">
        <f t="shared" si="60"/>
        <v>-0.9880597014925373</v>
      </c>
      <c r="AO44" s="5">
        <f t="shared" si="65"/>
        <v>1.6364988252584269</v>
      </c>
      <c r="AP44" s="5">
        <f t="shared" si="66"/>
        <v>2.0364988252584268</v>
      </c>
      <c r="AQ44" s="5">
        <f t="shared" si="67"/>
        <v>0.31448455906992656</v>
      </c>
      <c r="AR44" s="5">
        <f t="shared" si="68"/>
        <v>0.39926721088984968</v>
      </c>
      <c r="AS44" s="5">
        <f t="shared" si="61"/>
        <v>2.5264073189984613</v>
      </c>
      <c r="AT44" s="5">
        <f t="shared" si="69"/>
        <v>0.10096045273683374</v>
      </c>
      <c r="AU44" s="5">
        <f t="shared" si="70"/>
        <v>0.24650665549775544</v>
      </c>
      <c r="AV44" s="5">
        <f t="shared" si="71"/>
        <v>0.93053904812041899</v>
      </c>
      <c r="AW44" s="5">
        <f t="shared" si="72"/>
        <v>0.89522535346319676</v>
      </c>
      <c r="AX44" s="6">
        <f t="shared" si="73"/>
        <v>164.14066678956019</v>
      </c>
    </row>
    <row r="45" spans="2:50" x14ac:dyDescent="0.25">
      <c r="B45" s="10">
        <v>12</v>
      </c>
      <c r="C45" s="10">
        <v>10.9</v>
      </c>
      <c r="D45" s="10">
        <v>3.92</v>
      </c>
      <c r="E45" s="10">
        <v>24</v>
      </c>
      <c r="F45" s="10">
        <v>12.4</v>
      </c>
      <c r="G45" s="10">
        <v>1.35</v>
      </c>
      <c r="H45" s="10">
        <v>36</v>
      </c>
      <c r="I45" s="10">
        <v>13.3</v>
      </c>
      <c r="J45" s="10">
        <v>0</v>
      </c>
      <c r="K45" s="10">
        <v>48</v>
      </c>
      <c r="L45" s="10">
        <v>13.2</v>
      </c>
      <c r="M45" s="10">
        <v>0</v>
      </c>
      <c r="N45" s="10">
        <v>60</v>
      </c>
      <c r="O45" s="10">
        <v>13.2</v>
      </c>
      <c r="P45" s="10">
        <v>0</v>
      </c>
      <c r="AC45" s="5">
        <f t="shared" si="58"/>
        <v>15.61023240533874</v>
      </c>
      <c r="AD45" s="5">
        <f t="shared" si="50"/>
        <v>5.3952743798906777</v>
      </c>
      <c r="AE45" s="1">
        <f t="shared" si="59"/>
        <v>75</v>
      </c>
      <c r="AJ45" s="5">
        <f t="shared" si="62"/>
        <v>2.4066827608437618</v>
      </c>
      <c r="AK45" s="5">
        <f t="shared" si="63"/>
        <v>19.826264721909379</v>
      </c>
      <c r="AM45" s="5">
        <f t="shared" si="64"/>
        <v>0.35920638221548684</v>
      </c>
      <c r="AN45" s="5">
        <f t="shared" si="60"/>
        <v>-0.9880597014925373</v>
      </c>
      <c r="AO45" s="5">
        <f t="shared" si="65"/>
        <v>1.6288533192770505</v>
      </c>
      <c r="AP45" s="5">
        <f t="shared" si="66"/>
        <v>2.0288533192770504</v>
      </c>
      <c r="AQ45" s="5">
        <f t="shared" si="67"/>
        <v>0.31212597634898348</v>
      </c>
      <c r="AR45" s="5">
        <f t="shared" si="68"/>
        <v>0.39896846656923041</v>
      </c>
      <c r="AS45" s="5">
        <f t="shared" si="61"/>
        <v>2.5183635385453007</v>
      </c>
      <c r="AT45" s="5">
        <f t="shared" si="69"/>
        <v>9.3755122134076108E-2</v>
      </c>
      <c r="AU45" s="5">
        <f t="shared" si="70"/>
        <v>0.24246656437128766</v>
      </c>
      <c r="AV45" s="5">
        <f t="shared" si="71"/>
        <v>0.92908809324111574</v>
      </c>
      <c r="AW45" s="5">
        <f t="shared" si="72"/>
        <v>0.87808153920188858</v>
      </c>
      <c r="AX45" s="6">
        <f t="shared" si="73"/>
        <v>162.18315302317302</v>
      </c>
    </row>
    <row r="46" spans="2:50" x14ac:dyDescent="0.25">
      <c r="B46" s="10">
        <v>12</v>
      </c>
      <c r="C46" s="10">
        <v>9.06</v>
      </c>
      <c r="D46" s="10">
        <v>3.92</v>
      </c>
      <c r="E46" s="10">
        <v>24</v>
      </c>
      <c r="F46" s="10">
        <v>10.3</v>
      </c>
      <c r="G46" s="10">
        <v>1.35</v>
      </c>
      <c r="H46" s="10">
        <v>36</v>
      </c>
      <c r="I46" s="10">
        <v>11</v>
      </c>
      <c r="J46" s="10">
        <v>0</v>
      </c>
      <c r="K46" s="10">
        <v>48</v>
      </c>
      <c r="L46" s="10">
        <v>11</v>
      </c>
      <c r="M46" s="10">
        <v>0</v>
      </c>
      <c r="N46" s="10">
        <v>60</v>
      </c>
      <c r="O46" s="10">
        <v>11</v>
      </c>
      <c r="P46" s="10">
        <v>0</v>
      </c>
      <c r="AC46" s="5">
        <f t="shared" si="58"/>
        <v>15.828252090797596</v>
      </c>
      <c r="AD46" s="5">
        <f t="shared" si="50"/>
        <v>5.8092636712934187</v>
      </c>
      <c r="AE46" s="1">
        <f t="shared" si="59"/>
        <v>80</v>
      </c>
      <c r="AJ46" s="5">
        <f t="shared" si="62"/>
        <v>2.5494074591070737</v>
      </c>
      <c r="AK46" s="5">
        <f t="shared" si="63"/>
        <v>19.767417697887765</v>
      </c>
      <c r="AM46" s="5">
        <f t="shared" si="64"/>
        <v>0.38050857598613042</v>
      </c>
      <c r="AN46" s="5">
        <f t="shared" si="60"/>
        <v>-0.9880597014925373</v>
      </c>
      <c r="AO46" s="5">
        <f t="shared" si="65"/>
        <v>1.607551125506407</v>
      </c>
      <c r="AP46" s="5">
        <f t="shared" si="66"/>
        <v>2.0075511255064065</v>
      </c>
      <c r="AQ46" s="5">
        <f t="shared" si="67"/>
        <v>0.30550676266859189</v>
      </c>
      <c r="AR46" s="5">
        <f t="shared" si="68"/>
        <v>0.39814177740298934</v>
      </c>
      <c r="AS46" s="5">
        <f t="shared" si="61"/>
        <v>2.4978295488442681</v>
      </c>
      <c r="AT46" s="5">
        <f t="shared" si="69"/>
        <v>7.3959643688032428E-2</v>
      </c>
      <c r="AU46" s="5">
        <f t="shared" si="70"/>
        <v>0.23149019414629041</v>
      </c>
      <c r="AV46" s="5">
        <f t="shared" si="71"/>
        <v>0.9249092772771299</v>
      </c>
      <c r="AW46" s="5">
        <f t="shared" si="72"/>
        <v>0.83139069305118696</v>
      </c>
      <c r="AX46" s="6">
        <f t="shared" si="73"/>
        <v>156.74277449567023</v>
      </c>
    </row>
    <row r="47" spans="2:50" x14ac:dyDescent="0.25">
      <c r="B47" s="10">
        <v>12</v>
      </c>
      <c r="C47" s="10">
        <v>7.25</v>
      </c>
      <c r="D47" s="10">
        <v>3.92</v>
      </c>
      <c r="E47" s="10">
        <v>24</v>
      </c>
      <c r="F47" s="10">
        <v>8.24</v>
      </c>
      <c r="G47" s="10">
        <v>1.35</v>
      </c>
      <c r="H47" s="10">
        <v>36</v>
      </c>
      <c r="I47" s="10">
        <v>8.83</v>
      </c>
      <c r="J47" s="10">
        <v>0</v>
      </c>
      <c r="K47" s="10">
        <v>48</v>
      </c>
      <c r="L47" s="10">
        <v>8.82</v>
      </c>
      <c r="M47" s="10">
        <v>0</v>
      </c>
      <c r="N47" s="10">
        <v>60</v>
      </c>
      <c r="O47" s="10">
        <v>8.8000000000000007</v>
      </c>
      <c r="P47" s="10">
        <v>0</v>
      </c>
      <c r="AC47" s="5">
        <f t="shared" si="58"/>
        <v>15.957291433799289</v>
      </c>
      <c r="AD47" s="5">
        <f t="shared" si="50"/>
        <v>6.2482082683302798</v>
      </c>
      <c r="AE47" s="1">
        <f t="shared" si="59"/>
        <v>85</v>
      </c>
      <c r="AJ47" s="5">
        <f t="shared" si="62"/>
        <v>2.5500471068604189</v>
      </c>
      <c r="AK47" s="5">
        <f t="shared" si="63"/>
        <v>19.767153967456494</v>
      </c>
      <c r="AM47" s="5">
        <f t="shared" si="64"/>
        <v>0.38060404580006252</v>
      </c>
      <c r="AN47" s="5">
        <f t="shared" si="60"/>
        <v>-0.9880597014925373</v>
      </c>
      <c r="AO47" s="5">
        <f t="shared" si="65"/>
        <v>1.6074556556924748</v>
      </c>
      <c r="AP47" s="5">
        <f t="shared" si="66"/>
        <v>2.0074556556924747</v>
      </c>
      <c r="AQ47" s="5">
        <f t="shared" si="67"/>
        <v>0.30547693847837493</v>
      </c>
      <c r="AR47" s="5">
        <f t="shared" si="68"/>
        <v>0.39813809149653312</v>
      </c>
      <c r="AS47" s="5">
        <f t="shared" si="61"/>
        <v>2.4977435323166706</v>
      </c>
      <c r="AT47" s="5">
        <f t="shared" si="69"/>
        <v>7.3871823583809115E-2</v>
      </c>
      <c r="AU47" s="5">
        <f t="shared" si="70"/>
        <v>0.231441898545035</v>
      </c>
      <c r="AV47" s="5">
        <f t="shared" si="71"/>
        <v>0.92489010570599395</v>
      </c>
      <c r="AW47" s="5">
        <f t="shared" si="72"/>
        <v>0.83118489065925749</v>
      </c>
      <c r="AX47" s="6">
        <f t="shared" si="73"/>
        <v>156.7184430252272</v>
      </c>
    </row>
    <row r="48" spans="2:50" x14ac:dyDescent="0.25">
      <c r="B48" s="10">
        <v>12</v>
      </c>
      <c r="C48" s="10">
        <v>5.44</v>
      </c>
      <c r="D48" s="10">
        <v>3.92</v>
      </c>
      <c r="E48" s="10">
        <v>24</v>
      </c>
      <c r="F48" s="10">
        <v>6.18</v>
      </c>
      <c r="G48" s="10">
        <v>1.35</v>
      </c>
      <c r="H48" s="10">
        <v>36</v>
      </c>
      <c r="I48" s="10">
        <v>6.63</v>
      </c>
      <c r="J48" s="10">
        <v>0</v>
      </c>
      <c r="K48" s="10">
        <v>48</v>
      </c>
      <c r="L48" s="10">
        <v>6.61</v>
      </c>
      <c r="M48" s="10">
        <v>0</v>
      </c>
      <c r="N48" s="10">
        <v>60</v>
      </c>
      <c r="O48" s="10">
        <v>6.6</v>
      </c>
      <c r="P48" s="10">
        <v>0</v>
      </c>
      <c r="AC48" s="5">
        <f t="shared" si="58"/>
        <v>16</v>
      </c>
      <c r="AD48" s="5">
        <f t="shared" si="50"/>
        <v>6.7</v>
      </c>
      <c r="AE48" s="1">
        <f t="shared" si="59"/>
        <v>90</v>
      </c>
      <c r="AJ48" s="5">
        <f t="shared" si="62"/>
        <v>2.4078441939174939</v>
      </c>
      <c r="AK48" s="5">
        <f t="shared" si="63"/>
        <v>19.825785843262274</v>
      </c>
      <c r="AM48" s="5">
        <f t="shared" si="64"/>
        <v>0.35937973043544685</v>
      </c>
      <c r="AN48" s="5">
        <f t="shared" si="60"/>
        <v>-0.9880597014925373</v>
      </c>
      <c r="AO48" s="5">
        <f t="shared" si="65"/>
        <v>1.6286799710570903</v>
      </c>
      <c r="AP48" s="5">
        <f t="shared" si="66"/>
        <v>2.0286799710570902</v>
      </c>
      <c r="AQ48" s="5">
        <f t="shared" si="67"/>
        <v>0.31207239550130228</v>
      </c>
      <c r="AR48" s="5">
        <f t="shared" si="68"/>
        <v>0.39896170545608151</v>
      </c>
      <c r="AS48" s="5">
        <f t="shared" si="61"/>
        <v>2.5181853818227253</v>
      </c>
      <c r="AT48" s="5">
        <f t="shared" si="69"/>
        <v>9.3592384204882972E-2</v>
      </c>
      <c r="AU48" s="5">
        <f t="shared" si="70"/>
        <v>0.24237559260515795</v>
      </c>
      <c r="AV48" s="5">
        <f t="shared" si="71"/>
        <v>0.92905489265001862</v>
      </c>
      <c r="AW48" s="5">
        <f t="shared" si="72"/>
        <v>0.87769524895913631</v>
      </c>
      <c r="AX48" s="6">
        <f t="shared" si="73"/>
        <v>162.13879729293271</v>
      </c>
    </row>
    <row r="49" spans="2:50" x14ac:dyDescent="0.25">
      <c r="B49" s="10">
        <v>12</v>
      </c>
      <c r="C49" s="10">
        <v>3.62</v>
      </c>
      <c r="D49" s="10">
        <v>3.92</v>
      </c>
      <c r="E49" s="10">
        <v>24</v>
      </c>
      <c r="F49" s="10">
        <v>4.12</v>
      </c>
      <c r="G49" s="10">
        <v>1.35</v>
      </c>
      <c r="H49" s="10">
        <v>36</v>
      </c>
      <c r="I49" s="10">
        <v>4.42</v>
      </c>
      <c r="J49" s="10">
        <v>0</v>
      </c>
      <c r="K49" s="10">
        <v>48</v>
      </c>
      <c r="L49" s="10">
        <v>4.41</v>
      </c>
      <c r="M49" s="10">
        <v>0</v>
      </c>
      <c r="N49" s="10">
        <v>60</v>
      </c>
      <c r="O49" s="10">
        <v>4.4000000000000004</v>
      </c>
      <c r="P49" s="10">
        <v>0</v>
      </c>
      <c r="AJ49" s="5">
        <f t="shared" si="62"/>
        <v>2.2435999428871107</v>
      </c>
      <c r="AK49" s="5">
        <f t="shared" si="63"/>
        <v>19.893507601977824</v>
      </c>
      <c r="AM49" s="5">
        <f t="shared" si="64"/>
        <v>0.33486566311747923</v>
      </c>
      <c r="AN49" s="5">
        <f t="shared" si="60"/>
        <v>-0.9880597014925373</v>
      </c>
      <c r="AO49" s="5">
        <f t="shared" si="65"/>
        <v>1.6531940383750581</v>
      </c>
      <c r="AP49" s="5">
        <f t="shared" si="66"/>
        <v>2.0531940383750578</v>
      </c>
      <c r="AQ49" s="5">
        <f t="shared" si="67"/>
        <v>0.31960385429664384</v>
      </c>
      <c r="AR49" s="5">
        <f t="shared" si="68"/>
        <v>0.39992324246594196</v>
      </c>
      <c r="AS49" s="5">
        <f t="shared" si="61"/>
        <v>2.5452640574014405</v>
      </c>
      <c r="AT49" s="5">
        <f t="shared" si="69"/>
        <v>0.11688728102377371</v>
      </c>
      <c r="AU49" s="5">
        <f t="shared" si="70"/>
        <v>0.25552166555441014</v>
      </c>
      <c r="AV49" s="5">
        <f t="shared" si="71"/>
        <v>0.93361542106836948</v>
      </c>
      <c r="AW49" s="5">
        <f t="shared" si="72"/>
        <v>0.93339981809706596</v>
      </c>
      <c r="AX49" s="6">
        <f t="shared" si="73"/>
        <v>168.42228820089869</v>
      </c>
    </row>
    <row r="50" spans="2:50" x14ac:dyDescent="0.25">
      <c r="B50" s="10">
        <v>12</v>
      </c>
      <c r="C50" s="10">
        <v>1.81</v>
      </c>
      <c r="D50" s="10">
        <v>3.92</v>
      </c>
      <c r="E50" s="10">
        <v>24</v>
      </c>
      <c r="F50" s="10">
        <v>2.06</v>
      </c>
      <c r="G50" s="10">
        <v>1.35</v>
      </c>
      <c r="H50" s="10">
        <v>36</v>
      </c>
      <c r="I50" s="10">
        <v>2.21</v>
      </c>
      <c r="J50" s="10">
        <v>0</v>
      </c>
      <c r="K50" s="10">
        <v>48</v>
      </c>
      <c r="L50" s="10">
        <v>2.2000000000000002</v>
      </c>
      <c r="M50" s="10">
        <v>0</v>
      </c>
      <c r="N50" s="10">
        <v>60</v>
      </c>
      <c r="O50" s="10">
        <v>2.2000000000000002</v>
      </c>
      <c r="P50" s="10">
        <v>0</v>
      </c>
      <c r="T50" s="20">
        <f>Q29</f>
        <v>45443636.450632833</v>
      </c>
      <c r="AJ50" s="5">
        <f t="shared" si="62"/>
        <v>4.8641644441792566</v>
      </c>
      <c r="AK50" s="5">
        <f t="shared" si="63"/>
        <v>18.124926898305063</v>
      </c>
      <c r="AM50" s="5">
        <f t="shared" si="64"/>
        <v>0.72599469316108312</v>
      </c>
      <c r="AN50" s="5">
        <f t="shared" si="60"/>
        <v>-0.9880597014925373</v>
      </c>
      <c r="AO50" s="5">
        <f t="shared" si="65"/>
        <v>1.2620650083314542</v>
      </c>
      <c r="AP50" s="5">
        <f t="shared" si="66"/>
        <v>1.5277366501224989</v>
      </c>
      <c r="AQ50" s="5">
        <f t="shared" si="67"/>
        <v>0.18903492003437425</v>
      </c>
      <c r="AR50" s="5">
        <f t="shared" si="68"/>
        <v>0.37999897951163891</v>
      </c>
      <c r="AS50" s="5">
        <f t="shared" si="61"/>
        <v>2.3020610685834679</v>
      </c>
      <c r="AT50" s="5">
        <f t="shared" si="69"/>
        <v>0</v>
      </c>
      <c r="AU50" s="5">
        <f t="shared" si="70"/>
        <v>3.303691874500303E-2</v>
      </c>
      <c r="AV50" s="5">
        <f t="shared" si="71"/>
        <v>0.80188510865618556</v>
      </c>
      <c r="AW50" s="5">
        <f t="shared" si="72"/>
        <v>9.2166450705017958E-2</v>
      </c>
      <c r="AX50" s="6">
        <f t="shared" si="73"/>
        <v>55.953369651033292</v>
      </c>
    </row>
    <row r="51" spans="2:50" x14ac:dyDescent="0.25">
      <c r="B51" s="10">
        <v>12</v>
      </c>
      <c r="C51" s="10">
        <v>-1.12E-10</v>
      </c>
      <c r="D51" s="10">
        <v>3.92</v>
      </c>
      <c r="E51" s="10">
        <v>24</v>
      </c>
      <c r="F51" s="10">
        <v>-1.12E-10</v>
      </c>
      <c r="G51" s="10">
        <v>1.35</v>
      </c>
      <c r="H51" s="10">
        <v>36</v>
      </c>
      <c r="I51" s="10">
        <v>-1.12E-10</v>
      </c>
      <c r="J51" s="10">
        <v>0</v>
      </c>
      <c r="K51" s="10">
        <v>48</v>
      </c>
      <c r="L51" s="10">
        <v>-1.12E-10</v>
      </c>
      <c r="M51" s="10">
        <v>0</v>
      </c>
      <c r="N51" s="10">
        <v>60</v>
      </c>
      <c r="O51" s="10">
        <v>-1.12E-10</v>
      </c>
      <c r="P51" s="10">
        <v>0</v>
      </c>
      <c r="S51" s="5">
        <v>3</v>
      </c>
      <c r="T51" s="20">
        <f t="dataTable" ref="T51:T68" dt2D="0" dtr="0" r1="F33"/>
        <v>76230088.924407706</v>
      </c>
      <c r="AJ51" s="5">
        <f t="shared" si="62"/>
        <v>5.8669552531299924</v>
      </c>
      <c r="AK51" s="5">
        <f t="shared" si="63"/>
        <v>14.857509210726693</v>
      </c>
      <c r="AM51" s="5">
        <f t="shared" si="64"/>
        <v>0.87566496315373021</v>
      </c>
      <c r="AN51" s="5">
        <f t="shared" si="60"/>
        <v>-0.9880597014925373</v>
      </c>
      <c r="AO51" s="5">
        <f t="shared" si="65"/>
        <v>1.1123947383388071</v>
      </c>
      <c r="AP51" s="5">
        <f t="shared" si="66"/>
        <v>0.76612608162238904</v>
      </c>
      <c r="AQ51" s="5">
        <f t="shared" si="67"/>
        <v>0.14505965748751934</v>
      </c>
      <c r="AR51" s="5">
        <f t="shared" si="68"/>
        <v>0.32196416928779081</v>
      </c>
      <c r="AS51" s="5">
        <f t="shared" si="61"/>
        <v>2.0331811922351122</v>
      </c>
      <c r="AT51" s="5">
        <f t="shared" si="69"/>
        <v>0</v>
      </c>
      <c r="AU51" s="5">
        <f t="shared" si="70"/>
        <v>2.1551831161415076E-2</v>
      </c>
      <c r="AV51" s="5">
        <f t="shared" si="71"/>
        <v>0.59137850834140093</v>
      </c>
      <c r="AW51" s="5">
        <f t="shared" si="72"/>
        <v>4.0485563545006709E-2</v>
      </c>
      <c r="AX51" s="6">
        <f t="shared" si="73"/>
        <v>38.213464277620531</v>
      </c>
    </row>
    <row r="52" spans="2:50" x14ac:dyDescent="0.25">
      <c r="B52" s="53" t="s">
        <v>97</v>
      </c>
      <c r="C52" s="53"/>
      <c r="D52" s="53"/>
      <c r="E52" s="53" t="s">
        <v>98</v>
      </c>
      <c r="F52" s="53"/>
      <c r="G52" s="53"/>
      <c r="H52" s="50" t="s">
        <v>99</v>
      </c>
      <c r="I52" s="51"/>
      <c r="J52" s="52"/>
      <c r="K52" s="53" t="s">
        <v>100</v>
      </c>
      <c r="L52" s="53"/>
      <c r="M52" s="53"/>
      <c r="N52" s="53" t="s">
        <v>101</v>
      </c>
      <c r="O52" s="53"/>
      <c r="P52" s="53"/>
      <c r="R52" s="35"/>
      <c r="S52" s="34">
        <v>4</v>
      </c>
      <c r="T52" s="33">
        <v>45443636.450632833</v>
      </c>
      <c r="U52" s="32"/>
      <c r="V52" s="32"/>
      <c r="W52" s="32"/>
      <c r="X52" s="32"/>
      <c r="Y52" s="32"/>
      <c r="Z52" s="32"/>
      <c r="AA52" s="32"/>
      <c r="AB52" s="32"/>
      <c r="AJ52" s="5"/>
      <c r="AK52" s="5"/>
    </row>
    <row r="53" spans="2:50" x14ac:dyDescent="0.25">
      <c r="B53" s="18" t="s">
        <v>90</v>
      </c>
      <c r="C53" s="18" t="s">
        <v>91</v>
      </c>
      <c r="D53" s="18" t="s">
        <v>92</v>
      </c>
      <c r="E53" s="18" t="s">
        <v>90</v>
      </c>
      <c r="F53" s="18" t="s">
        <v>91</v>
      </c>
      <c r="G53" s="18" t="s">
        <v>92</v>
      </c>
      <c r="H53" s="18" t="s">
        <v>90</v>
      </c>
      <c r="I53" s="18" t="s">
        <v>91</v>
      </c>
      <c r="J53" s="18" t="s">
        <v>92</v>
      </c>
      <c r="K53" s="18" t="s">
        <v>90</v>
      </c>
      <c r="L53" s="18" t="s">
        <v>91</v>
      </c>
      <c r="M53" s="18" t="s">
        <v>92</v>
      </c>
      <c r="N53" s="18" t="s">
        <v>90</v>
      </c>
      <c r="O53" s="18" t="s">
        <v>91</v>
      </c>
      <c r="P53" s="18" t="s">
        <v>92</v>
      </c>
      <c r="R53" s="35"/>
      <c r="S53" s="34">
        <v>5</v>
      </c>
      <c r="T53" s="33">
        <v>31167211.543558668</v>
      </c>
      <c r="U53" s="35"/>
      <c r="V53" s="35"/>
      <c r="W53" s="35"/>
      <c r="X53" s="35"/>
      <c r="Y53" s="35"/>
      <c r="Z53" s="35"/>
      <c r="AA53" s="35"/>
      <c r="AB53" s="35"/>
      <c r="AJ53" s="5"/>
      <c r="AK53" s="5"/>
    </row>
    <row r="54" spans="2:50" x14ac:dyDescent="0.25">
      <c r="B54" s="10">
        <v>108</v>
      </c>
      <c r="C54" s="10">
        <v>16</v>
      </c>
      <c r="D54" s="10">
        <v>6.69</v>
      </c>
      <c r="E54" s="10">
        <v>120</v>
      </c>
      <c r="F54" s="10">
        <v>16</v>
      </c>
      <c r="G54" s="10">
        <v>6.69</v>
      </c>
      <c r="H54" s="10">
        <v>132</v>
      </c>
      <c r="I54" s="10">
        <v>16</v>
      </c>
      <c r="J54" s="10">
        <v>6.69</v>
      </c>
      <c r="K54" s="10">
        <v>144</v>
      </c>
      <c r="L54" s="10">
        <v>15.1</v>
      </c>
      <c r="M54" s="10">
        <v>6.69</v>
      </c>
      <c r="N54" s="10">
        <v>156</v>
      </c>
      <c r="O54" s="10">
        <v>11</v>
      </c>
      <c r="P54" s="10">
        <v>6.69</v>
      </c>
      <c r="R54" s="35"/>
      <c r="S54" s="34">
        <v>6</v>
      </c>
      <c r="T54" s="33">
        <v>23399226.40394932</v>
      </c>
      <c r="U54" s="35"/>
      <c r="V54" s="35"/>
      <c r="W54" s="35"/>
      <c r="X54" s="35"/>
      <c r="Y54" s="35"/>
      <c r="Z54" s="35"/>
      <c r="AA54" s="35"/>
      <c r="AB54" s="35"/>
    </row>
    <row r="55" spans="2:50" x14ac:dyDescent="0.25">
      <c r="B55" s="10">
        <v>108</v>
      </c>
      <c r="C55" s="10">
        <v>16</v>
      </c>
      <c r="D55" s="10">
        <v>4.49</v>
      </c>
      <c r="E55" s="10">
        <v>120</v>
      </c>
      <c r="F55" s="10">
        <v>16</v>
      </c>
      <c r="G55" s="10">
        <v>4.4800000000000004</v>
      </c>
      <c r="H55" s="10">
        <v>132</v>
      </c>
      <c r="I55" s="10">
        <v>16</v>
      </c>
      <c r="J55" s="10">
        <v>4.47</v>
      </c>
      <c r="K55" s="10">
        <v>144</v>
      </c>
      <c r="L55" s="10">
        <v>14.8</v>
      </c>
      <c r="M55" s="10">
        <v>4.6900000000000004</v>
      </c>
      <c r="N55" s="10">
        <v>156</v>
      </c>
      <c r="O55" s="10">
        <v>10.6</v>
      </c>
      <c r="P55" s="10">
        <v>5.19</v>
      </c>
      <c r="R55" s="32"/>
      <c r="S55" s="34">
        <v>7</v>
      </c>
      <c r="T55" s="33">
        <v>18708300.322884344</v>
      </c>
      <c r="U55" s="32"/>
      <c r="V55" s="32"/>
      <c r="W55" s="32"/>
      <c r="X55" s="32"/>
      <c r="Y55" s="32"/>
      <c r="Z55" s="32"/>
      <c r="AA55" s="32"/>
      <c r="AB55" s="32"/>
    </row>
    <row r="56" spans="2:50" x14ac:dyDescent="0.25">
      <c r="B56" s="10">
        <v>108</v>
      </c>
      <c r="C56" s="10">
        <v>16</v>
      </c>
      <c r="D56" s="10">
        <v>2.29</v>
      </c>
      <c r="E56" s="10">
        <v>120</v>
      </c>
      <c r="F56" s="10">
        <v>16</v>
      </c>
      <c r="G56" s="10">
        <v>2.27</v>
      </c>
      <c r="H56" s="10">
        <v>132</v>
      </c>
      <c r="I56" s="10">
        <v>16</v>
      </c>
      <c r="J56" s="10">
        <v>2.25</v>
      </c>
      <c r="K56" s="10">
        <v>144</v>
      </c>
      <c r="L56" s="10">
        <v>14.5</v>
      </c>
      <c r="M56" s="10">
        <v>2.72</v>
      </c>
      <c r="N56" s="10">
        <v>156</v>
      </c>
      <c r="O56" s="10">
        <v>10.1</v>
      </c>
      <c r="P56" s="10">
        <v>3.7</v>
      </c>
      <c r="R56" s="35"/>
      <c r="S56" s="34">
        <v>8</v>
      </c>
      <c r="T56" s="33">
        <v>15659466.658193476</v>
      </c>
      <c r="U56" s="35"/>
      <c r="V56" s="35"/>
      <c r="W56" s="35"/>
      <c r="X56" s="35"/>
      <c r="Y56" s="35"/>
      <c r="Z56" s="35"/>
      <c r="AA56" s="35"/>
      <c r="AB56" s="35"/>
    </row>
    <row r="57" spans="2:50" x14ac:dyDescent="0.25">
      <c r="B57" s="10">
        <v>108</v>
      </c>
      <c r="C57" s="10">
        <v>15.3</v>
      </c>
      <c r="D57" s="10">
        <v>0.31</v>
      </c>
      <c r="E57" s="10">
        <v>120</v>
      </c>
      <c r="F57" s="10">
        <v>15.4</v>
      </c>
      <c r="G57" s="10">
        <v>0.28799999999999998</v>
      </c>
      <c r="H57" s="10">
        <v>132</v>
      </c>
      <c r="I57" s="10">
        <v>15.5</v>
      </c>
      <c r="J57" s="10">
        <v>0.26500000000000001</v>
      </c>
      <c r="K57" s="10">
        <v>144</v>
      </c>
      <c r="L57" s="10">
        <v>13.7</v>
      </c>
      <c r="M57" s="10">
        <v>0.85</v>
      </c>
      <c r="N57" s="10">
        <v>156</v>
      </c>
      <c r="O57" s="10">
        <v>9.68</v>
      </c>
      <c r="P57" s="10">
        <v>2.21</v>
      </c>
      <c r="R57" s="35"/>
      <c r="S57" s="34">
        <v>9</v>
      </c>
      <c r="T57" s="33">
        <v>13566484.929594588</v>
      </c>
      <c r="U57" s="36"/>
      <c r="V57" s="36"/>
      <c r="W57" s="35"/>
      <c r="X57" s="35"/>
      <c r="Y57" s="35"/>
      <c r="Z57" s="35"/>
      <c r="AA57" s="35"/>
      <c r="AB57" s="35"/>
    </row>
    <row r="58" spans="2:50" x14ac:dyDescent="0.25">
      <c r="B58" s="10">
        <v>108</v>
      </c>
      <c r="C58" s="10">
        <v>13.2</v>
      </c>
      <c r="D58" s="10">
        <v>0</v>
      </c>
      <c r="E58" s="10">
        <v>120</v>
      </c>
      <c r="F58" s="10">
        <v>13.2</v>
      </c>
      <c r="G58" s="10">
        <v>0</v>
      </c>
      <c r="H58" s="10">
        <v>132</v>
      </c>
      <c r="I58" s="10">
        <v>13.3</v>
      </c>
      <c r="J58" s="10">
        <v>0</v>
      </c>
      <c r="K58" s="10">
        <v>144</v>
      </c>
      <c r="L58" s="10">
        <v>12.1</v>
      </c>
      <c r="M58" s="10">
        <v>0</v>
      </c>
      <c r="N58" s="10">
        <v>156</v>
      </c>
      <c r="O58" s="10">
        <v>9.1300000000000008</v>
      </c>
      <c r="P58" s="10">
        <v>0.75700000000000001</v>
      </c>
      <c r="R58" s="32"/>
      <c r="S58" s="34">
        <v>10</v>
      </c>
      <c r="T58" s="33">
        <v>12067568.633535799</v>
      </c>
      <c r="U58" s="36"/>
      <c r="V58" s="36"/>
      <c r="W58" s="32"/>
      <c r="X58" s="32"/>
      <c r="Y58" s="32"/>
      <c r="Z58" s="32"/>
      <c r="AA58" s="32"/>
      <c r="AB58" s="32"/>
      <c r="AE58" s="20"/>
      <c r="AH58" s="20"/>
      <c r="AK58" s="20"/>
      <c r="AN58" s="20"/>
    </row>
    <row r="59" spans="2:50" x14ac:dyDescent="0.25">
      <c r="B59" s="10">
        <v>108</v>
      </c>
      <c r="C59" s="10">
        <v>11</v>
      </c>
      <c r="D59" s="10">
        <v>0</v>
      </c>
      <c r="E59" s="10">
        <v>120</v>
      </c>
      <c r="F59" s="10">
        <v>11</v>
      </c>
      <c r="G59" s="10">
        <v>0</v>
      </c>
      <c r="H59" s="10">
        <v>132</v>
      </c>
      <c r="I59" s="10">
        <v>11.1</v>
      </c>
      <c r="J59" s="10">
        <v>0</v>
      </c>
      <c r="K59" s="10">
        <v>144</v>
      </c>
      <c r="L59" s="10">
        <v>10</v>
      </c>
      <c r="M59" s="10">
        <v>0</v>
      </c>
      <c r="N59" s="10">
        <v>156</v>
      </c>
      <c r="O59" s="10">
        <v>7.78</v>
      </c>
      <c r="P59" s="10">
        <v>7.6100000000000001E-2</v>
      </c>
      <c r="R59" s="35"/>
      <c r="S59" s="34">
        <v>11</v>
      </c>
      <c r="T59" s="33">
        <v>10957273.467990885</v>
      </c>
      <c r="U59" s="36"/>
      <c r="V59" s="36"/>
      <c r="W59" s="35"/>
      <c r="X59" s="35"/>
      <c r="Y59" s="35"/>
      <c r="Z59" s="35"/>
      <c r="AA59" s="35"/>
      <c r="AB59" s="35"/>
    </row>
    <row r="60" spans="2:50" x14ac:dyDescent="0.25">
      <c r="B60" s="10">
        <v>108</v>
      </c>
      <c r="C60" s="10">
        <v>8.7899999999999991</v>
      </c>
      <c r="D60" s="10">
        <v>0</v>
      </c>
      <c r="E60" s="10">
        <v>120</v>
      </c>
      <c r="F60" s="10">
        <v>8.83</v>
      </c>
      <c r="G60" s="10">
        <v>0</v>
      </c>
      <c r="H60" s="10">
        <v>132</v>
      </c>
      <c r="I60" s="10">
        <v>8.8699999999999992</v>
      </c>
      <c r="J60" s="10">
        <v>0</v>
      </c>
      <c r="K60" s="10">
        <v>144</v>
      </c>
      <c r="L60" s="10">
        <v>8.0399999999999991</v>
      </c>
      <c r="M60" s="10">
        <v>0</v>
      </c>
      <c r="N60" s="10">
        <v>156</v>
      </c>
      <c r="O60" s="10">
        <v>6.23</v>
      </c>
      <c r="P60" s="10">
        <v>0</v>
      </c>
      <c r="R60" s="35"/>
      <c r="S60" s="34">
        <v>12</v>
      </c>
      <c r="T60" s="33">
        <v>10111894.258248035</v>
      </c>
      <c r="U60" s="36"/>
      <c r="V60" s="36"/>
      <c r="W60" s="35"/>
      <c r="X60" s="35"/>
      <c r="Y60" s="35"/>
      <c r="Z60" s="35"/>
      <c r="AA60" s="35"/>
      <c r="AB60" s="35"/>
    </row>
    <row r="61" spans="2:50" x14ac:dyDescent="0.25">
      <c r="B61" s="10">
        <v>108</v>
      </c>
      <c r="C61" s="10">
        <v>6.59</v>
      </c>
      <c r="D61" s="10">
        <v>0</v>
      </c>
      <c r="E61" s="10">
        <v>120</v>
      </c>
      <c r="F61" s="10">
        <v>6.62</v>
      </c>
      <c r="G61" s="10">
        <v>0</v>
      </c>
      <c r="H61" s="10">
        <v>132</v>
      </c>
      <c r="I61" s="10">
        <v>6.65</v>
      </c>
      <c r="J61" s="10">
        <v>0</v>
      </c>
      <c r="K61" s="10">
        <v>144</v>
      </c>
      <c r="L61" s="10">
        <v>6.03</v>
      </c>
      <c r="M61" s="10">
        <v>0</v>
      </c>
      <c r="N61" s="10">
        <v>156</v>
      </c>
      <c r="O61" s="10">
        <v>4.67</v>
      </c>
      <c r="P61" s="10">
        <v>0</v>
      </c>
      <c r="R61" s="32"/>
      <c r="S61" s="34">
        <v>13</v>
      </c>
      <c r="T61" s="33">
        <v>9453322.8013958484</v>
      </c>
      <c r="U61" s="36"/>
      <c r="V61" s="36"/>
      <c r="W61" s="32"/>
      <c r="X61" s="32"/>
      <c r="Y61" s="32"/>
      <c r="Z61" s="32"/>
      <c r="AA61" s="32"/>
      <c r="AB61" s="32"/>
    </row>
    <row r="62" spans="2:50" x14ac:dyDescent="0.25">
      <c r="B62" s="10">
        <v>108</v>
      </c>
      <c r="C62" s="10">
        <v>4.4000000000000004</v>
      </c>
      <c r="D62" s="10">
        <v>0</v>
      </c>
      <c r="E62" s="10">
        <v>120</v>
      </c>
      <c r="F62" s="10">
        <v>4.42</v>
      </c>
      <c r="G62" s="10">
        <v>0</v>
      </c>
      <c r="H62" s="10">
        <v>132</v>
      </c>
      <c r="I62" s="10">
        <v>4.43</v>
      </c>
      <c r="J62" s="10">
        <v>0</v>
      </c>
      <c r="K62" s="10">
        <v>144</v>
      </c>
      <c r="L62" s="10">
        <v>4.0199999999999996</v>
      </c>
      <c r="M62" s="10">
        <v>0</v>
      </c>
      <c r="N62" s="10">
        <v>156</v>
      </c>
      <c r="O62" s="10">
        <v>3.11</v>
      </c>
      <c r="P62" s="10">
        <v>0</v>
      </c>
      <c r="R62" s="35"/>
      <c r="S62" s="34">
        <v>14</v>
      </c>
      <c r="T62" s="33">
        <v>8930266.3362915404</v>
      </c>
      <c r="U62" s="36"/>
      <c r="V62" s="36"/>
      <c r="W62" s="35"/>
      <c r="X62" s="35"/>
      <c r="Y62" s="35"/>
      <c r="Z62" s="35"/>
      <c r="AA62" s="35"/>
      <c r="AB62" s="35"/>
    </row>
    <row r="63" spans="2:50" x14ac:dyDescent="0.25">
      <c r="B63" s="10">
        <v>108</v>
      </c>
      <c r="C63" s="10">
        <v>2.2000000000000002</v>
      </c>
      <c r="D63" s="10">
        <v>0</v>
      </c>
      <c r="E63" s="10">
        <v>120</v>
      </c>
      <c r="F63" s="10">
        <v>2.21</v>
      </c>
      <c r="G63" s="10">
        <v>0</v>
      </c>
      <c r="H63" s="10">
        <v>132</v>
      </c>
      <c r="I63" s="10">
        <v>2.2200000000000002</v>
      </c>
      <c r="J63" s="10">
        <v>0</v>
      </c>
      <c r="K63" s="10">
        <v>144</v>
      </c>
      <c r="L63" s="10">
        <v>2.0099999999999998</v>
      </c>
      <c r="M63" s="10">
        <v>0</v>
      </c>
      <c r="N63" s="10">
        <v>156</v>
      </c>
      <c r="O63" s="10">
        <v>1.56</v>
      </c>
      <c r="P63" s="10">
        <v>0</v>
      </c>
      <c r="R63" s="35"/>
      <c r="S63" s="34">
        <v>15</v>
      </c>
      <c r="T63" s="33">
        <v>8507910.3363030963</v>
      </c>
      <c r="U63" s="36"/>
      <c r="V63" s="36"/>
      <c r="W63" s="35"/>
      <c r="X63" s="35"/>
      <c r="Y63" s="32"/>
      <c r="Z63" s="35"/>
      <c r="AA63" s="35"/>
      <c r="AB63" s="32"/>
      <c r="AC63" s="35"/>
      <c r="AD63" s="35"/>
      <c r="AE63" s="32"/>
      <c r="AF63" s="35"/>
      <c r="AG63" s="35"/>
      <c r="AH63" s="32"/>
      <c r="AI63" s="35"/>
      <c r="AJ63" s="35"/>
      <c r="AK63" s="32"/>
      <c r="AL63" s="35"/>
      <c r="AM63" s="35"/>
      <c r="AN63" s="32"/>
      <c r="AO63" s="35"/>
      <c r="AP63" s="35"/>
      <c r="AQ63" s="32"/>
      <c r="AR63" s="35"/>
      <c r="AS63" s="35"/>
    </row>
    <row r="64" spans="2:50" x14ac:dyDescent="0.25">
      <c r="B64" s="10">
        <v>108</v>
      </c>
      <c r="C64" s="10">
        <v>-1.12E-10</v>
      </c>
      <c r="D64" s="10">
        <v>0</v>
      </c>
      <c r="E64" s="10">
        <v>120</v>
      </c>
      <c r="F64" s="10">
        <v>0</v>
      </c>
      <c r="G64" s="10">
        <v>0</v>
      </c>
      <c r="H64" s="10">
        <v>132</v>
      </c>
      <c r="I64" s="10">
        <v>0</v>
      </c>
      <c r="J64" s="10">
        <v>0</v>
      </c>
      <c r="K64" s="10">
        <v>144</v>
      </c>
      <c r="L64" s="10">
        <v>0</v>
      </c>
      <c r="M64" s="10">
        <v>0</v>
      </c>
      <c r="N64" s="10">
        <v>156</v>
      </c>
      <c r="O64" s="10">
        <v>0</v>
      </c>
      <c r="P64" s="10">
        <v>0</v>
      </c>
      <c r="R64" s="32"/>
      <c r="S64" s="34">
        <v>16</v>
      </c>
      <c r="T64" s="33">
        <v>8161949.2384812227</v>
      </c>
      <c r="U64" s="36"/>
      <c r="V64" s="36"/>
      <c r="W64" s="32"/>
      <c r="X64" s="35"/>
      <c r="Y64" s="32"/>
      <c r="Z64" s="35"/>
      <c r="AA64" s="35"/>
      <c r="AB64" s="32"/>
      <c r="AC64" s="35"/>
      <c r="AD64" s="35"/>
      <c r="AE64" s="32"/>
      <c r="AF64" s="35"/>
      <c r="AG64" s="35"/>
      <c r="AH64" s="32"/>
      <c r="AI64" s="35"/>
      <c r="AJ64" s="35"/>
      <c r="AK64" s="32"/>
      <c r="AL64" s="35"/>
      <c r="AM64" s="35"/>
      <c r="AN64" s="32"/>
      <c r="AO64" s="35"/>
      <c r="AP64" s="35"/>
      <c r="AQ64" s="32"/>
      <c r="AR64" s="35"/>
      <c r="AS64" s="35"/>
    </row>
    <row r="65" spans="2:28" x14ac:dyDescent="0.25">
      <c r="R65" s="35"/>
      <c r="S65" s="34">
        <v>17</v>
      </c>
      <c r="T65" s="33">
        <v>7874996.1561072152</v>
      </c>
      <c r="U65" s="36"/>
      <c r="V65" s="36"/>
      <c r="W65" s="35"/>
      <c r="X65" s="35"/>
      <c r="Y65" s="35"/>
      <c r="Z65" s="35"/>
      <c r="AA65" s="35"/>
      <c r="AB65" s="35"/>
    </row>
    <row r="66" spans="2:28" x14ac:dyDescent="0.25">
      <c r="B66" s="1" t="s">
        <v>111</v>
      </c>
      <c r="C66" s="1" t="s">
        <v>112</v>
      </c>
      <c r="D66" s="1" t="s">
        <v>113</v>
      </c>
      <c r="E66" s="1" t="s">
        <v>111</v>
      </c>
      <c r="F66" s="1" t="s">
        <v>112</v>
      </c>
      <c r="G66" s="1" t="s">
        <v>113</v>
      </c>
      <c r="H66" s="1" t="s">
        <v>111</v>
      </c>
      <c r="I66" s="1" t="s">
        <v>112</v>
      </c>
      <c r="J66" s="1" t="s">
        <v>113</v>
      </c>
      <c r="K66" s="1" t="s">
        <v>111</v>
      </c>
      <c r="L66" s="1" t="s">
        <v>112</v>
      </c>
      <c r="M66" s="1" t="s">
        <v>113</v>
      </c>
      <c r="N66" s="1" t="s">
        <v>111</v>
      </c>
      <c r="O66" s="1" t="s">
        <v>112</v>
      </c>
      <c r="P66" s="1" t="s">
        <v>113</v>
      </c>
      <c r="R66" s="35"/>
      <c r="S66" s="34">
        <v>18</v>
      </c>
      <c r="T66" s="33">
        <v>7634346.4907159386</v>
      </c>
      <c r="U66" s="36"/>
      <c r="V66" s="36"/>
      <c r="W66" s="35"/>
      <c r="X66" s="35"/>
      <c r="Y66" s="35"/>
      <c r="Z66" s="35"/>
      <c r="AA66" s="35"/>
      <c r="AB66" s="35"/>
    </row>
    <row r="67" spans="2:28" x14ac:dyDescent="0.25">
      <c r="B67" s="6">
        <f>D41-D42</f>
        <v>1.8000000000000007</v>
      </c>
      <c r="C67" s="6">
        <f>(C41+C42)/2</f>
        <v>15.95</v>
      </c>
      <c r="D67" s="6">
        <f>B67*C67</f>
        <v>28.710000000000012</v>
      </c>
      <c r="E67" s="6">
        <f>G41-G42</f>
        <v>2.0600000000000005</v>
      </c>
      <c r="F67" s="6">
        <f>(F41+F42)/2</f>
        <v>16</v>
      </c>
      <c r="G67" s="6">
        <f>E67*F67</f>
        <v>32.960000000000008</v>
      </c>
      <c r="H67" s="6">
        <f>J41-J42</f>
        <v>2.21</v>
      </c>
      <c r="I67" s="6">
        <f>(I41+I42)/2</f>
        <v>16</v>
      </c>
      <c r="J67" s="6">
        <f t="shared" ref="J67:J76" si="74">H67*I67</f>
        <v>35.36</v>
      </c>
      <c r="K67" s="6">
        <f>M41-M42</f>
        <v>2.21</v>
      </c>
      <c r="L67" s="6">
        <f>(L41+L42)/2</f>
        <v>16</v>
      </c>
      <c r="M67" s="6">
        <f>K67*L67</f>
        <v>35.36</v>
      </c>
      <c r="N67" s="6">
        <f>P41-P42</f>
        <v>2.2000000000000002</v>
      </c>
      <c r="O67" s="6">
        <f>(O41+O42)/2</f>
        <v>16</v>
      </c>
      <c r="P67" s="6">
        <f>N67*O67</f>
        <v>35.200000000000003</v>
      </c>
      <c r="R67" s="32"/>
      <c r="S67" s="34">
        <v>19</v>
      </c>
      <c r="T67" s="33">
        <v>7430541.8184085144</v>
      </c>
      <c r="U67" s="36"/>
      <c r="V67" s="36"/>
      <c r="W67" s="32"/>
      <c r="X67" s="32"/>
      <c r="Y67" s="32"/>
      <c r="Z67" s="32"/>
      <c r="AA67" s="32"/>
      <c r="AB67" s="32"/>
    </row>
    <row r="68" spans="2:28" x14ac:dyDescent="0.25">
      <c r="B68" s="6">
        <f t="shared" ref="B68:B76" si="75">D42-D43</f>
        <v>0.98999999999999977</v>
      </c>
      <c r="C68" s="6">
        <f t="shared" ref="C68:C76" si="76">(C42+C43)/2</f>
        <v>15.2</v>
      </c>
      <c r="D68" s="6">
        <f t="shared" ref="D68:D76" si="77">B68*C68</f>
        <v>15.047999999999996</v>
      </c>
      <c r="E68" s="6">
        <f t="shared" ref="E68:E76" si="78">G42-G43</f>
        <v>2.0499999999999998</v>
      </c>
      <c r="F68" s="6">
        <f t="shared" ref="F68:F76" si="79">(F42+F43)/2</f>
        <v>15.95</v>
      </c>
      <c r="G68" s="6">
        <f t="shared" ref="G68:G76" si="80">E68*F68</f>
        <v>32.697499999999998</v>
      </c>
      <c r="H68" s="6">
        <f t="shared" ref="H68:H76" si="81">J42-J43</f>
        <v>2.2100000000000004</v>
      </c>
      <c r="I68" s="6">
        <f t="shared" ref="I68:I76" si="82">(I42+I43)/2</f>
        <v>16</v>
      </c>
      <c r="J68" s="6">
        <f t="shared" si="74"/>
        <v>35.360000000000007</v>
      </c>
      <c r="K68" s="6">
        <f t="shared" ref="K68:K76" si="83">M42-M43</f>
        <v>2.2000000000000006</v>
      </c>
      <c r="L68" s="6">
        <f t="shared" ref="L68:L76" si="84">(L42+L43)/2</f>
        <v>16</v>
      </c>
      <c r="M68" s="6">
        <f t="shared" ref="M68:M76" si="85">K68*L68</f>
        <v>35.20000000000001</v>
      </c>
      <c r="N68" s="6">
        <f t="shared" ref="N68:N76" si="86">P42-P43</f>
        <v>2.2100000000000004</v>
      </c>
      <c r="O68" s="6">
        <f t="shared" ref="O68:O76" si="87">(O42+O43)/2</f>
        <v>16</v>
      </c>
      <c r="P68" s="6">
        <f t="shared" ref="P68:P76" si="88">N68*O68</f>
        <v>35.360000000000007</v>
      </c>
      <c r="R68" s="35"/>
      <c r="S68" s="34">
        <v>20</v>
      </c>
      <c r="T68" s="33">
        <v>7256422.6991023272</v>
      </c>
      <c r="U68" s="36"/>
      <c r="V68" s="36"/>
      <c r="W68" s="35"/>
      <c r="X68" s="35"/>
      <c r="Y68" s="35"/>
      <c r="Z68" s="35"/>
      <c r="AA68" s="35"/>
      <c r="AB68" s="35"/>
    </row>
    <row r="69" spans="2:28" x14ac:dyDescent="0.25">
      <c r="B69" s="6">
        <f t="shared" si="75"/>
        <v>-2.0000000000000018E-2</v>
      </c>
      <c r="C69" s="6">
        <f t="shared" si="76"/>
        <v>13.6</v>
      </c>
      <c r="D69" s="6">
        <f t="shared" si="77"/>
        <v>-0.27200000000000024</v>
      </c>
      <c r="E69" s="6">
        <f t="shared" si="78"/>
        <v>1.22</v>
      </c>
      <c r="F69" s="6">
        <f t="shared" si="79"/>
        <v>15.15</v>
      </c>
      <c r="G69" s="6">
        <f t="shared" si="80"/>
        <v>18.483000000000001</v>
      </c>
      <c r="H69" s="6">
        <f t="shared" si="81"/>
        <v>2.0110000000000001</v>
      </c>
      <c r="I69" s="6">
        <f t="shared" si="82"/>
        <v>15.7</v>
      </c>
      <c r="J69" s="6">
        <f t="shared" si="74"/>
        <v>31.572700000000001</v>
      </c>
      <c r="K69" s="6">
        <f t="shared" si="83"/>
        <v>1.9949999999999999</v>
      </c>
      <c r="L69" s="6">
        <f t="shared" si="84"/>
        <v>15.7</v>
      </c>
      <c r="M69" s="6">
        <f t="shared" si="85"/>
        <v>31.321499999999997</v>
      </c>
      <c r="N69" s="6">
        <f t="shared" si="86"/>
        <v>1.9679999999999997</v>
      </c>
      <c r="O69" s="6">
        <f t="shared" si="87"/>
        <v>15.65</v>
      </c>
      <c r="P69" s="6">
        <f t="shared" si="88"/>
        <v>30.799199999999995</v>
      </c>
      <c r="R69" s="35"/>
      <c r="S69" s="35"/>
      <c r="T69" s="36"/>
      <c r="U69" s="36"/>
      <c r="V69" s="36"/>
      <c r="W69" s="35"/>
      <c r="X69" s="35"/>
      <c r="Y69" s="35"/>
      <c r="Z69" s="35"/>
      <c r="AA69" s="35"/>
      <c r="AB69" s="35"/>
    </row>
    <row r="70" spans="2:28" x14ac:dyDescent="0.25">
      <c r="B70" s="6">
        <f t="shared" si="75"/>
        <v>0</v>
      </c>
      <c r="C70" s="6">
        <f t="shared" si="76"/>
        <v>11.8</v>
      </c>
      <c r="D70" s="6">
        <f t="shared" si="77"/>
        <v>0</v>
      </c>
      <c r="E70" s="6">
        <f t="shared" si="78"/>
        <v>1.0000000000000009E-2</v>
      </c>
      <c r="F70" s="6">
        <f t="shared" si="79"/>
        <v>13.4</v>
      </c>
      <c r="G70" s="6">
        <f t="shared" si="80"/>
        <v>0.13400000000000012</v>
      </c>
      <c r="H70" s="6">
        <f t="shared" si="81"/>
        <v>0.25900000000000001</v>
      </c>
      <c r="I70" s="6">
        <f t="shared" si="82"/>
        <v>14.350000000000001</v>
      </c>
      <c r="J70" s="6">
        <f t="shared" si="74"/>
        <v>3.7166500000000005</v>
      </c>
      <c r="K70" s="6">
        <f t="shared" si="83"/>
        <v>0.28499999999999998</v>
      </c>
      <c r="L70" s="6">
        <f t="shared" si="84"/>
        <v>14.3</v>
      </c>
      <c r="M70" s="6">
        <f t="shared" si="85"/>
        <v>4.0754999999999999</v>
      </c>
      <c r="N70" s="6">
        <f t="shared" si="86"/>
        <v>0.312</v>
      </c>
      <c r="O70" s="6">
        <f t="shared" si="87"/>
        <v>14.25</v>
      </c>
      <c r="P70" s="6">
        <f t="shared" si="88"/>
        <v>4.4459999999999997</v>
      </c>
      <c r="R70" s="32"/>
      <c r="S70" s="32"/>
      <c r="T70" s="36"/>
      <c r="U70" s="36"/>
      <c r="V70" s="36"/>
      <c r="W70" s="32"/>
      <c r="X70" s="32"/>
      <c r="Y70" s="32"/>
      <c r="Z70" s="32"/>
      <c r="AA70" s="32"/>
      <c r="AB70" s="32"/>
    </row>
    <row r="71" spans="2:28" x14ac:dyDescent="0.25">
      <c r="B71" s="6">
        <f t="shared" si="75"/>
        <v>0</v>
      </c>
      <c r="C71" s="6">
        <f t="shared" si="76"/>
        <v>9.98</v>
      </c>
      <c r="D71" s="6">
        <f t="shared" si="77"/>
        <v>0</v>
      </c>
      <c r="E71" s="6">
        <f t="shared" si="78"/>
        <v>0</v>
      </c>
      <c r="F71" s="6">
        <f t="shared" si="79"/>
        <v>11.350000000000001</v>
      </c>
      <c r="G71" s="6">
        <f t="shared" si="80"/>
        <v>0</v>
      </c>
      <c r="H71" s="6">
        <f t="shared" si="81"/>
        <v>0</v>
      </c>
      <c r="I71" s="6">
        <f t="shared" si="82"/>
        <v>12.15</v>
      </c>
      <c r="J71" s="6">
        <f t="shared" si="74"/>
        <v>0</v>
      </c>
      <c r="K71" s="6">
        <f t="shared" si="83"/>
        <v>0</v>
      </c>
      <c r="L71" s="6">
        <f t="shared" si="84"/>
        <v>12.1</v>
      </c>
      <c r="M71" s="6">
        <f t="shared" si="85"/>
        <v>0</v>
      </c>
      <c r="N71" s="6">
        <f t="shared" si="86"/>
        <v>0</v>
      </c>
      <c r="O71" s="6">
        <f t="shared" si="87"/>
        <v>12.1</v>
      </c>
      <c r="P71" s="6">
        <f t="shared" si="88"/>
        <v>0</v>
      </c>
      <c r="R71" s="35"/>
      <c r="S71" s="35"/>
      <c r="T71" s="36"/>
      <c r="U71" s="36"/>
      <c r="V71" s="36"/>
      <c r="W71" s="35"/>
      <c r="X71" s="35"/>
      <c r="Y71" s="35"/>
      <c r="Z71" s="35"/>
      <c r="AA71" s="35"/>
      <c r="AB71" s="35"/>
    </row>
    <row r="72" spans="2:28" x14ac:dyDescent="0.25">
      <c r="B72" s="6">
        <f t="shared" si="75"/>
        <v>0</v>
      </c>
      <c r="C72" s="6">
        <f t="shared" si="76"/>
        <v>8.1550000000000011</v>
      </c>
      <c r="D72" s="6">
        <f t="shared" si="77"/>
        <v>0</v>
      </c>
      <c r="E72" s="6">
        <f t="shared" si="78"/>
        <v>0</v>
      </c>
      <c r="F72" s="6">
        <f t="shared" si="79"/>
        <v>9.27</v>
      </c>
      <c r="G72" s="6">
        <f t="shared" si="80"/>
        <v>0</v>
      </c>
      <c r="H72" s="6">
        <f t="shared" si="81"/>
        <v>0</v>
      </c>
      <c r="I72" s="6">
        <f t="shared" si="82"/>
        <v>9.9149999999999991</v>
      </c>
      <c r="J72" s="6">
        <f t="shared" si="74"/>
        <v>0</v>
      </c>
      <c r="K72" s="6">
        <f t="shared" si="83"/>
        <v>0</v>
      </c>
      <c r="L72" s="6">
        <f t="shared" si="84"/>
        <v>9.91</v>
      </c>
      <c r="M72" s="6">
        <f t="shared" si="85"/>
        <v>0</v>
      </c>
      <c r="N72" s="6">
        <f t="shared" si="86"/>
        <v>0</v>
      </c>
      <c r="O72" s="6">
        <f t="shared" si="87"/>
        <v>9.9</v>
      </c>
      <c r="P72" s="6">
        <f t="shared" si="88"/>
        <v>0</v>
      </c>
      <c r="R72" s="35"/>
      <c r="S72" s="35"/>
      <c r="T72" s="36"/>
      <c r="U72" s="36"/>
      <c r="V72" s="36"/>
      <c r="W72" s="35"/>
      <c r="X72" s="35"/>
      <c r="Y72" s="35"/>
      <c r="Z72" s="35"/>
      <c r="AA72" s="35"/>
      <c r="AB72" s="35"/>
    </row>
    <row r="73" spans="2:28" x14ac:dyDescent="0.25">
      <c r="B73" s="6">
        <f t="shared" si="75"/>
        <v>0</v>
      </c>
      <c r="C73" s="6">
        <f t="shared" si="76"/>
        <v>6.3450000000000006</v>
      </c>
      <c r="D73" s="6">
        <f t="shared" si="77"/>
        <v>0</v>
      </c>
      <c r="E73" s="6">
        <f t="shared" si="78"/>
        <v>0</v>
      </c>
      <c r="F73" s="6">
        <f t="shared" si="79"/>
        <v>7.21</v>
      </c>
      <c r="G73" s="6">
        <f t="shared" si="80"/>
        <v>0</v>
      </c>
      <c r="H73" s="6">
        <f t="shared" si="81"/>
        <v>0</v>
      </c>
      <c r="I73" s="6">
        <f t="shared" si="82"/>
        <v>7.73</v>
      </c>
      <c r="J73" s="6">
        <f t="shared" si="74"/>
        <v>0</v>
      </c>
      <c r="K73" s="6">
        <f t="shared" si="83"/>
        <v>0</v>
      </c>
      <c r="L73" s="6">
        <f t="shared" si="84"/>
        <v>7.7149999999999999</v>
      </c>
      <c r="M73" s="6">
        <f t="shared" si="85"/>
        <v>0</v>
      </c>
      <c r="N73" s="6">
        <f t="shared" si="86"/>
        <v>0</v>
      </c>
      <c r="O73" s="6">
        <f t="shared" si="87"/>
        <v>7.7</v>
      </c>
      <c r="P73" s="6">
        <f t="shared" si="88"/>
        <v>0</v>
      </c>
      <c r="R73" s="32"/>
      <c r="S73" s="32"/>
      <c r="T73" s="36"/>
      <c r="U73" s="36"/>
      <c r="V73" s="36"/>
      <c r="W73" s="32"/>
      <c r="X73" s="32"/>
      <c r="Y73" s="32"/>
      <c r="Z73" s="32"/>
      <c r="AA73" s="32"/>
      <c r="AB73" s="32"/>
    </row>
    <row r="74" spans="2:28" x14ac:dyDescent="0.25">
      <c r="B74" s="6">
        <f t="shared" si="75"/>
        <v>0</v>
      </c>
      <c r="C74" s="6">
        <f t="shared" si="76"/>
        <v>4.53</v>
      </c>
      <c r="D74" s="6">
        <f t="shared" si="77"/>
        <v>0</v>
      </c>
      <c r="E74" s="6">
        <f t="shared" si="78"/>
        <v>0</v>
      </c>
      <c r="F74" s="6">
        <f t="shared" si="79"/>
        <v>5.15</v>
      </c>
      <c r="G74" s="6">
        <f t="shared" si="80"/>
        <v>0</v>
      </c>
      <c r="H74" s="6">
        <f t="shared" si="81"/>
        <v>0</v>
      </c>
      <c r="I74" s="6">
        <f t="shared" si="82"/>
        <v>5.5250000000000004</v>
      </c>
      <c r="J74" s="6">
        <f t="shared" si="74"/>
        <v>0</v>
      </c>
      <c r="K74" s="6">
        <f t="shared" si="83"/>
        <v>0</v>
      </c>
      <c r="L74" s="6">
        <f t="shared" si="84"/>
        <v>5.51</v>
      </c>
      <c r="M74" s="6">
        <f t="shared" si="85"/>
        <v>0</v>
      </c>
      <c r="N74" s="6">
        <f t="shared" si="86"/>
        <v>0</v>
      </c>
      <c r="O74" s="6">
        <f t="shared" si="87"/>
        <v>5.5</v>
      </c>
      <c r="P74" s="6">
        <f t="shared" si="88"/>
        <v>0</v>
      </c>
      <c r="R74" s="35"/>
      <c r="S74" s="35"/>
      <c r="T74" s="36"/>
      <c r="U74" s="36"/>
      <c r="V74" s="36"/>
      <c r="W74" s="35"/>
      <c r="X74" s="35"/>
      <c r="Y74" s="35"/>
      <c r="Z74" s="35"/>
      <c r="AA74" s="35"/>
      <c r="AB74" s="35"/>
    </row>
    <row r="75" spans="2:28" x14ac:dyDescent="0.25">
      <c r="B75" s="6">
        <f t="shared" si="75"/>
        <v>0</v>
      </c>
      <c r="C75" s="6">
        <f t="shared" si="76"/>
        <v>2.7149999999999999</v>
      </c>
      <c r="D75" s="6">
        <f t="shared" si="77"/>
        <v>0</v>
      </c>
      <c r="E75" s="6">
        <f t="shared" si="78"/>
        <v>0</v>
      </c>
      <c r="F75" s="6">
        <f t="shared" si="79"/>
        <v>3.09</v>
      </c>
      <c r="G75" s="6">
        <f t="shared" si="80"/>
        <v>0</v>
      </c>
      <c r="H75" s="6">
        <f t="shared" si="81"/>
        <v>0</v>
      </c>
      <c r="I75" s="6">
        <f t="shared" si="82"/>
        <v>3.3149999999999999</v>
      </c>
      <c r="J75" s="6">
        <f t="shared" si="74"/>
        <v>0</v>
      </c>
      <c r="K75" s="6">
        <f t="shared" si="83"/>
        <v>0</v>
      </c>
      <c r="L75" s="6">
        <f t="shared" si="84"/>
        <v>3.3050000000000002</v>
      </c>
      <c r="M75" s="6">
        <f t="shared" si="85"/>
        <v>0</v>
      </c>
      <c r="N75" s="6">
        <f t="shared" si="86"/>
        <v>0</v>
      </c>
      <c r="O75" s="6">
        <f t="shared" si="87"/>
        <v>3.3000000000000003</v>
      </c>
      <c r="P75" s="6">
        <f t="shared" si="88"/>
        <v>0</v>
      </c>
      <c r="R75" s="35"/>
      <c r="S75" s="35"/>
      <c r="T75" s="36"/>
      <c r="U75" s="36"/>
      <c r="V75" s="36"/>
      <c r="W75" s="35"/>
      <c r="X75" s="35"/>
      <c r="Y75" s="35"/>
      <c r="Z75" s="35"/>
      <c r="AA75" s="35"/>
      <c r="AB75" s="35"/>
    </row>
    <row r="76" spans="2:28" x14ac:dyDescent="0.25">
      <c r="B76" s="6">
        <f t="shared" si="75"/>
        <v>0</v>
      </c>
      <c r="C76" s="6">
        <f t="shared" si="76"/>
        <v>0.90499999994400004</v>
      </c>
      <c r="D76" s="6">
        <f t="shared" si="77"/>
        <v>0</v>
      </c>
      <c r="E76" s="6">
        <f t="shared" si="78"/>
        <v>0</v>
      </c>
      <c r="F76" s="6">
        <f t="shared" si="79"/>
        <v>1.0299999999439999</v>
      </c>
      <c r="G76" s="6">
        <f t="shared" si="80"/>
        <v>0</v>
      </c>
      <c r="H76" s="6">
        <f t="shared" si="81"/>
        <v>0</v>
      </c>
      <c r="I76" s="6">
        <f t="shared" si="82"/>
        <v>1.1049999999439999</v>
      </c>
      <c r="J76" s="6">
        <f t="shared" si="74"/>
        <v>0</v>
      </c>
      <c r="K76" s="6">
        <f t="shared" si="83"/>
        <v>0</v>
      </c>
      <c r="L76" s="6">
        <f t="shared" si="84"/>
        <v>1.099999999944</v>
      </c>
      <c r="M76" s="6">
        <f t="shared" si="85"/>
        <v>0</v>
      </c>
      <c r="N76" s="6">
        <f t="shared" si="86"/>
        <v>0</v>
      </c>
      <c r="O76" s="6">
        <f t="shared" si="87"/>
        <v>1.099999999944</v>
      </c>
      <c r="P76" s="6">
        <f t="shared" si="88"/>
        <v>0</v>
      </c>
      <c r="R76" s="32"/>
      <c r="S76" s="32"/>
      <c r="T76" s="36"/>
      <c r="U76" s="36"/>
      <c r="V76" s="36"/>
      <c r="W76" s="32"/>
      <c r="X76" s="32"/>
      <c r="Y76" s="32"/>
      <c r="Z76" s="32"/>
      <c r="AA76" s="32"/>
      <c r="AB76" s="32"/>
    </row>
    <row r="77" spans="2:28" x14ac:dyDescent="0.25">
      <c r="B77" s="6"/>
      <c r="D77" s="6">
        <f>SUM(D67:D76)</f>
        <v>43.486000000000011</v>
      </c>
      <c r="G77" s="6">
        <f>SUM(G67:G76)</f>
        <v>84.274500000000003</v>
      </c>
      <c r="J77" s="6">
        <f>SUM(J67:J76)</f>
        <v>106.00935</v>
      </c>
      <c r="M77" s="6">
        <f>SUM(M67:M76)</f>
        <v>105.95700000000001</v>
      </c>
      <c r="P77" s="6">
        <f>SUM(P67:P76)</f>
        <v>105.8052</v>
      </c>
      <c r="R77" s="35"/>
      <c r="S77" s="35"/>
      <c r="T77" s="36"/>
      <c r="U77" s="36"/>
      <c r="V77" s="36"/>
      <c r="W77" s="35"/>
      <c r="X77" s="35"/>
      <c r="Y77" s="35"/>
      <c r="Z77" s="35"/>
      <c r="AA77" s="35"/>
      <c r="AB77" s="35"/>
    </row>
    <row r="78" spans="2:28" x14ac:dyDescent="0.25">
      <c r="R78" s="35"/>
      <c r="S78" s="35"/>
      <c r="T78" s="36"/>
      <c r="U78" s="36"/>
      <c r="V78" s="36"/>
      <c r="W78" s="35"/>
      <c r="X78" s="35"/>
      <c r="Y78" s="35"/>
      <c r="Z78" s="35"/>
      <c r="AA78" s="35"/>
      <c r="AB78" s="35"/>
    </row>
    <row r="79" spans="2:28" x14ac:dyDescent="0.25">
      <c r="B79" s="1" t="s">
        <v>111</v>
      </c>
      <c r="C79" s="1" t="s">
        <v>112</v>
      </c>
      <c r="D79" s="1" t="s">
        <v>113</v>
      </c>
      <c r="E79" s="1" t="s">
        <v>111</v>
      </c>
      <c r="F79" s="1" t="s">
        <v>112</v>
      </c>
      <c r="G79" s="1" t="s">
        <v>113</v>
      </c>
      <c r="H79" s="1" t="s">
        <v>111</v>
      </c>
      <c r="I79" s="1" t="s">
        <v>112</v>
      </c>
      <c r="J79" s="1" t="s">
        <v>113</v>
      </c>
      <c r="K79" s="1" t="s">
        <v>111</v>
      </c>
      <c r="L79" s="1" t="s">
        <v>112</v>
      </c>
      <c r="M79" s="1" t="s">
        <v>113</v>
      </c>
      <c r="N79" s="1" t="s">
        <v>111</v>
      </c>
      <c r="O79" s="1" t="s">
        <v>112</v>
      </c>
      <c r="P79" s="1" t="s">
        <v>113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 spans="2:28" x14ac:dyDescent="0.25">
      <c r="B80" s="6">
        <f>D54-D55</f>
        <v>2.2000000000000002</v>
      </c>
      <c r="C80" s="6">
        <f>(C54+C55)/2</f>
        <v>16</v>
      </c>
      <c r="D80" s="6">
        <f>B80*C80</f>
        <v>35.200000000000003</v>
      </c>
      <c r="E80" s="6">
        <f>G54-G55</f>
        <v>2.21</v>
      </c>
      <c r="F80" s="6">
        <f>(F54+F55)/2</f>
        <v>16</v>
      </c>
      <c r="G80" s="6">
        <f>E80*F80</f>
        <v>35.36</v>
      </c>
      <c r="H80" s="6">
        <f>J54-J55</f>
        <v>2.2200000000000006</v>
      </c>
      <c r="I80" s="6">
        <f>(I54+I55)/2</f>
        <v>16</v>
      </c>
      <c r="J80" s="6">
        <f t="shared" ref="J80:J89" si="89">H80*I80</f>
        <v>35.52000000000001</v>
      </c>
      <c r="K80" s="6">
        <f>M54-M55</f>
        <v>2</v>
      </c>
      <c r="L80" s="6">
        <f>(L54+L55)/2</f>
        <v>14.95</v>
      </c>
      <c r="M80" s="6">
        <f>K80*L80</f>
        <v>29.9</v>
      </c>
      <c r="N80" s="6">
        <f>P54-P55</f>
        <v>1.5</v>
      </c>
      <c r="O80" s="6">
        <f>(O54+O55)/2</f>
        <v>10.8</v>
      </c>
      <c r="P80" s="6">
        <f>N80*O80</f>
        <v>16.200000000000003</v>
      </c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 spans="2:28" x14ac:dyDescent="0.25">
      <c r="B81" s="6">
        <f t="shared" ref="B81:B89" si="90">D55-D56</f>
        <v>2.2000000000000002</v>
      </c>
      <c r="C81" s="6">
        <f t="shared" ref="C81:C89" si="91">(C55+C56)/2</f>
        <v>16</v>
      </c>
      <c r="D81" s="6">
        <f t="shared" ref="D81:D89" si="92">B81*C81</f>
        <v>35.200000000000003</v>
      </c>
      <c r="E81" s="6">
        <f t="shared" ref="E81:E89" si="93">G55-G56</f>
        <v>2.2100000000000004</v>
      </c>
      <c r="F81" s="6">
        <f t="shared" ref="F81:F89" si="94">(F55+F56)/2</f>
        <v>16</v>
      </c>
      <c r="G81" s="6">
        <f t="shared" ref="G81:G89" si="95">E81*F81</f>
        <v>35.360000000000007</v>
      </c>
      <c r="H81" s="6">
        <f t="shared" ref="H81:H89" si="96">J55-J56</f>
        <v>2.2199999999999998</v>
      </c>
      <c r="I81" s="6">
        <f t="shared" ref="I81:I89" si="97">(I55+I56)/2</f>
        <v>16</v>
      </c>
      <c r="J81" s="6">
        <f t="shared" si="89"/>
        <v>35.519999999999996</v>
      </c>
      <c r="K81" s="6">
        <f t="shared" ref="K81:K89" si="98">M55-M56</f>
        <v>1.9700000000000002</v>
      </c>
      <c r="L81" s="6">
        <f t="shared" ref="L81:L89" si="99">(L55+L56)/2</f>
        <v>14.65</v>
      </c>
      <c r="M81" s="6">
        <f t="shared" ref="M81:M89" si="100">K81*L81</f>
        <v>28.860500000000002</v>
      </c>
      <c r="N81" s="6">
        <f t="shared" ref="N81:N89" si="101">P55-P56</f>
        <v>1.4900000000000002</v>
      </c>
      <c r="O81" s="6">
        <f t="shared" ref="O81:O89" si="102">(O55+O56)/2</f>
        <v>10.35</v>
      </c>
      <c r="P81" s="6">
        <f t="shared" ref="P81:P89" si="103">N81*O81</f>
        <v>15.421500000000002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 spans="2:28" x14ac:dyDescent="0.25">
      <c r="B82" s="6">
        <f t="shared" si="90"/>
        <v>1.98</v>
      </c>
      <c r="C82" s="6">
        <f t="shared" si="91"/>
        <v>15.65</v>
      </c>
      <c r="D82" s="6">
        <f t="shared" si="92"/>
        <v>30.987000000000002</v>
      </c>
      <c r="E82" s="6">
        <f t="shared" si="93"/>
        <v>1.982</v>
      </c>
      <c r="F82" s="6">
        <f t="shared" si="94"/>
        <v>15.7</v>
      </c>
      <c r="G82" s="6">
        <f t="shared" si="95"/>
        <v>31.1174</v>
      </c>
      <c r="H82" s="6">
        <f t="shared" si="96"/>
        <v>1.9849999999999999</v>
      </c>
      <c r="I82" s="6">
        <f t="shared" si="97"/>
        <v>15.75</v>
      </c>
      <c r="J82" s="6">
        <f t="shared" si="89"/>
        <v>31.263749999999998</v>
      </c>
      <c r="K82" s="6">
        <f t="shared" si="98"/>
        <v>1.87</v>
      </c>
      <c r="L82" s="6">
        <f t="shared" si="99"/>
        <v>14.1</v>
      </c>
      <c r="M82" s="6">
        <f t="shared" si="100"/>
        <v>26.367000000000001</v>
      </c>
      <c r="N82" s="6">
        <f t="shared" si="101"/>
        <v>1.4900000000000002</v>
      </c>
      <c r="O82" s="6">
        <f t="shared" si="102"/>
        <v>9.89</v>
      </c>
      <c r="P82" s="6">
        <f t="shared" si="103"/>
        <v>14.736100000000002</v>
      </c>
    </row>
    <row r="83" spans="2:28" x14ac:dyDescent="0.25">
      <c r="B83" s="6">
        <f t="shared" si="90"/>
        <v>0.31</v>
      </c>
      <c r="C83" s="6">
        <f t="shared" si="91"/>
        <v>14.25</v>
      </c>
      <c r="D83" s="6">
        <f t="shared" si="92"/>
        <v>4.4174999999999995</v>
      </c>
      <c r="E83" s="6">
        <f t="shared" si="93"/>
        <v>0.28799999999999998</v>
      </c>
      <c r="F83" s="6">
        <f t="shared" si="94"/>
        <v>14.3</v>
      </c>
      <c r="G83" s="6">
        <f t="shared" si="95"/>
        <v>4.1184000000000003</v>
      </c>
      <c r="H83" s="6">
        <f t="shared" si="96"/>
        <v>0.26500000000000001</v>
      </c>
      <c r="I83" s="6">
        <f t="shared" si="97"/>
        <v>14.4</v>
      </c>
      <c r="J83" s="6">
        <f t="shared" si="89"/>
        <v>3.8160000000000003</v>
      </c>
      <c r="K83" s="6">
        <f t="shared" si="98"/>
        <v>0.85</v>
      </c>
      <c r="L83" s="6">
        <f t="shared" si="99"/>
        <v>12.899999999999999</v>
      </c>
      <c r="M83" s="6">
        <f t="shared" si="100"/>
        <v>10.964999999999998</v>
      </c>
      <c r="N83" s="6">
        <f t="shared" si="101"/>
        <v>1.4529999999999998</v>
      </c>
      <c r="O83" s="6">
        <f t="shared" si="102"/>
        <v>9.4050000000000011</v>
      </c>
      <c r="P83" s="6">
        <f t="shared" si="103"/>
        <v>13.665465000000001</v>
      </c>
    </row>
    <row r="84" spans="2:28" x14ac:dyDescent="0.25">
      <c r="B84" s="6">
        <f t="shared" si="90"/>
        <v>0</v>
      </c>
      <c r="C84" s="6">
        <f t="shared" si="91"/>
        <v>12.1</v>
      </c>
      <c r="D84" s="6">
        <f t="shared" si="92"/>
        <v>0</v>
      </c>
      <c r="E84" s="6">
        <f t="shared" si="93"/>
        <v>0</v>
      </c>
      <c r="F84" s="6">
        <f t="shared" si="94"/>
        <v>12.1</v>
      </c>
      <c r="G84" s="6">
        <f t="shared" si="95"/>
        <v>0</v>
      </c>
      <c r="H84" s="6">
        <f t="shared" si="96"/>
        <v>0</v>
      </c>
      <c r="I84" s="6">
        <f t="shared" si="97"/>
        <v>12.2</v>
      </c>
      <c r="J84" s="6">
        <f t="shared" si="89"/>
        <v>0</v>
      </c>
      <c r="K84" s="6">
        <f t="shared" si="98"/>
        <v>0</v>
      </c>
      <c r="L84" s="6">
        <f t="shared" si="99"/>
        <v>11.05</v>
      </c>
      <c r="M84" s="6">
        <f t="shared" si="100"/>
        <v>0</v>
      </c>
      <c r="N84" s="6">
        <f t="shared" si="101"/>
        <v>0.68090000000000006</v>
      </c>
      <c r="O84" s="6">
        <f t="shared" si="102"/>
        <v>8.4550000000000001</v>
      </c>
      <c r="P84" s="6">
        <f t="shared" si="103"/>
        <v>5.7570095000000006</v>
      </c>
    </row>
    <row r="85" spans="2:28" x14ac:dyDescent="0.25">
      <c r="B85" s="6">
        <f t="shared" si="90"/>
        <v>0</v>
      </c>
      <c r="C85" s="6">
        <f t="shared" si="91"/>
        <v>9.8949999999999996</v>
      </c>
      <c r="D85" s="6">
        <f t="shared" si="92"/>
        <v>0</v>
      </c>
      <c r="E85" s="6">
        <f t="shared" si="93"/>
        <v>0</v>
      </c>
      <c r="F85" s="6">
        <f t="shared" si="94"/>
        <v>9.9149999999999991</v>
      </c>
      <c r="G85" s="6">
        <f t="shared" si="95"/>
        <v>0</v>
      </c>
      <c r="H85" s="6">
        <f t="shared" si="96"/>
        <v>0</v>
      </c>
      <c r="I85" s="6">
        <f t="shared" si="97"/>
        <v>9.9849999999999994</v>
      </c>
      <c r="J85" s="6">
        <f t="shared" si="89"/>
        <v>0</v>
      </c>
      <c r="K85" s="6">
        <f t="shared" si="98"/>
        <v>0</v>
      </c>
      <c r="L85" s="6">
        <f t="shared" si="99"/>
        <v>9.02</v>
      </c>
      <c r="M85" s="6">
        <f t="shared" si="100"/>
        <v>0</v>
      </c>
      <c r="N85" s="6">
        <f t="shared" si="101"/>
        <v>7.6100000000000001E-2</v>
      </c>
      <c r="O85" s="6">
        <f t="shared" si="102"/>
        <v>7.0050000000000008</v>
      </c>
      <c r="P85" s="6">
        <f t="shared" si="103"/>
        <v>0.53308050000000007</v>
      </c>
    </row>
    <row r="86" spans="2:28" x14ac:dyDescent="0.25">
      <c r="B86" s="6">
        <f t="shared" si="90"/>
        <v>0</v>
      </c>
      <c r="C86" s="6">
        <f t="shared" si="91"/>
        <v>7.6899999999999995</v>
      </c>
      <c r="D86" s="6">
        <f t="shared" si="92"/>
        <v>0</v>
      </c>
      <c r="E86" s="6">
        <f t="shared" si="93"/>
        <v>0</v>
      </c>
      <c r="F86" s="6">
        <f t="shared" si="94"/>
        <v>7.7249999999999996</v>
      </c>
      <c r="G86" s="6">
        <f t="shared" si="95"/>
        <v>0</v>
      </c>
      <c r="H86" s="6">
        <f t="shared" si="96"/>
        <v>0</v>
      </c>
      <c r="I86" s="6">
        <f t="shared" si="97"/>
        <v>7.76</v>
      </c>
      <c r="J86" s="6">
        <f t="shared" si="89"/>
        <v>0</v>
      </c>
      <c r="K86" s="6">
        <f t="shared" si="98"/>
        <v>0</v>
      </c>
      <c r="L86" s="6">
        <f t="shared" si="99"/>
        <v>7.0350000000000001</v>
      </c>
      <c r="M86" s="6">
        <f t="shared" si="100"/>
        <v>0</v>
      </c>
      <c r="N86" s="6">
        <f t="shared" si="101"/>
        <v>0</v>
      </c>
      <c r="O86" s="6">
        <f t="shared" si="102"/>
        <v>5.45</v>
      </c>
      <c r="P86" s="6">
        <f t="shared" si="103"/>
        <v>0</v>
      </c>
    </row>
    <row r="87" spans="2:28" x14ac:dyDescent="0.25">
      <c r="B87" s="6">
        <f t="shared" si="90"/>
        <v>0</v>
      </c>
      <c r="C87" s="6">
        <f t="shared" si="91"/>
        <v>5.4950000000000001</v>
      </c>
      <c r="D87" s="6">
        <f t="shared" si="92"/>
        <v>0</v>
      </c>
      <c r="E87" s="6">
        <f t="shared" si="93"/>
        <v>0</v>
      </c>
      <c r="F87" s="6">
        <f t="shared" si="94"/>
        <v>5.52</v>
      </c>
      <c r="G87" s="6">
        <f t="shared" si="95"/>
        <v>0</v>
      </c>
      <c r="H87" s="6">
        <f t="shared" si="96"/>
        <v>0</v>
      </c>
      <c r="I87" s="6">
        <f t="shared" si="97"/>
        <v>5.54</v>
      </c>
      <c r="J87" s="6">
        <f t="shared" si="89"/>
        <v>0</v>
      </c>
      <c r="K87" s="6">
        <f t="shared" si="98"/>
        <v>0</v>
      </c>
      <c r="L87" s="6">
        <f t="shared" si="99"/>
        <v>5.0250000000000004</v>
      </c>
      <c r="M87" s="6">
        <f t="shared" si="100"/>
        <v>0</v>
      </c>
      <c r="N87" s="6">
        <f t="shared" si="101"/>
        <v>0</v>
      </c>
      <c r="O87" s="6">
        <f t="shared" si="102"/>
        <v>3.8899999999999997</v>
      </c>
      <c r="P87" s="6">
        <f t="shared" si="103"/>
        <v>0</v>
      </c>
    </row>
    <row r="88" spans="2:28" x14ac:dyDescent="0.25">
      <c r="B88" s="6">
        <f t="shared" si="90"/>
        <v>0</v>
      </c>
      <c r="C88" s="6">
        <f t="shared" si="91"/>
        <v>3.3000000000000003</v>
      </c>
      <c r="D88" s="6">
        <f t="shared" si="92"/>
        <v>0</v>
      </c>
      <c r="E88" s="6">
        <f t="shared" si="93"/>
        <v>0</v>
      </c>
      <c r="F88" s="6">
        <f t="shared" si="94"/>
        <v>3.3149999999999999</v>
      </c>
      <c r="G88" s="6">
        <f t="shared" si="95"/>
        <v>0</v>
      </c>
      <c r="H88" s="6">
        <f t="shared" si="96"/>
        <v>0</v>
      </c>
      <c r="I88" s="6">
        <f t="shared" si="97"/>
        <v>3.3250000000000002</v>
      </c>
      <c r="J88" s="6">
        <f t="shared" si="89"/>
        <v>0</v>
      </c>
      <c r="K88" s="6">
        <f t="shared" si="98"/>
        <v>0</v>
      </c>
      <c r="L88" s="6">
        <f t="shared" si="99"/>
        <v>3.0149999999999997</v>
      </c>
      <c r="M88" s="6">
        <f t="shared" si="100"/>
        <v>0</v>
      </c>
      <c r="N88" s="6">
        <f t="shared" si="101"/>
        <v>0</v>
      </c>
      <c r="O88" s="6">
        <f t="shared" si="102"/>
        <v>2.335</v>
      </c>
      <c r="P88" s="6">
        <f t="shared" si="103"/>
        <v>0</v>
      </c>
    </row>
    <row r="89" spans="2:28" x14ac:dyDescent="0.25">
      <c r="B89" s="6">
        <f t="shared" si="90"/>
        <v>0</v>
      </c>
      <c r="C89" s="6">
        <f t="shared" si="91"/>
        <v>1.099999999944</v>
      </c>
      <c r="D89" s="6">
        <f t="shared" si="92"/>
        <v>0</v>
      </c>
      <c r="E89" s="6">
        <f t="shared" si="93"/>
        <v>0</v>
      </c>
      <c r="F89" s="6">
        <f t="shared" si="94"/>
        <v>1.105</v>
      </c>
      <c r="G89" s="6">
        <f t="shared" si="95"/>
        <v>0</v>
      </c>
      <c r="H89" s="6">
        <f t="shared" si="96"/>
        <v>0</v>
      </c>
      <c r="I89" s="6">
        <f t="shared" si="97"/>
        <v>1.1100000000000001</v>
      </c>
      <c r="J89" s="6">
        <f t="shared" si="89"/>
        <v>0</v>
      </c>
      <c r="K89" s="6">
        <f t="shared" si="98"/>
        <v>0</v>
      </c>
      <c r="L89" s="6">
        <f t="shared" si="99"/>
        <v>1.0049999999999999</v>
      </c>
      <c r="M89" s="6">
        <f t="shared" si="100"/>
        <v>0</v>
      </c>
      <c r="N89" s="6">
        <f t="shared" si="101"/>
        <v>0</v>
      </c>
      <c r="O89" s="6">
        <f t="shared" si="102"/>
        <v>0.78</v>
      </c>
      <c r="P89" s="6">
        <f t="shared" si="103"/>
        <v>0</v>
      </c>
    </row>
    <row r="90" spans="2:28" x14ac:dyDescent="0.25">
      <c r="D90" s="6">
        <f>SUM(D80:D89)</f>
        <v>105.8045</v>
      </c>
      <c r="E90" s="2"/>
      <c r="G90" s="6">
        <f>SUM(G80:G89)</f>
        <v>105.9558</v>
      </c>
      <c r="H90" s="2"/>
      <c r="J90" s="6">
        <f>SUM(J80:J89)</f>
        <v>106.11975000000001</v>
      </c>
      <c r="K90" s="2"/>
      <c r="M90" s="6">
        <f>SUM(M80:M89)</f>
        <v>96.092500000000001</v>
      </c>
      <c r="N90" s="2"/>
      <c r="P90" s="6">
        <f>SUM(P80:P89)</f>
        <v>66.313154999999995</v>
      </c>
    </row>
  </sheetData>
  <mergeCells count="72">
    <mergeCell ref="J27:O27"/>
    <mergeCell ref="H39:J39"/>
    <mergeCell ref="H52:J52"/>
    <mergeCell ref="B35:D35"/>
    <mergeCell ref="J30:O30"/>
    <mergeCell ref="B52:D52"/>
    <mergeCell ref="E52:G52"/>
    <mergeCell ref="K52:M52"/>
    <mergeCell ref="N52:P52"/>
    <mergeCell ref="B39:D39"/>
    <mergeCell ref="E39:G39"/>
    <mergeCell ref="K39:M39"/>
    <mergeCell ref="N39:P39"/>
    <mergeCell ref="B37:P38"/>
    <mergeCell ref="J29:O29"/>
    <mergeCell ref="J28:O28"/>
    <mergeCell ref="B26:D26"/>
    <mergeCell ref="B17:G17"/>
    <mergeCell ref="B18:D18"/>
    <mergeCell ref="B19:D19"/>
    <mergeCell ref="B34:D34"/>
    <mergeCell ref="B27:D27"/>
    <mergeCell ref="B28:D28"/>
    <mergeCell ref="B29:D29"/>
    <mergeCell ref="B31:G31"/>
    <mergeCell ref="B32:D32"/>
    <mergeCell ref="B33:D33"/>
    <mergeCell ref="B20:D20"/>
    <mergeCell ref="B21:D21"/>
    <mergeCell ref="B22:D22"/>
    <mergeCell ref="B24:G24"/>
    <mergeCell ref="B25:D25"/>
    <mergeCell ref="J2:P2"/>
    <mergeCell ref="J3:M3"/>
    <mergeCell ref="B2:G2"/>
    <mergeCell ref="B12:G12"/>
    <mergeCell ref="B3:D3"/>
    <mergeCell ref="B4:D4"/>
    <mergeCell ref="B5:D5"/>
    <mergeCell ref="B6:D6"/>
    <mergeCell ref="B7:D7"/>
    <mergeCell ref="B8:D8"/>
    <mergeCell ref="J4:M4"/>
    <mergeCell ref="J5:M5"/>
    <mergeCell ref="J6:M6"/>
    <mergeCell ref="J8:P8"/>
    <mergeCell ref="J9:M9"/>
    <mergeCell ref="B9:D9"/>
    <mergeCell ref="B10:D10"/>
    <mergeCell ref="B13:D13"/>
    <mergeCell ref="B14:D14"/>
    <mergeCell ref="J14:M14"/>
    <mergeCell ref="J13:M13"/>
    <mergeCell ref="J10:M10"/>
    <mergeCell ref="J11:M11"/>
    <mergeCell ref="J12:M12"/>
    <mergeCell ref="AQ14:BK14"/>
    <mergeCell ref="AK14:AP14"/>
    <mergeCell ref="AD14:AJ14"/>
    <mergeCell ref="W15:X15"/>
    <mergeCell ref="J26:O26"/>
    <mergeCell ref="J17:Q18"/>
    <mergeCell ref="J19:O19"/>
    <mergeCell ref="J20:O20"/>
    <mergeCell ref="J21:O21"/>
    <mergeCell ref="J22:O22"/>
    <mergeCell ref="J25:O25"/>
    <mergeCell ref="J23:O23"/>
    <mergeCell ref="J24:O24"/>
    <mergeCell ref="Z15:AA15"/>
    <mergeCell ref="Z22:AA22"/>
    <mergeCell ref="T15:U15"/>
  </mergeCells>
  <dataValidations disablePrompts="1" count="1">
    <dataValidation type="list" allowBlank="1" showInputMessage="1" showErrorMessage="1" sqref="O4">
      <formula1>$S$2:$S$6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Sheet1</vt:lpstr>
      <vt:lpstr>Sheet2</vt:lpstr>
      <vt:lpstr>Sheet3</vt:lpstr>
      <vt:lpstr>B</vt:lpstr>
      <vt:lpstr>bbk</vt:lpstr>
      <vt:lpstr>Bf</vt:lpstr>
      <vt:lpstr>BL</vt:lpstr>
      <vt:lpstr>Cb</vt:lpstr>
      <vt:lpstr>Cf</vt:lpstr>
      <vt:lpstr>Cm</vt:lpstr>
      <vt:lpstr>d</vt:lpstr>
      <vt:lpstr>fa</vt:lpstr>
      <vt:lpstr>g</vt:lpstr>
      <vt:lpstr>Ka</vt:lpstr>
      <vt:lpstr>L</vt:lpstr>
      <vt:lpstr>lbk</vt:lpstr>
      <vt:lpstr>mu</vt:lpstr>
      <vt:lpstr>nu</vt:lpstr>
      <vt:lpstr>OG</vt:lpstr>
      <vt:lpstr>rf</vt:lpstr>
      <vt:lpstr>rho</vt:lpstr>
      <vt:lpstr>Sf</vt:lpstr>
      <vt:lpstr>Tr</vt:lpstr>
      <vt:lpstr>V</vt:lpstr>
      <vt:lpstr>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Yordanov</dc:creator>
  <cp:lastModifiedBy>Vasil Yordanov</cp:lastModifiedBy>
  <cp:lastPrinted>2016-02-09T13:34:26Z</cp:lastPrinted>
  <dcterms:created xsi:type="dcterms:W3CDTF">2016-02-09T08:18:59Z</dcterms:created>
  <dcterms:modified xsi:type="dcterms:W3CDTF">2016-08-08T15:14:31Z</dcterms:modified>
</cp:coreProperties>
</file>