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alhasham/finmodels/models/"/>
    </mc:Choice>
  </mc:AlternateContent>
  <xr:revisionPtr revIDLastSave="0" documentId="8_{AC76FBCA-9FD7-CD41-AA0F-0CDFB23752C3}" xr6:coauthVersionLast="47" xr6:coauthVersionMax="47" xr10:uidLastSave="{00000000-0000-0000-0000-000000000000}"/>
  <bookViews>
    <workbookView xWindow="0" yWindow="760" windowWidth="34200" windowHeight="21380" activeTab="1" xr2:uid="{2A9D170D-7A4F-5848-84E6-F15FE444C755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1" l="1"/>
  <c r="N60" i="1"/>
  <c r="N61" i="1" s="1"/>
  <c r="N62" i="1" s="1"/>
  <c r="N1" i="1"/>
  <c r="O1" i="1" s="1"/>
  <c r="P1" i="1" s="1"/>
  <c r="Q1" i="1" s="1"/>
  <c r="R1" i="1" s="1"/>
  <c r="C49" i="1"/>
  <c r="D49" i="1"/>
  <c r="E49" i="1"/>
  <c r="F49" i="1"/>
  <c r="G49" i="1"/>
  <c r="H49" i="1"/>
  <c r="I49" i="1"/>
  <c r="J49" i="1"/>
  <c r="K49" i="1"/>
  <c r="L49" i="1"/>
  <c r="M49" i="1"/>
  <c r="B49" i="1"/>
  <c r="D50" i="1"/>
  <c r="E50" i="1" s="1"/>
  <c r="F50" i="1" s="1"/>
  <c r="G50" i="1" s="1"/>
  <c r="H50" i="1" s="1"/>
  <c r="I50" i="1" s="1"/>
  <c r="J50" i="1" s="1"/>
  <c r="K50" i="1" s="1"/>
  <c r="L50" i="1" s="1"/>
  <c r="M50" i="1" s="1"/>
  <c r="C50" i="1"/>
  <c r="I46" i="1"/>
  <c r="J46" i="1"/>
  <c r="K46" i="1"/>
  <c r="L46" i="1"/>
  <c r="M46" i="1"/>
  <c r="H46" i="1"/>
  <c r="I44" i="1"/>
  <c r="J44" i="1"/>
  <c r="K44" i="1"/>
  <c r="L44" i="1"/>
  <c r="M44" i="1"/>
  <c r="H44" i="1"/>
  <c r="C39" i="1"/>
  <c r="D39" i="1"/>
  <c r="E39" i="1"/>
  <c r="F39" i="1"/>
  <c r="G39" i="1"/>
  <c r="B39" i="1"/>
  <c r="B46" i="1"/>
  <c r="C46" i="1"/>
  <c r="D46" i="1"/>
  <c r="G46" i="1"/>
  <c r="F46" i="1"/>
  <c r="E46" i="1"/>
  <c r="K60" i="1"/>
  <c r="K59" i="1"/>
  <c r="G17" i="1"/>
  <c r="G16" i="1"/>
  <c r="E17" i="1"/>
  <c r="E16" i="1"/>
  <c r="E18" i="1" s="1"/>
  <c r="F17" i="1"/>
  <c r="F16" i="1"/>
  <c r="B17" i="1"/>
  <c r="B16" i="1"/>
  <c r="C17" i="1"/>
  <c r="C16" i="1"/>
  <c r="D17" i="1"/>
  <c r="D16" i="1"/>
  <c r="B18" i="1" l="1"/>
  <c r="F18" i="1"/>
  <c r="C18" i="1"/>
  <c r="D18" i="1"/>
  <c r="G18" i="1"/>
  <c r="B32" i="1"/>
  <c r="E20" i="1"/>
  <c r="E14" i="1"/>
  <c r="E11" i="1"/>
  <c r="E12" i="1" s="1"/>
  <c r="E8" i="1"/>
  <c r="C8" i="1"/>
  <c r="C14" i="1"/>
  <c r="D20" i="1"/>
  <c r="C20" i="1"/>
  <c r="B20" i="1"/>
  <c r="D14" i="1"/>
  <c r="B14" i="1"/>
  <c r="D11" i="1"/>
  <c r="D12" i="1" s="1"/>
  <c r="C11" i="1"/>
  <c r="C12" i="1" s="1"/>
  <c r="B11" i="1"/>
  <c r="B12" i="1" s="1"/>
  <c r="D8" i="1"/>
  <c r="B8" i="1"/>
  <c r="G8" i="1"/>
  <c r="B7" i="1"/>
  <c r="C7" i="1"/>
  <c r="C48" i="1"/>
  <c r="B48" i="1"/>
  <c r="D7" i="1"/>
  <c r="E7" i="1"/>
  <c r="E38" i="1" s="1"/>
  <c r="D48" i="1"/>
  <c r="E48" i="1"/>
  <c r="F14" i="1"/>
  <c r="G14" i="1"/>
  <c r="I1" i="1"/>
  <c r="J1" i="1" s="1"/>
  <c r="K1" i="1" s="1"/>
  <c r="L1" i="1" s="1"/>
  <c r="M1" i="1" s="1"/>
  <c r="B8" i="2"/>
  <c r="B9" i="2" s="1"/>
  <c r="B7" i="2"/>
  <c r="G59" i="1"/>
  <c r="C36" i="1" l="1"/>
  <c r="C38" i="1"/>
  <c r="D36" i="1"/>
  <c r="D38" i="1"/>
  <c r="B36" i="1"/>
  <c r="B38" i="1"/>
  <c r="E36" i="1"/>
  <c r="E32" i="1"/>
  <c r="C32" i="1"/>
  <c r="D32" i="1"/>
  <c r="B33" i="1"/>
  <c r="C33" i="1"/>
  <c r="D33" i="1"/>
  <c r="E33" i="1"/>
  <c r="G35" i="1"/>
  <c r="B37" i="1"/>
  <c r="B34" i="1"/>
  <c r="D35" i="1"/>
  <c r="D34" i="1"/>
  <c r="C35" i="1"/>
  <c r="C34" i="1"/>
  <c r="E35" i="1"/>
  <c r="E34" i="1"/>
  <c r="G37" i="1"/>
  <c r="D37" i="1"/>
  <c r="E37" i="1"/>
  <c r="C37" i="1"/>
  <c r="B35" i="1"/>
  <c r="E27" i="1"/>
  <c r="C27" i="1"/>
  <c r="D27" i="1"/>
  <c r="C9" i="1"/>
  <c r="B9" i="1"/>
  <c r="D9" i="1"/>
  <c r="D13" i="1" s="1"/>
  <c r="D19" i="1" s="1"/>
  <c r="E9" i="1"/>
  <c r="E13" i="1" s="1"/>
  <c r="E21" i="1" s="1"/>
  <c r="E23" i="1" s="1"/>
  <c r="D31" i="1" l="1"/>
  <c r="D41" i="1"/>
  <c r="B28" i="1"/>
  <c r="B13" i="1"/>
  <c r="B21" i="1" s="1"/>
  <c r="B23" i="1" s="1"/>
  <c r="C28" i="1"/>
  <c r="C13" i="1"/>
  <c r="E28" i="1"/>
  <c r="D28" i="1"/>
  <c r="D21" i="1"/>
  <c r="D23" i="1" s="1"/>
  <c r="D24" i="1" s="1"/>
  <c r="E19" i="1"/>
  <c r="E29" i="1"/>
  <c r="E24" i="1"/>
  <c r="E31" i="1" l="1"/>
  <c r="E41" i="1"/>
  <c r="C21" i="1"/>
  <c r="C23" i="1" s="1"/>
  <c r="C19" i="1"/>
  <c r="B19" i="1"/>
  <c r="D29" i="1"/>
  <c r="B29" i="1"/>
  <c r="B31" i="1" l="1"/>
  <c r="B41" i="1"/>
  <c r="C31" i="1"/>
  <c r="C41" i="1"/>
  <c r="C29" i="1"/>
  <c r="F7" i="1" l="1"/>
  <c r="F20" i="1"/>
  <c r="F11" i="1"/>
  <c r="F12" i="1" s="1"/>
  <c r="F8" i="1"/>
  <c r="F34" i="1" s="1"/>
  <c r="F48" i="1"/>
  <c r="G48" i="1"/>
  <c r="G20" i="1"/>
  <c r="K61" i="1" s="1"/>
  <c r="G11" i="1"/>
  <c r="G12" i="1" s="1"/>
  <c r="G7" i="1"/>
  <c r="F33" i="1" l="1"/>
  <c r="H7" i="1"/>
  <c r="H43" i="1" s="1"/>
  <c r="G38" i="1"/>
  <c r="F32" i="1"/>
  <c r="F38" i="1"/>
  <c r="H12" i="1"/>
  <c r="H18" i="1"/>
  <c r="G34" i="1"/>
  <c r="G32" i="1"/>
  <c r="G33" i="1"/>
  <c r="G36" i="1"/>
  <c r="F37" i="1"/>
  <c r="F35" i="1"/>
  <c r="F27" i="1"/>
  <c r="F36" i="1"/>
  <c r="G27" i="1"/>
  <c r="F9" i="1"/>
  <c r="F13" i="1" s="1"/>
  <c r="F19" i="1" s="1"/>
  <c r="G9" i="1"/>
  <c r="G13" i="1" s="1"/>
  <c r="G21" i="1" s="1"/>
  <c r="G23" i="1" s="1"/>
  <c r="G29" i="1" s="1"/>
  <c r="F31" i="1" l="1"/>
  <c r="F41" i="1"/>
  <c r="H8" i="1"/>
  <c r="H9" i="1" s="1"/>
  <c r="I7" i="1"/>
  <c r="I43" i="1" s="1"/>
  <c r="H16" i="1"/>
  <c r="G19" i="1"/>
  <c r="G28" i="1"/>
  <c r="F21" i="1"/>
  <c r="F23" i="1" s="1"/>
  <c r="F24" i="1" s="1"/>
  <c r="F28" i="1"/>
  <c r="H19" i="1" l="1"/>
  <c r="H42" i="1" s="1"/>
  <c r="G41" i="1"/>
  <c r="I12" i="1"/>
  <c r="I18" i="1"/>
  <c r="H28" i="1"/>
  <c r="H17" i="1"/>
  <c r="H15" i="1"/>
  <c r="H13" i="1"/>
  <c r="I8" i="1"/>
  <c r="I17" i="1" s="1"/>
  <c r="G31" i="1"/>
  <c r="J7" i="1"/>
  <c r="J43" i="1" s="1"/>
  <c r="I16" i="1"/>
  <c r="I19" i="1"/>
  <c r="I42" i="1" s="1"/>
  <c r="H31" i="1"/>
  <c r="F29" i="1"/>
  <c r="H21" i="1" l="1"/>
  <c r="J12" i="1"/>
  <c r="J18" i="1"/>
  <c r="I15" i="1"/>
  <c r="I9" i="1"/>
  <c r="I28" i="1" s="1"/>
  <c r="I13" i="1"/>
  <c r="I21" i="1" s="1"/>
  <c r="I22" i="1" s="1"/>
  <c r="I23" i="1" s="1"/>
  <c r="I24" i="1" s="1"/>
  <c r="J8" i="1"/>
  <c r="J17" i="1" s="1"/>
  <c r="K7" i="1"/>
  <c r="K43" i="1" s="1"/>
  <c r="J16" i="1"/>
  <c r="J19" i="1"/>
  <c r="J42" i="1" s="1"/>
  <c r="I31" i="1"/>
  <c r="G24" i="1"/>
  <c r="H27" i="1"/>
  <c r="H22" i="1" l="1"/>
  <c r="H23" i="1" s="1"/>
  <c r="K12" i="1"/>
  <c r="K18" i="1"/>
  <c r="I29" i="1"/>
  <c r="I48" i="1"/>
  <c r="J15" i="1"/>
  <c r="J9" i="1"/>
  <c r="J28" i="1" s="1"/>
  <c r="J13" i="1"/>
  <c r="J21" i="1" s="1"/>
  <c r="J22" i="1" s="1"/>
  <c r="J23" i="1" s="1"/>
  <c r="J24" i="1" s="1"/>
  <c r="K8" i="1"/>
  <c r="K17" i="1" s="1"/>
  <c r="L7" i="1"/>
  <c r="L43" i="1" s="1"/>
  <c r="K16" i="1"/>
  <c r="K19" i="1"/>
  <c r="K42" i="1" s="1"/>
  <c r="J31" i="1"/>
  <c r="I27" i="1"/>
  <c r="H29" i="1" l="1"/>
  <c r="H24" i="1"/>
  <c r="H48" i="1"/>
  <c r="L12" i="1"/>
  <c r="L18" i="1"/>
  <c r="J29" i="1"/>
  <c r="J48" i="1"/>
  <c r="K15" i="1"/>
  <c r="K9" i="1"/>
  <c r="K28" i="1" s="1"/>
  <c r="K13" i="1"/>
  <c r="K21" i="1" s="1"/>
  <c r="K22" i="1" s="1"/>
  <c r="K23" i="1" s="1"/>
  <c r="K24" i="1" s="1"/>
  <c r="L8" i="1"/>
  <c r="L17" i="1" s="1"/>
  <c r="M7" i="1"/>
  <c r="M43" i="1" s="1"/>
  <c r="L16" i="1"/>
  <c r="K31" i="1"/>
  <c r="L19" i="1"/>
  <c r="L42" i="1" s="1"/>
  <c r="J27" i="1"/>
  <c r="K29" i="1" l="1"/>
  <c r="K48" i="1"/>
  <c r="M12" i="1"/>
  <c r="M18" i="1"/>
  <c r="L15" i="1"/>
  <c r="L9" i="1"/>
  <c r="L28" i="1" s="1"/>
  <c r="L13" i="1"/>
  <c r="L21" i="1" s="1"/>
  <c r="M8" i="1"/>
  <c r="M17" i="1" s="1"/>
  <c r="M27" i="1"/>
  <c r="M16" i="1"/>
  <c r="L31" i="1"/>
  <c r="M19" i="1"/>
  <c r="M42" i="1" s="1"/>
  <c r="K27" i="1"/>
  <c r="M15" i="1" l="1"/>
  <c r="M9" i="1"/>
  <c r="M28" i="1" s="1"/>
  <c r="L22" i="1"/>
  <c r="L23" i="1" s="1"/>
  <c r="L24" i="1" s="1"/>
  <c r="M13" i="1"/>
  <c r="M21" i="1" s="1"/>
  <c r="M31" i="1"/>
  <c r="L27" i="1"/>
  <c r="L29" i="1" l="1"/>
  <c r="L48" i="1"/>
  <c r="M22" i="1"/>
  <c r="M23" i="1" s="1"/>
  <c r="M24" i="1" s="1"/>
  <c r="M29" i="1" l="1"/>
  <c r="M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tc={F40D6950-24A1-2E41-8E54-EB01F78F48E4}</author>
    <author>tc={D3BA35DA-F7A6-524B-AD6F-AECD08B0A8F8}</author>
    <author>tc={93BE8A34-4400-644C-87C0-83BFB1381D42}</author>
    <author>tc={9BB627C3-59EA-4A4F-B78D-42CF0C5F2B70}</author>
  </authors>
  <commentList>
    <comment ref="K7" authorId="0" shapeId="0" xr:uid="{F40D6950-24A1-2E41-8E54-EB01F78F48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Burjeel Day One revenues </t>
      </text>
    </comment>
    <comment ref="A22" authorId="1" shapeId="0" xr:uid="{D3BA35DA-F7A6-524B-AD6F-AECD08B0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9% corporate tax</t>
      </text>
    </comment>
    <comment ref="H46" authorId="2" shapeId="0" xr:uid="{93BE8A34-4400-644C-87C0-83BFB1381D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CFFO = Net income + D&amp;A + Changes in working capital </t>
      </text>
    </comment>
    <comment ref="H48" authorId="3" shapeId="0" xr:uid="{9BB627C3-59EA-4A4F-B78D-42CF0C5F2B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Tweaking free cash flows, improves COGS, OPEX, reducing Capex </t>
      </text>
    </comment>
  </commentList>
</comments>
</file>

<file path=xl/sharedStrings.xml><?xml version="1.0" encoding="utf-8"?>
<sst xmlns="http://schemas.openxmlformats.org/spreadsheetml/2006/main" count="82" uniqueCount="78">
  <si>
    <t>AED in millions</t>
  </si>
  <si>
    <t xml:space="preserve">Out patient </t>
  </si>
  <si>
    <t xml:space="preserve">In patient </t>
  </si>
  <si>
    <t>Pharmacy</t>
  </si>
  <si>
    <t>Other operating income</t>
  </si>
  <si>
    <t>Rental income</t>
  </si>
  <si>
    <t xml:space="preserve">Revenue </t>
  </si>
  <si>
    <t>COGS</t>
  </si>
  <si>
    <t xml:space="preserve">Gross Profit </t>
  </si>
  <si>
    <t>S&amp;M</t>
  </si>
  <si>
    <t>G&amp;A</t>
  </si>
  <si>
    <t>Operating expenses</t>
  </si>
  <si>
    <t>Operating Income</t>
  </si>
  <si>
    <t xml:space="preserve">Interest </t>
  </si>
  <si>
    <t>Pretax Income</t>
  </si>
  <si>
    <t>Taxes</t>
  </si>
  <si>
    <t xml:space="preserve">Net income </t>
  </si>
  <si>
    <t>EPS</t>
  </si>
  <si>
    <t>Shares Outstanding</t>
  </si>
  <si>
    <t xml:space="preserve">Revenue y/y </t>
  </si>
  <si>
    <t xml:space="preserve">CFFO </t>
  </si>
  <si>
    <t>CX (CapEx)</t>
  </si>
  <si>
    <t>FCF</t>
  </si>
  <si>
    <t xml:space="preserve">Group inpatient footfall (k) </t>
  </si>
  <si>
    <t xml:space="preserve">Group outpatient footfall (k) </t>
  </si>
  <si>
    <t xml:space="preserve">Total Patients </t>
  </si>
  <si>
    <t xml:space="preserve">BMC </t>
  </si>
  <si>
    <t xml:space="preserve">Net income margin </t>
  </si>
  <si>
    <t xml:space="preserve">Gross Margin </t>
  </si>
  <si>
    <t xml:space="preserve">Total Patients (k) </t>
  </si>
  <si>
    <t>Patient y/y</t>
  </si>
  <si>
    <t xml:space="preserve">Price </t>
  </si>
  <si>
    <t xml:space="preserve">Shares </t>
  </si>
  <si>
    <t xml:space="preserve">MC </t>
  </si>
  <si>
    <t xml:space="preserve">Cash </t>
  </si>
  <si>
    <t xml:space="preserve">Debt </t>
  </si>
  <si>
    <t>EV</t>
  </si>
  <si>
    <t xml:space="preserve">Q424 </t>
  </si>
  <si>
    <t>Q424</t>
  </si>
  <si>
    <t xml:space="preserve">Geographical revenue </t>
  </si>
  <si>
    <t xml:space="preserve">UAE </t>
  </si>
  <si>
    <t xml:space="preserve">Oman </t>
  </si>
  <si>
    <t>KSA</t>
  </si>
  <si>
    <t>Phyiotherabia centers</t>
  </si>
  <si>
    <t>D&amp;A</t>
  </si>
  <si>
    <t>EBITDA</t>
  </si>
  <si>
    <t xml:space="preserve">EBITDA margin </t>
  </si>
  <si>
    <t xml:space="preserve">Inventories </t>
  </si>
  <si>
    <t xml:space="preserve">Accounts Receivable </t>
  </si>
  <si>
    <t xml:space="preserve">Accounts payable </t>
  </si>
  <si>
    <t>Inventory as % COGS</t>
  </si>
  <si>
    <t>AR % Rev</t>
  </si>
  <si>
    <t>AP % COGS</t>
  </si>
  <si>
    <t>COGS % Rev</t>
  </si>
  <si>
    <t>OPEX as % rev</t>
  </si>
  <si>
    <t>Changes in NWC</t>
  </si>
  <si>
    <t xml:space="preserve">Changes in NWC % Rev </t>
  </si>
  <si>
    <t>DFCF</t>
  </si>
  <si>
    <t>WACC</t>
  </si>
  <si>
    <t>E</t>
  </si>
  <si>
    <t>D</t>
  </si>
  <si>
    <t>re</t>
  </si>
  <si>
    <t>rd</t>
  </si>
  <si>
    <t xml:space="preserve">Beta </t>
  </si>
  <si>
    <t>Rf</t>
  </si>
  <si>
    <t xml:space="preserve">Rm </t>
  </si>
  <si>
    <t xml:space="preserve">Cash generated from operations </t>
  </si>
  <si>
    <t xml:space="preserve">EOS </t>
  </si>
  <si>
    <t>Finance costs paid</t>
  </si>
  <si>
    <t xml:space="preserve">Income tax paid </t>
  </si>
  <si>
    <t>CCR</t>
  </si>
  <si>
    <t xml:space="preserve">EOS % revenue </t>
  </si>
  <si>
    <t xml:space="preserve">FC % of IE </t>
  </si>
  <si>
    <t>Discount rate</t>
  </si>
  <si>
    <t xml:space="preserve">TV </t>
  </si>
  <si>
    <t>g</t>
  </si>
  <si>
    <t>PV(TV)</t>
  </si>
  <si>
    <t>Fair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</si>
</sst>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8" tint="-0.249977111117893"/>
      <name val="Arial"/>
      <family val="2"/>
    </font>
    <font>
      <b/>
      <sz val="12"/>
      <color theme="8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2" fillId="0" borderId="0" xfId="1" applyNumberFormat="1" applyFont="1"/>
    <xf numFmtId="43" fontId="2" fillId="0" borderId="0" xfId="1" applyFont="1"/>
    <xf numFmtId="165" fontId="2" fillId="0" borderId="0" xfId="1" applyNumberFormat="1" applyFont="1"/>
    <xf numFmtId="0" fontId="3" fillId="0" borderId="0" xfId="0" applyFont="1"/>
    <xf numFmtId="165" fontId="3" fillId="0" borderId="0" xfId="1" applyNumberFormat="1" applyFont="1"/>
    <xf numFmtId="165" fontId="2" fillId="0" borderId="0" xfId="0" applyNumberFormat="1" applyFont="1"/>
    <xf numFmtId="165" fontId="0" fillId="0" borderId="0" xfId="0" applyNumberFormat="1"/>
    <xf numFmtId="9" fontId="2" fillId="0" borderId="0" xfId="2" applyFont="1"/>
    <xf numFmtId="166" fontId="2" fillId="0" borderId="0" xfId="2" applyNumberFormat="1" applyFont="1"/>
    <xf numFmtId="10" fontId="2" fillId="0" borderId="0" xfId="2" applyNumberFormat="1" applyFont="1"/>
    <xf numFmtId="165" fontId="4" fillId="0" borderId="0" xfId="1" applyNumberFormat="1" applyFont="1"/>
    <xf numFmtId="165" fontId="5" fillId="0" borderId="0" xfId="1" applyNumberFormat="1" applyFont="1"/>
    <xf numFmtId="165" fontId="4" fillId="0" borderId="0" xfId="1" applyNumberFormat="1" applyFont="1" applyAlignment="1">
      <alignment horizontal="center"/>
    </xf>
    <xf numFmtId="166" fontId="4" fillId="0" borderId="0" xfId="2" applyNumberFormat="1" applyFont="1"/>
    <xf numFmtId="9" fontId="4" fillId="0" borderId="0" xfId="2" applyFont="1"/>
    <xf numFmtId="3" fontId="2" fillId="0" borderId="0" xfId="0" applyNumberFormat="1" applyFont="1"/>
    <xf numFmtId="2" fontId="2" fillId="0" borderId="0" xfId="0" applyNumberFormat="1" applyFont="1"/>
    <xf numFmtId="1" fontId="2" fillId="0" borderId="0" xfId="2" applyNumberFormat="1" applyFont="1"/>
    <xf numFmtId="0" fontId="2" fillId="0" borderId="0" xfId="1" applyNumberFormat="1" applyFont="1"/>
    <xf numFmtId="0" fontId="4" fillId="0" borderId="0" xfId="1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dil Ali Hashim" id="{FC394BF6-F82E-3F41-8287-F345B5D1B07F}" userId="35124ee0317268d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5-03-15T23:26:42.28" personId="{FC394BF6-F82E-3F41-8287-F345B5D1B07F}" id="{F40D6950-24A1-2E41-8E54-EB01F78F48E4}">
    <text xml:space="preserve">Burjeel Day One revenues </text>
  </threadedComment>
  <threadedComment ref="A22" dT="2025-03-16T02:46:41.99" personId="{FC394BF6-F82E-3F41-8287-F345B5D1B07F}" id="{D3BA35DA-F7A6-524B-AD6F-AECD08B0A8F8}">
    <text>Assuming 9% corporate tax</text>
  </threadedComment>
  <threadedComment ref="H46" dT="2025-03-15T23:34:19.61" personId="{FC394BF6-F82E-3F41-8287-F345B5D1B07F}" id="{93BE8A34-4400-644C-87C0-83BFB1381D42}">
    <text xml:space="preserve">CFFO = Net income + D&amp;A + Changes in working capital </text>
  </threadedComment>
  <threadedComment ref="H48" dT="2025-03-17T17:47:50.43" personId="{FC394BF6-F82E-3F41-8287-F345B5D1B07F}" id="{9BB627C3-59EA-4A4F-B78D-42CF0C5F2B70}">
    <text xml:space="preserve">Tweaking free cash flows, improves COGS, OPEX, reducing Capex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8C9A-2FD0-B14B-ACC7-3F009BD81788}">
  <dimension ref="A1:C11"/>
  <sheetViews>
    <sheetView zoomScale="160" zoomScaleNormal="160" workbookViewId="0">
      <selection activeCell="B9" sqref="B9"/>
    </sheetView>
  </sheetViews>
  <sheetFormatPr baseColWidth="10" defaultRowHeight="16" x14ac:dyDescent="0.2"/>
  <cols>
    <col min="1" max="1" width="15" style="4" bestFit="1" customWidth="1"/>
    <col min="2" max="2" width="18.6640625" style="4" bestFit="1" customWidth="1"/>
    <col min="3" max="16384" width="10.83203125" style="4"/>
  </cols>
  <sheetData>
    <row r="1" spans="1:3" s="1" customFormat="1" x14ac:dyDescent="0.2"/>
    <row r="2" spans="1:3" s="1" customFormat="1" x14ac:dyDescent="0.2"/>
    <row r="3" spans="1:3" x14ac:dyDescent="0.2">
      <c r="A3" s="4" t="s">
        <v>0</v>
      </c>
    </row>
    <row r="4" spans="1:3" x14ac:dyDescent="0.2">
      <c r="A4" s="4" t="s">
        <v>31</v>
      </c>
      <c r="B4" s="3">
        <v>1.41</v>
      </c>
    </row>
    <row r="5" spans="1:3" x14ac:dyDescent="0.2">
      <c r="A5" s="4" t="s">
        <v>32</v>
      </c>
      <c r="B5" s="4">
        <v>5205134.1749999998</v>
      </c>
      <c r="C5" s="4" t="s">
        <v>37</v>
      </c>
    </row>
    <row r="6" spans="1:3" x14ac:dyDescent="0.2">
      <c r="A6" s="4" t="s">
        <v>33</v>
      </c>
      <c r="B6" s="4">
        <v>7224726.2340000002</v>
      </c>
    </row>
    <row r="7" spans="1:3" x14ac:dyDescent="0.2">
      <c r="A7" s="4" t="s">
        <v>34</v>
      </c>
      <c r="B7" s="4">
        <f>238196.54+ 30569.179</f>
        <v>268765.71899999998</v>
      </c>
      <c r="C7" s="4" t="s">
        <v>38</v>
      </c>
    </row>
    <row r="8" spans="1:3" x14ac:dyDescent="0.2">
      <c r="A8" s="4" t="s">
        <v>35</v>
      </c>
      <c r="B8" s="4">
        <f>877081.001+ 331367.148</f>
        <v>1208448.149</v>
      </c>
      <c r="C8" s="4" t="s">
        <v>38</v>
      </c>
    </row>
    <row r="9" spans="1:3" x14ac:dyDescent="0.2">
      <c r="A9" s="4" t="s">
        <v>36</v>
      </c>
      <c r="B9" s="4">
        <f>B6+B8-B7</f>
        <v>8164408.6639999999</v>
      </c>
    </row>
    <row r="11" spans="1:3" x14ac:dyDescent="0.2">
      <c r="B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17DB-BCEF-384F-AB91-5D5DB938837B}">
  <dimension ref="A1:R66"/>
  <sheetViews>
    <sheetView tabSelected="1" zoomScale="140" zoomScaleNormal="140" workbookViewId="0">
      <selection activeCell="F46" sqref="F46"/>
    </sheetView>
  </sheetViews>
  <sheetFormatPr baseColWidth="10" defaultRowHeight="16" x14ac:dyDescent="0.2"/>
  <cols>
    <col min="1" max="1" width="33" style="1" bestFit="1" customWidth="1"/>
    <col min="2" max="2" width="14.6640625" style="1" bestFit="1" customWidth="1"/>
    <col min="3" max="3" width="11.6640625" style="1" bestFit="1" customWidth="1"/>
    <col min="4" max="4" width="11.83203125" style="1" bestFit="1" customWidth="1"/>
    <col min="5" max="5" width="14" style="1" bestFit="1" customWidth="1"/>
    <col min="6" max="7" width="12.83203125" style="4" bestFit="1" customWidth="1"/>
    <col min="8" max="9" width="13" style="4" bestFit="1" customWidth="1"/>
    <col min="10" max="10" width="14.6640625" style="4" bestFit="1" customWidth="1"/>
    <col min="11" max="11" width="14.5" style="4" customWidth="1"/>
    <col min="12" max="12" width="14.6640625" style="4" bestFit="1" customWidth="1"/>
    <col min="13" max="13" width="14.5" style="4" bestFit="1" customWidth="1"/>
    <col min="14" max="14" width="15.6640625" style="4" bestFit="1" customWidth="1"/>
    <col min="15" max="15" width="10.6640625" style="4" bestFit="1" customWidth="1"/>
    <col min="16" max="16384" width="10.83203125" style="4"/>
  </cols>
  <sheetData>
    <row r="1" spans="1:18" x14ac:dyDescent="0.2">
      <c r="A1" s="1" t="s">
        <v>0</v>
      </c>
      <c r="B1" s="20">
        <v>2019</v>
      </c>
      <c r="C1" s="20">
        <v>2020</v>
      </c>
      <c r="D1" s="20">
        <v>2021</v>
      </c>
      <c r="E1" s="20">
        <v>2022</v>
      </c>
      <c r="F1" s="20">
        <v>2023</v>
      </c>
      <c r="G1" s="20">
        <v>2024</v>
      </c>
      <c r="H1" s="21">
        <v>2025</v>
      </c>
      <c r="I1" s="21">
        <f>H1+1</f>
        <v>2026</v>
      </c>
      <c r="J1" s="21">
        <f>I1+1</f>
        <v>2027</v>
      </c>
      <c r="K1" s="21">
        <f>J1+1</f>
        <v>2028</v>
      </c>
      <c r="L1" s="21">
        <f>K1+1</f>
        <v>2029</v>
      </c>
      <c r="M1" s="21">
        <f>L1+1</f>
        <v>2030</v>
      </c>
      <c r="N1" s="12">
        <f t="shared" ref="N1:R1" si="0">M1+1</f>
        <v>2031</v>
      </c>
      <c r="O1" s="12">
        <f t="shared" si="0"/>
        <v>2032</v>
      </c>
      <c r="P1" s="12">
        <f t="shared" si="0"/>
        <v>2033</v>
      </c>
      <c r="Q1" s="12">
        <f t="shared" si="0"/>
        <v>2034</v>
      </c>
      <c r="R1" s="12">
        <f t="shared" si="0"/>
        <v>2035</v>
      </c>
    </row>
    <row r="2" spans="1:18" x14ac:dyDescent="0.2">
      <c r="A2" s="1" t="s">
        <v>1</v>
      </c>
      <c r="B2" s="4">
        <v>1555352.4650000001</v>
      </c>
      <c r="C2" s="4">
        <v>1680948.6270000001</v>
      </c>
      <c r="D2" s="4">
        <v>2171350.0970000001</v>
      </c>
      <c r="E2" s="4">
        <v>2471733.6379999998</v>
      </c>
      <c r="F2" s="4">
        <v>2836899.642</v>
      </c>
      <c r="G2" s="4">
        <v>3114654.7910000002</v>
      </c>
      <c r="H2" s="12"/>
      <c r="I2" s="12"/>
      <c r="J2" s="12"/>
      <c r="K2" s="12"/>
      <c r="L2" s="12"/>
      <c r="M2" s="12"/>
    </row>
    <row r="3" spans="1:18" x14ac:dyDescent="0.2">
      <c r="A3" s="1" t="s">
        <v>2</v>
      </c>
      <c r="B3" s="4">
        <v>708950.326</v>
      </c>
      <c r="C3" s="4">
        <v>817300.75600000005</v>
      </c>
      <c r="D3" s="4">
        <v>1086674.101</v>
      </c>
      <c r="E3" s="4">
        <v>1339775.446</v>
      </c>
      <c r="F3" s="4">
        <v>1564818.3160000001</v>
      </c>
      <c r="G3" s="4">
        <v>1725217.9339999999</v>
      </c>
      <c r="H3" s="12"/>
      <c r="I3" s="12"/>
      <c r="J3" s="12"/>
      <c r="K3" s="12"/>
      <c r="L3" s="12"/>
      <c r="M3" s="12"/>
    </row>
    <row r="4" spans="1:18" x14ac:dyDescent="0.2">
      <c r="A4" s="1" t="s">
        <v>3</v>
      </c>
      <c r="B4" s="4">
        <v>47324.305999999997</v>
      </c>
      <c r="C4" s="4">
        <v>43922.478000000003</v>
      </c>
      <c r="D4" s="4">
        <v>57926.216</v>
      </c>
      <c r="E4" s="4">
        <v>64532.394</v>
      </c>
      <c r="F4" s="4">
        <v>59765.66</v>
      </c>
      <c r="G4" s="4">
        <v>62583.061000000002</v>
      </c>
      <c r="H4" s="12"/>
      <c r="I4" s="12"/>
      <c r="J4" s="12"/>
      <c r="K4" s="12"/>
      <c r="L4" s="12"/>
      <c r="M4" s="12"/>
    </row>
    <row r="5" spans="1:18" x14ac:dyDescent="0.2">
      <c r="A5" s="1" t="s">
        <v>4</v>
      </c>
      <c r="B5" s="4">
        <v>104308.023</v>
      </c>
      <c r="C5" s="4">
        <v>58690.474999999999</v>
      </c>
      <c r="D5" s="4">
        <v>28009.878000000001</v>
      </c>
      <c r="E5" s="4">
        <v>40790.375999999997</v>
      </c>
      <c r="F5" s="4">
        <v>64770.923000000003</v>
      </c>
      <c r="G5" s="4">
        <v>102561.448</v>
      </c>
      <c r="H5" s="12"/>
      <c r="I5" s="12"/>
      <c r="J5" s="12"/>
      <c r="K5" s="12"/>
      <c r="L5" s="12"/>
      <c r="M5" s="12"/>
    </row>
    <row r="6" spans="1:18" x14ac:dyDescent="0.2">
      <c r="A6" s="1" t="s">
        <v>5</v>
      </c>
      <c r="B6" s="4">
        <v>4590.1949999999997</v>
      </c>
      <c r="C6" s="4">
        <v>4302.1880000000001</v>
      </c>
      <c r="D6" s="4">
        <v>7030.942</v>
      </c>
      <c r="E6" s="4">
        <v>7178.7929999999997</v>
      </c>
      <c r="F6" s="4">
        <v>8753.0859999999993</v>
      </c>
      <c r="G6" s="4">
        <v>5064</v>
      </c>
      <c r="H6" s="12"/>
      <c r="I6" s="12"/>
      <c r="J6" s="12"/>
      <c r="K6" s="12"/>
      <c r="L6" s="12"/>
      <c r="M6" s="12"/>
    </row>
    <row r="7" spans="1:18" s="6" customFormat="1" x14ac:dyDescent="0.2">
      <c r="A7" s="5" t="s">
        <v>6</v>
      </c>
      <c r="B7" s="6">
        <f t="shared" ref="B7:G7" si="1">SUM(B2:B6)</f>
        <v>2420525.3149999999</v>
      </c>
      <c r="C7" s="6">
        <f t="shared" si="1"/>
        <v>2605164.5240000007</v>
      </c>
      <c r="D7" s="6">
        <f t="shared" si="1"/>
        <v>3350991.2339999997</v>
      </c>
      <c r="E7" s="6">
        <f t="shared" si="1"/>
        <v>3924010.6469999999</v>
      </c>
      <c r="F7" s="6">
        <f t="shared" si="1"/>
        <v>4535007.6270000013</v>
      </c>
      <c r="G7" s="6">
        <f t="shared" si="1"/>
        <v>5010081.2339999992</v>
      </c>
      <c r="H7" s="13">
        <f>G7*1.12</f>
        <v>5611290.9820799995</v>
      </c>
      <c r="I7" s="13">
        <f>H7*1.14</f>
        <v>6396871.7195711993</v>
      </c>
      <c r="J7" s="13">
        <f>I7*1.14</f>
        <v>7292433.7603111668</v>
      </c>
      <c r="K7" s="13">
        <f>J7*1.15</f>
        <v>8386298.8243578412</v>
      </c>
      <c r="L7" s="13">
        <f>K7*1.1</f>
        <v>9224928.7067936268</v>
      </c>
      <c r="M7" s="13">
        <f>L7*1.1</f>
        <v>10147421.57747299</v>
      </c>
    </row>
    <row r="8" spans="1:18" x14ac:dyDescent="0.2">
      <c r="A8" s="4" t="s">
        <v>7</v>
      </c>
      <c r="B8" s="4">
        <f>1122039.752+539094.094+252668.094+8400.931+102995.884+10680.203+82934.469+27587.525</f>
        <v>2146400.952</v>
      </c>
      <c r="C8" s="4">
        <f>1140795.582+611292.872+244911.784+7084.23+106331.874+8084.307+108742.362+35449.294</f>
        <v>2262692.3050000002</v>
      </c>
      <c r="D8" s="4">
        <f>1373099.955+762548.026+281239.499+5597.367+107453.005+9309.073+112798.403+42373.391</f>
        <v>2694418.7189999996</v>
      </c>
      <c r="E8" s="4">
        <f>1701419.442+899954.378+247401.883+4151.114+102834.722+13518.84+65127.796+48647.648</f>
        <v>3083055.8230000003</v>
      </c>
      <c r="F8" s="4">
        <f>1947204.275+1095884.743+231120.296+5109+115426.28+84113</f>
        <v>3478857.594</v>
      </c>
      <c r="G8" s="4">
        <f>2199902+1269063+223953+6011+129780+102749</f>
        <v>3931458</v>
      </c>
      <c r="H8" s="12">
        <f t="shared" ref="H8:M8" si="2">H7*H34</f>
        <v>4489032.7856639996</v>
      </c>
      <c r="I8" s="12">
        <f t="shared" si="2"/>
        <v>5117497.3756569596</v>
      </c>
      <c r="J8" s="12">
        <f t="shared" si="2"/>
        <v>5469325.3202333748</v>
      </c>
      <c r="K8" s="12">
        <f t="shared" si="2"/>
        <v>6289724.1182683809</v>
      </c>
      <c r="L8" s="12">
        <f t="shared" si="2"/>
        <v>6918696.5300952196</v>
      </c>
      <c r="M8" s="12">
        <f t="shared" si="2"/>
        <v>7610566.1831047423</v>
      </c>
    </row>
    <row r="9" spans="1:18" x14ac:dyDescent="0.2">
      <c r="A9" s="4" t="s">
        <v>8</v>
      </c>
      <c r="B9" s="4">
        <f t="shared" ref="B9:H9" si="3">B7-B8</f>
        <v>274124.3629999999</v>
      </c>
      <c r="C9" s="4">
        <f t="shared" si="3"/>
        <v>342472.21900000051</v>
      </c>
      <c r="D9" s="4">
        <f t="shared" si="3"/>
        <v>656572.51500000013</v>
      </c>
      <c r="E9" s="4">
        <f t="shared" si="3"/>
        <v>840954.82399999956</v>
      </c>
      <c r="F9" s="4">
        <f t="shared" si="3"/>
        <v>1056150.0330000012</v>
      </c>
      <c r="G9" s="4">
        <f t="shared" si="3"/>
        <v>1078623.2339999992</v>
      </c>
      <c r="H9" s="12">
        <f t="shared" si="3"/>
        <v>1122258.1964159999</v>
      </c>
      <c r="I9" s="12">
        <f t="shared" ref="I9:M9" si="4">I7-I8</f>
        <v>1279374.3439142397</v>
      </c>
      <c r="J9" s="12">
        <f t="shared" si="4"/>
        <v>1823108.4400777919</v>
      </c>
      <c r="K9" s="12">
        <f t="shared" si="4"/>
        <v>2096574.7060894603</v>
      </c>
      <c r="L9" s="12">
        <f t="shared" si="4"/>
        <v>2306232.1766984072</v>
      </c>
      <c r="M9" s="12">
        <f t="shared" si="4"/>
        <v>2536855.3943682481</v>
      </c>
    </row>
    <row r="10" spans="1:18" x14ac:dyDescent="0.2">
      <c r="A10" s="4" t="s">
        <v>9</v>
      </c>
      <c r="B10" s="4">
        <v>37681.097000000002</v>
      </c>
      <c r="C10" s="4">
        <v>47696.707999999999</v>
      </c>
      <c r="D10" s="4">
        <v>55449.317999999999</v>
      </c>
      <c r="E10" s="4">
        <v>55494.277000000002</v>
      </c>
      <c r="F10" s="4">
        <v>55451.317999999999</v>
      </c>
      <c r="G10" s="4">
        <v>102667.921</v>
      </c>
      <c r="H10" s="12"/>
      <c r="I10" s="12"/>
      <c r="J10" s="12"/>
      <c r="K10" s="12"/>
      <c r="L10" s="12"/>
      <c r="M10" s="12"/>
    </row>
    <row r="11" spans="1:18" x14ac:dyDescent="0.2">
      <c r="A11" s="7" t="s">
        <v>10</v>
      </c>
      <c r="B11" s="4">
        <f>222962.578- B10</f>
        <v>185281.481</v>
      </c>
      <c r="C11" s="4">
        <f>238832.13-C10</f>
        <v>191135.42200000002</v>
      </c>
      <c r="D11" s="4">
        <f>293047.053-D10</f>
        <v>237597.73500000002</v>
      </c>
      <c r="E11" s="4">
        <f>338815.552-E10</f>
        <v>283321.27500000002</v>
      </c>
      <c r="F11" s="4">
        <f>414405.193-55451.318</f>
        <v>358953.875</v>
      </c>
      <c r="G11" s="4">
        <f>537284.036-102667.921</f>
        <v>434616.11499999999</v>
      </c>
      <c r="H11" s="12"/>
      <c r="I11" s="12"/>
      <c r="J11" s="12"/>
      <c r="K11" s="12"/>
      <c r="L11" s="12"/>
      <c r="M11" s="12"/>
    </row>
    <row r="12" spans="1:18" x14ac:dyDescent="0.2">
      <c r="A12" s="7" t="s">
        <v>11</v>
      </c>
      <c r="B12" s="4">
        <f t="shared" ref="B12:G12" si="5">B10+B11</f>
        <v>222962.57800000001</v>
      </c>
      <c r="C12" s="4">
        <f t="shared" si="5"/>
        <v>238832.13</v>
      </c>
      <c r="D12" s="4">
        <f t="shared" si="5"/>
        <v>293047.05300000001</v>
      </c>
      <c r="E12" s="4">
        <f t="shared" si="5"/>
        <v>338815.55200000003</v>
      </c>
      <c r="F12" s="4">
        <f t="shared" si="5"/>
        <v>414405.19299999997</v>
      </c>
      <c r="G12" s="4">
        <f t="shared" si="5"/>
        <v>537284.03599999996</v>
      </c>
      <c r="H12" s="12">
        <f t="shared" ref="H12:M12" si="6">H7*H33</f>
        <v>617242.0080287999</v>
      </c>
      <c r="I12" s="12">
        <f t="shared" si="6"/>
        <v>639687.17195711995</v>
      </c>
      <c r="J12" s="12">
        <f t="shared" si="6"/>
        <v>583394.70082489331</v>
      </c>
      <c r="K12" s="12">
        <f t="shared" si="6"/>
        <v>670903.90594862727</v>
      </c>
      <c r="L12" s="12">
        <f t="shared" si="6"/>
        <v>737994.29654349014</v>
      </c>
      <c r="M12" s="12">
        <f t="shared" si="6"/>
        <v>811793.72619783925</v>
      </c>
    </row>
    <row r="13" spans="1:18" x14ac:dyDescent="0.2">
      <c r="A13" s="7" t="s">
        <v>12</v>
      </c>
      <c r="B13" s="4">
        <f t="shared" ref="B13:G13" si="7">B9-B12</f>
        <v>51161.784999999887</v>
      </c>
      <c r="C13" s="4">
        <f t="shared" si="7"/>
        <v>103640.0890000005</v>
      </c>
      <c r="D13" s="4">
        <f t="shared" si="7"/>
        <v>363525.46200000012</v>
      </c>
      <c r="E13" s="4">
        <f t="shared" si="7"/>
        <v>502139.27199999953</v>
      </c>
      <c r="F13" s="4">
        <f t="shared" si="7"/>
        <v>641744.84000000125</v>
      </c>
      <c r="G13" s="4">
        <f t="shared" si="7"/>
        <v>541339.19799999928</v>
      </c>
      <c r="H13" s="12">
        <f t="shared" ref="H13:M13" si="8">H7-H8-H12</f>
        <v>505016.1883872</v>
      </c>
      <c r="I13" s="12">
        <f t="shared" si="8"/>
        <v>639687.17195711972</v>
      </c>
      <c r="J13" s="12">
        <f t="shared" si="8"/>
        <v>1239713.7392528986</v>
      </c>
      <c r="K13" s="12">
        <f t="shared" si="8"/>
        <v>1425670.800140833</v>
      </c>
      <c r="L13" s="12">
        <f t="shared" si="8"/>
        <v>1568237.880154917</v>
      </c>
      <c r="M13" s="12">
        <f t="shared" si="8"/>
        <v>1725061.6681704088</v>
      </c>
    </row>
    <row r="14" spans="1:18" x14ac:dyDescent="0.2">
      <c r="A14" s="7" t="s">
        <v>44</v>
      </c>
      <c r="B14" s="4">
        <f>252668.24+8400.931+102995.885</f>
        <v>364065.05599999998</v>
      </c>
      <c r="C14" s="4">
        <f>244911.784+106331.874+7084.23</f>
        <v>358327.88799999998</v>
      </c>
      <c r="D14" s="4">
        <f>281239.499+5597.367+107453.005</f>
        <v>394289.87100000004</v>
      </c>
      <c r="E14" s="4">
        <f>247401.883+4151.114+102834.722</f>
        <v>354387.71899999998</v>
      </c>
      <c r="F14" s="4">
        <f>231120.296+5109.438+115426.28</f>
        <v>351656.01399999997</v>
      </c>
      <c r="G14" s="4">
        <f>223952.87+6011.395+129780.426</f>
        <v>359744.69099999999</v>
      </c>
      <c r="H14" s="12">
        <v>350000</v>
      </c>
      <c r="I14" s="12">
        <v>350000</v>
      </c>
      <c r="J14" s="12">
        <v>350000</v>
      </c>
      <c r="K14" s="12">
        <v>350000</v>
      </c>
      <c r="L14" s="12">
        <v>350000</v>
      </c>
      <c r="M14" s="12">
        <v>350000</v>
      </c>
    </row>
    <row r="15" spans="1:18" x14ac:dyDescent="0.2">
      <c r="A15" s="7" t="s">
        <v>47</v>
      </c>
      <c r="B15" s="4">
        <v>-23078.446</v>
      </c>
      <c r="C15" s="4">
        <v>-12173.621999999999</v>
      </c>
      <c r="D15" s="4">
        <v>-50190.667000000001</v>
      </c>
      <c r="E15" s="4">
        <v>-32542.121999999999</v>
      </c>
      <c r="F15" s="4">
        <v>-21421.392</v>
      </c>
      <c r="G15" s="4">
        <v>-15950.378000000001</v>
      </c>
      <c r="H15" s="12">
        <f>-H8*H35</f>
        <v>-44890.327856639997</v>
      </c>
      <c r="I15" s="12">
        <f>H15*(1+I35)</f>
        <v>-45339.231135206399</v>
      </c>
      <c r="J15" s="12">
        <f>I15*(1+J35)</f>
        <v>-45792.623446558464</v>
      </c>
      <c r="K15" s="12">
        <f>J15*(1+K35)</f>
        <v>-46250.549681024051</v>
      </c>
      <c r="L15" s="12">
        <f>K15*(1+L35)</f>
        <v>-46713.055177834292</v>
      </c>
      <c r="M15" s="12">
        <f>L15*(1+M35)</f>
        <v>-47180.185729612633</v>
      </c>
    </row>
    <row r="16" spans="1:18" x14ac:dyDescent="0.2">
      <c r="A16" s="7" t="s">
        <v>48</v>
      </c>
      <c r="B16" s="4">
        <f>169783.219+171804.245</f>
        <v>341587.46400000004</v>
      </c>
      <c r="C16" s="4">
        <f>-77752.1-182919.421</f>
        <v>-260671.52100000001</v>
      </c>
      <c r="D16" s="4">
        <f>-347785.989-80804.191</f>
        <v>-428590.18</v>
      </c>
      <c r="E16" s="4">
        <f>-360581.483+78547.604</f>
        <v>-282033.87900000002</v>
      </c>
      <c r="F16" s="4">
        <f>-528495.319+2804.275</f>
        <v>-525691.04399999999</v>
      </c>
      <c r="G16" s="4">
        <f>-505216.322+2499.991</f>
        <v>-502716.33100000001</v>
      </c>
      <c r="H16" s="14">
        <f t="shared" ref="H16:M16" si="9">-H7*H36</f>
        <v>-617242.0080287999</v>
      </c>
      <c r="I16" s="14">
        <f t="shared" si="9"/>
        <v>-703655.88915283198</v>
      </c>
      <c r="J16" s="14">
        <f t="shared" si="9"/>
        <v>-802167.71363422833</v>
      </c>
      <c r="K16" s="14">
        <f t="shared" si="9"/>
        <v>-922492.87067936256</v>
      </c>
      <c r="L16" s="14">
        <f t="shared" si="9"/>
        <v>-1014742.1577472989</v>
      </c>
      <c r="M16" s="14">
        <f t="shared" si="9"/>
        <v>-1116216.373522029</v>
      </c>
    </row>
    <row r="17" spans="1:13" x14ac:dyDescent="0.2">
      <c r="A17" s="7" t="s">
        <v>49</v>
      </c>
      <c r="B17" s="4">
        <f>1048.159-314991.929</f>
        <v>-313943.77</v>
      </c>
      <c r="C17" s="4">
        <f>-24055.558+11940.913</f>
        <v>-12114.645</v>
      </c>
      <c r="D17" s="4">
        <f>61140.171+15010.694</f>
        <v>76150.865000000005</v>
      </c>
      <c r="E17" s="4">
        <f>-100700.06-18245.055</f>
        <v>-118945.11499999999</v>
      </c>
      <c r="F17" s="4">
        <f>93248.996+4496.813</f>
        <v>97745.808999999994</v>
      </c>
      <c r="G17" s="4">
        <f>77437.542+25737.309</f>
        <v>103174.851</v>
      </c>
      <c r="H17" s="12">
        <f t="shared" ref="H17:M17" si="10">H8*-H37</f>
        <v>-134670.98356991998</v>
      </c>
      <c r="I17" s="12">
        <f t="shared" si="10"/>
        <v>-153524.92126970878</v>
      </c>
      <c r="J17" s="12">
        <f t="shared" si="10"/>
        <v>-164079.75960700124</v>
      </c>
      <c r="K17" s="12">
        <f t="shared" si="10"/>
        <v>-188691.72354805141</v>
      </c>
      <c r="L17" s="12">
        <f t="shared" si="10"/>
        <v>-207560.89590285657</v>
      </c>
      <c r="M17" s="12">
        <f t="shared" si="10"/>
        <v>-228316.98549314227</v>
      </c>
    </row>
    <row r="18" spans="1:13" x14ac:dyDescent="0.2">
      <c r="A18" s="7" t="s">
        <v>55</v>
      </c>
      <c r="B18" s="4">
        <f t="shared" ref="B18:G18" si="11">SUM(B15:B17)</f>
        <v>4565.2480000000214</v>
      </c>
      <c r="C18" s="4">
        <f t="shared" si="11"/>
        <v>-284959.788</v>
      </c>
      <c r="D18" s="4">
        <f t="shared" si="11"/>
        <v>-402629.98200000002</v>
      </c>
      <c r="E18" s="4">
        <f t="shared" si="11"/>
        <v>-433521.11599999998</v>
      </c>
      <c r="F18" s="4">
        <f t="shared" si="11"/>
        <v>-449366.62699999998</v>
      </c>
      <c r="G18" s="4">
        <f t="shared" si="11"/>
        <v>-415491.85800000001</v>
      </c>
      <c r="H18" s="4">
        <f t="shared" ref="H18:M18" si="12">-H7*H32</f>
        <v>-561129.09820799995</v>
      </c>
      <c r="I18" s="4">
        <f t="shared" si="12"/>
        <v>-639687.17195711995</v>
      </c>
      <c r="J18" s="4">
        <f t="shared" si="12"/>
        <v>-729243.3760311167</v>
      </c>
      <c r="K18" s="4">
        <f t="shared" si="12"/>
        <v>-838629.88243578421</v>
      </c>
      <c r="L18" s="4">
        <f t="shared" si="12"/>
        <v>-922492.87067936268</v>
      </c>
      <c r="M18" s="4">
        <f t="shared" si="12"/>
        <v>-1014742.1577472991</v>
      </c>
    </row>
    <row r="19" spans="1:13" x14ac:dyDescent="0.2">
      <c r="A19" s="7" t="s">
        <v>45</v>
      </c>
      <c r="B19" s="4">
        <f t="shared" ref="B19:G19" si="13">B13+B14</f>
        <v>415226.8409999999</v>
      </c>
      <c r="C19" s="4">
        <f t="shared" si="13"/>
        <v>461967.97700000048</v>
      </c>
      <c r="D19" s="4">
        <f t="shared" si="13"/>
        <v>757815.3330000001</v>
      </c>
      <c r="E19" s="4">
        <f t="shared" si="13"/>
        <v>856526.99099999946</v>
      </c>
      <c r="F19" s="4">
        <f t="shared" si="13"/>
        <v>993400.85400000121</v>
      </c>
      <c r="G19" s="4">
        <f t="shared" si="13"/>
        <v>901083.88899999927</v>
      </c>
      <c r="H19" s="12">
        <f>G19*1.25</f>
        <v>1126354.8612499991</v>
      </c>
      <c r="I19" s="12">
        <f>H19*1.4</f>
        <v>1576896.8057499987</v>
      </c>
      <c r="J19" s="12">
        <f>I19*1.27</f>
        <v>2002658.9433024984</v>
      </c>
      <c r="K19" s="12">
        <f>J19*1.2</f>
        <v>2403190.7319629979</v>
      </c>
      <c r="L19" s="12">
        <f>K19*1.0015</f>
        <v>2406795.5180609426</v>
      </c>
      <c r="M19" s="12">
        <f>L19*1.0005</f>
        <v>2407998.9158199728</v>
      </c>
    </row>
    <row r="20" spans="1:13" x14ac:dyDescent="0.2">
      <c r="A20" s="7" t="s">
        <v>13</v>
      </c>
      <c r="B20" s="4">
        <f>-240308.196+61409.91+2655.004</f>
        <v>-176243.28200000001</v>
      </c>
      <c r="C20" s="4">
        <f>-210033.886+64154.806+8222.428</f>
        <v>-137656.652</v>
      </c>
      <c r="D20" s="4">
        <f>-209202.939+58468.706+21314.723</f>
        <v>-129419.51000000001</v>
      </c>
      <c r="E20" s="4">
        <f>+-210970.393+42190.735+21219.779</f>
        <v>-147559.87899999999</v>
      </c>
      <c r="F20" s="4">
        <f>-141320.558+15642.567+6157.283+18191.11</f>
        <v>-101329.598</v>
      </c>
      <c r="G20" s="4">
        <f>-149141.497-9970.45+16705.504</f>
        <v>-142406.44300000003</v>
      </c>
      <c r="H20" s="12">
        <v>-131674.41639999999</v>
      </c>
      <c r="I20" s="12">
        <v>-131674.41639999999</v>
      </c>
      <c r="J20" s="12">
        <v>-131674.41639999999</v>
      </c>
      <c r="K20" s="12">
        <v>-131674.41639999999</v>
      </c>
      <c r="L20" s="12">
        <v>-131674.41639999999</v>
      </c>
      <c r="M20" s="12">
        <v>-131674.41639999999</v>
      </c>
    </row>
    <row r="21" spans="1:13" x14ac:dyDescent="0.2">
      <c r="A21" s="7" t="s">
        <v>14</v>
      </c>
      <c r="B21" s="4">
        <f t="shared" ref="B21:M21" si="14">B13+B20</f>
        <v>-125081.49700000012</v>
      </c>
      <c r="C21" s="4">
        <f t="shared" si="14"/>
        <v>-34016.5629999995</v>
      </c>
      <c r="D21" s="4">
        <f t="shared" si="14"/>
        <v>234105.95200000011</v>
      </c>
      <c r="E21" s="4">
        <f t="shared" si="14"/>
        <v>354579.39299999957</v>
      </c>
      <c r="F21" s="4">
        <f t="shared" si="14"/>
        <v>540415.24200000125</v>
      </c>
      <c r="G21" s="4">
        <f t="shared" si="14"/>
        <v>398932.75499999925</v>
      </c>
      <c r="H21" s="12">
        <f t="shared" si="14"/>
        <v>373341.77198720002</v>
      </c>
      <c r="I21" s="12">
        <f t="shared" si="14"/>
        <v>508012.75555711973</v>
      </c>
      <c r="J21" s="12">
        <f t="shared" si="14"/>
        <v>1108039.3228528986</v>
      </c>
      <c r="K21" s="12">
        <f t="shared" si="14"/>
        <v>1293996.383740833</v>
      </c>
      <c r="L21" s="12">
        <f t="shared" si="14"/>
        <v>1436563.463754917</v>
      </c>
      <c r="M21" s="12">
        <f t="shared" si="14"/>
        <v>1593387.2517704088</v>
      </c>
    </row>
    <row r="22" spans="1:13" x14ac:dyDescent="0.2">
      <c r="A22" s="7" t="s">
        <v>15</v>
      </c>
      <c r="B22" s="4"/>
      <c r="C22" s="4"/>
      <c r="D22" s="4"/>
      <c r="E22" s="4"/>
      <c r="G22" s="4">
        <v>-38606.491000000002</v>
      </c>
      <c r="H22" s="12">
        <f t="shared" ref="H22:M22" si="15">-H21*0.09</f>
        <v>-33600.759478847998</v>
      </c>
      <c r="I22" s="12">
        <f t="shared" si="15"/>
        <v>-45721.148000140776</v>
      </c>
      <c r="J22" s="12">
        <f t="shared" si="15"/>
        <v>-99723.53905676087</v>
      </c>
      <c r="K22" s="12">
        <f t="shared" si="15"/>
        <v>-116459.67453667497</v>
      </c>
      <c r="L22" s="12">
        <f t="shared" si="15"/>
        <v>-129290.71173794253</v>
      </c>
      <c r="M22" s="12">
        <f t="shared" si="15"/>
        <v>-143404.85265933679</v>
      </c>
    </row>
    <row r="23" spans="1:13" x14ac:dyDescent="0.2">
      <c r="A23" s="7" t="s">
        <v>16</v>
      </c>
      <c r="B23" s="4">
        <f t="shared" ref="B23:M23" si="16">B21+B22</f>
        <v>-125081.49700000012</v>
      </c>
      <c r="C23" s="4">
        <f t="shared" si="16"/>
        <v>-34016.5629999995</v>
      </c>
      <c r="D23" s="4">
        <f t="shared" si="16"/>
        <v>234105.95200000011</v>
      </c>
      <c r="E23" s="4">
        <f t="shared" si="16"/>
        <v>354579.39299999957</v>
      </c>
      <c r="F23" s="4">
        <f t="shared" si="16"/>
        <v>540415.24200000125</v>
      </c>
      <c r="G23" s="4">
        <f t="shared" si="16"/>
        <v>360326.26399999927</v>
      </c>
      <c r="H23" s="12">
        <f t="shared" si="16"/>
        <v>339741.012508352</v>
      </c>
      <c r="I23" s="12">
        <f t="shared" si="16"/>
        <v>462291.60755697894</v>
      </c>
      <c r="J23" s="12">
        <f t="shared" si="16"/>
        <v>1008315.7837961378</v>
      </c>
      <c r="K23" s="12">
        <f t="shared" si="16"/>
        <v>1177536.709204158</v>
      </c>
      <c r="L23" s="12">
        <f t="shared" si="16"/>
        <v>1307272.7520169746</v>
      </c>
      <c r="M23" s="12">
        <f t="shared" si="16"/>
        <v>1449982.3991110721</v>
      </c>
    </row>
    <row r="24" spans="1:13" x14ac:dyDescent="0.2">
      <c r="A24" s="7" t="s">
        <v>17</v>
      </c>
      <c r="B24" s="3"/>
      <c r="C24" s="3"/>
      <c r="D24" s="3">
        <f>D23/D25</f>
        <v>4.4975986032477669E-2</v>
      </c>
      <c r="E24" s="3">
        <f>E23/E25</f>
        <v>6.8121099130186921E-2</v>
      </c>
      <c r="F24" s="3">
        <f>F23/F25</f>
        <v>0.10382349884381246</v>
      </c>
      <c r="G24" s="3">
        <f>G23/G25</f>
        <v>6.9225163441631987E-2</v>
      </c>
      <c r="H24" s="3">
        <f t="shared" ref="H24:M24" si="17">H23/H25</f>
        <v>6.5270365966762431E-2</v>
      </c>
      <c r="I24" s="3">
        <f t="shared" si="17"/>
        <v>8.8814541953085954E-2</v>
      </c>
      <c r="J24" s="3">
        <f t="shared" si="17"/>
        <v>0.19371561806015075</v>
      </c>
      <c r="K24" s="3">
        <f t="shared" si="17"/>
        <v>0.22622600486646594</v>
      </c>
      <c r="L24" s="3">
        <f t="shared" si="17"/>
        <v>0.25115063475130778</v>
      </c>
      <c r="M24" s="3">
        <f t="shared" si="17"/>
        <v>0.27856772762463367</v>
      </c>
    </row>
    <row r="25" spans="1:13" x14ac:dyDescent="0.2">
      <c r="A25" s="7" t="s">
        <v>18</v>
      </c>
      <c r="B25" s="4"/>
      <c r="C25" s="4"/>
      <c r="D25" s="4">
        <v>5205132.1749999998</v>
      </c>
      <c r="E25" s="4">
        <v>5205133.1749999998</v>
      </c>
      <c r="F25" s="4">
        <v>5205134.1749999998</v>
      </c>
      <c r="G25" s="4">
        <v>5205134.1749999998</v>
      </c>
      <c r="H25" s="4">
        <v>5205134.1749999998</v>
      </c>
      <c r="I25" s="4">
        <v>5205134.1749999998</v>
      </c>
      <c r="J25" s="4">
        <v>5205134.1749999998</v>
      </c>
      <c r="K25" s="4">
        <v>5205134.1749999998</v>
      </c>
      <c r="L25" s="4">
        <v>5205134.1749999998</v>
      </c>
      <c r="M25" s="4">
        <v>5205134.1749999998</v>
      </c>
    </row>
    <row r="26" spans="1:13" x14ac:dyDescent="0.2">
      <c r="A26" s="8"/>
      <c r="B26" s="4"/>
      <c r="C26" s="4"/>
      <c r="D26" s="4"/>
      <c r="E26" s="4"/>
      <c r="H26" s="12"/>
      <c r="I26" s="12"/>
      <c r="J26" s="12"/>
      <c r="K26" s="12"/>
      <c r="L26" s="12"/>
      <c r="M26" s="12"/>
    </row>
    <row r="27" spans="1:13" x14ac:dyDescent="0.2">
      <c r="A27" s="7" t="s">
        <v>19</v>
      </c>
      <c r="B27" s="4"/>
      <c r="C27" s="10">
        <f t="shared" ref="C27:M27" si="18">(C7-B7)/B7</f>
        <v>7.6280635387612428E-2</v>
      </c>
      <c r="D27" s="10">
        <f t="shared" si="18"/>
        <v>0.28628775769403147</v>
      </c>
      <c r="E27" s="10">
        <f t="shared" si="18"/>
        <v>0.17099997373493583</v>
      </c>
      <c r="F27" s="10">
        <f t="shared" si="18"/>
        <v>0.15570726865053824</v>
      </c>
      <c r="G27" s="10">
        <f t="shared" si="18"/>
        <v>0.10475695876927747</v>
      </c>
      <c r="H27" s="15">
        <f t="shared" si="18"/>
        <v>0.12000000000000008</v>
      </c>
      <c r="I27" s="15">
        <f t="shared" si="18"/>
        <v>0.13999999999999996</v>
      </c>
      <c r="J27" s="15">
        <f t="shared" si="18"/>
        <v>0.13999999999999993</v>
      </c>
      <c r="K27" s="15">
        <f t="shared" si="18"/>
        <v>0.14999999999999991</v>
      </c>
      <c r="L27" s="15">
        <f t="shared" si="18"/>
        <v>0.10000000000000017</v>
      </c>
      <c r="M27" s="15">
        <f t="shared" si="18"/>
        <v>0.1000000000000001</v>
      </c>
    </row>
    <row r="28" spans="1:13" x14ac:dyDescent="0.2">
      <c r="A28" s="1" t="s">
        <v>28</v>
      </c>
      <c r="B28" s="9">
        <f t="shared" ref="B28:M28" si="19">B9/B7</f>
        <v>0.11324994673728496</v>
      </c>
      <c r="C28" s="9">
        <f t="shared" si="19"/>
        <v>0.13145896001768234</v>
      </c>
      <c r="D28" s="9">
        <f t="shared" si="19"/>
        <v>0.19593382051801578</v>
      </c>
      <c r="E28" s="9">
        <f t="shared" si="19"/>
        <v>0.2143100260553395</v>
      </c>
      <c r="F28" s="9">
        <f t="shared" si="19"/>
        <v>0.23288825948428796</v>
      </c>
      <c r="G28" s="9">
        <f t="shared" si="19"/>
        <v>0.21529056788143874</v>
      </c>
      <c r="H28" s="16">
        <f t="shared" si="19"/>
        <v>0.2</v>
      </c>
      <c r="I28" s="16">
        <f t="shared" si="19"/>
        <v>0.19999999999999998</v>
      </c>
      <c r="J28" s="16">
        <f t="shared" si="19"/>
        <v>0.25000000000000006</v>
      </c>
      <c r="K28" s="16">
        <f t="shared" si="19"/>
        <v>0.25</v>
      </c>
      <c r="L28" s="16">
        <f t="shared" si="19"/>
        <v>0.25000000000000006</v>
      </c>
      <c r="M28" s="16">
        <f t="shared" si="19"/>
        <v>0.25000000000000006</v>
      </c>
    </row>
    <row r="29" spans="1:13" s="9" customFormat="1" x14ac:dyDescent="0.2">
      <c r="A29" s="7" t="s">
        <v>27</v>
      </c>
      <c r="B29" s="9">
        <f t="shared" ref="B29:M29" si="20">B23/B7</f>
        <v>-5.1675351720087311E-2</v>
      </c>
      <c r="C29" s="9">
        <f t="shared" si="20"/>
        <v>-1.3057356910330586E-2</v>
      </c>
      <c r="D29" s="9">
        <f t="shared" si="20"/>
        <v>6.986170230011414E-2</v>
      </c>
      <c r="E29" s="9">
        <f t="shared" si="20"/>
        <v>9.0361475769971222E-2</v>
      </c>
      <c r="F29" s="9">
        <f t="shared" si="20"/>
        <v>0.11916523332453507</v>
      </c>
      <c r="G29" s="9">
        <f t="shared" si="20"/>
        <v>7.192024383850526E-2</v>
      </c>
      <c r="H29" s="16">
        <f t="shared" si="20"/>
        <v>6.05459623450888E-2</v>
      </c>
      <c r="I29" s="16">
        <f t="shared" si="20"/>
        <v>7.2268388022007676E-2</v>
      </c>
      <c r="J29" s="16">
        <f t="shared" si="20"/>
        <v>0.13826876142281383</v>
      </c>
      <c r="K29" s="16">
        <f t="shared" si="20"/>
        <v>0.14041196645462067</v>
      </c>
      <c r="L29" s="16">
        <f t="shared" si="20"/>
        <v>0.14171087859510978</v>
      </c>
      <c r="M29" s="16">
        <f t="shared" si="20"/>
        <v>0.14289170781373614</v>
      </c>
    </row>
    <row r="30" spans="1:13" s="9" customFormat="1" x14ac:dyDescent="0.2">
      <c r="A30" s="7"/>
      <c r="H30" s="16"/>
      <c r="I30" s="16"/>
      <c r="J30" s="16"/>
      <c r="K30" s="16"/>
      <c r="L30" s="16"/>
      <c r="M30" s="16"/>
    </row>
    <row r="31" spans="1:13" x14ac:dyDescent="0.2">
      <c r="A31" s="7" t="s">
        <v>46</v>
      </c>
      <c r="B31" s="9">
        <f t="shared" ref="B31:M31" si="21">B19/B7</f>
        <v>0.17154410178106314</v>
      </c>
      <c r="C31" s="9">
        <f t="shared" si="21"/>
        <v>0.17732775521243829</v>
      </c>
      <c r="D31" s="9">
        <f t="shared" si="21"/>
        <v>0.22614661754737381</v>
      </c>
      <c r="E31" s="9">
        <f t="shared" si="21"/>
        <v>0.21827845743865013</v>
      </c>
      <c r="F31" s="9">
        <f t="shared" si="21"/>
        <v>0.21905163909441006</v>
      </c>
      <c r="G31" s="9">
        <f t="shared" si="21"/>
        <v>0.17985414745073561</v>
      </c>
      <c r="H31" s="16">
        <f t="shared" si="21"/>
        <v>0.20073007527983885</v>
      </c>
      <c r="I31" s="16">
        <f t="shared" si="21"/>
        <v>0.24651061876471436</v>
      </c>
      <c r="J31" s="16">
        <f t="shared" si="21"/>
        <v>0.27462147879928706</v>
      </c>
      <c r="K31" s="16">
        <f t="shared" si="21"/>
        <v>0.28656154309490828</v>
      </c>
      <c r="L31" s="16">
        <f t="shared" si="21"/>
        <v>0.26090125946322784</v>
      </c>
      <c r="M31" s="16">
        <f t="shared" si="21"/>
        <v>0.23730155462996305</v>
      </c>
    </row>
    <row r="32" spans="1:13" x14ac:dyDescent="0.2">
      <c r="A32" s="7" t="s">
        <v>56</v>
      </c>
      <c r="B32" s="9">
        <f>B18/B7</f>
        <v>1.8860567050091031E-3</v>
      </c>
      <c r="C32" s="9">
        <f>-C18/C7</f>
        <v>0.10938264565435941</v>
      </c>
      <c r="D32" s="9">
        <f>-D18/D7</f>
        <v>0.12015250231478226</v>
      </c>
      <c r="E32" s="9">
        <f>-E18/E7</f>
        <v>0.11047908759662445</v>
      </c>
      <c r="F32" s="9">
        <f>-F18/F7</f>
        <v>9.9088394984081882E-2</v>
      </c>
      <c r="G32" s="9">
        <f>-G18/G7</f>
        <v>8.2931161910178339E-2</v>
      </c>
      <c r="H32" s="16">
        <v>0.1</v>
      </c>
      <c r="I32" s="16">
        <v>0.1</v>
      </c>
      <c r="J32" s="16">
        <v>0.1</v>
      </c>
      <c r="K32" s="16">
        <v>0.1</v>
      </c>
      <c r="L32" s="16">
        <v>0.1</v>
      </c>
      <c r="M32" s="16">
        <v>0.1</v>
      </c>
    </row>
    <row r="33" spans="1:15" x14ac:dyDescent="0.2">
      <c r="A33" s="7" t="s">
        <v>54</v>
      </c>
      <c r="B33" s="9">
        <f t="shared" ref="B33:G33" si="22">B12/B7</f>
        <v>9.211330144671509E-2</v>
      </c>
      <c r="C33" s="9">
        <f t="shared" si="22"/>
        <v>9.1676409608593287E-2</v>
      </c>
      <c r="D33" s="9">
        <f t="shared" si="22"/>
        <v>8.7450856339661806E-2</v>
      </c>
      <c r="E33" s="9">
        <f t="shared" si="22"/>
        <v>8.6344197934078645E-2</v>
      </c>
      <c r="F33" s="9">
        <f t="shared" si="22"/>
        <v>9.137916120201485E-2</v>
      </c>
      <c r="G33" s="9">
        <f t="shared" si="22"/>
        <v>0.10724058371625199</v>
      </c>
      <c r="H33" s="16">
        <v>0.11</v>
      </c>
      <c r="I33" s="16">
        <v>0.1</v>
      </c>
      <c r="J33" s="16">
        <v>0.08</v>
      </c>
      <c r="K33" s="16">
        <v>0.08</v>
      </c>
      <c r="L33" s="16">
        <v>0.08</v>
      </c>
      <c r="M33" s="16">
        <v>0.08</v>
      </c>
    </row>
    <row r="34" spans="1:15" x14ac:dyDescent="0.2">
      <c r="A34" s="7" t="s">
        <v>53</v>
      </c>
      <c r="B34" s="9">
        <f t="shared" ref="B34:G34" si="23">B8/B7</f>
        <v>0.88675005326271505</v>
      </c>
      <c r="C34" s="9">
        <f t="shared" si="23"/>
        <v>0.86854103998231769</v>
      </c>
      <c r="D34" s="9">
        <f t="shared" si="23"/>
        <v>0.80406617948198422</v>
      </c>
      <c r="E34" s="9">
        <f t="shared" si="23"/>
        <v>0.78568997394466056</v>
      </c>
      <c r="F34" s="9">
        <f t="shared" si="23"/>
        <v>0.76711174051571207</v>
      </c>
      <c r="G34" s="9">
        <f t="shared" si="23"/>
        <v>0.78470943211856126</v>
      </c>
      <c r="H34" s="16">
        <v>0.8</v>
      </c>
      <c r="I34" s="16">
        <v>0.8</v>
      </c>
      <c r="J34" s="16">
        <v>0.75</v>
      </c>
      <c r="K34" s="16">
        <v>0.75</v>
      </c>
      <c r="L34" s="16">
        <v>0.75</v>
      </c>
      <c r="M34" s="16">
        <v>0.75</v>
      </c>
    </row>
    <row r="35" spans="1:15" x14ac:dyDescent="0.2">
      <c r="A35" s="7" t="s">
        <v>50</v>
      </c>
      <c r="B35" s="11">
        <f t="shared" ref="B35:G35" si="24">-B15/B8</f>
        <v>1.0752159785661519E-2</v>
      </c>
      <c r="C35" s="11">
        <f t="shared" si="24"/>
        <v>5.3801491139998372E-3</v>
      </c>
      <c r="D35" s="11">
        <f t="shared" si="24"/>
        <v>1.8627641890280384E-2</v>
      </c>
      <c r="E35" s="11">
        <f t="shared" si="24"/>
        <v>1.0555151728759338E-2</v>
      </c>
      <c r="F35" s="11">
        <f t="shared" si="24"/>
        <v>6.1575938138271492E-3</v>
      </c>
      <c r="G35" s="11">
        <f t="shared" si="24"/>
        <v>4.0571151974661823E-3</v>
      </c>
      <c r="H35" s="16">
        <v>0.01</v>
      </c>
      <c r="I35" s="16">
        <v>0.01</v>
      </c>
      <c r="J35" s="16">
        <v>0.01</v>
      </c>
      <c r="K35" s="16">
        <v>0.01</v>
      </c>
      <c r="L35" s="16">
        <v>0.01</v>
      </c>
      <c r="M35" s="16">
        <v>0.01</v>
      </c>
    </row>
    <row r="36" spans="1:15" x14ac:dyDescent="0.2">
      <c r="A36" s="7" t="s">
        <v>51</v>
      </c>
      <c r="B36" s="9">
        <f>B16/B7</f>
        <v>0.14112121112023984</v>
      </c>
      <c r="C36" s="9">
        <f>-C16/C7</f>
        <v>0.10005952353433781</v>
      </c>
      <c r="D36" s="9">
        <f>-D16/D7</f>
        <v>0.12789952287890707</v>
      </c>
      <c r="E36" s="9">
        <f>-E16/E7</f>
        <v>7.1873882201522993E-2</v>
      </c>
      <c r="F36" s="9">
        <f>-F16/F7</f>
        <v>0.11591844760529216</v>
      </c>
      <c r="G36" s="9">
        <f>-G16/G7</f>
        <v>0.10034095407244251</v>
      </c>
      <c r="H36" s="16">
        <v>0.11</v>
      </c>
      <c r="I36" s="16">
        <v>0.11</v>
      </c>
      <c r="J36" s="16">
        <v>0.11</v>
      </c>
      <c r="K36" s="16">
        <v>0.11</v>
      </c>
      <c r="L36" s="16">
        <v>0.11</v>
      </c>
      <c r="M36" s="16">
        <v>0.11</v>
      </c>
    </row>
    <row r="37" spans="1:15" x14ac:dyDescent="0.2">
      <c r="A37" s="7" t="s">
        <v>52</v>
      </c>
      <c r="B37" s="9">
        <f>-B17/B8</f>
        <v>0.14626520255102832</v>
      </c>
      <c r="C37" s="9">
        <f>-C17/C8</f>
        <v>5.3540841471151771E-3</v>
      </c>
      <c r="D37" s="9">
        <f>D17/D8</f>
        <v>2.8262446539215873E-2</v>
      </c>
      <c r="E37" s="9">
        <f>-E17/E8</f>
        <v>3.8580266407326737E-2</v>
      </c>
      <c r="F37" s="9">
        <f>F17/F8</f>
        <v>2.8097099797526233E-2</v>
      </c>
      <c r="G37" s="9">
        <f>G17/G8</f>
        <v>2.6243406644557821E-2</v>
      </c>
      <c r="H37" s="16">
        <v>0.03</v>
      </c>
      <c r="I37" s="16">
        <v>0.03</v>
      </c>
      <c r="J37" s="16">
        <v>0.03</v>
      </c>
      <c r="K37" s="16">
        <v>0.03</v>
      </c>
      <c r="L37" s="16">
        <v>0.03</v>
      </c>
      <c r="M37" s="16">
        <v>0.03</v>
      </c>
    </row>
    <row r="38" spans="1:15" x14ac:dyDescent="0.2">
      <c r="A38" s="7" t="s">
        <v>71</v>
      </c>
      <c r="B38" s="11">
        <f>-B43/B7</f>
        <v>5.0129614116429929E-3</v>
      </c>
      <c r="C38" s="11">
        <f t="shared" ref="C38:G38" si="25">-C43/C7</f>
        <v>4.207411815653911E-3</v>
      </c>
      <c r="D38" s="11">
        <f t="shared" si="25"/>
        <v>4.3527419146928157E-3</v>
      </c>
      <c r="E38" s="11">
        <f t="shared" si="25"/>
        <v>4.1827103635786846E-3</v>
      </c>
      <c r="F38" s="11">
        <f t="shared" si="25"/>
        <v>4.9329575251009809E-3</v>
      </c>
      <c r="G38" s="11">
        <f t="shared" si="25"/>
        <v>5.292329357867654E-3</v>
      </c>
      <c r="H38" s="15">
        <v>5.0000000000000001E-3</v>
      </c>
      <c r="I38" s="15">
        <v>5.0000000000000001E-3</v>
      </c>
      <c r="J38" s="15">
        <v>5.0000000000000001E-3</v>
      </c>
      <c r="K38" s="15">
        <v>5.0000000000000001E-3</v>
      </c>
      <c r="L38" s="15">
        <v>5.0000000000000001E-3</v>
      </c>
      <c r="M38" s="15">
        <v>5.0000000000000001E-3</v>
      </c>
    </row>
    <row r="39" spans="1:15" x14ac:dyDescent="0.2">
      <c r="A39" s="7" t="s">
        <v>72</v>
      </c>
      <c r="B39" s="11">
        <f>B44/B20</f>
        <v>1.1297395154046213</v>
      </c>
      <c r="C39" s="11">
        <f t="shared" ref="C39:G39" si="26">C44/C20</f>
        <v>1.0157300643923841</v>
      </c>
      <c r="D39" s="11">
        <f t="shared" si="26"/>
        <v>1.1991236869927879</v>
      </c>
      <c r="E39" s="11">
        <f t="shared" si="26"/>
        <v>1.0723578866583376</v>
      </c>
      <c r="F39" s="11">
        <f t="shared" si="26"/>
        <v>0.86064685660748408</v>
      </c>
      <c r="G39" s="11">
        <f t="shared" si="26"/>
        <v>0.60978982531008086</v>
      </c>
      <c r="H39" s="15">
        <v>0.65</v>
      </c>
      <c r="I39" s="15">
        <v>0.65</v>
      </c>
      <c r="J39" s="15">
        <v>0.65</v>
      </c>
      <c r="K39" s="15">
        <v>0.65</v>
      </c>
      <c r="L39" s="15">
        <v>0.65</v>
      </c>
      <c r="M39" s="15">
        <v>0.65</v>
      </c>
    </row>
    <row r="40" spans="1:15" x14ac:dyDescent="0.2">
      <c r="A40" s="7"/>
      <c r="B40" s="11"/>
      <c r="C40" s="11"/>
      <c r="D40" s="11"/>
      <c r="E40" s="11"/>
      <c r="F40" s="11"/>
      <c r="G40" s="11"/>
      <c r="H40" s="15"/>
      <c r="I40" s="15"/>
      <c r="J40" s="15"/>
      <c r="K40" s="15"/>
      <c r="L40" s="15"/>
      <c r="M40" s="15"/>
    </row>
    <row r="41" spans="1:15" x14ac:dyDescent="0.2">
      <c r="A41" s="7" t="s">
        <v>70</v>
      </c>
      <c r="B41" s="9">
        <f t="shared" ref="B41" si="27">B42/B19</f>
        <v>1.2582279092116786</v>
      </c>
      <c r="C41" s="9">
        <f t="shared" ref="C41" si="28">C42/C19</f>
        <v>0.67893667010603131</v>
      </c>
      <c r="D41" s="9">
        <f t="shared" ref="D41" si="29">D42/D19</f>
        <v>0.65640661825986035</v>
      </c>
      <c r="E41" s="9">
        <f t="shared" ref="E41" si="30">E42/E19</f>
        <v>0.62214618523329213</v>
      </c>
      <c r="F41" s="9">
        <f>F42/F19</f>
        <v>0.67981922632814562</v>
      </c>
      <c r="G41" s="9">
        <f>G42/G19</f>
        <v>0.68075015821307228</v>
      </c>
      <c r="H41" s="16">
        <v>0.55000000000000004</v>
      </c>
      <c r="I41" s="16">
        <v>0.55000000000000004</v>
      </c>
      <c r="J41" s="16">
        <v>0.55000000000000004</v>
      </c>
      <c r="K41" s="16">
        <v>0.55000000000000004</v>
      </c>
      <c r="L41" s="16">
        <v>0.55000000000000004</v>
      </c>
      <c r="M41" s="16">
        <v>0.55000000000000004</v>
      </c>
    </row>
    <row r="42" spans="1:15" s="3" customFormat="1" x14ac:dyDescent="0.2">
      <c r="A42" s="18" t="s">
        <v>66</v>
      </c>
      <c r="B42" s="4">
        <v>522450</v>
      </c>
      <c r="C42" s="4">
        <v>313647</v>
      </c>
      <c r="D42" s="4">
        <v>497435</v>
      </c>
      <c r="E42" s="4">
        <v>532885</v>
      </c>
      <c r="F42" s="4">
        <v>675333</v>
      </c>
      <c r="G42" s="4">
        <v>613413</v>
      </c>
      <c r="H42" s="12">
        <f>H41*H19</f>
        <v>619495.1736874996</v>
      </c>
      <c r="I42" s="12">
        <f t="shared" ref="I42:M42" si="31">I41*I19</f>
        <v>867293.24316249939</v>
      </c>
      <c r="J42" s="12">
        <f t="shared" si="31"/>
        <v>1101462.4188163741</v>
      </c>
      <c r="K42" s="12">
        <f t="shared" si="31"/>
        <v>1321754.9025796489</v>
      </c>
      <c r="L42" s="12">
        <f t="shared" si="31"/>
        <v>1323737.5349335186</v>
      </c>
      <c r="M42" s="12">
        <f t="shared" si="31"/>
        <v>1324399.403700985</v>
      </c>
    </row>
    <row r="43" spans="1:15" x14ac:dyDescent="0.2">
      <c r="A43" s="7" t="s">
        <v>67</v>
      </c>
      <c r="B43" s="4">
        <v>-12134</v>
      </c>
      <c r="C43" s="4">
        <v>-10961</v>
      </c>
      <c r="D43" s="4">
        <v>-14586</v>
      </c>
      <c r="E43" s="4">
        <v>-16413</v>
      </c>
      <c r="F43" s="4">
        <v>-22371</v>
      </c>
      <c r="G43" s="4">
        <v>-26515</v>
      </c>
      <c r="H43" s="12">
        <f>-H38*H7</f>
        <v>-28056.4549104</v>
      </c>
      <c r="I43" s="12">
        <f t="shared" ref="I43:M43" si="32">-I38*I7</f>
        <v>-31984.358597855997</v>
      </c>
      <c r="J43" s="12">
        <f t="shared" si="32"/>
        <v>-36462.168801555832</v>
      </c>
      <c r="K43" s="12">
        <f t="shared" si="32"/>
        <v>-41931.494121789205</v>
      </c>
      <c r="L43" s="12">
        <f t="shared" si="32"/>
        <v>-46124.643533968134</v>
      </c>
      <c r="M43" s="12">
        <f t="shared" si="32"/>
        <v>-50737.107887364953</v>
      </c>
    </row>
    <row r="44" spans="1:15" x14ac:dyDescent="0.2">
      <c r="A44" s="7" t="s">
        <v>68</v>
      </c>
      <c r="B44" s="4">
        <v>-199109</v>
      </c>
      <c r="C44" s="4">
        <v>-139822</v>
      </c>
      <c r="D44" s="4">
        <v>-155190</v>
      </c>
      <c r="E44" s="4">
        <v>-158237</v>
      </c>
      <c r="F44" s="4">
        <v>-87209</v>
      </c>
      <c r="G44" s="4">
        <v>-86838</v>
      </c>
      <c r="H44" s="12">
        <f>H20*H39</f>
        <v>-85588.37066</v>
      </c>
      <c r="I44" s="12">
        <f t="shared" ref="I44:M44" si="33">I20*I39</f>
        <v>-85588.37066</v>
      </c>
      <c r="J44" s="12">
        <f t="shared" si="33"/>
        <v>-85588.37066</v>
      </c>
      <c r="K44" s="12">
        <f t="shared" si="33"/>
        <v>-85588.37066</v>
      </c>
      <c r="L44" s="12">
        <f t="shared" si="33"/>
        <v>-85588.37066</v>
      </c>
      <c r="M44" s="12">
        <f t="shared" si="33"/>
        <v>-85588.37066</v>
      </c>
    </row>
    <row r="45" spans="1:15" x14ac:dyDescent="0.2">
      <c r="A45" s="7" t="s">
        <v>69</v>
      </c>
      <c r="B45" s="4"/>
      <c r="C45" s="4"/>
      <c r="D45" s="4"/>
      <c r="E45" s="4"/>
      <c r="F45" s="9"/>
      <c r="G45" s="19">
        <v>-541</v>
      </c>
      <c r="H45" s="19">
        <v>-541</v>
      </c>
      <c r="I45" s="19">
        <v>-541</v>
      </c>
      <c r="J45" s="19">
        <v>-541</v>
      </c>
      <c r="K45" s="19">
        <v>-541</v>
      </c>
      <c r="L45" s="19">
        <v>-541</v>
      </c>
      <c r="M45" s="19">
        <v>-541</v>
      </c>
    </row>
    <row r="46" spans="1:15" x14ac:dyDescent="0.2">
      <c r="A46" s="7" t="s">
        <v>20</v>
      </c>
      <c r="B46" s="4">
        <f t="shared" ref="B46:C46" si="34">SUM(B42:B44)</f>
        <v>311207</v>
      </c>
      <c r="C46" s="4">
        <f t="shared" si="34"/>
        <v>162864</v>
      </c>
      <c r="D46" s="4">
        <f>SUM(D42:D44)</f>
        <v>327659</v>
      </c>
      <c r="E46" s="4">
        <f>SUM(E42:E44)</f>
        <v>358235</v>
      </c>
      <c r="F46" s="4">
        <f>SUM(F42:F45)</f>
        <v>565753</v>
      </c>
      <c r="G46" s="4">
        <f>SUM(G42:G45)</f>
        <v>499519</v>
      </c>
      <c r="H46" s="12">
        <f>SUM(H42:H45)</f>
        <v>505309.34811709961</v>
      </c>
      <c r="I46" s="12">
        <f t="shared" ref="I46:M46" si="35">SUM(I42:I45)</f>
        <v>749179.51390464336</v>
      </c>
      <c r="J46" s="12">
        <f t="shared" si="35"/>
        <v>978870.87935481826</v>
      </c>
      <c r="K46" s="12">
        <f t="shared" si="35"/>
        <v>1193694.0377978596</v>
      </c>
      <c r="L46" s="12">
        <f t="shared" si="35"/>
        <v>1191483.5207395505</v>
      </c>
      <c r="M46" s="12">
        <f t="shared" si="35"/>
        <v>1187532.9251536201</v>
      </c>
    </row>
    <row r="47" spans="1:15" x14ac:dyDescent="0.2">
      <c r="A47" s="7" t="s">
        <v>21</v>
      </c>
      <c r="B47" s="4">
        <v>46737</v>
      </c>
      <c r="C47" s="4">
        <v>35454</v>
      </c>
      <c r="D47" s="4">
        <v>68079</v>
      </c>
      <c r="E47" s="4">
        <v>72544</v>
      </c>
      <c r="F47" s="4">
        <v>144408.69200000001</v>
      </c>
      <c r="G47" s="4">
        <v>214635.285</v>
      </c>
      <c r="H47" s="12">
        <v>300000</v>
      </c>
      <c r="I47" s="12">
        <v>450000</v>
      </c>
      <c r="J47" s="12">
        <v>250000</v>
      </c>
      <c r="K47" s="12">
        <v>250000</v>
      </c>
      <c r="L47" s="12">
        <v>250000</v>
      </c>
      <c r="M47" s="12">
        <v>250000</v>
      </c>
    </row>
    <row r="48" spans="1:15" x14ac:dyDescent="0.2">
      <c r="A48" s="7" t="s">
        <v>22</v>
      </c>
      <c r="B48" s="4">
        <f t="shared" ref="B48:G48" si="36">B46-B47</f>
        <v>264470</v>
      </c>
      <c r="C48" s="4">
        <f t="shared" si="36"/>
        <v>127410</v>
      </c>
      <c r="D48" s="4">
        <f t="shared" si="36"/>
        <v>259580</v>
      </c>
      <c r="E48" s="4">
        <f t="shared" si="36"/>
        <v>285691</v>
      </c>
      <c r="F48" s="4">
        <f t="shared" si="36"/>
        <v>421344.30799999996</v>
      </c>
      <c r="G48" s="4">
        <f t="shared" si="36"/>
        <v>284883.71499999997</v>
      </c>
      <c r="H48" s="4">
        <f t="shared" ref="H48:M48" si="37">H46-H47</f>
        <v>205309.34811709961</v>
      </c>
      <c r="I48" s="4">
        <f t="shared" si="37"/>
        <v>299179.51390464336</v>
      </c>
      <c r="J48" s="4">
        <f t="shared" si="37"/>
        <v>728870.87935481826</v>
      </c>
      <c r="K48" s="4">
        <f t="shared" si="37"/>
        <v>943694.03779785964</v>
      </c>
      <c r="L48" s="4">
        <f t="shared" si="37"/>
        <v>941483.52073955047</v>
      </c>
      <c r="M48" s="4">
        <f t="shared" si="37"/>
        <v>937532.92515362008</v>
      </c>
      <c r="O48" s="9"/>
    </row>
    <row r="49" spans="1:15" x14ac:dyDescent="0.2">
      <c r="A49" s="7" t="s">
        <v>57</v>
      </c>
      <c r="B49" s="4">
        <f>B48/(1+$K$56)^B50</f>
        <v>246362.36609222172</v>
      </c>
      <c r="C49" s="4">
        <f t="shared" ref="C49:M49" si="38">C48/(1+$K$56)^C50</f>
        <v>110560.35338355164</v>
      </c>
      <c r="D49" s="4">
        <f t="shared" si="38"/>
        <v>209828.79268003412</v>
      </c>
      <c r="E49" s="4">
        <f t="shared" si="38"/>
        <v>215123.75212522782</v>
      </c>
      <c r="F49" s="4">
        <f t="shared" si="38"/>
        <v>295547.22604394989</v>
      </c>
      <c r="G49" s="4">
        <f t="shared" si="38"/>
        <v>186146.69570377213</v>
      </c>
      <c r="H49" s="4">
        <f t="shared" si="38"/>
        <v>124966.72333828708</v>
      </c>
      <c r="I49" s="4">
        <f t="shared" si="38"/>
        <v>169634.99957610649</v>
      </c>
      <c r="J49" s="4">
        <f t="shared" si="38"/>
        <v>384974.67429191124</v>
      </c>
      <c r="K49" s="4">
        <f t="shared" si="38"/>
        <v>464312.87183479173</v>
      </c>
      <c r="L49" s="4">
        <f t="shared" si="38"/>
        <v>431509.32590287906</v>
      </c>
      <c r="M49" s="4">
        <f t="shared" si="38"/>
        <v>400278.20479989814</v>
      </c>
      <c r="O49" s="9"/>
    </row>
    <row r="50" spans="1:15" x14ac:dyDescent="0.2">
      <c r="A50" s="7"/>
      <c r="B50" s="4">
        <v>1</v>
      </c>
      <c r="C50" s="4">
        <f>B50+1</f>
        <v>2</v>
      </c>
      <c r="D50" s="4">
        <f t="shared" ref="D50:M50" si="39">C50+1</f>
        <v>3</v>
      </c>
      <c r="E50" s="4">
        <f t="shared" si="39"/>
        <v>4</v>
      </c>
      <c r="F50" s="4">
        <f t="shared" si="39"/>
        <v>5</v>
      </c>
      <c r="G50" s="4">
        <f t="shared" si="39"/>
        <v>6</v>
      </c>
      <c r="H50" s="4">
        <f t="shared" si="39"/>
        <v>7</v>
      </c>
      <c r="I50" s="4">
        <f t="shared" si="39"/>
        <v>8</v>
      </c>
      <c r="J50" s="4">
        <f t="shared" si="39"/>
        <v>9</v>
      </c>
      <c r="K50" s="4">
        <f t="shared" si="39"/>
        <v>10</v>
      </c>
      <c r="L50" s="4">
        <f t="shared" si="39"/>
        <v>11</v>
      </c>
      <c r="M50" s="4">
        <f t="shared" si="39"/>
        <v>12</v>
      </c>
    </row>
    <row r="51" spans="1:15" x14ac:dyDescent="0.2">
      <c r="B51" s="4"/>
      <c r="C51" s="4"/>
      <c r="D51" s="4"/>
      <c r="E51" s="4"/>
      <c r="O51" s="9"/>
    </row>
    <row r="52" spans="1:15" x14ac:dyDescent="0.2">
      <c r="A52" s="1" t="s">
        <v>23</v>
      </c>
      <c r="B52" s="4">
        <v>145</v>
      </c>
      <c r="C52" s="4">
        <v>145</v>
      </c>
      <c r="D52" s="4">
        <v>145</v>
      </c>
      <c r="E52" s="4">
        <v>145</v>
      </c>
      <c r="F52" s="4">
        <v>145</v>
      </c>
      <c r="G52" s="4">
        <v>163</v>
      </c>
      <c r="O52" s="3"/>
    </row>
    <row r="53" spans="1:15" x14ac:dyDescent="0.2">
      <c r="A53" s="1" t="s">
        <v>24</v>
      </c>
      <c r="B53" s="4">
        <v>5904</v>
      </c>
      <c r="C53" s="4">
        <v>5904</v>
      </c>
      <c r="D53" s="4">
        <v>5904</v>
      </c>
      <c r="E53" s="4">
        <v>5904</v>
      </c>
      <c r="F53" s="4">
        <v>5904</v>
      </c>
      <c r="G53" s="4">
        <v>6337</v>
      </c>
    </row>
    <row r="54" spans="1:15" x14ac:dyDescent="0.2">
      <c r="A54" s="1" t="s">
        <v>25</v>
      </c>
      <c r="B54" s="4"/>
      <c r="C54" s="4"/>
      <c r="D54" s="4"/>
      <c r="E54" s="4"/>
    </row>
    <row r="55" spans="1:15" x14ac:dyDescent="0.2">
      <c r="B55" s="4"/>
      <c r="C55" s="4"/>
      <c r="D55" s="4"/>
      <c r="E55" s="4"/>
    </row>
    <row r="56" spans="1:15" x14ac:dyDescent="0.2">
      <c r="A56" s="5" t="s">
        <v>26</v>
      </c>
      <c r="B56" s="4"/>
      <c r="C56" s="4"/>
      <c r="D56" s="4"/>
      <c r="E56" s="4"/>
      <c r="J56" s="4" t="s">
        <v>58</v>
      </c>
      <c r="K56" s="11">
        <v>7.3499999999999996E-2</v>
      </c>
    </row>
    <row r="57" spans="1:15" x14ac:dyDescent="0.2">
      <c r="A57" s="1" t="s">
        <v>6</v>
      </c>
      <c r="B57" s="4">
        <v>1018</v>
      </c>
      <c r="C57" s="4">
        <v>1018</v>
      </c>
      <c r="D57" s="4">
        <v>1018</v>
      </c>
      <c r="E57" s="4">
        <v>1018</v>
      </c>
      <c r="F57" s="4">
        <v>1018</v>
      </c>
      <c r="G57" s="4">
        <v>1205</v>
      </c>
      <c r="J57" s="4" t="s">
        <v>75</v>
      </c>
      <c r="K57" s="9">
        <v>0.05</v>
      </c>
    </row>
    <row r="58" spans="1:15" x14ac:dyDescent="0.2">
      <c r="A58" s="1" t="s">
        <v>29</v>
      </c>
      <c r="B58" s="4">
        <v>427</v>
      </c>
      <c r="C58" s="4">
        <v>427</v>
      </c>
      <c r="D58" s="4">
        <v>427</v>
      </c>
      <c r="E58" s="4">
        <v>427</v>
      </c>
      <c r="F58" s="4">
        <v>427</v>
      </c>
      <c r="G58" s="4">
        <v>539</v>
      </c>
      <c r="J58" s="4" t="s">
        <v>59</v>
      </c>
      <c r="K58" s="17">
        <v>1842320882</v>
      </c>
      <c r="M58" s="4" t="s">
        <v>73</v>
      </c>
      <c r="N58" s="9">
        <v>7.3499999999999996E-2</v>
      </c>
    </row>
    <row r="59" spans="1:15" x14ac:dyDescent="0.2">
      <c r="A59" s="1" t="s">
        <v>30</v>
      </c>
      <c r="B59" s="4"/>
      <c r="C59" s="4"/>
      <c r="D59" s="4"/>
      <c r="E59" s="4"/>
      <c r="G59" s="9">
        <f>(G58-F58)/F58</f>
        <v>0.26229508196721313</v>
      </c>
      <c r="J59" s="4" t="s">
        <v>60</v>
      </c>
      <c r="K59" s="4">
        <f>877081.001+ 331367.148</f>
        <v>1208448.149</v>
      </c>
      <c r="M59" s="4" t="s">
        <v>74</v>
      </c>
      <c r="N59" s="4">
        <f>M49*(1+K57)/(K56-K57)</f>
        <v>17884770.852761414</v>
      </c>
    </row>
    <row r="60" spans="1:15" x14ac:dyDescent="0.2">
      <c r="B60" s="4"/>
      <c r="C60" s="4"/>
      <c r="D60" s="4"/>
      <c r="E60" s="4"/>
      <c r="J60" s="4" t="s">
        <v>61</v>
      </c>
      <c r="K60" s="11">
        <f>K64+(K63*4.6%)</f>
        <v>5.2864000000000001E-2</v>
      </c>
      <c r="L60" s="10"/>
      <c r="M60" s="4" t="s">
        <v>76</v>
      </c>
      <c r="N60" s="4">
        <f>N59/(1.1)^M50</f>
        <v>5698639.1613777205</v>
      </c>
    </row>
    <row r="61" spans="1:15" x14ac:dyDescent="0.2">
      <c r="A61" s="5" t="s">
        <v>39</v>
      </c>
      <c r="B61" s="4"/>
      <c r="C61" s="4"/>
      <c r="D61" s="4"/>
      <c r="E61" s="4"/>
      <c r="J61" s="4" t="s">
        <v>62</v>
      </c>
      <c r="K61" s="11">
        <f>-G20/K59</f>
        <v>0.11784241063039605</v>
      </c>
      <c r="M61" s="4" t="s">
        <v>36</v>
      </c>
      <c r="N61" s="4">
        <f>SUM(B48:M48)+N60</f>
        <v>11398088.409445312</v>
      </c>
    </row>
    <row r="62" spans="1:15" x14ac:dyDescent="0.2">
      <c r="A62" s="1" t="s">
        <v>40</v>
      </c>
      <c r="B62" s="4">
        <v>2279626</v>
      </c>
      <c r="C62" s="4">
        <v>2451191.0529999998</v>
      </c>
      <c r="D62" s="4">
        <v>3151138.051</v>
      </c>
      <c r="E62" s="4">
        <v>3743327.9819999998</v>
      </c>
      <c r="F62" s="4">
        <v>4341008.4000000004</v>
      </c>
      <c r="G62" s="4">
        <v>4790668.1919999998</v>
      </c>
      <c r="M62" s="4" t="s">
        <v>77</v>
      </c>
      <c r="N62" s="3">
        <f>N61/Main!B5</f>
        <v>2.1897780203610817</v>
      </c>
    </row>
    <row r="63" spans="1:15" x14ac:dyDescent="0.2">
      <c r="A63" s="1" t="s">
        <v>41</v>
      </c>
      <c r="B63" s="4">
        <v>136308.99799999999</v>
      </c>
      <c r="C63" s="4">
        <v>149671.283</v>
      </c>
      <c r="D63" s="4">
        <v>192822.24100000001</v>
      </c>
      <c r="E63" s="4">
        <v>173503.872</v>
      </c>
      <c r="F63" s="4">
        <v>184159.736</v>
      </c>
      <c r="G63" s="4">
        <v>208194.79300000001</v>
      </c>
      <c r="J63" s="4" t="s">
        <v>63</v>
      </c>
      <c r="K63" s="2">
        <v>-1.6E-2</v>
      </c>
    </row>
    <row r="64" spans="1:15" x14ac:dyDescent="0.2">
      <c r="A64" s="1" t="s">
        <v>42</v>
      </c>
      <c r="B64" s="4"/>
      <c r="C64" s="4"/>
      <c r="D64" s="4"/>
      <c r="E64" s="4"/>
      <c r="F64" s="4">
        <v>1086.4110000000001</v>
      </c>
      <c r="G64" s="4">
        <v>6154.2489999999998</v>
      </c>
      <c r="J64" s="4" t="s">
        <v>64</v>
      </c>
      <c r="K64" s="10">
        <v>5.3600000000000002E-2</v>
      </c>
    </row>
    <row r="65" spans="1:11" x14ac:dyDescent="0.2">
      <c r="J65" s="4" t="s">
        <v>65</v>
      </c>
      <c r="K65" s="9">
        <v>0.1</v>
      </c>
    </row>
    <row r="66" spans="1:11" x14ac:dyDescent="0.2">
      <c r="A66" s="1" t="s">
        <v>43</v>
      </c>
      <c r="G66" s="4">
        <v>12</v>
      </c>
      <c r="H66" s="4">
        <v>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AlI Hashim</dc:creator>
  <cp:lastModifiedBy>----</cp:lastModifiedBy>
  <dcterms:created xsi:type="dcterms:W3CDTF">2025-03-12T16:27:04Z</dcterms:created>
  <dcterms:modified xsi:type="dcterms:W3CDTF">2025-03-21T04:35:39Z</dcterms:modified>
</cp:coreProperties>
</file>