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PERSONAL\Desktop\EMPRESAS -2025\C01.BRIDGE4 DIGITAL-2025\B4D-2025\GESTION 2025\EEFF-2025\ENERO\"/>
    </mc:Choice>
  </mc:AlternateContent>
  <xr:revisionPtr revIDLastSave="0" documentId="8_{7102D4AB-2CAB-4630-9E3B-B3EF4E88DCC0}" xr6:coauthVersionLast="47" xr6:coauthVersionMax="47" xr10:uidLastSave="{00000000-0000-0000-0000-000000000000}"/>
  <bookViews>
    <workbookView xWindow="-120" yWindow="-120" windowWidth="29040" windowHeight="15840" activeTab="1" xr2:uid="{0DF4C7F8-AF36-4307-A83B-D4090063ECDB}"/>
  </bookViews>
  <sheets>
    <sheet name="AL 31 DE DICIEMBRE-2024" sheetId="1" r:id="rId1"/>
    <sheet name="2025" sheetId="4" r:id="rId2"/>
  </sheets>
  <externalReferences>
    <externalReference r:id="rId3"/>
    <externalReference r:id="rId4"/>
  </externalReferences>
  <definedNames>
    <definedName name="_xlnm._FilterDatabase" localSheetId="0" hidden="1">'AL 31 DE DICIEMBRE-2024'!$A$4:$AD$163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4" l="1"/>
  <c r="F44" i="4"/>
  <c r="E44" i="4"/>
  <c r="D44" i="4"/>
  <c r="C44" i="4"/>
  <c r="F12" i="4"/>
  <c r="G127" i="4"/>
  <c r="F127" i="4"/>
  <c r="G125" i="4"/>
  <c r="F125" i="4"/>
  <c r="G122" i="4"/>
  <c r="F122" i="4"/>
  <c r="F117" i="4"/>
  <c r="G117" i="4"/>
  <c r="G115" i="4"/>
  <c r="F115" i="4"/>
  <c r="G113" i="4"/>
  <c r="F113" i="4"/>
  <c r="G106" i="4"/>
  <c r="F106" i="4"/>
  <c r="G101" i="4"/>
  <c r="F101" i="4"/>
  <c r="G98" i="4"/>
  <c r="F98" i="4"/>
  <c r="E98" i="4"/>
  <c r="G95" i="4"/>
  <c r="F95" i="4"/>
  <c r="G87" i="4"/>
  <c r="F87" i="4"/>
  <c r="F79" i="4"/>
  <c r="G79" i="4"/>
  <c r="G76" i="4"/>
  <c r="F76" i="4"/>
  <c r="G72" i="4"/>
  <c r="F72" i="4"/>
  <c r="G70" i="4"/>
  <c r="F70" i="4"/>
  <c r="G68" i="4"/>
  <c r="F68" i="4"/>
  <c r="G63" i="4"/>
  <c r="F63" i="4"/>
  <c r="G57" i="4"/>
  <c r="F57" i="4"/>
  <c r="E57" i="4"/>
  <c r="G51" i="4"/>
  <c r="F51" i="4"/>
  <c r="G49" i="4"/>
  <c r="F49" i="4"/>
  <c r="G46" i="4"/>
  <c r="F46" i="4"/>
  <c r="G41" i="4"/>
  <c r="G40" i="4" s="1"/>
  <c r="F41" i="4"/>
  <c r="G7" i="4"/>
  <c r="G12" i="4"/>
  <c r="F7" i="4"/>
  <c r="E46" i="4"/>
  <c r="E101" i="4"/>
  <c r="E127" i="4"/>
  <c r="E122" i="4"/>
  <c r="E125" i="4"/>
  <c r="E117" i="4"/>
  <c r="E113" i="4"/>
  <c r="E115" i="4"/>
  <c r="E106" i="4"/>
  <c r="E95" i="4"/>
  <c r="E87" i="4"/>
  <c r="E79" i="4"/>
  <c r="E76" i="4"/>
  <c r="E72" i="4"/>
  <c r="E68" i="4"/>
  <c r="E70" i="4"/>
  <c r="E63" i="4"/>
  <c r="E51" i="4"/>
  <c r="E49" i="4"/>
  <c r="E41" i="4"/>
  <c r="D43" i="4"/>
  <c r="D42" i="4"/>
  <c r="C41" i="4"/>
  <c r="E12" i="4"/>
  <c r="E7" i="4"/>
  <c r="D130" i="4"/>
  <c r="D129" i="4"/>
  <c r="D128" i="4"/>
  <c r="C127" i="4"/>
  <c r="D126" i="4"/>
  <c r="D125" i="4" s="1"/>
  <c r="C125" i="4"/>
  <c r="D124" i="4"/>
  <c r="D123" i="4"/>
  <c r="D122" i="4" s="1"/>
  <c r="C122" i="4"/>
  <c r="D119" i="4"/>
  <c r="D118" i="4"/>
  <c r="C117" i="4"/>
  <c r="D116" i="4"/>
  <c r="D115" i="4" s="1"/>
  <c r="C115" i="4"/>
  <c r="D114" i="4"/>
  <c r="D113" i="4" s="1"/>
  <c r="C113" i="4"/>
  <c r="D110" i="4"/>
  <c r="D109" i="4"/>
  <c r="D108" i="4"/>
  <c r="D107" i="4"/>
  <c r="C106" i="4"/>
  <c r="D105" i="4"/>
  <c r="D104" i="4"/>
  <c r="D103" i="4"/>
  <c r="D102" i="4"/>
  <c r="C101" i="4"/>
  <c r="D100" i="4"/>
  <c r="D99" i="4"/>
  <c r="D98" i="4" s="1"/>
  <c r="C98" i="4"/>
  <c r="D97" i="4"/>
  <c r="D96" i="4"/>
  <c r="C95" i="4"/>
  <c r="D94" i="4"/>
  <c r="D93" i="4"/>
  <c r="D92" i="4"/>
  <c r="D91" i="4"/>
  <c r="D90" i="4"/>
  <c r="D89" i="4"/>
  <c r="D88" i="4"/>
  <c r="C87" i="4"/>
  <c r="D86" i="4"/>
  <c r="D85" i="4"/>
  <c r="D84" i="4"/>
  <c r="D83" i="4"/>
  <c r="D82" i="4"/>
  <c r="D81" i="4"/>
  <c r="D80" i="4"/>
  <c r="C79" i="4"/>
  <c r="D78" i="4"/>
  <c r="D77" i="4"/>
  <c r="C76" i="4"/>
  <c r="D75" i="4"/>
  <c r="D74" i="4"/>
  <c r="D73" i="4"/>
  <c r="C72" i="4"/>
  <c r="D71" i="4"/>
  <c r="D70" i="4" s="1"/>
  <c r="C70" i="4"/>
  <c r="D69" i="4"/>
  <c r="D68" i="4" s="1"/>
  <c r="C68" i="4"/>
  <c r="D67" i="4"/>
  <c r="D66" i="4"/>
  <c r="D65" i="4"/>
  <c r="D64" i="4"/>
  <c r="C63" i="4"/>
  <c r="D62" i="4"/>
  <c r="D61" i="4"/>
  <c r="D60" i="4"/>
  <c r="D59" i="4"/>
  <c r="D58" i="4"/>
  <c r="C57" i="4"/>
  <c r="D54" i="4"/>
  <c r="D53" i="4"/>
  <c r="D52" i="4"/>
  <c r="C51" i="4"/>
  <c r="D50" i="4"/>
  <c r="D49" i="4" s="1"/>
  <c r="C49" i="4"/>
  <c r="D48" i="4"/>
  <c r="D47" i="4"/>
  <c r="C46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C12" i="4"/>
  <c r="D11" i="4"/>
  <c r="D10" i="4"/>
  <c r="D9" i="4"/>
  <c r="D8" i="4"/>
  <c r="C7" i="4"/>
  <c r="C9" i="1"/>
  <c r="D7" i="1"/>
  <c r="D8" i="1"/>
  <c r="D9" i="1"/>
  <c r="D10" i="1"/>
  <c r="D11" i="1"/>
  <c r="G166" i="1"/>
  <c r="I166" i="1" s="1"/>
  <c r="K166" i="1" s="1"/>
  <c r="M166" i="1" s="1"/>
  <c r="O166" i="1" s="1"/>
  <c r="V166" i="1" s="1"/>
  <c r="Q161" i="1"/>
  <c r="L161" i="1"/>
  <c r="V161" i="1" s="1"/>
  <c r="AF161" i="1" s="1"/>
  <c r="C161" i="1"/>
  <c r="D161" i="1" s="1"/>
  <c r="F161" i="1" s="1"/>
  <c r="B161" i="1"/>
  <c r="A161" i="1"/>
  <c r="V160" i="1"/>
  <c r="AF160" i="1" s="1"/>
  <c r="T160" i="1"/>
  <c r="AD160" i="1" s="1"/>
  <c r="Q160" i="1"/>
  <c r="R160" i="1" s="1"/>
  <c r="AB160" i="1" s="1"/>
  <c r="P160" i="1"/>
  <c r="Z160" i="1" s="1"/>
  <c r="N160" i="1"/>
  <c r="X160" i="1" s="1"/>
  <c r="AH160" i="1" s="1"/>
  <c r="L160" i="1"/>
  <c r="J160" i="1"/>
  <c r="H160" i="1"/>
  <c r="E160" i="1"/>
  <c r="C160" i="1"/>
  <c r="D160" i="1" s="1"/>
  <c r="B160" i="1"/>
  <c r="A160" i="1"/>
  <c r="V159" i="1"/>
  <c r="AF159" i="1" s="1"/>
  <c r="T159" i="1"/>
  <c r="AD159" i="1" s="1"/>
  <c r="Q159" i="1"/>
  <c r="P159" i="1"/>
  <c r="Z159" i="1" s="1"/>
  <c r="N159" i="1"/>
  <c r="X159" i="1" s="1"/>
  <c r="AH159" i="1" s="1"/>
  <c r="L159" i="1"/>
  <c r="J159" i="1"/>
  <c r="H159" i="1"/>
  <c r="E159" i="1"/>
  <c r="AG158" i="1"/>
  <c r="AE158" i="1"/>
  <c r="AC158" i="1"/>
  <c r="AA158" i="1"/>
  <c r="Y158" i="1"/>
  <c r="W158" i="1"/>
  <c r="U158" i="1"/>
  <c r="S158" i="1"/>
  <c r="O158" i="1"/>
  <c r="M158" i="1"/>
  <c r="K158" i="1"/>
  <c r="I158" i="1"/>
  <c r="G158" i="1"/>
  <c r="C158" i="1"/>
  <c r="D158" i="1" s="1"/>
  <c r="B158" i="1"/>
  <c r="A158" i="1"/>
  <c r="Q157" i="1"/>
  <c r="J157" i="1"/>
  <c r="T157" i="1" s="1"/>
  <c r="AD157" i="1" s="1"/>
  <c r="D157" i="1"/>
  <c r="F157" i="1" s="1"/>
  <c r="C157" i="1"/>
  <c r="B157" i="1"/>
  <c r="A157" i="1"/>
  <c r="AG156" i="1"/>
  <c r="AE156" i="1"/>
  <c r="AC156" i="1"/>
  <c r="AA156" i="1"/>
  <c r="Y156" i="1"/>
  <c r="W156" i="1"/>
  <c r="U156" i="1"/>
  <c r="S156" i="1"/>
  <c r="O156" i="1"/>
  <c r="Q156" i="1" s="1"/>
  <c r="M156" i="1"/>
  <c r="K156" i="1"/>
  <c r="I156" i="1"/>
  <c r="G156" i="1"/>
  <c r="F156" i="1"/>
  <c r="J156" i="1" s="1"/>
  <c r="T156" i="1" s="1"/>
  <c r="AD156" i="1" s="1"/>
  <c r="D156" i="1"/>
  <c r="C156" i="1"/>
  <c r="B156" i="1"/>
  <c r="A156" i="1"/>
  <c r="V155" i="1"/>
  <c r="AF155" i="1" s="1"/>
  <c r="R155" i="1"/>
  <c r="AB155" i="1" s="1"/>
  <c r="Q155" i="1"/>
  <c r="P155" i="1"/>
  <c r="Z155" i="1" s="1"/>
  <c r="N155" i="1"/>
  <c r="X155" i="1" s="1"/>
  <c r="AH155" i="1" s="1"/>
  <c r="L155" i="1"/>
  <c r="J155" i="1"/>
  <c r="T155" i="1" s="1"/>
  <c r="AD155" i="1" s="1"/>
  <c r="H155" i="1"/>
  <c r="E155" i="1"/>
  <c r="AD154" i="1"/>
  <c r="V154" i="1"/>
  <c r="AF154" i="1" s="1"/>
  <c r="R154" i="1"/>
  <c r="AB154" i="1" s="1"/>
  <c r="Q154" i="1"/>
  <c r="P154" i="1"/>
  <c r="Z154" i="1" s="1"/>
  <c r="N154" i="1"/>
  <c r="X154" i="1" s="1"/>
  <c r="AH154" i="1" s="1"/>
  <c r="L154" i="1"/>
  <c r="J154" i="1"/>
  <c r="T154" i="1" s="1"/>
  <c r="H154" i="1"/>
  <c r="E154" i="1"/>
  <c r="D154" i="1"/>
  <c r="C154" i="1"/>
  <c r="B154" i="1"/>
  <c r="A154" i="1"/>
  <c r="V153" i="1"/>
  <c r="AF153" i="1" s="1"/>
  <c r="R153" i="1"/>
  <c r="AB153" i="1" s="1"/>
  <c r="Q153" i="1"/>
  <c r="P153" i="1"/>
  <c r="Z153" i="1" s="1"/>
  <c r="N153" i="1"/>
  <c r="X153" i="1" s="1"/>
  <c r="AH153" i="1" s="1"/>
  <c r="L153" i="1"/>
  <c r="J153" i="1"/>
  <c r="T153" i="1" s="1"/>
  <c r="AD153" i="1" s="1"/>
  <c r="H153" i="1"/>
  <c r="E153" i="1"/>
  <c r="D153" i="1"/>
  <c r="C153" i="1"/>
  <c r="B153" i="1"/>
  <c r="A153" i="1"/>
  <c r="AG152" i="1"/>
  <c r="S152" i="1"/>
  <c r="P152" i="1"/>
  <c r="Z152" i="1" s="1"/>
  <c r="O152" i="1"/>
  <c r="N152" i="1"/>
  <c r="X152" i="1" s="1"/>
  <c r="AH152" i="1" s="1"/>
  <c r="K152" i="1"/>
  <c r="L152" i="1" s="1"/>
  <c r="V152" i="1" s="1"/>
  <c r="AF152" i="1" s="1"/>
  <c r="I152" i="1"/>
  <c r="J152" i="1" s="1"/>
  <c r="T152" i="1" s="1"/>
  <c r="AD152" i="1" s="1"/>
  <c r="G152" i="1"/>
  <c r="H152" i="1" s="1"/>
  <c r="F152" i="1"/>
  <c r="E152" i="1"/>
  <c r="C152" i="1"/>
  <c r="D152" i="1" s="1"/>
  <c r="B152" i="1"/>
  <c r="A152" i="1"/>
  <c r="U151" i="1"/>
  <c r="M151" i="1"/>
  <c r="B151" i="1"/>
  <c r="A151" i="1"/>
  <c r="AG150" i="1"/>
  <c r="AC150" i="1"/>
  <c r="Y150" i="1"/>
  <c r="I150" i="1"/>
  <c r="B150" i="1"/>
  <c r="A150" i="1"/>
  <c r="Q149" i="1"/>
  <c r="P149" i="1"/>
  <c r="Z149" i="1" s="1"/>
  <c r="C149" i="1"/>
  <c r="D149" i="1" s="1"/>
  <c r="F149" i="1" s="1"/>
  <c r="B149" i="1"/>
  <c r="A149" i="1"/>
  <c r="Q148" i="1"/>
  <c r="M148" i="1"/>
  <c r="K148" i="1"/>
  <c r="I148" i="1"/>
  <c r="G148" i="1"/>
  <c r="D148" i="1"/>
  <c r="C148" i="1"/>
  <c r="B148" i="1"/>
  <c r="A148" i="1"/>
  <c r="S147" i="1"/>
  <c r="O147" i="1"/>
  <c r="K147" i="1"/>
  <c r="I147" i="1"/>
  <c r="G147" i="1"/>
  <c r="F147" i="1"/>
  <c r="J147" i="1" s="1"/>
  <c r="C147" i="1"/>
  <c r="D147" i="1" s="1"/>
  <c r="B147" i="1"/>
  <c r="A147" i="1"/>
  <c r="S146" i="1"/>
  <c r="Q146" i="1"/>
  <c r="O146" i="1"/>
  <c r="K146" i="1"/>
  <c r="I146" i="1"/>
  <c r="G146" i="1"/>
  <c r="D146" i="1"/>
  <c r="C146" i="1"/>
  <c r="B146" i="1"/>
  <c r="A146" i="1"/>
  <c r="AH145" i="1"/>
  <c r="Z145" i="1"/>
  <c r="X145" i="1"/>
  <c r="R145" i="1"/>
  <c r="AB145" i="1" s="1"/>
  <c r="Q145" i="1"/>
  <c r="P145" i="1"/>
  <c r="N145" i="1"/>
  <c r="L145" i="1"/>
  <c r="V145" i="1" s="1"/>
  <c r="AF145" i="1" s="1"/>
  <c r="J145" i="1"/>
  <c r="T145" i="1" s="1"/>
  <c r="AD145" i="1" s="1"/>
  <c r="H145" i="1"/>
  <c r="E145" i="1"/>
  <c r="D145" i="1"/>
  <c r="C145" i="1"/>
  <c r="B145" i="1"/>
  <c r="A145" i="1"/>
  <c r="Q144" i="1"/>
  <c r="L144" i="1"/>
  <c r="V144" i="1" s="1"/>
  <c r="AF144" i="1" s="1"/>
  <c r="E144" i="1"/>
  <c r="R144" i="1" s="1"/>
  <c r="AB144" i="1" s="1"/>
  <c r="D144" i="1"/>
  <c r="F144" i="1" s="1"/>
  <c r="C144" i="1"/>
  <c r="B144" i="1"/>
  <c r="A144" i="1"/>
  <c r="Q143" i="1"/>
  <c r="N143" i="1"/>
  <c r="X143" i="1" s="1"/>
  <c r="AH143" i="1" s="1"/>
  <c r="F143" i="1"/>
  <c r="C143" i="1"/>
  <c r="D143" i="1" s="1"/>
  <c r="B143" i="1"/>
  <c r="A143" i="1"/>
  <c r="AG142" i="1"/>
  <c r="AE142" i="1"/>
  <c r="AC142" i="1"/>
  <c r="AA142" i="1"/>
  <c r="Y142" i="1"/>
  <c r="W142" i="1"/>
  <c r="U142" i="1"/>
  <c r="S142" i="1"/>
  <c r="O142" i="1"/>
  <c r="Q142" i="1" s="1"/>
  <c r="M142" i="1"/>
  <c r="K142" i="1"/>
  <c r="I142" i="1"/>
  <c r="G142" i="1"/>
  <c r="D142" i="1"/>
  <c r="C142" i="1"/>
  <c r="B142" i="1"/>
  <c r="A142" i="1"/>
  <c r="Q141" i="1"/>
  <c r="D141" i="1"/>
  <c r="F141" i="1" s="1"/>
  <c r="C141" i="1"/>
  <c r="B141" i="1"/>
  <c r="A141" i="1"/>
  <c r="Z140" i="1"/>
  <c r="T140" i="1"/>
  <c r="AD140" i="1" s="1"/>
  <c r="Q140" i="1"/>
  <c r="P140" i="1"/>
  <c r="N140" i="1"/>
  <c r="X140" i="1" s="1"/>
  <c r="AH140" i="1" s="1"/>
  <c r="L140" i="1"/>
  <c r="V140" i="1" s="1"/>
  <c r="AF140" i="1" s="1"/>
  <c r="J140" i="1"/>
  <c r="H140" i="1"/>
  <c r="E140" i="1"/>
  <c r="R140" i="1" s="1"/>
  <c r="AB140" i="1" s="1"/>
  <c r="D140" i="1"/>
  <c r="C140" i="1"/>
  <c r="B140" i="1"/>
  <c r="A140" i="1"/>
  <c r="AG139" i="1"/>
  <c r="AE139" i="1"/>
  <c r="AC139" i="1"/>
  <c r="AA139" i="1"/>
  <c r="Y139" i="1"/>
  <c r="W139" i="1"/>
  <c r="U139" i="1"/>
  <c r="S139" i="1"/>
  <c r="T139" i="1" s="1"/>
  <c r="AD139" i="1" s="1"/>
  <c r="O139" i="1"/>
  <c r="K139" i="1"/>
  <c r="J139" i="1"/>
  <c r="I139" i="1"/>
  <c r="G139" i="1"/>
  <c r="F139" i="1"/>
  <c r="C139" i="1"/>
  <c r="D139" i="1" s="1"/>
  <c r="B139" i="1"/>
  <c r="A139" i="1"/>
  <c r="Q138" i="1"/>
  <c r="C138" i="1"/>
  <c r="D138" i="1" s="1"/>
  <c r="F138" i="1" s="1"/>
  <c r="B138" i="1"/>
  <c r="A138" i="1"/>
  <c r="AF137" i="1"/>
  <c r="X137" i="1"/>
  <c r="AH137" i="1" s="1"/>
  <c r="V137" i="1"/>
  <c r="Q137" i="1"/>
  <c r="R137" i="1" s="1"/>
  <c r="AB137" i="1" s="1"/>
  <c r="P137" i="1"/>
  <c r="Z137" i="1" s="1"/>
  <c r="N137" i="1"/>
  <c r="L137" i="1"/>
  <c r="J137" i="1"/>
  <c r="T137" i="1" s="1"/>
  <c r="AD137" i="1" s="1"/>
  <c r="H137" i="1"/>
  <c r="E137" i="1"/>
  <c r="C137" i="1"/>
  <c r="D137" i="1" s="1"/>
  <c r="B137" i="1"/>
  <c r="A137" i="1"/>
  <c r="AG136" i="1"/>
  <c r="AE136" i="1"/>
  <c r="AC136" i="1"/>
  <c r="AA136" i="1"/>
  <c r="W136" i="1"/>
  <c r="U136" i="1"/>
  <c r="S136" i="1"/>
  <c r="O136" i="1"/>
  <c r="K136" i="1"/>
  <c r="I136" i="1"/>
  <c r="G136" i="1"/>
  <c r="C136" i="1"/>
  <c r="D136" i="1" s="1"/>
  <c r="B136" i="1"/>
  <c r="A136" i="1"/>
  <c r="AF135" i="1"/>
  <c r="X135" i="1"/>
  <c r="AH135" i="1" s="1"/>
  <c r="V135" i="1"/>
  <c r="Q135" i="1"/>
  <c r="R135" i="1" s="1"/>
  <c r="AB135" i="1" s="1"/>
  <c r="P135" i="1"/>
  <c r="Z135" i="1" s="1"/>
  <c r="N135" i="1"/>
  <c r="L135" i="1"/>
  <c r="J135" i="1"/>
  <c r="T135" i="1" s="1"/>
  <c r="AD135" i="1" s="1"/>
  <c r="H135" i="1"/>
  <c r="E135" i="1"/>
  <c r="C135" i="1"/>
  <c r="D135" i="1" s="1"/>
  <c r="B135" i="1"/>
  <c r="A135" i="1"/>
  <c r="Q134" i="1"/>
  <c r="J134" i="1"/>
  <c r="T134" i="1" s="1"/>
  <c r="AD134" i="1" s="1"/>
  <c r="H134" i="1"/>
  <c r="D134" i="1"/>
  <c r="F134" i="1" s="1"/>
  <c r="P134" i="1" s="1"/>
  <c r="Z134" i="1" s="1"/>
  <c r="C134" i="1"/>
  <c r="B134" i="1"/>
  <c r="A134" i="1"/>
  <c r="AG133" i="1"/>
  <c r="AE133" i="1"/>
  <c r="AC133" i="1"/>
  <c r="AA133" i="1"/>
  <c r="W133" i="1"/>
  <c r="S133" i="1"/>
  <c r="O133" i="1"/>
  <c r="K133" i="1"/>
  <c r="I133" i="1"/>
  <c r="G133" i="1"/>
  <c r="D133" i="1"/>
  <c r="C133" i="1"/>
  <c r="B133" i="1"/>
  <c r="A133" i="1"/>
  <c r="Q132" i="1"/>
  <c r="L132" i="1"/>
  <c r="V132" i="1" s="1"/>
  <c r="AF132" i="1" s="1"/>
  <c r="F132" i="1"/>
  <c r="J132" i="1" s="1"/>
  <c r="T132" i="1" s="1"/>
  <c r="AD132" i="1" s="1"/>
  <c r="E132" i="1"/>
  <c r="R132" i="1" s="1"/>
  <c r="AB132" i="1" s="1"/>
  <c r="D132" i="1"/>
  <c r="C132" i="1"/>
  <c r="B132" i="1"/>
  <c r="A132" i="1"/>
  <c r="S131" i="1"/>
  <c r="O131" i="1"/>
  <c r="K131" i="1"/>
  <c r="I131" i="1"/>
  <c r="G131" i="1"/>
  <c r="C131" i="1"/>
  <c r="B131" i="1"/>
  <c r="A131" i="1"/>
  <c r="AC130" i="1"/>
  <c r="AA130" i="1"/>
  <c r="Y130" i="1"/>
  <c r="W130" i="1"/>
  <c r="U130" i="1"/>
  <c r="O130" i="1"/>
  <c r="M130" i="1"/>
  <c r="K130" i="1"/>
  <c r="B130" i="1"/>
  <c r="A130" i="1"/>
  <c r="AG129" i="1"/>
  <c r="AG163" i="1" s="1"/>
  <c r="AE129" i="1"/>
  <c r="AC129" i="1"/>
  <c r="AA129" i="1"/>
  <c r="Y129" i="1"/>
  <c r="Y163" i="1" s="1"/>
  <c r="W129" i="1"/>
  <c r="U129" i="1"/>
  <c r="S129" i="1"/>
  <c r="O129" i="1"/>
  <c r="M129" i="1"/>
  <c r="K129" i="1"/>
  <c r="I129" i="1"/>
  <c r="B129" i="1"/>
  <c r="A129" i="1"/>
  <c r="AF128" i="1"/>
  <c r="Z128" i="1"/>
  <c r="X128" i="1"/>
  <c r="AH128" i="1" s="1"/>
  <c r="Q128" i="1"/>
  <c r="R128" i="1" s="1"/>
  <c r="AB128" i="1" s="1"/>
  <c r="P128" i="1"/>
  <c r="N128" i="1"/>
  <c r="L128" i="1"/>
  <c r="V128" i="1" s="1"/>
  <c r="J128" i="1"/>
  <c r="T128" i="1" s="1"/>
  <c r="AD128" i="1" s="1"/>
  <c r="H128" i="1"/>
  <c r="E128" i="1"/>
  <c r="C128" i="1"/>
  <c r="D128" i="1" s="1"/>
  <c r="B128" i="1"/>
  <c r="A128" i="1"/>
  <c r="AF127" i="1"/>
  <c r="S127" i="1"/>
  <c r="T127" i="1" s="1"/>
  <c r="AD127" i="1" s="1"/>
  <c r="R127" i="1"/>
  <c r="AB127" i="1" s="1"/>
  <c r="O127" i="1"/>
  <c r="Q127" i="1" s="1"/>
  <c r="N127" i="1"/>
  <c r="X127" i="1" s="1"/>
  <c r="AH127" i="1" s="1"/>
  <c r="K127" i="1"/>
  <c r="L127" i="1" s="1"/>
  <c r="V127" i="1" s="1"/>
  <c r="J127" i="1"/>
  <c r="H127" i="1"/>
  <c r="G127" i="1"/>
  <c r="E127" i="1"/>
  <c r="C127" i="1"/>
  <c r="D127" i="1" s="1"/>
  <c r="B127" i="1"/>
  <c r="A127" i="1"/>
  <c r="Z124" i="1"/>
  <c r="X124" i="1"/>
  <c r="AH124" i="1" s="1"/>
  <c r="Q124" i="1"/>
  <c r="R124" i="1" s="1"/>
  <c r="AB124" i="1" s="1"/>
  <c r="P124" i="1"/>
  <c r="N124" i="1"/>
  <c r="L124" i="1"/>
  <c r="V124" i="1" s="1"/>
  <c r="AF124" i="1" s="1"/>
  <c r="J124" i="1"/>
  <c r="T124" i="1" s="1"/>
  <c r="AD124" i="1" s="1"/>
  <c r="H124" i="1"/>
  <c r="E124" i="1"/>
  <c r="C124" i="1"/>
  <c r="D124" i="1" s="1"/>
  <c r="B124" i="1"/>
  <c r="A124" i="1"/>
  <c r="AF123" i="1"/>
  <c r="X123" i="1"/>
  <c r="AH123" i="1" s="1"/>
  <c r="Q123" i="1"/>
  <c r="R123" i="1" s="1"/>
  <c r="AB123" i="1" s="1"/>
  <c r="P123" i="1"/>
  <c r="Z123" i="1" s="1"/>
  <c r="N123" i="1"/>
  <c r="L123" i="1"/>
  <c r="V123" i="1" s="1"/>
  <c r="J123" i="1"/>
  <c r="T123" i="1" s="1"/>
  <c r="AD123" i="1" s="1"/>
  <c r="H123" i="1"/>
  <c r="E123" i="1"/>
  <c r="C123" i="1"/>
  <c r="D123" i="1" s="1"/>
  <c r="B123" i="1"/>
  <c r="A123" i="1"/>
  <c r="AF122" i="1"/>
  <c r="X122" i="1"/>
  <c r="AH122" i="1" s="1"/>
  <c r="Q122" i="1"/>
  <c r="R122" i="1" s="1"/>
  <c r="AB122" i="1" s="1"/>
  <c r="P122" i="1"/>
  <c r="Z122" i="1" s="1"/>
  <c r="N122" i="1"/>
  <c r="L122" i="1"/>
  <c r="V122" i="1" s="1"/>
  <c r="J122" i="1"/>
  <c r="T122" i="1" s="1"/>
  <c r="AD122" i="1" s="1"/>
  <c r="H122" i="1"/>
  <c r="E122" i="1"/>
  <c r="C122" i="1"/>
  <c r="D122" i="1" s="1"/>
  <c r="B122" i="1"/>
  <c r="A122" i="1"/>
  <c r="AF121" i="1"/>
  <c r="X121" i="1"/>
  <c r="AH121" i="1" s="1"/>
  <c r="V121" i="1"/>
  <c r="Q121" i="1"/>
  <c r="R121" i="1" s="1"/>
  <c r="AB121" i="1" s="1"/>
  <c r="P121" i="1"/>
  <c r="Z121" i="1" s="1"/>
  <c r="N121" i="1"/>
  <c r="L121" i="1"/>
  <c r="J121" i="1"/>
  <c r="T121" i="1" s="1"/>
  <c r="AD121" i="1" s="1"/>
  <c r="H121" i="1"/>
  <c r="E121" i="1"/>
  <c r="C121" i="1"/>
  <c r="D121" i="1" s="1"/>
  <c r="B121" i="1"/>
  <c r="A121" i="1"/>
  <c r="AF120" i="1"/>
  <c r="X120" i="1"/>
  <c r="AH120" i="1" s="1"/>
  <c r="V120" i="1"/>
  <c r="Q120" i="1"/>
  <c r="R120" i="1" s="1"/>
  <c r="AB120" i="1" s="1"/>
  <c r="P120" i="1"/>
  <c r="Z120" i="1" s="1"/>
  <c r="N120" i="1"/>
  <c r="L120" i="1"/>
  <c r="J120" i="1"/>
  <c r="T120" i="1" s="1"/>
  <c r="AD120" i="1" s="1"/>
  <c r="H120" i="1"/>
  <c r="E120" i="1"/>
  <c r="C120" i="1"/>
  <c r="D120" i="1" s="1"/>
  <c r="B120" i="1"/>
  <c r="A120" i="1"/>
  <c r="AG119" i="1"/>
  <c r="AE119" i="1"/>
  <c r="AC119" i="1"/>
  <c r="AD119" i="1" s="1"/>
  <c r="AA119" i="1"/>
  <c r="Y119" i="1"/>
  <c r="Z119" i="1" s="1"/>
  <c r="W119" i="1"/>
  <c r="U119" i="1"/>
  <c r="V119" i="1" s="1"/>
  <c r="S119" i="1"/>
  <c r="T119" i="1" s="1"/>
  <c r="O119" i="1"/>
  <c r="P119" i="1" s="1"/>
  <c r="M119" i="1"/>
  <c r="K119" i="1"/>
  <c r="L119" i="1" s="1"/>
  <c r="I119" i="1"/>
  <c r="J119" i="1" s="1"/>
  <c r="G119" i="1"/>
  <c r="H119" i="1" s="1"/>
  <c r="F119" i="1"/>
  <c r="E119" i="1"/>
  <c r="B119" i="1"/>
  <c r="A119" i="1"/>
  <c r="T118" i="1"/>
  <c r="AD118" i="1" s="1"/>
  <c r="Q118" i="1"/>
  <c r="R118" i="1" s="1"/>
  <c r="AB118" i="1" s="1"/>
  <c r="P118" i="1"/>
  <c r="Z118" i="1" s="1"/>
  <c r="N118" i="1"/>
  <c r="X118" i="1" s="1"/>
  <c r="AH118" i="1" s="1"/>
  <c r="L118" i="1"/>
  <c r="V118" i="1" s="1"/>
  <c r="AF118" i="1" s="1"/>
  <c r="J118" i="1"/>
  <c r="H118" i="1"/>
  <c r="E118" i="1"/>
  <c r="C118" i="1"/>
  <c r="B118" i="1"/>
  <c r="A118" i="1"/>
  <c r="X117" i="1"/>
  <c r="AH117" i="1" s="1"/>
  <c r="S117" i="1"/>
  <c r="P117" i="1"/>
  <c r="Z117" i="1" s="1"/>
  <c r="O117" i="1"/>
  <c r="N117" i="1"/>
  <c r="K117" i="1"/>
  <c r="I117" i="1"/>
  <c r="J117" i="1" s="1"/>
  <c r="T117" i="1" s="1"/>
  <c r="AD117" i="1" s="1"/>
  <c r="G117" i="1"/>
  <c r="H117" i="1" s="1"/>
  <c r="F117" i="1"/>
  <c r="E117" i="1"/>
  <c r="B117" i="1"/>
  <c r="A117" i="1"/>
  <c r="AB115" i="1"/>
  <c r="Z115" i="1"/>
  <c r="T115" i="1"/>
  <c r="AD115" i="1" s="1"/>
  <c r="Q115" i="1"/>
  <c r="P115" i="1"/>
  <c r="N115" i="1"/>
  <c r="X115" i="1" s="1"/>
  <c r="AH115" i="1" s="1"/>
  <c r="L115" i="1"/>
  <c r="V115" i="1" s="1"/>
  <c r="AF115" i="1" s="1"/>
  <c r="J115" i="1"/>
  <c r="H115" i="1"/>
  <c r="E115" i="1"/>
  <c r="R115" i="1" s="1"/>
  <c r="D115" i="1"/>
  <c r="C115" i="1"/>
  <c r="B115" i="1"/>
  <c r="A115" i="1"/>
  <c r="Z114" i="1"/>
  <c r="T114" i="1"/>
  <c r="AD114" i="1" s="1"/>
  <c r="Q114" i="1"/>
  <c r="P114" i="1"/>
  <c r="N114" i="1"/>
  <c r="X114" i="1" s="1"/>
  <c r="AH114" i="1" s="1"/>
  <c r="L114" i="1"/>
  <c r="V114" i="1" s="1"/>
  <c r="AF114" i="1" s="1"/>
  <c r="J114" i="1"/>
  <c r="H114" i="1"/>
  <c r="E114" i="1"/>
  <c r="R114" i="1" s="1"/>
  <c r="AB114" i="1" s="1"/>
  <c r="D114" i="1"/>
  <c r="C114" i="1"/>
  <c r="B114" i="1"/>
  <c r="A114" i="1"/>
  <c r="AG113" i="1"/>
  <c r="AE113" i="1"/>
  <c r="AC113" i="1"/>
  <c r="AA113" i="1"/>
  <c r="Y113" i="1"/>
  <c r="W113" i="1"/>
  <c r="U113" i="1"/>
  <c r="S113" i="1"/>
  <c r="O113" i="1"/>
  <c r="M113" i="1"/>
  <c r="K113" i="1"/>
  <c r="L113" i="1" s="1"/>
  <c r="V113" i="1" s="1"/>
  <c r="I113" i="1"/>
  <c r="G113" i="1"/>
  <c r="H113" i="1" s="1"/>
  <c r="F113" i="1"/>
  <c r="N113" i="1" s="1"/>
  <c r="C113" i="1"/>
  <c r="D113" i="1" s="1"/>
  <c r="B113" i="1"/>
  <c r="A113" i="1"/>
  <c r="AF112" i="1"/>
  <c r="X112" i="1"/>
  <c r="AH112" i="1" s="1"/>
  <c r="V112" i="1"/>
  <c r="Q112" i="1"/>
  <c r="R112" i="1" s="1"/>
  <c r="AB112" i="1" s="1"/>
  <c r="P112" i="1"/>
  <c r="Z112" i="1" s="1"/>
  <c r="N112" i="1"/>
  <c r="L112" i="1"/>
  <c r="J112" i="1"/>
  <c r="T112" i="1" s="1"/>
  <c r="AD112" i="1" s="1"/>
  <c r="H112" i="1"/>
  <c r="E112" i="1"/>
  <c r="X111" i="1"/>
  <c r="AH111" i="1" s="1"/>
  <c r="Q111" i="1"/>
  <c r="R111" i="1" s="1"/>
  <c r="AB111" i="1" s="1"/>
  <c r="P111" i="1"/>
  <c r="Z111" i="1" s="1"/>
  <c r="J111" i="1"/>
  <c r="T111" i="1" s="1"/>
  <c r="AD111" i="1" s="1"/>
  <c r="H111" i="1"/>
  <c r="F111" i="1"/>
  <c r="N111" i="1" s="1"/>
  <c r="AG110" i="1"/>
  <c r="S110" i="1"/>
  <c r="O110" i="1"/>
  <c r="K110" i="1"/>
  <c r="J110" i="1"/>
  <c r="I110" i="1"/>
  <c r="G110" i="1"/>
  <c r="F110" i="1"/>
  <c r="E110" i="1"/>
  <c r="D110" i="1"/>
  <c r="C110" i="1"/>
  <c r="AH109" i="1"/>
  <c r="AF109" i="1"/>
  <c r="AH108" i="1"/>
  <c r="AF108" i="1"/>
  <c r="AH107" i="1"/>
  <c r="Z107" i="1"/>
  <c r="X107" i="1"/>
  <c r="R107" i="1"/>
  <c r="AB107" i="1" s="1"/>
  <c r="Q107" i="1"/>
  <c r="P107" i="1"/>
  <c r="N107" i="1"/>
  <c r="L107" i="1"/>
  <c r="V107" i="1" s="1"/>
  <c r="AF107" i="1" s="1"/>
  <c r="J107" i="1"/>
  <c r="T107" i="1" s="1"/>
  <c r="AD107" i="1" s="1"/>
  <c r="H107" i="1"/>
  <c r="E107" i="1"/>
  <c r="D107" i="1"/>
  <c r="C107" i="1"/>
  <c r="B107" i="1"/>
  <c r="A107" i="1"/>
  <c r="AH106" i="1"/>
  <c r="Z106" i="1"/>
  <c r="X106" i="1"/>
  <c r="R106" i="1"/>
  <c r="AB106" i="1" s="1"/>
  <c r="Q106" i="1"/>
  <c r="P106" i="1"/>
  <c r="N106" i="1"/>
  <c r="L106" i="1"/>
  <c r="V106" i="1" s="1"/>
  <c r="AF106" i="1" s="1"/>
  <c r="J106" i="1"/>
  <c r="T106" i="1" s="1"/>
  <c r="AD106" i="1" s="1"/>
  <c r="H106" i="1"/>
  <c r="E106" i="1"/>
  <c r="D106" i="1"/>
  <c r="C106" i="1"/>
  <c r="B106" i="1"/>
  <c r="A106" i="1"/>
  <c r="T104" i="1"/>
  <c r="Q104" i="1"/>
  <c r="P104" i="1"/>
  <c r="N104" i="1"/>
  <c r="L104" i="1"/>
  <c r="J104" i="1"/>
  <c r="H104" i="1"/>
  <c r="E104" i="1"/>
  <c r="R104" i="1" s="1"/>
  <c r="D104" i="1"/>
  <c r="C104" i="1"/>
  <c r="B104" i="1"/>
  <c r="A104" i="1"/>
  <c r="AB103" i="1"/>
  <c r="Z103" i="1"/>
  <c r="T103" i="1"/>
  <c r="AD103" i="1" s="1"/>
  <c r="Q103" i="1"/>
  <c r="P103" i="1"/>
  <c r="N103" i="1"/>
  <c r="X103" i="1" s="1"/>
  <c r="AH103" i="1" s="1"/>
  <c r="L103" i="1"/>
  <c r="V103" i="1" s="1"/>
  <c r="AF103" i="1" s="1"/>
  <c r="J103" i="1"/>
  <c r="H103" i="1"/>
  <c r="E103" i="1"/>
  <c r="R103" i="1" s="1"/>
  <c r="D103" i="1"/>
  <c r="C103" i="1"/>
  <c r="B103" i="1"/>
  <c r="A103" i="1"/>
  <c r="Z102" i="1"/>
  <c r="T102" i="1"/>
  <c r="AD102" i="1" s="1"/>
  <c r="Q102" i="1"/>
  <c r="P102" i="1"/>
  <c r="N102" i="1"/>
  <c r="X102" i="1" s="1"/>
  <c r="AH102" i="1" s="1"/>
  <c r="L102" i="1"/>
  <c r="V102" i="1" s="1"/>
  <c r="AF102" i="1" s="1"/>
  <c r="J102" i="1"/>
  <c r="H102" i="1"/>
  <c r="E102" i="1"/>
  <c r="R102" i="1" s="1"/>
  <c r="AB102" i="1" s="1"/>
  <c r="D102" i="1"/>
  <c r="C102" i="1"/>
  <c r="B102" i="1"/>
  <c r="A102" i="1"/>
  <c r="AG101" i="1"/>
  <c r="AE101" i="1"/>
  <c r="AF101" i="1" s="1"/>
  <c r="AC101" i="1"/>
  <c r="AA101" i="1"/>
  <c r="Y101" i="1"/>
  <c r="W101" i="1"/>
  <c r="U101" i="1"/>
  <c r="S101" i="1"/>
  <c r="O101" i="1"/>
  <c r="M101" i="1"/>
  <c r="K101" i="1"/>
  <c r="L101" i="1" s="1"/>
  <c r="V101" i="1" s="1"/>
  <c r="I101" i="1"/>
  <c r="G101" i="1"/>
  <c r="F101" i="1"/>
  <c r="N101" i="1" s="1"/>
  <c r="C101" i="1"/>
  <c r="D101" i="1" s="1"/>
  <c r="B101" i="1"/>
  <c r="A101" i="1"/>
  <c r="AF99" i="1"/>
  <c r="X99" i="1"/>
  <c r="AH99" i="1" s="1"/>
  <c r="V99" i="1"/>
  <c r="Q99" i="1"/>
  <c r="R99" i="1" s="1"/>
  <c r="AB99" i="1" s="1"/>
  <c r="P99" i="1"/>
  <c r="Z99" i="1" s="1"/>
  <c r="N99" i="1"/>
  <c r="L99" i="1"/>
  <c r="J99" i="1"/>
  <c r="T99" i="1" s="1"/>
  <c r="AD99" i="1" s="1"/>
  <c r="H99" i="1"/>
  <c r="E99" i="1"/>
  <c r="C99" i="1"/>
  <c r="D99" i="1" s="1"/>
  <c r="B99" i="1"/>
  <c r="A99" i="1"/>
  <c r="AF98" i="1"/>
  <c r="X98" i="1"/>
  <c r="AH98" i="1" s="1"/>
  <c r="V98" i="1"/>
  <c r="Q98" i="1"/>
  <c r="R98" i="1" s="1"/>
  <c r="AB98" i="1" s="1"/>
  <c r="P98" i="1"/>
  <c r="Z98" i="1" s="1"/>
  <c r="N98" i="1"/>
  <c r="L98" i="1"/>
  <c r="J98" i="1"/>
  <c r="T98" i="1" s="1"/>
  <c r="AD98" i="1" s="1"/>
  <c r="H98" i="1"/>
  <c r="E98" i="1"/>
  <c r="C98" i="1"/>
  <c r="D98" i="1" s="1"/>
  <c r="B98" i="1"/>
  <c r="A98" i="1"/>
  <c r="AF97" i="1"/>
  <c r="X97" i="1"/>
  <c r="AH97" i="1" s="1"/>
  <c r="V97" i="1"/>
  <c r="Q97" i="1"/>
  <c r="R97" i="1" s="1"/>
  <c r="AB97" i="1" s="1"/>
  <c r="P97" i="1"/>
  <c r="Z97" i="1" s="1"/>
  <c r="N97" i="1"/>
  <c r="L97" i="1"/>
  <c r="J97" i="1"/>
  <c r="T97" i="1" s="1"/>
  <c r="AD97" i="1" s="1"/>
  <c r="H97" i="1"/>
  <c r="E97" i="1"/>
  <c r="C97" i="1"/>
  <c r="D97" i="1" s="1"/>
  <c r="B97" i="1"/>
  <c r="A97" i="1"/>
  <c r="AF96" i="1"/>
  <c r="X96" i="1"/>
  <c r="AH96" i="1" s="1"/>
  <c r="V96" i="1"/>
  <c r="Q96" i="1"/>
  <c r="R96" i="1" s="1"/>
  <c r="AB96" i="1" s="1"/>
  <c r="P96" i="1"/>
  <c r="Z96" i="1" s="1"/>
  <c r="N96" i="1"/>
  <c r="L96" i="1"/>
  <c r="J96" i="1"/>
  <c r="T96" i="1" s="1"/>
  <c r="AD96" i="1" s="1"/>
  <c r="H96" i="1"/>
  <c r="E96" i="1"/>
  <c r="C96" i="1"/>
  <c r="D96" i="1" s="1"/>
  <c r="B96" i="1"/>
  <c r="A96" i="1"/>
  <c r="AF95" i="1"/>
  <c r="X95" i="1"/>
  <c r="AH95" i="1" s="1"/>
  <c r="V95" i="1"/>
  <c r="Q95" i="1"/>
  <c r="R95" i="1" s="1"/>
  <c r="AB95" i="1" s="1"/>
  <c r="P95" i="1"/>
  <c r="Z95" i="1" s="1"/>
  <c r="N95" i="1"/>
  <c r="L95" i="1"/>
  <c r="J95" i="1"/>
  <c r="T95" i="1" s="1"/>
  <c r="AD95" i="1" s="1"/>
  <c r="H95" i="1"/>
  <c r="E95" i="1"/>
  <c r="C95" i="1"/>
  <c r="D95" i="1" s="1"/>
  <c r="B95" i="1"/>
  <c r="A95" i="1"/>
  <c r="AF94" i="1"/>
  <c r="X94" i="1"/>
  <c r="AH94" i="1" s="1"/>
  <c r="V94" i="1"/>
  <c r="Q94" i="1"/>
  <c r="R94" i="1" s="1"/>
  <c r="AB94" i="1" s="1"/>
  <c r="P94" i="1"/>
  <c r="Z94" i="1" s="1"/>
  <c r="N94" i="1"/>
  <c r="L94" i="1"/>
  <c r="J94" i="1"/>
  <c r="T94" i="1" s="1"/>
  <c r="AD94" i="1" s="1"/>
  <c r="H94" i="1"/>
  <c r="E94" i="1"/>
  <c r="C94" i="1"/>
  <c r="B94" i="1"/>
  <c r="A94" i="1"/>
  <c r="AG93" i="1"/>
  <c r="AH93" i="1" s="1"/>
  <c r="AE93" i="1"/>
  <c r="AC93" i="1"/>
  <c r="AA93" i="1"/>
  <c r="Y93" i="1"/>
  <c r="Z93" i="1" s="1"/>
  <c r="W93" i="1"/>
  <c r="U93" i="1"/>
  <c r="V93" i="1" s="1"/>
  <c r="AF93" i="1" s="1"/>
  <c r="S93" i="1"/>
  <c r="Q93" i="1"/>
  <c r="P93" i="1"/>
  <c r="O93" i="1"/>
  <c r="M93" i="1"/>
  <c r="N93" i="1" s="1"/>
  <c r="X93" i="1" s="1"/>
  <c r="L93" i="1"/>
  <c r="K93" i="1"/>
  <c r="I93" i="1"/>
  <c r="J93" i="1" s="1"/>
  <c r="T93" i="1" s="1"/>
  <c r="H93" i="1"/>
  <c r="G93" i="1"/>
  <c r="F93" i="1"/>
  <c r="E93" i="1"/>
  <c r="B93" i="1"/>
  <c r="A93" i="1"/>
  <c r="AB92" i="1"/>
  <c r="Z92" i="1"/>
  <c r="T92" i="1"/>
  <c r="AD92" i="1" s="1"/>
  <c r="Q92" i="1"/>
  <c r="P92" i="1"/>
  <c r="N92" i="1"/>
  <c r="X92" i="1" s="1"/>
  <c r="AH92" i="1" s="1"/>
  <c r="L92" i="1"/>
  <c r="V92" i="1" s="1"/>
  <c r="AF92" i="1" s="1"/>
  <c r="J92" i="1"/>
  <c r="H92" i="1"/>
  <c r="E92" i="1"/>
  <c r="R92" i="1" s="1"/>
  <c r="D92" i="1"/>
  <c r="C92" i="1"/>
  <c r="B92" i="1"/>
  <c r="A92" i="1"/>
  <c r="Z91" i="1"/>
  <c r="T91" i="1"/>
  <c r="AD91" i="1" s="1"/>
  <c r="Q91" i="1"/>
  <c r="P91" i="1"/>
  <c r="N91" i="1"/>
  <c r="X91" i="1" s="1"/>
  <c r="AH91" i="1" s="1"/>
  <c r="L91" i="1"/>
  <c r="V91" i="1" s="1"/>
  <c r="AF91" i="1" s="1"/>
  <c r="J91" i="1"/>
  <c r="H91" i="1"/>
  <c r="E91" i="1"/>
  <c r="R91" i="1" s="1"/>
  <c r="AB91" i="1" s="1"/>
  <c r="D91" i="1"/>
  <c r="C91" i="1"/>
  <c r="B91" i="1"/>
  <c r="A91" i="1"/>
  <c r="AG90" i="1"/>
  <c r="AE90" i="1"/>
  <c r="AC90" i="1"/>
  <c r="AA90" i="1"/>
  <c r="W90" i="1"/>
  <c r="X90" i="1" s="1"/>
  <c r="AH90" i="1" s="1"/>
  <c r="V90" i="1"/>
  <c r="S90" i="1"/>
  <c r="Q90" i="1"/>
  <c r="R90" i="1" s="1"/>
  <c r="P90" i="1"/>
  <c r="Z90" i="1" s="1"/>
  <c r="O90" i="1"/>
  <c r="L90" i="1"/>
  <c r="K90" i="1"/>
  <c r="I90" i="1"/>
  <c r="J90" i="1" s="1"/>
  <c r="T90" i="1" s="1"/>
  <c r="AD90" i="1" s="1"/>
  <c r="H90" i="1"/>
  <c r="G90" i="1"/>
  <c r="F90" i="1"/>
  <c r="N90" i="1" s="1"/>
  <c r="E90" i="1"/>
  <c r="D90" i="1"/>
  <c r="C90" i="1"/>
  <c r="B90" i="1"/>
  <c r="A90" i="1"/>
  <c r="AH89" i="1"/>
  <c r="Z89" i="1"/>
  <c r="X89" i="1"/>
  <c r="R89" i="1"/>
  <c r="AB89" i="1" s="1"/>
  <c r="Q89" i="1"/>
  <c r="P89" i="1"/>
  <c r="N89" i="1"/>
  <c r="L89" i="1"/>
  <c r="V89" i="1" s="1"/>
  <c r="AF89" i="1" s="1"/>
  <c r="J89" i="1"/>
  <c r="T89" i="1" s="1"/>
  <c r="AD89" i="1" s="1"/>
  <c r="H89" i="1"/>
  <c r="E89" i="1"/>
  <c r="D89" i="1"/>
  <c r="C89" i="1"/>
  <c r="B89" i="1"/>
  <c r="A89" i="1"/>
  <c r="AH88" i="1"/>
  <c r="Z88" i="1"/>
  <c r="X88" i="1"/>
  <c r="R88" i="1"/>
  <c r="AB88" i="1" s="1"/>
  <c r="Q88" i="1"/>
  <c r="P88" i="1"/>
  <c r="N88" i="1"/>
  <c r="L88" i="1"/>
  <c r="V88" i="1" s="1"/>
  <c r="AF88" i="1" s="1"/>
  <c r="J88" i="1"/>
  <c r="T88" i="1" s="1"/>
  <c r="AD88" i="1" s="1"/>
  <c r="H88" i="1"/>
  <c r="E88" i="1"/>
  <c r="D88" i="1"/>
  <c r="C88" i="1"/>
  <c r="B88" i="1"/>
  <c r="A88" i="1"/>
  <c r="AH87" i="1"/>
  <c r="Z87" i="1"/>
  <c r="X87" i="1"/>
  <c r="R87" i="1"/>
  <c r="AB87" i="1" s="1"/>
  <c r="Q87" i="1"/>
  <c r="P87" i="1"/>
  <c r="N87" i="1"/>
  <c r="L87" i="1"/>
  <c r="V87" i="1" s="1"/>
  <c r="AF87" i="1" s="1"/>
  <c r="J87" i="1"/>
  <c r="T87" i="1" s="1"/>
  <c r="AD87" i="1" s="1"/>
  <c r="H87" i="1"/>
  <c r="E87" i="1"/>
  <c r="D87" i="1"/>
  <c r="C87" i="1"/>
  <c r="B87" i="1"/>
  <c r="A87" i="1"/>
  <c r="AH86" i="1"/>
  <c r="Z86" i="1"/>
  <c r="X86" i="1"/>
  <c r="R86" i="1"/>
  <c r="AB86" i="1" s="1"/>
  <c r="Q86" i="1"/>
  <c r="P86" i="1"/>
  <c r="N86" i="1"/>
  <c r="L86" i="1"/>
  <c r="V86" i="1" s="1"/>
  <c r="AF86" i="1" s="1"/>
  <c r="J86" i="1"/>
  <c r="T86" i="1" s="1"/>
  <c r="AD86" i="1" s="1"/>
  <c r="H86" i="1"/>
  <c r="E86" i="1"/>
  <c r="D86" i="1"/>
  <c r="C86" i="1"/>
  <c r="B86" i="1"/>
  <c r="A86" i="1"/>
  <c r="AG85" i="1"/>
  <c r="AE85" i="1"/>
  <c r="AD85" i="1"/>
  <c r="AC85" i="1"/>
  <c r="AA85" i="1"/>
  <c r="Z85" i="1"/>
  <c r="Y85" i="1"/>
  <c r="W85" i="1"/>
  <c r="S85" i="1"/>
  <c r="Q85" i="1"/>
  <c r="P85" i="1"/>
  <c r="O85" i="1"/>
  <c r="L85" i="1"/>
  <c r="V85" i="1" s="1"/>
  <c r="AF85" i="1" s="1"/>
  <c r="K85" i="1"/>
  <c r="I85" i="1"/>
  <c r="H85" i="1"/>
  <c r="G85" i="1"/>
  <c r="F85" i="1"/>
  <c r="J85" i="1" s="1"/>
  <c r="T85" i="1" s="1"/>
  <c r="D85" i="1"/>
  <c r="C85" i="1"/>
  <c r="B85" i="1"/>
  <c r="A85" i="1"/>
  <c r="Z84" i="1"/>
  <c r="R84" i="1"/>
  <c r="AB84" i="1" s="1"/>
  <c r="Q84" i="1"/>
  <c r="P84" i="1"/>
  <c r="L84" i="1"/>
  <c r="V84" i="1" s="1"/>
  <c r="AF84" i="1" s="1"/>
  <c r="J84" i="1"/>
  <c r="T84" i="1" s="1"/>
  <c r="AD84" i="1" s="1"/>
  <c r="H84" i="1"/>
  <c r="F84" i="1"/>
  <c r="N84" i="1" s="1"/>
  <c r="X84" i="1" s="1"/>
  <c r="AH84" i="1" s="1"/>
  <c r="E84" i="1"/>
  <c r="D84" i="1"/>
  <c r="C84" i="1"/>
  <c r="B84" i="1"/>
  <c r="A84" i="1"/>
  <c r="AG83" i="1"/>
  <c r="AE83" i="1"/>
  <c r="AF83" i="1" s="1"/>
  <c r="AC83" i="1"/>
  <c r="AA83" i="1"/>
  <c r="Y83" i="1"/>
  <c r="W83" i="1"/>
  <c r="U83" i="1"/>
  <c r="S83" i="1"/>
  <c r="O83" i="1"/>
  <c r="M83" i="1"/>
  <c r="K83" i="1"/>
  <c r="L83" i="1" s="1"/>
  <c r="V83" i="1" s="1"/>
  <c r="I83" i="1"/>
  <c r="G83" i="1"/>
  <c r="H83" i="1" s="1"/>
  <c r="F83" i="1"/>
  <c r="N83" i="1" s="1"/>
  <c r="C83" i="1"/>
  <c r="D83" i="1" s="1"/>
  <c r="B83" i="1"/>
  <c r="A83" i="1"/>
  <c r="AF82" i="1"/>
  <c r="X82" i="1"/>
  <c r="AH82" i="1" s="1"/>
  <c r="V82" i="1"/>
  <c r="Q82" i="1"/>
  <c r="R82" i="1" s="1"/>
  <c r="AB82" i="1" s="1"/>
  <c r="P82" i="1"/>
  <c r="Z82" i="1" s="1"/>
  <c r="N82" i="1"/>
  <c r="L82" i="1"/>
  <c r="J82" i="1"/>
  <c r="T82" i="1" s="1"/>
  <c r="AD82" i="1" s="1"/>
  <c r="H82" i="1"/>
  <c r="E82" i="1"/>
  <c r="C82" i="1"/>
  <c r="D82" i="1" s="1"/>
  <c r="B82" i="1"/>
  <c r="A82" i="1"/>
  <c r="AG81" i="1"/>
  <c r="AE81" i="1"/>
  <c r="AC81" i="1"/>
  <c r="AA81" i="1"/>
  <c r="Y81" i="1"/>
  <c r="Z81" i="1" s="1"/>
  <c r="W81" i="1"/>
  <c r="U81" i="1"/>
  <c r="V81" i="1" s="1"/>
  <c r="AF81" i="1" s="1"/>
  <c r="S81" i="1"/>
  <c r="P81" i="1"/>
  <c r="O81" i="1"/>
  <c r="M81" i="1"/>
  <c r="L81" i="1"/>
  <c r="K81" i="1"/>
  <c r="I81" i="1"/>
  <c r="J81" i="1" s="1"/>
  <c r="T81" i="1" s="1"/>
  <c r="H81" i="1"/>
  <c r="G81" i="1"/>
  <c r="F81" i="1"/>
  <c r="E81" i="1"/>
  <c r="D81" i="1"/>
  <c r="C81" i="1"/>
  <c r="B81" i="1"/>
  <c r="A81" i="1"/>
  <c r="AB80" i="1"/>
  <c r="R80" i="1"/>
  <c r="Q80" i="1"/>
  <c r="N80" i="1"/>
  <c r="X80" i="1" s="1"/>
  <c r="AH80" i="1" s="1"/>
  <c r="F80" i="1"/>
  <c r="Z79" i="1"/>
  <c r="T79" i="1"/>
  <c r="AD79" i="1" s="1"/>
  <c r="Q79" i="1"/>
  <c r="P79" i="1"/>
  <c r="N79" i="1"/>
  <c r="X79" i="1" s="1"/>
  <c r="AH79" i="1" s="1"/>
  <c r="L79" i="1"/>
  <c r="V79" i="1" s="1"/>
  <c r="AF79" i="1" s="1"/>
  <c r="J79" i="1"/>
  <c r="H79" i="1"/>
  <c r="E79" i="1"/>
  <c r="R79" i="1" s="1"/>
  <c r="AB79" i="1" s="1"/>
  <c r="D79" i="1"/>
  <c r="C79" i="1"/>
  <c r="B79" i="1"/>
  <c r="A79" i="1"/>
  <c r="Q78" i="1"/>
  <c r="F78" i="1"/>
  <c r="D78" i="1"/>
  <c r="C78" i="1"/>
  <c r="B78" i="1"/>
  <c r="A78" i="1"/>
  <c r="Q77" i="1"/>
  <c r="P77" i="1"/>
  <c r="Z77" i="1" s="1"/>
  <c r="H77" i="1"/>
  <c r="C77" i="1"/>
  <c r="D77" i="1" s="1"/>
  <c r="F77" i="1" s="1"/>
  <c r="B77" i="1"/>
  <c r="A77" i="1"/>
  <c r="Q76" i="1"/>
  <c r="J76" i="1"/>
  <c r="T76" i="1" s="1"/>
  <c r="AD76" i="1" s="1"/>
  <c r="D76" i="1"/>
  <c r="F76" i="1" s="1"/>
  <c r="C76" i="1"/>
  <c r="B76" i="1"/>
  <c r="A76" i="1"/>
  <c r="Q75" i="1"/>
  <c r="D75" i="1"/>
  <c r="F75" i="1" s="1"/>
  <c r="C75" i="1"/>
  <c r="B75" i="1"/>
  <c r="A75" i="1"/>
  <c r="AG74" i="1"/>
  <c r="AE74" i="1"/>
  <c r="AC74" i="1"/>
  <c r="AA74" i="1"/>
  <c r="Y74" i="1"/>
  <c r="W74" i="1"/>
  <c r="U74" i="1"/>
  <c r="S74" i="1"/>
  <c r="O74" i="1"/>
  <c r="M74" i="1"/>
  <c r="K74" i="1"/>
  <c r="I74" i="1"/>
  <c r="G74" i="1"/>
  <c r="C74" i="1"/>
  <c r="B74" i="1"/>
  <c r="A74" i="1"/>
  <c r="Q73" i="1"/>
  <c r="L73" i="1"/>
  <c r="J73" i="1"/>
  <c r="H73" i="1"/>
  <c r="AF72" i="1"/>
  <c r="X72" i="1"/>
  <c r="AH72" i="1" s="1"/>
  <c r="V72" i="1"/>
  <c r="Q72" i="1"/>
  <c r="R72" i="1" s="1"/>
  <c r="AB72" i="1" s="1"/>
  <c r="P72" i="1"/>
  <c r="Z72" i="1" s="1"/>
  <c r="N72" i="1"/>
  <c r="L72" i="1"/>
  <c r="J72" i="1"/>
  <c r="T72" i="1" s="1"/>
  <c r="AD72" i="1" s="1"/>
  <c r="H72" i="1"/>
  <c r="E72" i="1"/>
  <c r="C72" i="1"/>
  <c r="D72" i="1" s="1"/>
  <c r="B72" i="1"/>
  <c r="A72" i="1"/>
  <c r="AF71" i="1"/>
  <c r="X71" i="1"/>
  <c r="AH71" i="1" s="1"/>
  <c r="V71" i="1"/>
  <c r="Q71" i="1"/>
  <c r="R71" i="1" s="1"/>
  <c r="AB71" i="1" s="1"/>
  <c r="P71" i="1"/>
  <c r="Z71" i="1" s="1"/>
  <c r="N71" i="1"/>
  <c r="L71" i="1"/>
  <c r="J71" i="1"/>
  <c r="T71" i="1" s="1"/>
  <c r="AD71" i="1" s="1"/>
  <c r="H71" i="1"/>
  <c r="E71" i="1"/>
  <c r="C71" i="1"/>
  <c r="D71" i="1" s="1"/>
  <c r="B71" i="1"/>
  <c r="A71" i="1"/>
  <c r="X70" i="1"/>
  <c r="AH70" i="1" s="1"/>
  <c r="V70" i="1"/>
  <c r="AF70" i="1" s="1"/>
  <c r="Q70" i="1"/>
  <c r="R70" i="1" s="1"/>
  <c r="AB70" i="1" s="1"/>
  <c r="P70" i="1"/>
  <c r="Z70" i="1" s="1"/>
  <c r="N70" i="1"/>
  <c r="L70" i="1"/>
  <c r="J70" i="1"/>
  <c r="T70" i="1" s="1"/>
  <c r="AD70" i="1" s="1"/>
  <c r="H70" i="1"/>
  <c r="E70" i="1"/>
  <c r="C70" i="1"/>
  <c r="D70" i="1" s="1"/>
  <c r="B70" i="1"/>
  <c r="A70" i="1"/>
  <c r="AB69" i="1"/>
  <c r="V69" i="1"/>
  <c r="AF69" i="1" s="1"/>
  <c r="T69" i="1"/>
  <c r="AD69" i="1" s="1"/>
  <c r="Q69" i="1"/>
  <c r="P69" i="1"/>
  <c r="Z69" i="1" s="1"/>
  <c r="N69" i="1"/>
  <c r="X69" i="1" s="1"/>
  <c r="AH69" i="1" s="1"/>
  <c r="L69" i="1"/>
  <c r="J69" i="1"/>
  <c r="H69" i="1"/>
  <c r="E69" i="1"/>
  <c r="R69" i="1" s="1"/>
  <c r="D69" i="1"/>
  <c r="C69" i="1"/>
  <c r="B69" i="1"/>
  <c r="A69" i="1"/>
  <c r="V68" i="1"/>
  <c r="AF68" i="1" s="1"/>
  <c r="T68" i="1"/>
  <c r="AD68" i="1" s="1"/>
  <c r="Q68" i="1"/>
  <c r="P68" i="1"/>
  <c r="Z68" i="1" s="1"/>
  <c r="N68" i="1"/>
  <c r="X68" i="1" s="1"/>
  <c r="AH68" i="1" s="1"/>
  <c r="L68" i="1"/>
  <c r="J68" i="1"/>
  <c r="H68" i="1"/>
  <c r="E68" i="1"/>
  <c r="R68" i="1" s="1"/>
  <c r="AB68" i="1" s="1"/>
  <c r="D68" i="1"/>
  <c r="C68" i="1"/>
  <c r="B68" i="1"/>
  <c r="A68" i="1"/>
  <c r="AG67" i="1"/>
  <c r="AG66" i="1" s="1"/>
  <c r="AG65" i="1" s="1"/>
  <c r="AE67" i="1"/>
  <c r="AC67" i="1"/>
  <c r="AC66" i="1" s="1"/>
  <c r="AC65" i="1" s="1"/>
  <c r="AA67" i="1"/>
  <c r="Y67" i="1"/>
  <c r="Y66" i="1" s="1"/>
  <c r="Y65" i="1" s="1"/>
  <c r="W67" i="1"/>
  <c r="U67" i="1"/>
  <c r="S67" i="1"/>
  <c r="P67" i="1"/>
  <c r="O67" i="1"/>
  <c r="M67" i="1"/>
  <c r="L67" i="1"/>
  <c r="K67" i="1"/>
  <c r="I67" i="1"/>
  <c r="I66" i="1" s="1"/>
  <c r="H67" i="1"/>
  <c r="G67" i="1"/>
  <c r="F67" i="1"/>
  <c r="E67" i="1"/>
  <c r="D67" i="1"/>
  <c r="C67" i="1"/>
  <c r="B67" i="1"/>
  <c r="A67" i="1"/>
  <c r="AA66" i="1"/>
  <c r="AA65" i="1" s="1"/>
  <c r="K66" i="1"/>
  <c r="K65" i="1" s="1"/>
  <c r="B66" i="1"/>
  <c r="A66" i="1"/>
  <c r="I65" i="1"/>
  <c r="B65" i="1"/>
  <c r="A65" i="1"/>
  <c r="S63" i="1"/>
  <c r="V61" i="1"/>
  <c r="AF61" i="1" s="1"/>
  <c r="T61" i="1"/>
  <c r="AD61" i="1" s="1"/>
  <c r="Q61" i="1"/>
  <c r="P61" i="1"/>
  <c r="Z61" i="1" s="1"/>
  <c r="N61" i="1"/>
  <c r="X61" i="1" s="1"/>
  <c r="AH61" i="1" s="1"/>
  <c r="L61" i="1"/>
  <c r="J61" i="1"/>
  <c r="H61" i="1"/>
  <c r="E61" i="1"/>
  <c r="R61" i="1" s="1"/>
  <c r="AB61" i="1" s="1"/>
  <c r="D61" i="1"/>
  <c r="C61" i="1"/>
  <c r="B61" i="1"/>
  <c r="A61" i="1"/>
  <c r="AB60" i="1"/>
  <c r="V60" i="1"/>
  <c r="AF60" i="1" s="1"/>
  <c r="T60" i="1"/>
  <c r="AD60" i="1" s="1"/>
  <c r="Q60" i="1"/>
  <c r="P60" i="1"/>
  <c r="Z60" i="1" s="1"/>
  <c r="N60" i="1"/>
  <c r="X60" i="1" s="1"/>
  <c r="AH60" i="1" s="1"/>
  <c r="L60" i="1"/>
  <c r="J60" i="1"/>
  <c r="H60" i="1"/>
  <c r="E60" i="1"/>
  <c r="R60" i="1" s="1"/>
  <c r="D60" i="1"/>
  <c r="C60" i="1"/>
  <c r="B60" i="1"/>
  <c r="A60" i="1"/>
  <c r="AG58" i="1"/>
  <c r="AE58" i="1"/>
  <c r="AC58" i="1"/>
  <c r="AA58" i="1"/>
  <c r="Y58" i="1"/>
  <c r="W58" i="1"/>
  <c r="S58" i="1"/>
  <c r="T58" i="1" s="1"/>
  <c r="AD58" i="1" s="1"/>
  <c r="O58" i="1"/>
  <c r="N58" i="1"/>
  <c r="K58" i="1"/>
  <c r="I58" i="1"/>
  <c r="J58" i="1" s="1"/>
  <c r="G58" i="1"/>
  <c r="F58" i="1"/>
  <c r="L58" i="1" s="1"/>
  <c r="V58" i="1" s="1"/>
  <c r="E58" i="1"/>
  <c r="D58" i="1"/>
  <c r="C58" i="1"/>
  <c r="B58" i="1"/>
  <c r="A58" i="1"/>
  <c r="AB57" i="1"/>
  <c r="V57" i="1"/>
  <c r="AF57" i="1" s="1"/>
  <c r="T57" i="1"/>
  <c r="AD57" i="1" s="1"/>
  <c r="Q57" i="1"/>
  <c r="P57" i="1"/>
  <c r="Z57" i="1" s="1"/>
  <c r="N57" i="1"/>
  <c r="X57" i="1" s="1"/>
  <c r="AH57" i="1" s="1"/>
  <c r="L57" i="1"/>
  <c r="J57" i="1"/>
  <c r="H57" i="1"/>
  <c r="E57" i="1"/>
  <c r="R57" i="1" s="1"/>
  <c r="D57" i="1"/>
  <c r="C57" i="1"/>
  <c r="B57" i="1"/>
  <c r="A57" i="1"/>
  <c r="AG56" i="1"/>
  <c r="AE56" i="1"/>
  <c r="AC56" i="1"/>
  <c r="AA56" i="1"/>
  <c r="W56" i="1"/>
  <c r="X56" i="1" s="1"/>
  <c r="AH56" i="1" s="1"/>
  <c r="S56" i="1"/>
  <c r="O56" i="1"/>
  <c r="M56" i="1"/>
  <c r="N56" i="1" s="1"/>
  <c r="K56" i="1"/>
  <c r="I56" i="1"/>
  <c r="G56" i="1"/>
  <c r="F56" i="1"/>
  <c r="P56" i="1" s="1"/>
  <c r="Z56" i="1" s="1"/>
  <c r="E56" i="1"/>
  <c r="C56" i="1"/>
  <c r="D56" i="1" s="1"/>
  <c r="B56" i="1"/>
  <c r="A56" i="1"/>
  <c r="V54" i="1"/>
  <c r="AF54" i="1" s="1"/>
  <c r="T54" i="1"/>
  <c r="AD54" i="1" s="1"/>
  <c r="Q54" i="1"/>
  <c r="R54" i="1" s="1"/>
  <c r="AB54" i="1" s="1"/>
  <c r="P54" i="1"/>
  <c r="Z54" i="1" s="1"/>
  <c r="N54" i="1"/>
  <c r="X54" i="1" s="1"/>
  <c r="AH54" i="1" s="1"/>
  <c r="L54" i="1"/>
  <c r="J54" i="1"/>
  <c r="H54" i="1"/>
  <c r="E54" i="1"/>
  <c r="C54" i="1"/>
  <c r="D54" i="1" s="1"/>
  <c r="B54" i="1"/>
  <c r="A54" i="1"/>
  <c r="AG53" i="1"/>
  <c r="AE53" i="1"/>
  <c r="AC53" i="1"/>
  <c r="S53" i="1"/>
  <c r="O53" i="1"/>
  <c r="M53" i="1"/>
  <c r="N53" i="1" s="1"/>
  <c r="X53" i="1" s="1"/>
  <c r="K53" i="1"/>
  <c r="I53" i="1"/>
  <c r="J53" i="1" s="1"/>
  <c r="G53" i="1"/>
  <c r="F53" i="1"/>
  <c r="E53" i="1"/>
  <c r="C53" i="1"/>
  <c r="B53" i="1"/>
  <c r="A53" i="1"/>
  <c r="Z51" i="1"/>
  <c r="X51" i="1"/>
  <c r="AH51" i="1" s="1"/>
  <c r="Q51" i="1"/>
  <c r="R51" i="1" s="1"/>
  <c r="AB51" i="1" s="1"/>
  <c r="P51" i="1"/>
  <c r="N51" i="1"/>
  <c r="L51" i="1"/>
  <c r="V51" i="1" s="1"/>
  <c r="AF51" i="1" s="1"/>
  <c r="J51" i="1"/>
  <c r="T51" i="1" s="1"/>
  <c r="AD51" i="1" s="1"/>
  <c r="H51" i="1"/>
  <c r="E51" i="1"/>
  <c r="C51" i="1"/>
  <c r="D51" i="1" s="1"/>
  <c r="B51" i="1"/>
  <c r="A51" i="1"/>
  <c r="AG50" i="1"/>
  <c r="AE50" i="1"/>
  <c r="S50" i="1"/>
  <c r="P50" i="1"/>
  <c r="Z50" i="1" s="1"/>
  <c r="O50" i="1"/>
  <c r="M50" i="1"/>
  <c r="N50" i="1" s="1"/>
  <c r="X50" i="1" s="1"/>
  <c r="L50" i="1"/>
  <c r="V50" i="1" s="1"/>
  <c r="AF50" i="1" s="1"/>
  <c r="K50" i="1"/>
  <c r="I50" i="1"/>
  <c r="J50" i="1" s="1"/>
  <c r="T50" i="1" s="1"/>
  <c r="AD50" i="1" s="1"/>
  <c r="H50" i="1"/>
  <c r="G50" i="1"/>
  <c r="F50" i="1"/>
  <c r="E50" i="1"/>
  <c r="D50" i="1"/>
  <c r="C50" i="1"/>
  <c r="B50" i="1"/>
  <c r="A50" i="1"/>
  <c r="AC49" i="1"/>
  <c r="Y49" i="1"/>
  <c r="B49" i="1"/>
  <c r="A49" i="1"/>
  <c r="AC48" i="1"/>
  <c r="Y48" i="1"/>
  <c r="N48" i="1"/>
  <c r="F48" i="1"/>
  <c r="F49" i="1" s="1"/>
  <c r="E48" i="1"/>
  <c r="B48" i="1"/>
  <c r="A48" i="1"/>
  <c r="AH47" i="1"/>
  <c r="Z47" i="1"/>
  <c r="T47" i="1"/>
  <c r="AD47" i="1" s="1"/>
  <c r="R47" i="1"/>
  <c r="AB47" i="1" s="1"/>
  <c r="Q47" i="1"/>
  <c r="P47" i="1"/>
  <c r="N47" i="1"/>
  <c r="X47" i="1" s="1"/>
  <c r="L47" i="1"/>
  <c r="V47" i="1" s="1"/>
  <c r="AF47" i="1" s="1"/>
  <c r="J47" i="1"/>
  <c r="H47" i="1"/>
  <c r="E47" i="1"/>
  <c r="D47" i="1"/>
  <c r="C47" i="1"/>
  <c r="B47" i="1"/>
  <c r="A47" i="1"/>
  <c r="AH46" i="1"/>
  <c r="Z46" i="1"/>
  <c r="T46" i="1"/>
  <c r="AD46" i="1" s="1"/>
  <c r="R46" i="1"/>
  <c r="AB46" i="1" s="1"/>
  <c r="Q46" i="1"/>
  <c r="P46" i="1"/>
  <c r="N46" i="1"/>
  <c r="X46" i="1" s="1"/>
  <c r="L46" i="1"/>
  <c r="V46" i="1" s="1"/>
  <c r="AF46" i="1" s="1"/>
  <c r="J46" i="1"/>
  <c r="H46" i="1"/>
  <c r="Z45" i="1"/>
  <c r="X45" i="1"/>
  <c r="AH45" i="1" s="1"/>
  <c r="Q45" i="1"/>
  <c r="R45" i="1" s="1"/>
  <c r="AB45" i="1" s="1"/>
  <c r="P45" i="1"/>
  <c r="N45" i="1"/>
  <c r="L45" i="1"/>
  <c r="V45" i="1" s="1"/>
  <c r="AF45" i="1" s="1"/>
  <c r="J45" i="1"/>
  <c r="T45" i="1" s="1"/>
  <c r="AD45" i="1" s="1"/>
  <c r="H45" i="1"/>
  <c r="X44" i="1"/>
  <c r="AH44" i="1" s="1"/>
  <c r="V44" i="1"/>
  <c r="AF44" i="1" s="1"/>
  <c r="Q44" i="1"/>
  <c r="R44" i="1" s="1"/>
  <c r="AB44" i="1" s="1"/>
  <c r="P44" i="1"/>
  <c r="Z44" i="1" s="1"/>
  <c r="N44" i="1"/>
  <c r="L44" i="1"/>
  <c r="J44" i="1"/>
  <c r="T44" i="1" s="1"/>
  <c r="AD44" i="1" s="1"/>
  <c r="H44" i="1"/>
  <c r="AB43" i="1"/>
  <c r="V43" i="1"/>
  <c r="AF43" i="1" s="1"/>
  <c r="T43" i="1"/>
  <c r="AD43" i="1" s="1"/>
  <c r="Q43" i="1"/>
  <c r="R43" i="1" s="1"/>
  <c r="P43" i="1"/>
  <c r="Z43" i="1" s="1"/>
  <c r="N43" i="1"/>
  <c r="X43" i="1" s="1"/>
  <c r="AH43" i="1" s="1"/>
  <c r="L43" i="1"/>
  <c r="J43" i="1"/>
  <c r="H43" i="1"/>
  <c r="AH42" i="1"/>
  <c r="Z42" i="1"/>
  <c r="T42" i="1"/>
  <c r="AD42" i="1" s="1"/>
  <c r="R42" i="1"/>
  <c r="AB42" i="1" s="1"/>
  <c r="Q42" i="1"/>
  <c r="P42" i="1"/>
  <c r="N42" i="1"/>
  <c r="X42" i="1" s="1"/>
  <c r="L42" i="1"/>
  <c r="V42" i="1" s="1"/>
  <c r="AF42" i="1" s="1"/>
  <c r="J42" i="1"/>
  <c r="H42" i="1"/>
  <c r="Z41" i="1"/>
  <c r="X41" i="1"/>
  <c r="AH41" i="1" s="1"/>
  <c r="Q41" i="1"/>
  <c r="R41" i="1" s="1"/>
  <c r="AB41" i="1" s="1"/>
  <c r="P41" i="1"/>
  <c r="N41" i="1"/>
  <c r="L41" i="1"/>
  <c r="V41" i="1" s="1"/>
  <c r="AF41" i="1" s="1"/>
  <c r="J41" i="1"/>
  <c r="T41" i="1" s="1"/>
  <c r="AD41" i="1" s="1"/>
  <c r="H41" i="1"/>
  <c r="AD40" i="1"/>
  <c r="X40" i="1"/>
  <c r="AH40" i="1" s="1"/>
  <c r="V40" i="1"/>
  <c r="AF40" i="1" s="1"/>
  <c r="Q40" i="1"/>
  <c r="R40" i="1" s="1"/>
  <c r="AB40" i="1" s="1"/>
  <c r="P40" i="1"/>
  <c r="Z40" i="1" s="1"/>
  <c r="N40" i="1"/>
  <c r="L40" i="1"/>
  <c r="J40" i="1"/>
  <c r="T40" i="1" s="1"/>
  <c r="H40" i="1"/>
  <c r="V39" i="1"/>
  <c r="AF39" i="1" s="1"/>
  <c r="T39" i="1"/>
  <c r="AD39" i="1" s="1"/>
  <c r="Q39" i="1"/>
  <c r="R39" i="1" s="1"/>
  <c r="AB39" i="1" s="1"/>
  <c r="P39" i="1"/>
  <c r="Z39" i="1" s="1"/>
  <c r="N39" i="1"/>
  <c r="X39" i="1" s="1"/>
  <c r="AH39" i="1" s="1"/>
  <c r="L39" i="1"/>
  <c r="J39" i="1"/>
  <c r="H39" i="1"/>
  <c r="E39" i="1"/>
  <c r="C39" i="1"/>
  <c r="D39" i="1" s="1"/>
  <c r="B39" i="1"/>
  <c r="A39" i="1"/>
  <c r="V38" i="1"/>
  <c r="AF38" i="1" s="1"/>
  <c r="T38" i="1"/>
  <c r="AD38" i="1" s="1"/>
  <c r="Q38" i="1"/>
  <c r="R38" i="1" s="1"/>
  <c r="AB38" i="1" s="1"/>
  <c r="P38" i="1"/>
  <c r="Z38" i="1" s="1"/>
  <c r="N38" i="1"/>
  <c r="X38" i="1" s="1"/>
  <c r="AH38" i="1" s="1"/>
  <c r="L38" i="1"/>
  <c r="J38" i="1"/>
  <c r="H38" i="1"/>
  <c r="E38" i="1"/>
  <c r="C38" i="1"/>
  <c r="D38" i="1" s="1"/>
  <c r="B38" i="1"/>
  <c r="A38" i="1"/>
  <c r="V37" i="1"/>
  <c r="AF37" i="1" s="1"/>
  <c r="T37" i="1"/>
  <c r="AD37" i="1" s="1"/>
  <c r="Q37" i="1"/>
  <c r="P37" i="1"/>
  <c r="Z37" i="1" s="1"/>
  <c r="N37" i="1"/>
  <c r="X37" i="1" s="1"/>
  <c r="AH37" i="1" s="1"/>
  <c r="L37" i="1"/>
  <c r="J37" i="1"/>
  <c r="H37" i="1"/>
  <c r="E37" i="1"/>
  <c r="C37" i="1"/>
  <c r="D37" i="1" s="1"/>
  <c r="B37" i="1"/>
  <c r="A37" i="1"/>
  <c r="V36" i="1"/>
  <c r="AF36" i="1" s="1"/>
  <c r="T36" i="1"/>
  <c r="AD36" i="1" s="1"/>
  <c r="Q36" i="1"/>
  <c r="P36" i="1"/>
  <c r="Z36" i="1" s="1"/>
  <c r="N36" i="1"/>
  <c r="X36" i="1" s="1"/>
  <c r="AH36" i="1" s="1"/>
  <c r="L36" i="1"/>
  <c r="J36" i="1"/>
  <c r="H36" i="1"/>
  <c r="E36" i="1"/>
  <c r="C36" i="1"/>
  <c r="D36" i="1" s="1"/>
  <c r="B36" i="1"/>
  <c r="A36" i="1"/>
  <c r="V35" i="1"/>
  <c r="AF35" i="1" s="1"/>
  <c r="T35" i="1"/>
  <c r="AD35" i="1" s="1"/>
  <c r="Q35" i="1"/>
  <c r="R35" i="1" s="1"/>
  <c r="AB35" i="1" s="1"/>
  <c r="P35" i="1"/>
  <c r="Z35" i="1" s="1"/>
  <c r="N35" i="1"/>
  <c r="X35" i="1" s="1"/>
  <c r="AH35" i="1" s="1"/>
  <c r="L35" i="1"/>
  <c r="J35" i="1"/>
  <c r="H35" i="1"/>
  <c r="E35" i="1"/>
  <c r="C35" i="1"/>
  <c r="D35" i="1" s="1"/>
  <c r="B35" i="1"/>
  <c r="A35" i="1"/>
  <c r="V34" i="1"/>
  <c r="AF34" i="1" s="1"/>
  <c r="T34" i="1"/>
  <c r="AD34" i="1" s="1"/>
  <c r="Q34" i="1"/>
  <c r="R34" i="1" s="1"/>
  <c r="AB34" i="1" s="1"/>
  <c r="P34" i="1"/>
  <c r="Z34" i="1" s="1"/>
  <c r="N34" i="1"/>
  <c r="X34" i="1" s="1"/>
  <c r="AH34" i="1" s="1"/>
  <c r="L34" i="1"/>
  <c r="J34" i="1"/>
  <c r="H34" i="1"/>
  <c r="E34" i="1"/>
  <c r="C34" i="1"/>
  <c r="D34" i="1" s="1"/>
  <c r="A34" i="1"/>
  <c r="Z33" i="1"/>
  <c r="T33" i="1"/>
  <c r="AD33" i="1" s="1"/>
  <c r="R33" i="1"/>
  <c r="AB33" i="1" s="1"/>
  <c r="Q33" i="1"/>
  <c r="P33" i="1"/>
  <c r="N33" i="1"/>
  <c r="X33" i="1" s="1"/>
  <c r="AH33" i="1" s="1"/>
  <c r="L33" i="1"/>
  <c r="V33" i="1" s="1"/>
  <c r="AF33" i="1" s="1"/>
  <c r="J33" i="1"/>
  <c r="H33" i="1"/>
  <c r="E33" i="1"/>
  <c r="D33" i="1"/>
  <c r="C33" i="1"/>
  <c r="B33" i="1"/>
  <c r="A33" i="1"/>
  <c r="AH32" i="1"/>
  <c r="Z32" i="1"/>
  <c r="T32" i="1"/>
  <c r="AD32" i="1" s="1"/>
  <c r="R32" i="1"/>
  <c r="AB32" i="1" s="1"/>
  <c r="Q32" i="1"/>
  <c r="P32" i="1"/>
  <c r="N32" i="1"/>
  <c r="X32" i="1" s="1"/>
  <c r="L32" i="1"/>
  <c r="V32" i="1" s="1"/>
  <c r="AF32" i="1" s="1"/>
  <c r="J32" i="1"/>
  <c r="H32" i="1"/>
  <c r="E32" i="1"/>
  <c r="D32" i="1"/>
  <c r="C32" i="1"/>
  <c r="B32" i="1"/>
  <c r="A32" i="1"/>
  <c r="AH31" i="1"/>
  <c r="Z31" i="1"/>
  <c r="T31" i="1"/>
  <c r="AD31" i="1" s="1"/>
  <c r="R31" i="1"/>
  <c r="AB31" i="1" s="1"/>
  <c r="Q31" i="1"/>
  <c r="P31" i="1"/>
  <c r="N31" i="1"/>
  <c r="X31" i="1" s="1"/>
  <c r="L31" i="1"/>
  <c r="V31" i="1" s="1"/>
  <c r="AF31" i="1" s="1"/>
  <c r="J31" i="1"/>
  <c r="H31" i="1"/>
  <c r="E31" i="1"/>
  <c r="D31" i="1"/>
  <c r="C31" i="1"/>
  <c r="B31" i="1"/>
  <c r="A31" i="1"/>
  <c r="Z30" i="1"/>
  <c r="T30" i="1"/>
  <c r="AD30" i="1" s="1"/>
  <c r="R30" i="1"/>
  <c r="AB30" i="1" s="1"/>
  <c r="Q30" i="1"/>
  <c r="P30" i="1"/>
  <c r="N30" i="1"/>
  <c r="X30" i="1" s="1"/>
  <c r="AH30" i="1" s="1"/>
  <c r="L30" i="1"/>
  <c r="V30" i="1" s="1"/>
  <c r="AF30" i="1" s="1"/>
  <c r="J30" i="1"/>
  <c r="H30" i="1"/>
  <c r="E30" i="1"/>
  <c r="D30" i="1"/>
  <c r="C30" i="1"/>
  <c r="B30" i="1"/>
  <c r="A30" i="1"/>
  <c r="Z29" i="1"/>
  <c r="T29" i="1"/>
  <c r="AD29" i="1" s="1"/>
  <c r="R29" i="1"/>
  <c r="AB29" i="1" s="1"/>
  <c r="Q29" i="1"/>
  <c r="P29" i="1"/>
  <c r="N29" i="1"/>
  <c r="X29" i="1" s="1"/>
  <c r="AH29" i="1" s="1"/>
  <c r="L29" i="1"/>
  <c r="V29" i="1" s="1"/>
  <c r="AF29" i="1" s="1"/>
  <c r="J29" i="1"/>
  <c r="H29" i="1"/>
  <c r="E29" i="1"/>
  <c r="D29" i="1"/>
  <c r="C29" i="1"/>
  <c r="B29" i="1"/>
  <c r="A29" i="1"/>
  <c r="AH28" i="1"/>
  <c r="Z28" i="1"/>
  <c r="T28" i="1"/>
  <c r="AD28" i="1" s="1"/>
  <c r="R28" i="1"/>
  <c r="AB28" i="1" s="1"/>
  <c r="Q28" i="1"/>
  <c r="P28" i="1"/>
  <c r="N28" i="1"/>
  <c r="X28" i="1" s="1"/>
  <c r="L28" i="1"/>
  <c r="V28" i="1" s="1"/>
  <c r="AF28" i="1" s="1"/>
  <c r="J28" i="1"/>
  <c r="H28" i="1"/>
  <c r="E28" i="1"/>
  <c r="D28" i="1"/>
  <c r="C28" i="1"/>
  <c r="B28" i="1"/>
  <c r="A28" i="1"/>
  <c r="AH27" i="1"/>
  <c r="Z27" i="1"/>
  <c r="T27" i="1"/>
  <c r="AD27" i="1" s="1"/>
  <c r="R27" i="1"/>
  <c r="AB27" i="1" s="1"/>
  <c r="Q27" i="1"/>
  <c r="P27" i="1"/>
  <c r="N27" i="1"/>
  <c r="X27" i="1" s="1"/>
  <c r="L27" i="1"/>
  <c r="V27" i="1" s="1"/>
  <c r="AF27" i="1" s="1"/>
  <c r="J27" i="1"/>
  <c r="H27" i="1"/>
  <c r="E27" i="1"/>
  <c r="D27" i="1"/>
  <c r="C27" i="1"/>
  <c r="B27" i="1"/>
  <c r="A27" i="1"/>
  <c r="Z26" i="1"/>
  <c r="T26" i="1"/>
  <c r="AD26" i="1" s="1"/>
  <c r="R26" i="1"/>
  <c r="AB26" i="1" s="1"/>
  <c r="Q26" i="1"/>
  <c r="P26" i="1"/>
  <c r="N26" i="1"/>
  <c r="X26" i="1" s="1"/>
  <c r="AH26" i="1" s="1"/>
  <c r="L26" i="1"/>
  <c r="V26" i="1" s="1"/>
  <c r="AF26" i="1" s="1"/>
  <c r="J26" i="1"/>
  <c r="H26" i="1"/>
  <c r="E26" i="1"/>
  <c r="D26" i="1"/>
  <c r="C26" i="1"/>
  <c r="B26" i="1"/>
  <c r="A26" i="1"/>
  <c r="Z25" i="1"/>
  <c r="T25" i="1"/>
  <c r="AD25" i="1" s="1"/>
  <c r="R25" i="1"/>
  <c r="AB25" i="1" s="1"/>
  <c r="Q25" i="1"/>
  <c r="P25" i="1"/>
  <c r="N25" i="1"/>
  <c r="X25" i="1" s="1"/>
  <c r="AH25" i="1" s="1"/>
  <c r="L25" i="1"/>
  <c r="V25" i="1" s="1"/>
  <c r="AF25" i="1" s="1"/>
  <c r="J25" i="1"/>
  <c r="H25" i="1"/>
  <c r="E25" i="1"/>
  <c r="D25" i="1"/>
  <c r="C25" i="1"/>
  <c r="B25" i="1"/>
  <c r="A25" i="1"/>
  <c r="AH24" i="1"/>
  <c r="Z24" i="1"/>
  <c r="T24" i="1"/>
  <c r="AD24" i="1" s="1"/>
  <c r="R24" i="1"/>
  <c r="AB24" i="1" s="1"/>
  <c r="Q24" i="1"/>
  <c r="P24" i="1"/>
  <c r="N24" i="1"/>
  <c r="X24" i="1" s="1"/>
  <c r="L24" i="1"/>
  <c r="V24" i="1" s="1"/>
  <c r="AF24" i="1" s="1"/>
  <c r="J24" i="1"/>
  <c r="H24" i="1"/>
  <c r="E24" i="1"/>
  <c r="AH23" i="1"/>
  <c r="Z23" i="1"/>
  <c r="T23" i="1"/>
  <c r="AD23" i="1" s="1"/>
  <c r="R23" i="1"/>
  <c r="AB23" i="1" s="1"/>
  <c r="Q23" i="1"/>
  <c r="P23" i="1"/>
  <c r="N23" i="1"/>
  <c r="X23" i="1" s="1"/>
  <c r="L23" i="1"/>
  <c r="V23" i="1" s="1"/>
  <c r="AF23" i="1" s="1"/>
  <c r="J23" i="1"/>
  <c r="H23" i="1"/>
  <c r="E23" i="1"/>
  <c r="D23" i="1"/>
  <c r="C23" i="1"/>
  <c r="B23" i="1"/>
  <c r="A23" i="1"/>
  <c r="Z22" i="1"/>
  <c r="T22" i="1"/>
  <c r="AD22" i="1" s="1"/>
  <c r="R22" i="1"/>
  <c r="AB22" i="1" s="1"/>
  <c r="Q22" i="1"/>
  <c r="P22" i="1"/>
  <c r="N22" i="1"/>
  <c r="X22" i="1" s="1"/>
  <c r="AH22" i="1" s="1"/>
  <c r="L22" i="1"/>
  <c r="V22" i="1" s="1"/>
  <c r="AF22" i="1" s="1"/>
  <c r="J22" i="1"/>
  <c r="H22" i="1"/>
  <c r="E22" i="1"/>
  <c r="D22" i="1"/>
  <c r="C22" i="1"/>
  <c r="B22" i="1"/>
  <c r="A22" i="1"/>
  <c r="Z21" i="1"/>
  <c r="T21" i="1"/>
  <c r="AD21" i="1" s="1"/>
  <c r="R21" i="1"/>
  <c r="AB21" i="1" s="1"/>
  <c r="Q21" i="1"/>
  <c r="P21" i="1"/>
  <c r="N21" i="1"/>
  <c r="X21" i="1" s="1"/>
  <c r="AH21" i="1" s="1"/>
  <c r="L21" i="1"/>
  <c r="V21" i="1" s="1"/>
  <c r="AF21" i="1" s="1"/>
  <c r="J21" i="1"/>
  <c r="H21" i="1"/>
  <c r="E21" i="1"/>
  <c r="D21" i="1"/>
  <c r="B21" i="1"/>
  <c r="A21" i="1"/>
  <c r="AH20" i="1"/>
  <c r="Z20" i="1"/>
  <c r="T20" i="1"/>
  <c r="AD20" i="1" s="1"/>
  <c r="R20" i="1"/>
  <c r="AB20" i="1" s="1"/>
  <c r="Q20" i="1"/>
  <c r="P20" i="1"/>
  <c r="N20" i="1"/>
  <c r="X20" i="1" s="1"/>
  <c r="L20" i="1"/>
  <c r="V20" i="1" s="1"/>
  <c r="AF20" i="1" s="1"/>
  <c r="J20" i="1"/>
  <c r="H20" i="1"/>
  <c r="E20" i="1"/>
  <c r="D20" i="1"/>
  <c r="B20" i="1"/>
  <c r="A20" i="1"/>
  <c r="AG19" i="1"/>
  <c r="AE19" i="1"/>
  <c r="AC19" i="1"/>
  <c r="AA19" i="1"/>
  <c r="Y19" i="1"/>
  <c r="W19" i="1"/>
  <c r="U19" i="1"/>
  <c r="S19" i="1"/>
  <c r="O19" i="1"/>
  <c r="Q19" i="1" s="1"/>
  <c r="M19" i="1"/>
  <c r="K19" i="1"/>
  <c r="I19" i="1"/>
  <c r="G19" i="1"/>
  <c r="F19" i="1"/>
  <c r="E19" i="1" s="1"/>
  <c r="R19" i="1" s="1"/>
  <c r="C19" i="1"/>
  <c r="D19" i="1" s="1"/>
  <c r="B19" i="1"/>
  <c r="A19" i="1"/>
  <c r="Q18" i="1"/>
  <c r="R18" i="1" s="1"/>
  <c r="D18" i="1"/>
  <c r="C18" i="1"/>
  <c r="AG17" i="1"/>
  <c r="AE17" i="1"/>
  <c r="AC17" i="1"/>
  <c r="AA17" i="1"/>
  <c r="W17" i="1"/>
  <c r="U17" i="1"/>
  <c r="S17" i="1"/>
  <c r="O17" i="1"/>
  <c r="Q17" i="1" s="1"/>
  <c r="R17" i="1" s="1"/>
  <c r="M17" i="1"/>
  <c r="K17" i="1"/>
  <c r="I17" i="1"/>
  <c r="G17" i="1"/>
  <c r="F17" i="1"/>
  <c r="E17" i="1"/>
  <c r="C17" i="1"/>
  <c r="D17" i="1" s="1"/>
  <c r="Z16" i="1"/>
  <c r="T16" i="1"/>
  <c r="AD16" i="1" s="1"/>
  <c r="R16" i="1"/>
  <c r="AB16" i="1" s="1"/>
  <c r="Q16" i="1"/>
  <c r="P16" i="1"/>
  <c r="N16" i="1"/>
  <c r="X16" i="1" s="1"/>
  <c r="AH16" i="1" s="1"/>
  <c r="L16" i="1"/>
  <c r="V16" i="1" s="1"/>
  <c r="AF16" i="1" s="1"/>
  <c r="J16" i="1"/>
  <c r="H16" i="1"/>
  <c r="E16" i="1"/>
  <c r="D16" i="1"/>
  <c r="C16" i="1"/>
  <c r="B16" i="1"/>
  <c r="A16" i="1"/>
  <c r="Q15" i="1"/>
  <c r="X14" i="1"/>
  <c r="AH14" i="1" s="1"/>
  <c r="V14" i="1"/>
  <c r="AF14" i="1" s="1"/>
  <c r="Q14" i="1"/>
  <c r="R14" i="1" s="1"/>
  <c r="AB14" i="1" s="1"/>
  <c r="P14" i="1"/>
  <c r="Z14" i="1" s="1"/>
  <c r="N14" i="1"/>
  <c r="L14" i="1"/>
  <c r="J14" i="1"/>
  <c r="T14" i="1" s="1"/>
  <c r="AD14" i="1" s="1"/>
  <c r="H14" i="1"/>
  <c r="E14" i="1"/>
  <c r="AF13" i="1"/>
  <c r="X13" i="1"/>
  <c r="AH13" i="1" s="1"/>
  <c r="V13" i="1"/>
  <c r="Q13" i="1"/>
  <c r="R13" i="1" s="1"/>
  <c r="AB13" i="1" s="1"/>
  <c r="P13" i="1"/>
  <c r="Z13" i="1" s="1"/>
  <c r="N13" i="1"/>
  <c r="L13" i="1"/>
  <c r="J13" i="1"/>
  <c r="T13" i="1" s="1"/>
  <c r="AD13" i="1" s="1"/>
  <c r="H13" i="1"/>
  <c r="E13" i="1"/>
  <c r="AF12" i="1"/>
  <c r="X12" i="1"/>
  <c r="AH12" i="1" s="1"/>
  <c r="V12" i="1"/>
  <c r="Q12" i="1"/>
  <c r="R12" i="1" s="1"/>
  <c r="AB12" i="1" s="1"/>
  <c r="P12" i="1"/>
  <c r="Z12" i="1" s="1"/>
  <c r="N12" i="1"/>
  <c r="L12" i="1"/>
  <c r="J12" i="1"/>
  <c r="T12" i="1" s="1"/>
  <c r="AD12" i="1" s="1"/>
  <c r="H12" i="1"/>
  <c r="E12" i="1"/>
  <c r="C12" i="1"/>
  <c r="D12" i="1" s="1"/>
  <c r="B12" i="1"/>
  <c r="A12" i="1"/>
  <c r="AF11" i="1"/>
  <c r="X11" i="1"/>
  <c r="AH11" i="1" s="1"/>
  <c r="V11" i="1"/>
  <c r="Q11" i="1"/>
  <c r="R11" i="1" s="1"/>
  <c r="AB11" i="1" s="1"/>
  <c r="P11" i="1"/>
  <c r="Z11" i="1" s="1"/>
  <c r="N11" i="1"/>
  <c r="L11" i="1"/>
  <c r="J11" i="1"/>
  <c r="T11" i="1" s="1"/>
  <c r="AD11" i="1" s="1"/>
  <c r="H11" i="1"/>
  <c r="E11" i="1"/>
  <c r="B11" i="1"/>
  <c r="A11" i="1"/>
  <c r="AF10" i="1"/>
  <c r="X10" i="1"/>
  <c r="AH10" i="1" s="1"/>
  <c r="V10" i="1"/>
  <c r="Q10" i="1"/>
  <c r="R10" i="1" s="1"/>
  <c r="AB10" i="1" s="1"/>
  <c r="P10" i="1"/>
  <c r="Z10" i="1" s="1"/>
  <c r="N10" i="1"/>
  <c r="L10" i="1"/>
  <c r="J10" i="1"/>
  <c r="T10" i="1" s="1"/>
  <c r="AD10" i="1" s="1"/>
  <c r="H10" i="1"/>
  <c r="E10" i="1"/>
  <c r="B10" i="1"/>
  <c r="A10" i="1"/>
  <c r="AG9" i="1"/>
  <c r="AG8" i="1" s="1"/>
  <c r="AE9" i="1"/>
  <c r="AE8" i="1" s="1"/>
  <c r="AC9" i="1"/>
  <c r="AC8" i="1" s="1"/>
  <c r="AA9" i="1"/>
  <c r="AA8" i="1" s="1"/>
  <c r="Y9" i="1"/>
  <c r="Y8" i="1" s="1"/>
  <c r="U9" i="1"/>
  <c r="S9" i="1"/>
  <c r="S8" i="1" s="1"/>
  <c r="P9" i="1"/>
  <c r="O9" i="1"/>
  <c r="Q9" i="1" s="1"/>
  <c r="M9" i="1"/>
  <c r="L9" i="1"/>
  <c r="V9" i="1" s="1"/>
  <c r="AF9" i="1" s="1"/>
  <c r="K9" i="1"/>
  <c r="K8" i="1" s="1"/>
  <c r="I9" i="1"/>
  <c r="H9" i="1"/>
  <c r="G9" i="1"/>
  <c r="G8" i="1" s="1"/>
  <c r="F9" i="1"/>
  <c r="N9" i="1" s="1"/>
  <c r="X9" i="1" s="1"/>
  <c r="B9" i="1"/>
  <c r="A9" i="1"/>
  <c r="W8" i="1"/>
  <c r="U8" i="1"/>
  <c r="U7" i="1" s="1"/>
  <c r="M8" i="1"/>
  <c r="M7" i="1" s="1"/>
  <c r="I8" i="1"/>
  <c r="I7" i="1" s="1"/>
  <c r="F8" i="1"/>
  <c r="N8" i="1" s="1"/>
  <c r="X8" i="1" s="1"/>
  <c r="B8" i="1"/>
  <c r="A8" i="1"/>
  <c r="W7" i="1"/>
  <c r="B7" i="1"/>
  <c r="A7" i="1"/>
  <c r="AJ6" i="1"/>
  <c r="B6" i="1"/>
  <c r="A6" i="1"/>
  <c r="K1" i="1"/>
  <c r="F40" i="4" l="1"/>
  <c r="F39" i="4" s="1"/>
  <c r="G112" i="4"/>
  <c r="G111" i="4" s="1"/>
  <c r="D46" i="4"/>
  <c r="D76" i="4"/>
  <c r="F56" i="4"/>
  <c r="D72" i="4"/>
  <c r="E112" i="4"/>
  <c r="E111" i="4" s="1"/>
  <c r="E121" i="4"/>
  <c r="E120" i="4" s="1"/>
  <c r="D7" i="4"/>
  <c r="D12" i="4"/>
  <c r="D51" i="4"/>
  <c r="D40" i="4" s="1"/>
  <c r="D39" i="4" s="1"/>
  <c r="C56" i="4"/>
  <c r="D79" i="4"/>
  <c r="D101" i="4"/>
  <c r="D41" i="4"/>
  <c r="E56" i="4"/>
  <c r="E55" i="4" s="1"/>
  <c r="G39" i="4"/>
  <c r="D57" i="4"/>
  <c r="D63" i="4"/>
  <c r="D87" i="4"/>
  <c r="D95" i="4"/>
  <c r="D106" i="4"/>
  <c r="D112" i="4"/>
  <c r="D111" i="4" s="1"/>
  <c r="D117" i="4"/>
  <c r="D127" i="4"/>
  <c r="G6" i="4"/>
  <c r="G5" i="4" s="1"/>
  <c r="F112" i="4"/>
  <c r="F111" i="4" s="1"/>
  <c r="F6" i="4"/>
  <c r="F5" i="4" s="1"/>
  <c r="D121" i="4"/>
  <c r="D120" i="4" s="1"/>
  <c r="G121" i="4"/>
  <c r="G120" i="4" s="1"/>
  <c r="F121" i="4"/>
  <c r="F120" i="4" s="1"/>
  <c r="G56" i="4"/>
  <c r="G55" i="4" s="1"/>
  <c r="F55" i="4"/>
  <c r="E40" i="4"/>
  <c r="E39" i="4" s="1"/>
  <c r="E6" i="4"/>
  <c r="E5" i="4" s="1"/>
  <c r="C121" i="4"/>
  <c r="C120" i="4" s="1"/>
  <c r="C6" i="4"/>
  <c r="C5" i="4" s="1"/>
  <c r="C55" i="4"/>
  <c r="C112" i="4"/>
  <c r="C111" i="4" s="1"/>
  <c r="C40" i="4"/>
  <c r="C39" i="4" s="1"/>
  <c r="AG7" i="1"/>
  <c r="AH8" i="1"/>
  <c r="R9" i="1"/>
  <c r="AB9" i="1" s="1"/>
  <c r="AA7" i="1"/>
  <c r="AC7" i="1"/>
  <c r="M170" i="1"/>
  <c r="N7" i="1"/>
  <c r="X7" i="1" s="1"/>
  <c r="Y7" i="1"/>
  <c r="K7" i="1"/>
  <c r="L8" i="1"/>
  <c r="V8" i="1" s="1"/>
  <c r="AF8" i="1" s="1"/>
  <c r="G7" i="1"/>
  <c r="H8" i="1"/>
  <c r="S7" i="1"/>
  <c r="T8" i="1"/>
  <c r="AD8" i="1" s="1"/>
  <c r="I170" i="1"/>
  <c r="J7" i="1"/>
  <c r="AE7" i="1"/>
  <c r="J8" i="1"/>
  <c r="N49" i="1"/>
  <c r="E49" i="1"/>
  <c r="AE49" i="1"/>
  <c r="AF58" i="1"/>
  <c r="D74" i="1"/>
  <c r="AE66" i="1"/>
  <c r="O8" i="1"/>
  <c r="E9" i="1"/>
  <c r="E8" i="1" s="1"/>
  <c r="E7" i="1" s="1"/>
  <c r="Z9" i="1"/>
  <c r="AD9" i="1"/>
  <c r="AH9" i="1"/>
  <c r="H19" i="1"/>
  <c r="R36" i="1"/>
  <c r="AB36" i="1" s="1"/>
  <c r="AG49" i="1"/>
  <c r="AH50" i="1"/>
  <c r="C49" i="1"/>
  <c r="D53" i="1"/>
  <c r="S49" i="1"/>
  <c r="T53" i="1"/>
  <c r="AH53" i="1"/>
  <c r="J56" i="1"/>
  <c r="I49" i="1"/>
  <c r="Q56" i="1"/>
  <c r="R56" i="1" s="1"/>
  <c r="AB56" i="1"/>
  <c r="AA49" i="1"/>
  <c r="Q58" i="1"/>
  <c r="R58" i="1" s="1"/>
  <c r="M66" i="1"/>
  <c r="T110" i="1"/>
  <c r="AD110" i="1" s="1"/>
  <c r="S66" i="1"/>
  <c r="Q53" i="1"/>
  <c r="R53" i="1" s="1"/>
  <c r="AB53" i="1" s="1"/>
  <c r="O49" i="1"/>
  <c r="P53" i="1"/>
  <c r="Z53" i="1" s="1"/>
  <c r="X58" i="1"/>
  <c r="AH58" i="1" s="1"/>
  <c r="W49" i="1"/>
  <c r="W66" i="1"/>
  <c r="F7" i="1"/>
  <c r="J9" i="1"/>
  <c r="T9" i="1" s="1"/>
  <c r="N19" i="1"/>
  <c r="X19" i="1" s="1"/>
  <c r="AH19" i="1" s="1"/>
  <c r="R37" i="1"/>
  <c r="AB37" i="1" s="1"/>
  <c r="K48" i="1"/>
  <c r="L53" i="1"/>
  <c r="V53" i="1" s="1"/>
  <c r="AF53" i="1" s="1"/>
  <c r="T56" i="1"/>
  <c r="AD56" i="1" s="1"/>
  <c r="AB58" i="1"/>
  <c r="U66" i="1"/>
  <c r="X83" i="1"/>
  <c r="AH83" i="1" s="1"/>
  <c r="C93" i="1"/>
  <c r="D93" i="1" s="1"/>
  <c r="D94" i="1"/>
  <c r="H101" i="1"/>
  <c r="G66" i="1"/>
  <c r="Q101" i="1"/>
  <c r="P101" i="1"/>
  <c r="Z101" i="1" s="1"/>
  <c r="O66" i="1"/>
  <c r="L19" i="1"/>
  <c r="V19" i="1" s="1"/>
  <c r="AF19" i="1" s="1"/>
  <c r="G48" i="1"/>
  <c r="H53" i="1"/>
  <c r="J19" i="1"/>
  <c r="T19" i="1" s="1"/>
  <c r="AD19" i="1" s="1"/>
  <c r="AB19" i="1"/>
  <c r="AD53" i="1"/>
  <c r="AJ67" i="1"/>
  <c r="L78" i="1"/>
  <c r="V78" i="1" s="1"/>
  <c r="AF78" i="1" s="1"/>
  <c r="E78" i="1"/>
  <c r="R78" i="1" s="1"/>
  <c r="AB78" i="1" s="1"/>
  <c r="J78" i="1"/>
  <c r="T78" i="1" s="1"/>
  <c r="AD78" i="1" s="1"/>
  <c r="P78" i="1"/>
  <c r="Z78" i="1" s="1"/>
  <c r="H78" i="1"/>
  <c r="N78" i="1"/>
  <c r="X78" i="1" s="1"/>
  <c r="AH78" i="1" s="1"/>
  <c r="N81" i="1"/>
  <c r="X81" i="1" s="1"/>
  <c r="Q81" i="1"/>
  <c r="R81" i="1" s="1"/>
  <c r="AB81" i="1" s="1"/>
  <c r="Q113" i="1"/>
  <c r="P113" i="1"/>
  <c r="Z113" i="1" s="1"/>
  <c r="Q50" i="1"/>
  <c r="R50" i="1" s="1"/>
  <c r="AB50" i="1" s="1"/>
  <c r="Q67" i="1"/>
  <c r="R67" i="1" s="1"/>
  <c r="AB67" i="1" s="1"/>
  <c r="Q74" i="1"/>
  <c r="P74" i="1"/>
  <c r="Z74" i="1" s="1"/>
  <c r="J75" i="1"/>
  <c r="T75" i="1" s="1"/>
  <c r="AD75" i="1" s="1"/>
  <c r="F74" i="1"/>
  <c r="P75" i="1"/>
  <c r="Z75" i="1" s="1"/>
  <c r="H75" i="1"/>
  <c r="N75" i="1"/>
  <c r="X75" i="1" s="1"/>
  <c r="AH75" i="1" s="1"/>
  <c r="AD81" i="1"/>
  <c r="Q83" i="1"/>
  <c r="P83" i="1"/>
  <c r="Z83" i="1" s="1"/>
  <c r="AB90" i="1"/>
  <c r="R93" i="1"/>
  <c r="AB93" i="1" s="1"/>
  <c r="D118" i="1"/>
  <c r="C117" i="1"/>
  <c r="D117" i="1" s="1"/>
  <c r="N119" i="1"/>
  <c r="Q119" i="1"/>
  <c r="R119" i="1" s="1"/>
  <c r="AB119" i="1" s="1"/>
  <c r="P19" i="1"/>
  <c r="Z19" i="1" s="1"/>
  <c r="P58" i="1"/>
  <c r="Z58" i="1" s="1"/>
  <c r="J67" i="1"/>
  <c r="T67" i="1" s="1"/>
  <c r="N67" i="1"/>
  <c r="X67" i="1" s="1"/>
  <c r="AH67" i="1" s="1"/>
  <c r="V67" i="1"/>
  <c r="AF67" i="1" s="1"/>
  <c r="Z67" i="1"/>
  <c r="AD67" i="1"/>
  <c r="E75" i="1"/>
  <c r="R75" i="1" s="1"/>
  <c r="AB75" i="1" s="1"/>
  <c r="N77" i="1"/>
  <c r="X77" i="1" s="1"/>
  <c r="AH77" i="1" s="1"/>
  <c r="L77" i="1"/>
  <c r="V77" i="1" s="1"/>
  <c r="AF77" i="1" s="1"/>
  <c r="E77" i="1"/>
  <c r="R77" i="1" s="1"/>
  <c r="AB77" i="1" s="1"/>
  <c r="J77" i="1"/>
  <c r="T77" i="1" s="1"/>
  <c r="AD77" i="1" s="1"/>
  <c r="N110" i="1"/>
  <c r="X110" i="1" s="1"/>
  <c r="L110" i="1"/>
  <c r="V110" i="1" s="1"/>
  <c r="AF110" i="1" s="1"/>
  <c r="H110" i="1"/>
  <c r="AH110" i="1"/>
  <c r="H56" i="1"/>
  <c r="L56" i="1"/>
  <c r="V56" i="1" s="1"/>
  <c r="AF56" i="1" s="1"/>
  <c r="H58" i="1"/>
  <c r="L74" i="1"/>
  <c r="V74" i="1" s="1"/>
  <c r="AF74" i="1" s="1"/>
  <c r="L75" i="1"/>
  <c r="V75" i="1" s="1"/>
  <c r="AF75" i="1" s="1"/>
  <c r="P76" i="1"/>
  <c r="Z76" i="1" s="1"/>
  <c r="H76" i="1"/>
  <c r="N76" i="1"/>
  <c r="X76" i="1" s="1"/>
  <c r="AH76" i="1" s="1"/>
  <c r="L76" i="1"/>
  <c r="V76" i="1" s="1"/>
  <c r="AF76" i="1" s="1"/>
  <c r="E76" i="1"/>
  <c r="R76" i="1" s="1"/>
  <c r="AB76" i="1" s="1"/>
  <c r="L80" i="1"/>
  <c r="V80" i="1" s="1"/>
  <c r="AF80" i="1" s="1"/>
  <c r="J80" i="1"/>
  <c r="T80" i="1" s="1"/>
  <c r="AD80" i="1" s="1"/>
  <c r="P80" i="1"/>
  <c r="Z80" i="1" s="1"/>
  <c r="H80" i="1"/>
  <c r="AH81" i="1"/>
  <c r="AF90" i="1"/>
  <c r="AD93" i="1"/>
  <c r="X101" i="1"/>
  <c r="AH101" i="1" s="1"/>
  <c r="Q110" i="1"/>
  <c r="R110" i="1" s="1"/>
  <c r="AB110" i="1" s="1"/>
  <c r="P110" i="1"/>
  <c r="Z110" i="1" s="1"/>
  <c r="X113" i="1"/>
  <c r="AH113" i="1" s="1"/>
  <c r="AF113" i="1"/>
  <c r="Q117" i="1"/>
  <c r="R117" i="1" s="1"/>
  <c r="AB117" i="1" s="1"/>
  <c r="L117" i="1"/>
  <c r="V117" i="1" s="1"/>
  <c r="AF117" i="1" s="1"/>
  <c r="E85" i="1"/>
  <c r="R85" i="1" s="1"/>
  <c r="AB85" i="1" s="1"/>
  <c r="N85" i="1"/>
  <c r="X85" i="1" s="1"/>
  <c r="AH85" i="1" s="1"/>
  <c r="L111" i="1"/>
  <c r="V111" i="1" s="1"/>
  <c r="AF111" i="1" s="1"/>
  <c r="X119" i="1"/>
  <c r="AF119" i="1"/>
  <c r="Q131" i="1"/>
  <c r="E83" i="1"/>
  <c r="E101" i="1"/>
  <c r="E113" i="1"/>
  <c r="C119" i="1"/>
  <c r="D119" i="1" s="1"/>
  <c r="D66" i="1" s="1"/>
  <c r="AH119" i="1"/>
  <c r="C130" i="1"/>
  <c r="D131" i="1"/>
  <c r="J83" i="1"/>
  <c r="T83" i="1" s="1"/>
  <c r="AD83" i="1" s="1"/>
  <c r="J101" i="1"/>
  <c r="T101" i="1" s="1"/>
  <c r="AD101" i="1" s="1"/>
  <c r="J113" i="1"/>
  <c r="T113" i="1" s="1"/>
  <c r="AD113" i="1" s="1"/>
  <c r="G130" i="1"/>
  <c r="Q130" i="1" s="1"/>
  <c r="R138" i="1"/>
  <c r="AB138" i="1" s="1"/>
  <c r="N132" i="1"/>
  <c r="X132" i="1" s="1"/>
  <c r="AH132" i="1" s="1"/>
  <c r="N138" i="1"/>
  <c r="X138" i="1" s="1"/>
  <c r="AH138" i="1" s="1"/>
  <c r="F136" i="1"/>
  <c r="L138" i="1"/>
  <c r="V138" i="1" s="1"/>
  <c r="AF138" i="1" s="1"/>
  <c r="E138" i="1"/>
  <c r="J138" i="1"/>
  <c r="T138" i="1" s="1"/>
  <c r="AD138" i="1" s="1"/>
  <c r="J141" i="1"/>
  <c r="T141" i="1" s="1"/>
  <c r="AD141" i="1" s="1"/>
  <c r="P141" i="1"/>
  <c r="Z141" i="1" s="1"/>
  <c r="H141" i="1"/>
  <c r="N141" i="1"/>
  <c r="X141" i="1" s="1"/>
  <c r="AH141" i="1" s="1"/>
  <c r="N142" i="1"/>
  <c r="X142" i="1" s="1"/>
  <c r="AH142" i="1" s="1"/>
  <c r="P127" i="1"/>
  <c r="Z127" i="1" s="1"/>
  <c r="H132" i="1"/>
  <c r="P132" i="1"/>
  <c r="Z132" i="1" s="1"/>
  <c r="F133" i="1"/>
  <c r="L133" i="1" s="1"/>
  <c r="V133" i="1" s="1"/>
  <c r="AF133" i="1" s="1"/>
  <c r="H138" i="1"/>
  <c r="N139" i="1"/>
  <c r="E139" i="1"/>
  <c r="L139" i="1"/>
  <c r="V139" i="1" s="1"/>
  <c r="AF139" i="1" s="1"/>
  <c r="X139" i="1"/>
  <c r="AH139" i="1" s="1"/>
  <c r="E141" i="1"/>
  <c r="R141" i="1" s="1"/>
  <c r="AB141" i="1" s="1"/>
  <c r="J142" i="1"/>
  <c r="T142" i="1" s="1"/>
  <c r="AD142" i="1" s="1"/>
  <c r="N147" i="1"/>
  <c r="X147" i="1" s="1"/>
  <c r="AH147" i="1" s="1"/>
  <c r="E147" i="1"/>
  <c r="F146" i="1"/>
  <c r="L147" i="1"/>
  <c r="V147" i="1" s="1"/>
  <c r="AF147" i="1" s="1"/>
  <c r="J158" i="1"/>
  <c r="T158" i="1" s="1"/>
  <c r="AD158" i="1" s="1"/>
  <c r="S151" i="1"/>
  <c r="AA150" i="1"/>
  <c r="F131" i="1"/>
  <c r="L131" i="1" s="1"/>
  <c r="V131" i="1" s="1"/>
  <c r="AF131" i="1" s="1"/>
  <c r="H133" i="1"/>
  <c r="Q133" i="1"/>
  <c r="N134" i="1"/>
  <c r="X134" i="1" s="1"/>
  <c r="AH134" i="1" s="1"/>
  <c r="L134" i="1"/>
  <c r="V134" i="1" s="1"/>
  <c r="AF134" i="1" s="1"/>
  <c r="E134" i="1"/>
  <c r="R134" i="1" s="1"/>
  <c r="AB134" i="1" s="1"/>
  <c r="Q136" i="1"/>
  <c r="P138" i="1"/>
  <c r="Z138" i="1" s="1"/>
  <c r="H139" i="1"/>
  <c r="Q139" i="1"/>
  <c r="P139" i="1"/>
  <c r="Z139" i="1" s="1"/>
  <c r="L141" i="1"/>
  <c r="V141" i="1" s="1"/>
  <c r="AF141" i="1" s="1"/>
  <c r="L143" i="1"/>
  <c r="V143" i="1" s="1"/>
  <c r="AF143" i="1" s="1"/>
  <c r="E143" i="1"/>
  <c r="R143" i="1" s="1"/>
  <c r="AB143" i="1" s="1"/>
  <c r="J143" i="1"/>
  <c r="T143" i="1" s="1"/>
  <c r="AD143" i="1" s="1"/>
  <c r="F142" i="1"/>
  <c r="P143" i="1"/>
  <c r="Z143" i="1" s="1"/>
  <c r="H143" i="1"/>
  <c r="J144" i="1"/>
  <c r="T144" i="1" s="1"/>
  <c r="AD144" i="1" s="1"/>
  <c r="P144" i="1"/>
  <c r="Z144" i="1" s="1"/>
  <c r="H144" i="1"/>
  <c r="N144" i="1"/>
  <c r="X144" i="1" s="1"/>
  <c r="AH144" i="1" s="1"/>
  <c r="J146" i="1"/>
  <c r="T146" i="1" s="1"/>
  <c r="AD146" i="1" s="1"/>
  <c r="H147" i="1"/>
  <c r="P147" i="1"/>
  <c r="Z147" i="1" s="1"/>
  <c r="Q147" i="1"/>
  <c r="R147" i="1" s="1"/>
  <c r="AB147" i="1" s="1"/>
  <c r="N149" i="1"/>
  <c r="X149" i="1" s="1"/>
  <c r="AH149" i="1" s="1"/>
  <c r="L149" i="1"/>
  <c r="E149" i="1"/>
  <c r="R149" i="1" s="1"/>
  <c r="AB149" i="1" s="1"/>
  <c r="F148" i="1"/>
  <c r="J149" i="1"/>
  <c r="AC163" i="1"/>
  <c r="M150" i="1"/>
  <c r="N156" i="1"/>
  <c r="X156" i="1" s="1"/>
  <c r="AH156" i="1" s="1"/>
  <c r="R157" i="1"/>
  <c r="AB157" i="1" s="1"/>
  <c r="K151" i="1"/>
  <c r="J161" i="1"/>
  <c r="T161" i="1" s="1"/>
  <c r="AD161" i="1" s="1"/>
  <c r="F158" i="1"/>
  <c r="E158" i="1" s="1"/>
  <c r="P161" i="1"/>
  <c r="Z161" i="1" s="1"/>
  <c r="H161" i="1"/>
  <c r="N161" i="1"/>
  <c r="X161" i="1" s="1"/>
  <c r="AH161" i="1" s="1"/>
  <c r="H149" i="1"/>
  <c r="H148" i="1" s="1"/>
  <c r="I163" i="1"/>
  <c r="Q152" i="1"/>
  <c r="R152" i="1" s="1"/>
  <c r="AB152" i="1" s="1"/>
  <c r="N158" i="1"/>
  <c r="X158" i="1" s="1"/>
  <c r="AH158" i="1" s="1"/>
  <c r="W150" i="1"/>
  <c r="AE150" i="1"/>
  <c r="R159" i="1"/>
  <c r="AB159" i="1" s="1"/>
  <c r="E161" i="1"/>
  <c r="R161" i="1" s="1"/>
  <c r="AB161" i="1" s="1"/>
  <c r="T147" i="1"/>
  <c r="AD147" i="1" s="1"/>
  <c r="U150" i="1"/>
  <c r="E156" i="1"/>
  <c r="R156" i="1" s="1"/>
  <c r="AB156" i="1" s="1"/>
  <c r="P156" i="1"/>
  <c r="Z156" i="1" s="1"/>
  <c r="L156" i="1"/>
  <c r="V156" i="1" s="1"/>
  <c r="AF156" i="1" s="1"/>
  <c r="H156" i="1"/>
  <c r="F151" i="1"/>
  <c r="N151" i="1" s="1"/>
  <c r="X151" i="1" s="1"/>
  <c r="AH151" i="1" s="1"/>
  <c r="P157" i="1"/>
  <c r="Z157" i="1" s="1"/>
  <c r="H157" i="1"/>
  <c r="N157" i="1"/>
  <c r="X157" i="1" s="1"/>
  <c r="AH157" i="1" s="1"/>
  <c r="L157" i="1"/>
  <c r="V157" i="1" s="1"/>
  <c r="AF157" i="1" s="1"/>
  <c r="E157" i="1"/>
  <c r="G151" i="1"/>
  <c r="H158" i="1"/>
  <c r="Q158" i="1"/>
  <c r="R158" i="1" s="1"/>
  <c r="AB158" i="1" s="1"/>
  <c r="O151" i="1"/>
  <c r="P158" i="1"/>
  <c r="Z158" i="1"/>
  <c r="C151" i="1"/>
  <c r="E4" i="4" l="1"/>
  <c r="G4" i="4"/>
  <c r="D56" i="4"/>
  <c r="D55" i="4" s="1"/>
  <c r="D4" i="4"/>
  <c r="D6" i="4"/>
  <c r="D5" i="4" s="1"/>
  <c r="F4" i="4"/>
  <c r="C4" i="4"/>
  <c r="J136" i="1"/>
  <c r="T136" i="1" s="1"/>
  <c r="AD136" i="1" s="1"/>
  <c r="N136" i="1"/>
  <c r="X136" i="1" s="1"/>
  <c r="AH136" i="1" s="1"/>
  <c r="E136" i="1"/>
  <c r="P136" i="1"/>
  <c r="Z136" i="1" s="1"/>
  <c r="H136" i="1"/>
  <c r="AE65" i="1"/>
  <c r="W163" i="1"/>
  <c r="I173" i="1"/>
  <c r="T149" i="1"/>
  <c r="AD149" i="1" s="1"/>
  <c r="J148" i="1"/>
  <c r="T148" i="1" s="1"/>
  <c r="AD148" i="1" s="1"/>
  <c r="R139" i="1"/>
  <c r="AB139" i="1" s="1"/>
  <c r="R136" i="1"/>
  <c r="AB136" i="1" s="1"/>
  <c r="N74" i="1"/>
  <c r="X74" i="1" s="1"/>
  <c r="AH74" i="1" s="1"/>
  <c r="J74" i="1"/>
  <c r="T74" i="1" s="1"/>
  <c r="AD74" i="1" s="1"/>
  <c r="E74" i="1"/>
  <c r="F66" i="1"/>
  <c r="H74" i="1"/>
  <c r="R113" i="1"/>
  <c r="AB113" i="1" s="1"/>
  <c r="Q66" i="1"/>
  <c r="O65" i="1"/>
  <c r="U65" i="1"/>
  <c r="K49" i="1"/>
  <c r="L49" i="1" s="1"/>
  <c r="V49" i="1" s="1"/>
  <c r="AF49" i="1" s="1"/>
  <c r="L48" i="1"/>
  <c r="V48" i="1" s="1"/>
  <c r="P49" i="1"/>
  <c r="Z49" i="1" s="1"/>
  <c r="O48" i="1"/>
  <c r="Q49" i="1"/>
  <c r="R49" i="1" s="1"/>
  <c r="AB49" i="1" s="1"/>
  <c r="Y6" i="1"/>
  <c r="Y162" i="1" s="1"/>
  <c r="L148" i="1"/>
  <c r="V148" i="1" s="1"/>
  <c r="AF148" i="1" s="1"/>
  <c r="V149" i="1"/>
  <c r="AF149" i="1" s="1"/>
  <c r="G129" i="1"/>
  <c r="G150" i="1"/>
  <c r="H151" i="1"/>
  <c r="U163" i="1"/>
  <c r="L158" i="1"/>
  <c r="V158" i="1" s="1"/>
  <c r="AF158" i="1" s="1"/>
  <c r="P148" i="1"/>
  <c r="Z148" i="1" s="1"/>
  <c r="N148" i="1"/>
  <c r="X148" i="1" s="1"/>
  <c r="AH148" i="1" s="1"/>
  <c r="E148" i="1"/>
  <c r="R148" i="1" s="1"/>
  <c r="AB148" i="1" s="1"/>
  <c r="E142" i="1"/>
  <c r="R142" i="1" s="1"/>
  <c r="AB142" i="1" s="1"/>
  <c r="P142" i="1"/>
  <c r="Z142" i="1" s="1"/>
  <c r="H142" i="1"/>
  <c r="L142" i="1"/>
  <c r="V142" i="1" s="1"/>
  <c r="AF142" i="1" s="1"/>
  <c r="S150" i="1"/>
  <c r="P146" i="1"/>
  <c r="Z146" i="1" s="1"/>
  <c r="N146" i="1"/>
  <c r="X146" i="1" s="1"/>
  <c r="AH146" i="1" s="1"/>
  <c r="E146" i="1"/>
  <c r="R146" i="1" s="1"/>
  <c r="AB146" i="1" s="1"/>
  <c r="H146" i="1"/>
  <c r="L146" i="1"/>
  <c r="V146" i="1" s="1"/>
  <c r="AF146" i="1" s="1"/>
  <c r="N133" i="1"/>
  <c r="X133" i="1" s="1"/>
  <c r="AH133" i="1" s="1"/>
  <c r="E133" i="1"/>
  <c r="R133" i="1" s="1"/>
  <c r="AB133" i="1" s="1"/>
  <c r="P133" i="1"/>
  <c r="Z133" i="1" s="1"/>
  <c r="J133" i="1"/>
  <c r="T133" i="1" s="1"/>
  <c r="AD133" i="1" s="1"/>
  <c r="D130" i="1"/>
  <c r="C129" i="1"/>
  <c r="D129" i="1" s="1"/>
  <c r="G49" i="1"/>
  <c r="H49" i="1" s="1"/>
  <c r="H48" i="1"/>
  <c r="G169" i="1"/>
  <c r="I169" i="1" s="1"/>
  <c r="K169" i="1" s="1"/>
  <c r="M169" i="1" s="1"/>
  <c r="O169" i="1" s="1"/>
  <c r="V169" i="1" s="1"/>
  <c r="X49" i="1"/>
  <c r="W48" i="1"/>
  <c r="J49" i="1"/>
  <c r="T49" i="1" s="1"/>
  <c r="AD49" i="1" s="1"/>
  <c r="I48" i="1"/>
  <c r="S48" i="1"/>
  <c r="AG48" i="1"/>
  <c r="AH49" i="1"/>
  <c r="C66" i="1"/>
  <c r="C65" i="1" s="1"/>
  <c r="AE48" i="1"/>
  <c r="AF48" i="1" s="1"/>
  <c r="G170" i="1"/>
  <c r="G6" i="1"/>
  <c r="H7" i="1"/>
  <c r="AC6" i="1"/>
  <c r="AC162" i="1" s="1"/>
  <c r="J151" i="1"/>
  <c r="T151" i="1" s="1"/>
  <c r="AD151" i="1" s="1"/>
  <c r="E151" i="1"/>
  <c r="F150" i="1"/>
  <c r="J131" i="1"/>
  <c r="T131" i="1" s="1"/>
  <c r="AD131" i="1" s="1"/>
  <c r="N131" i="1"/>
  <c r="X131" i="1" s="1"/>
  <c r="AH131" i="1" s="1"/>
  <c r="E131" i="1"/>
  <c r="R131" i="1" s="1"/>
  <c r="AB131" i="1" s="1"/>
  <c r="F130" i="1"/>
  <c r="P131" i="1"/>
  <c r="Z131" i="1" s="1"/>
  <c r="R74" i="1"/>
  <c r="AB74" i="1" s="1"/>
  <c r="G65" i="1"/>
  <c r="C48" i="1"/>
  <c r="D48" i="1" s="1"/>
  <c r="D49" i="1"/>
  <c r="T7" i="1"/>
  <c r="AD7" i="1" s="1"/>
  <c r="K170" i="1"/>
  <c r="L7" i="1"/>
  <c r="V7" i="1" s="1"/>
  <c r="AF7" i="1" s="1"/>
  <c r="K6" i="1"/>
  <c r="K162" i="1" s="1"/>
  <c r="C150" i="1"/>
  <c r="D151" i="1"/>
  <c r="P151" i="1"/>
  <c r="Z151" i="1" s="1"/>
  <c r="O150" i="1"/>
  <c r="Q151" i="1"/>
  <c r="AE163" i="1"/>
  <c r="L151" i="1"/>
  <c r="V151" i="1" s="1"/>
  <c r="AF151" i="1" s="1"/>
  <c r="K150" i="1"/>
  <c r="M163" i="1"/>
  <c r="N150" i="1"/>
  <c r="X150" i="1" s="1"/>
  <c r="AH150" i="1" s="1"/>
  <c r="AA163" i="1"/>
  <c r="L136" i="1"/>
  <c r="V136" i="1" s="1"/>
  <c r="AF136" i="1" s="1"/>
  <c r="H131" i="1"/>
  <c r="R83" i="1"/>
  <c r="AB83" i="1" s="1"/>
  <c r="R101" i="1"/>
  <c r="AB101" i="1" s="1"/>
  <c r="W65" i="1"/>
  <c r="S65" i="1"/>
  <c r="M65" i="1"/>
  <c r="AA48" i="1"/>
  <c r="Q8" i="1"/>
  <c r="R8" i="1" s="1"/>
  <c r="AB8" i="1" s="1"/>
  <c r="O7" i="1"/>
  <c r="P8" i="1"/>
  <c r="Z8" i="1" s="1"/>
  <c r="AG6" i="1"/>
  <c r="AH7" i="1"/>
  <c r="N65" i="1" l="1"/>
  <c r="M6" i="1"/>
  <c r="M162" i="1" s="1"/>
  <c r="M173" i="1"/>
  <c r="N170" i="1"/>
  <c r="E66" i="1"/>
  <c r="F65" i="1"/>
  <c r="L66" i="1"/>
  <c r="V66" i="1" s="1"/>
  <c r="AF66" i="1" s="1"/>
  <c r="J66" i="1"/>
  <c r="T66" i="1" s="1"/>
  <c r="AD66" i="1" s="1"/>
  <c r="D6" i="1"/>
  <c r="K163" i="1"/>
  <c r="L150" i="1"/>
  <c r="V150" i="1" s="1"/>
  <c r="AF150" i="1" s="1"/>
  <c r="L170" i="1"/>
  <c r="H170" i="1"/>
  <c r="X48" i="1"/>
  <c r="W6" i="1"/>
  <c r="W162" i="1" s="1"/>
  <c r="G163" i="1"/>
  <c r="H150" i="1"/>
  <c r="P48" i="1"/>
  <c r="Z48" i="1" s="1"/>
  <c r="Q48" i="1"/>
  <c r="R48" i="1" s="1"/>
  <c r="AB48" i="1" s="1"/>
  <c r="R66" i="1"/>
  <c r="AB66" i="1" s="1"/>
  <c r="AH48" i="1"/>
  <c r="AG162" i="1"/>
  <c r="R151" i="1"/>
  <c r="AB151" i="1" s="1"/>
  <c r="C163" i="1"/>
  <c r="D150" i="1"/>
  <c r="D163" i="1" s="1"/>
  <c r="S6" i="1"/>
  <c r="S162" i="1" s="1"/>
  <c r="H66" i="1"/>
  <c r="F129" i="1"/>
  <c r="N130" i="1"/>
  <c r="X130" i="1" s="1"/>
  <c r="AH130" i="1" s="1"/>
  <c r="E130" i="1"/>
  <c r="R130" i="1" s="1"/>
  <c r="AB130" i="1" s="1"/>
  <c r="J130" i="1"/>
  <c r="T130" i="1" s="1"/>
  <c r="AD130" i="1" s="1"/>
  <c r="P130" i="1"/>
  <c r="Z130" i="1" s="1"/>
  <c r="L130" i="1"/>
  <c r="V130" i="1" s="1"/>
  <c r="AF130" i="1" s="1"/>
  <c r="E150" i="1"/>
  <c r="F163" i="1"/>
  <c r="N163" i="1" s="1"/>
  <c r="J150" i="1"/>
  <c r="T150" i="1" s="1"/>
  <c r="AD150" i="1" s="1"/>
  <c r="C162" i="1"/>
  <c r="D65" i="1"/>
  <c r="D162" i="1" s="1"/>
  <c r="H129" i="1"/>
  <c r="Q129" i="1"/>
  <c r="AA6" i="1"/>
  <c r="AA162" i="1" s="1"/>
  <c r="U6" i="1"/>
  <c r="U162" i="1" s="1"/>
  <c r="X65" i="1"/>
  <c r="AH65" i="1" s="1"/>
  <c r="Q65" i="1"/>
  <c r="P65" i="1"/>
  <c r="Z65" i="1" s="1"/>
  <c r="O170" i="1"/>
  <c r="O6" i="1"/>
  <c r="O162" i="1" s="1"/>
  <c r="Q7" i="1"/>
  <c r="R7" i="1" s="1"/>
  <c r="AB7" i="1" s="1"/>
  <c r="P7" i="1"/>
  <c r="Z7" i="1" s="1"/>
  <c r="N66" i="1"/>
  <c r="X66" i="1" s="1"/>
  <c r="AH66" i="1" s="1"/>
  <c r="AE162" i="1"/>
  <c r="O163" i="1"/>
  <c r="Q150" i="1"/>
  <c r="R150" i="1" s="1"/>
  <c r="AB150" i="1" s="1"/>
  <c r="P150" i="1"/>
  <c r="Z150" i="1" s="1"/>
  <c r="K167" i="1"/>
  <c r="L167" i="1" s="1"/>
  <c r="G162" i="1"/>
  <c r="H65" i="1"/>
  <c r="AE6" i="1"/>
  <c r="J48" i="1"/>
  <c r="T48" i="1" s="1"/>
  <c r="AD48" i="1" s="1"/>
  <c r="I6" i="1"/>
  <c r="I162" i="1" s="1"/>
  <c r="S163" i="1"/>
  <c r="H130" i="1"/>
  <c r="J170" i="1"/>
  <c r="P66" i="1"/>
  <c r="Z66" i="1" s="1"/>
  <c r="K173" i="1" l="1"/>
  <c r="L163" i="1"/>
  <c r="V163" i="1" s="1"/>
  <c r="O167" i="1"/>
  <c r="Q162" i="1"/>
  <c r="G173" i="1"/>
  <c r="H163" i="1"/>
  <c r="F162" i="1"/>
  <c r="L162" i="1" s="1"/>
  <c r="E65" i="1"/>
  <c r="E162" i="1" s="1"/>
  <c r="L65" i="1"/>
  <c r="V65" i="1" s="1"/>
  <c r="AF65" i="1" s="1"/>
  <c r="J65" i="1"/>
  <c r="T65" i="1" s="1"/>
  <c r="AD65" i="1" s="1"/>
  <c r="F6" i="1"/>
  <c r="E6" i="1" s="1"/>
  <c r="O173" i="1"/>
  <c r="Q163" i="1"/>
  <c r="P163" i="1"/>
  <c r="V162" i="1"/>
  <c r="G172" i="1"/>
  <c r="I172" i="1" s="1"/>
  <c r="J163" i="1"/>
  <c r="T163" i="1" s="1"/>
  <c r="V170" i="1"/>
  <c r="P170" i="1"/>
  <c r="M167" i="1"/>
  <c r="N167" i="1" s="1"/>
  <c r="I167" i="1"/>
  <c r="J167" i="1" s="1"/>
  <c r="J162" i="1"/>
  <c r="T162" i="1" s="1"/>
  <c r="G167" i="1"/>
  <c r="H167" i="1" s="1"/>
  <c r="E129" i="1"/>
  <c r="R129" i="1" s="1"/>
  <c r="AB129" i="1" s="1"/>
  <c r="J129" i="1"/>
  <c r="T129" i="1" s="1"/>
  <c r="AD129" i="1" s="1"/>
  <c r="P129" i="1"/>
  <c r="Z129" i="1" s="1"/>
  <c r="L129" i="1"/>
  <c r="V129" i="1" s="1"/>
  <c r="AF129" i="1" s="1"/>
  <c r="N129" i="1"/>
  <c r="X129" i="1" s="1"/>
  <c r="AH129" i="1" s="1"/>
  <c r="W170" i="1" l="1"/>
  <c r="V177" i="1"/>
  <c r="E163" i="1"/>
  <c r="V167" i="1"/>
  <c r="P167" i="1"/>
  <c r="H162" i="1"/>
  <c r="N162" i="1"/>
  <c r="R65" i="1"/>
  <c r="AB65" i="1" s="1"/>
  <c r="R163" i="1"/>
  <c r="H173" i="1"/>
  <c r="P162" i="1"/>
  <c r="K172" i="1"/>
  <c r="M172" i="1" s="1"/>
  <c r="J173" i="1"/>
  <c r="V173" i="1"/>
  <c r="R162" i="1"/>
  <c r="L173" i="1"/>
  <c r="O172" i="1" l="1"/>
  <c r="N173" i="1"/>
  <c r="W167" i="1"/>
  <c r="V176" i="1"/>
  <c r="V172" i="1" l="1"/>
  <c r="P173" i="1"/>
  <c r="W177" i="1"/>
  <c r="V179" i="1" l="1"/>
  <c r="V180" i="1" s="1"/>
  <c r="W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  <author>Nelvin Portocarrero Vargas</author>
  </authors>
  <commentList>
    <comment ref="E8" authorId="0" shapeId="0" xr:uid="{5D032A94-E8D2-4003-9149-8AF5C92D308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 LA SUMATORIA DE COSTO D VENTA MAS COSTOS LICENCIAS
159150+938238.00</t>
        </r>
      </text>
    </comment>
    <comment ref="M40" authorId="1" shapeId="0" xr:uid="{FD5BEB33-0CE5-4260-82E0-C31DA1D6A9AC}">
      <text>
        <r>
          <rPr>
            <b/>
            <sz val="9"/>
            <color indexed="81"/>
            <rFont val="Tahoma"/>
            <family val="2"/>
          </rPr>
          <t>VER HOJA MARZO</t>
        </r>
      </text>
    </comment>
    <comment ref="K69" authorId="1" shapeId="0" xr:uid="{956E2793-9006-44D5-9414-2BE2EFAEB18D}">
      <text>
        <r>
          <rPr>
            <b/>
            <sz val="9"/>
            <color indexed="81"/>
            <rFont val="Tahoma"/>
            <family val="2"/>
          </rPr>
          <t>F2 SERVICIOS REGULATORIOS SERVICIOS LEGALES
F19 IFCA SRL
VER HOJA FEBRERO</t>
        </r>
      </text>
    </comment>
    <comment ref="G121" authorId="1" shapeId="0" xr:uid="{6A961FBF-F1A8-4AA3-AF40-3150BF49B6C3}">
      <text>
        <r>
          <rPr>
            <sz val="9"/>
            <color indexed="81"/>
            <rFont val="Tahoma"/>
            <family val="2"/>
          </rPr>
          <t>OVT planilla Nov, OVT planilla Aguinaldos
VER HOJA DICIEMBRE-2023</t>
        </r>
      </text>
    </comment>
    <comment ref="G124" authorId="1" shapeId="0" xr:uid="{17D9BBB1-CBB4-402F-851C-043E8E0558BE}">
      <text>
        <r>
          <rPr>
            <b/>
            <sz val="9"/>
            <color indexed="81"/>
            <rFont val="Tahoma"/>
            <family val="2"/>
          </rPr>
          <t>VER HOJA DICIEMBRE-2023</t>
        </r>
      </text>
    </comment>
    <comment ref="G135" authorId="1" shapeId="0" xr:uid="{392EDA35-9952-4CE6-8DDE-EC1D45F71F5A}">
      <text>
        <r>
          <rPr>
            <b/>
            <sz val="9"/>
            <color indexed="81"/>
            <rFont val="Tahoma"/>
            <family val="2"/>
          </rPr>
          <t>VER HOJA DICEIMBRE</t>
        </r>
      </text>
    </comment>
    <comment ref="G151" authorId="1" shapeId="0" xr:uid="{CBF1887B-A327-42F5-B2D7-E3B65C03357E}">
      <text>
        <r>
          <rPr>
            <sz val="9"/>
            <color indexed="81"/>
            <rFont val="Tahoma"/>
            <family val="2"/>
          </rPr>
          <t xml:space="preserve">
SUMA DE AITB Y DIF DE CAMBIO  VER HOJA DICIEMBRE</t>
        </r>
      </text>
    </comment>
    <comment ref="G153" authorId="1" shapeId="0" xr:uid="{DB5539C0-9191-49C2-9940-D8CA1A3FE933}">
      <text>
        <r>
          <rPr>
            <b/>
            <sz val="9"/>
            <color indexed="81"/>
            <rFont val="Tahoma"/>
            <family val="2"/>
          </rPr>
          <t>ajuste de cuentas patrimoniales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4" authorId="1" shapeId="0" xr:uid="{87B718DF-49B8-4AEB-BB13-59FD7746B491}">
      <text>
        <r>
          <rPr>
            <b/>
            <sz val="9"/>
            <color indexed="81"/>
            <rFont val="Tahoma"/>
            <family val="2"/>
          </rPr>
          <t>ajuste integral de ingresos y egresos 2023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<sst xmlns="http://schemas.openxmlformats.org/spreadsheetml/2006/main" count="371" uniqueCount="301">
  <si>
    <t>CODIGO</t>
  </si>
  <si>
    <t>CUENTA</t>
  </si>
  <si>
    <t>TOTAL 12 MESES</t>
  </si>
  <si>
    <t>PROMEDIO MES</t>
  </si>
  <si>
    <t>PRESUPUESTO
ANUAL</t>
  </si>
  <si>
    <t xml:space="preserve">PRESUPUESTO 
MENSUAL </t>
  </si>
  <si>
    <t>DICIEMBRE</t>
  </si>
  <si>
    <t>%</t>
  </si>
  <si>
    <t>ENERO</t>
  </si>
  <si>
    <t>FEBRERO</t>
  </si>
  <si>
    <t>MARZO</t>
  </si>
  <si>
    <t>ABRIL</t>
  </si>
  <si>
    <t>5 MESES</t>
  </si>
  <si>
    <t>ANUAL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</si>
  <si>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</si>
  <si>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</si>
  <si>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</si>
  <si>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</si>
  <si>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</si>
  <si>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</si>
  <si>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</si>
  <si>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5101-01-0003</t>
  </si>
  <si>
    <t xml:space="preserve">          COSTO HONORARIOS PROFESIONALES</t>
  </si>
  <si>
    <t>5101-01-0004</t>
  </si>
  <si>
    <t xml:space="preserve">          COSTO ESTIPENDIOS</t>
  </si>
  <si>
    <t>5101-01-0005</t>
  </si>
  <si>
    <t xml:space="preserve">         GESTION DE SERVICIO POR TRANFERENCIA</t>
  </si>
  <si>
    <t>5101-04</t>
  </si>
  <si>
    <t xml:space="preserve">        DESCUENTOS SOBRE COMPRAS</t>
  </si>
  <si>
    <t>5101-04-0001</t>
  </si>
  <si>
    <t xml:space="preserve">        DESCUENTO SOBRE COMPRAS</t>
  </si>
  <si>
    <t>5101-05-0009</t>
  </si>
  <si>
    <t xml:space="preserve">        COSTO LICENCIA DIGIFORT</t>
  </si>
  <si>
    <t xml:space="preserve">         COSTO LICENCIA LOOK RIGHT NOW</t>
  </si>
  <si>
    <t>5101-05-0024</t>
  </si>
  <si>
    <t xml:space="preserve">        COSTO LICENCIA CONNECTLY.AI</t>
  </si>
  <si>
    <t>5101-05-0027</t>
  </si>
  <si>
    <t xml:space="preserve">        COSTO LICENCIA BITRIX</t>
  </si>
  <si>
    <t>5101-05-0028</t>
  </si>
  <si>
    <t xml:space="preserve">        COSTO LICENCIA ONE MICROSOFT WAY</t>
  </si>
  <si>
    <t>5101-05-0029</t>
  </si>
  <si>
    <t xml:space="preserve">        COSTO LICENCIA CLEVERLY</t>
  </si>
  <si>
    <t>5101-05-0030</t>
  </si>
  <si>
    <t xml:space="preserve">        COSTO LICENCIA LINKEDLN</t>
  </si>
  <si>
    <t>5101-05-0031</t>
  </si>
  <si>
    <t xml:space="preserve">        COSTO LICENCIA DOMINIO</t>
  </si>
  <si>
    <t>5101-05-0032</t>
  </si>
  <si>
    <t>COSTO LICENCIA GODADDY</t>
  </si>
  <si>
    <t>5201-02-0002</t>
  </si>
  <si>
    <t xml:space="preserve">        AGUINALDO </t>
  </si>
  <si>
    <t>5201-03-0001</t>
  </si>
  <si>
    <t xml:space="preserve">       COMISIONES COM</t>
  </si>
  <si>
    <t>5201-05-0001</t>
  </si>
  <si>
    <t xml:space="preserve">TRANSPORTE </t>
  </si>
  <si>
    <t>5201-05-0004</t>
  </si>
  <si>
    <t>PROGRAMAS, CAPACITACIONES Y FOROS DE NEGOCIO</t>
  </si>
  <si>
    <t>5201-06</t>
  </si>
  <si>
    <t>PUBLICIDAD</t>
  </si>
  <si>
    <t>5201-06-0001</t>
  </si>
  <si>
    <t>5301-01-0006</t>
  </si>
  <si>
    <t xml:space="preserve">        SERVICIO DE CONSULTORIA (EUROPA)</t>
  </si>
  <si>
    <t>5301-02-0006</t>
  </si>
  <si>
    <t xml:space="preserve">        DESAHUCIO</t>
  </si>
  <si>
    <t>5301-07-0012</t>
  </si>
  <si>
    <t xml:space="preserve">        SERVICIOS TECNICOS - INSTALACIONES</t>
  </si>
  <si>
    <t>5301-08-0005</t>
  </si>
  <si>
    <t xml:space="preserve">       SERVICIO DE IMPRENTA </t>
  </si>
  <si>
    <t>5301-08-0008</t>
  </si>
  <si>
    <t xml:space="preserve">        ACTIVOS MENORES</t>
  </si>
  <si>
    <t>5301-08-0009</t>
  </si>
  <si>
    <t xml:space="preserve">        ARTICULOS DECORATIVOS DE OFICINA</t>
  </si>
  <si>
    <t>5301-10</t>
  </si>
  <si>
    <t xml:space="preserve">      MANTENIMIENTO Y REPARACIÓN</t>
  </si>
  <si>
    <t>5301-10-0001</t>
  </si>
  <si>
    <t xml:space="preserve">        MANTENIMIENTO DE OFICINA</t>
  </si>
  <si>
    <t>5301-10-0002</t>
  </si>
  <si>
    <t xml:space="preserve">        MANTENIMIENTO EQUIPO COMPUTACION</t>
  </si>
  <si>
    <t>5301-12-0003</t>
  </si>
  <si>
    <t xml:space="preserve">        ALQUILER DE SALON PARA REUNIONES</t>
  </si>
  <si>
    <t>5301-16-0006</t>
  </si>
  <si>
    <t xml:space="preserve">       COMISIONES POR PRESTAMOS DEL SALVADOR </t>
  </si>
  <si>
    <t>5301-16-0007</t>
  </si>
  <si>
    <t xml:space="preserve">       COMISIONES POR TRANSFERENCIAS</t>
  </si>
  <si>
    <t>5601-03-0001</t>
  </si>
  <si>
    <t xml:space="preserve">        OTROS GASTOS</t>
  </si>
  <si>
    <t>GASTOS OPERATIVOS</t>
  </si>
  <si>
    <t>OTROS GASTOS NO CONTEMPLADOS EN BUDGET</t>
  </si>
  <si>
    <t>GG BU</t>
  </si>
  <si>
    <t>REAL</t>
  </si>
  <si>
    <t>COSTOS BU</t>
  </si>
  <si>
    <t>OTROS BU</t>
  </si>
  <si>
    <t xml:space="preserve">REAL </t>
  </si>
  <si>
    <t>PNL</t>
  </si>
  <si>
    <t>PRESUPUESTO AL 28-02-2025</t>
  </si>
  <si>
    <t>12 MESES</t>
  </si>
  <si>
    <t>MES</t>
  </si>
  <si>
    <t>5</t>
  </si>
  <si>
    <t>EGRESOS</t>
  </si>
  <si>
    <t>51</t>
  </si>
  <si>
    <t xml:space="preserve">  COSTO DE VENTAS</t>
  </si>
  <si>
    <t>5101</t>
  </si>
  <si>
    <t xml:space="preserve">    COSTO DE VENTAS Y/O SERVICIOS</t>
  </si>
  <si>
    <t>5101-01</t>
  </si>
  <si>
    <t xml:space="preserve">      COSTO DE VENTAS Y/O SERVICIOS</t>
  </si>
  <si>
    <t>5101-01-0002</t>
  </si>
  <si>
    <t xml:space="preserve">        MATERIALES DE INSTALACION</t>
  </si>
  <si>
    <t xml:space="preserve">        COSTO HONORARIOS PROFESIONALES</t>
  </si>
  <si>
    <t xml:space="preserve">        COSTO ESTIPENDIOS</t>
  </si>
  <si>
    <t xml:space="preserve">        GESTION DE SERVICIO POR TRANSFERENCIA</t>
  </si>
  <si>
    <t>5101-05</t>
  </si>
  <si>
    <t xml:space="preserve">      COSTO DE LICENCIAS</t>
  </si>
  <si>
    <t>5101-05-0001</t>
  </si>
  <si>
    <t xml:space="preserve">        COSTO LICENCIA WHATAFORM</t>
  </si>
  <si>
    <t>5101-05-0004</t>
  </si>
  <si>
    <t xml:space="preserve">        COSTO LICENCIA PLATAFORMA SILICE WS</t>
  </si>
  <si>
    <t>5101-05-0005</t>
  </si>
  <si>
    <t xml:space="preserve">        COSTO LICENCIA OVHCLOUD</t>
  </si>
  <si>
    <t>5101-05-0008</t>
  </si>
  <si>
    <t xml:space="preserve">        COSTO LICENCIA FLASHSTAR</t>
  </si>
  <si>
    <t>5101-05-0010</t>
  </si>
  <si>
    <t xml:space="preserve">        COSTO LICENCIA CLOUD4WI</t>
  </si>
  <si>
    <t>5101-05-0011</t>
  </si>
  <si>
    <t xml:space="preserve">        COSTO LICENCIA BLUEHOST</t>
  </si>
  <si>
    <t>5101-05-0012</t>
  </si>
  <si>
    <t xml:space="preserve">        COSTO LICENCIA BITWORKS</t>
  </si>
  <si>
    <t>5101-05-0013</t>
  </si>
  <si>
    <t xml:space="preserve">        COSTO LICENCIA BEACONTAC</t>
  </si>
  <si>
    <t>5101-05-0014</t>
  </si>
  <si>
    <t xml:space="preserve">        COSTO LICENCIA VMS CAMARAS</t>
  </si>
  <si>
    <t>5101-05-0015</t>
  </si>
  <si>
    <t xml:space="preserve">        COSTO LICENCIA FRESHWORKS</t>
  </si>
  <si>
    <t>5101-05-0018</t>
  </si>
  <si>
    <t xml:space="preserve">        COSTO LICENCIA ZAPIER INC.</t>
  </si>
  <si>
    <t>5101-05-0019</t>
  </si>
  <si>
    <t xml:space="preserve">        COSTO LICENCIA LOOK RIGHT NOW</t>
  </si>
  <si>
    <t>5101-05-0020</t>
  </si>
  <si>
    <t xml:space="preserve">        COSTO LICENCIA QUADMINDS</t>
  </si>
  <si>
    <t>5101-05-0021</t>
  </si>
  <si>
    <t xml:space="preserve">        COSTO LICENCIA COUPONTOOLS</t>
  </si>
  <si>
    <t>5101-05-0022</t>
  </si>
  <si>
    <t xml:space="preserve">        COSTO LICENCIA ZEROSSL</t>
  </si>
  <si>
    <t>5101-05-0025</t>
  </si>
  <si>
    <t xml:space="preserve">        COSTO LICENCIA S1</t>
  </si>
  <si>
    <t>5101-05-0026</t>
  </si>
  <si>
    <t xml:space="preserve">        COSTO LICENCIA JOTFORM</t>
  </si>
  <si>
    <t xml:space="preserve">        COSTO LICENCIA GODADDY</t>
  </si>
  <si>
    <t>52</t>
  </si>
  <si>
    <t xml:space="preserve">  GASTOS DE COMERCIALIZACIÓN</t>
  </si>
  <si>
    <t>5201</t>
  </si>
  <si>
    <t xml:space="preserve">    GASTOS DE COMERCIALIZACIÓN</t>
  </si>
  <si>
    <t>5201-03</t>
  </si>
  <si>
    <t xml:space="preserve">      COMISIONES SOBRE VENTAS</t>
  </si>
  <si>
    <t xml:space="preserve">        COMISIONES COM</t>
  </si>
  <si>
    <t>5201-03-0002</t>
  </si>
  <si>
    <t xml:space="preserve">        BONOS</t>
  </si>
  <si>
    <t>5201-04</t>
  </si>
  <si>
    <t xml:space="preserve">      VÍATICOS</t>
  </si>
  <si>
    <t>5201-04-0001</t>
  </si>
  <si>
    <t xml:space="preserve">        VIATICOS C0M</t>
  </si>
  <si>
    <t>5201-05</t>
  </si>
  <si>
    <t xml:space="preserve">      PASAJES</t>
  </si>
  <si>
    <t xml:space="preserve">        TRANSPORTE</t>
  </si>
  <si>
    <t>5201-05-0003</t>
  </si>
  <si>
    <t xml:space="preserve">        GASTOS DE MOVILIDAD Y TRANSPORTE</t>
  </si>
  <si>
    <t xml:space="preserve">        PROGRAMAS, CAPACITACIONES Y FOROS DE NEGOCIO</t>
  </si>
  <si>
    <t>53</t>
  </si>
  <si>
    <t xml:space="preserve">  GASTOS GENERALES DE ADMINISTRACIÓN</t>
  </si>
  <si>
    <t>5301</t>
  </si>
  <si>
    <t xml:space="preserve">    GASTOS GENERALES DE ADMINISTRACIÓN</t>
  </si>
  <si>
    <t>5301-01</t>
  </si>
  <si>
    <t xml:space="preserve">      SUELDOS Y SALARIOS</t>
  </si>
  <si>
    <t>5301-01-0001</t>
  </si>
  <si>
    <t xml:space="preserve">        SUELDOS Y SALARIOS ADM</t>
  </si>
  <si>
    <t>5301-01-0002</t>
  </si>
  <si>
    <t xml:space="preserve">        HONORARIOS PROFESIONALES</t>
  </si>
  <si>
    <t>5301-01-0004</t>
  </si>
  <si>
    <t xml:space="preserve">        RETIRO SOCIOS</t>
  </si>
  <si>
    <t>5301-01-0005</t>
  </si>
  <si>
    <t xml:space="preserve">        PRESENTES AL PERSONAL</t>
  </si>
  <si>
    <t xml:space="preserve">        SERVICIO DE CONSULTORIA</t>
  </si>
  <si>
    <t>5301-02</t>
  </si>
  <si>
    <t xml:space="preserve">      BENEFICIOS Y CARGAS SOCIALES</t>
  </si>
  <si>
    <t>5301-02-0003</t>
  </si>
  <si>
    <t xml:space="preserve">        CAJA NACIONAL DE SALUD ADM</t>
  </si>
  <si>
    <t>5301-02-0004</t>
  </si>
  <si>
    <t xml:space="preserve">        A.F.P. GESTORA BOLIVIA ADM</t>
  </si>
  <si>
    <t>5301-02-0005</t>
  </si>
  <si>
    <t xml:space="preserve">        VACACIONES ADM</t>
  </si>
  <si>
    <t>5301-03</t>
  </si>
  <si>
    <t xml:space="preserve">      PROVISIÓN AGUINALDOS</t>
  </si>
  <si>
    <t>5301-03-0001</t>
  </si>
  <si>
    <t xml:space="preserve">        AGUINALDOS</t>
  </si>
  <si>
    <t>5301-04</t>
  </si>
  <si>
    <t xml:space="preserve">      PREVISIÓN INDEMNIZACIONES</t>
  </si>
  <si>
    <t>5301-04-0001</t>
  </si>
  <si>
    <t xml:space="preserve">        BENEFICIOS SOCIALES</t>
  </si>
  <si>
    <t>5301-05</t>
  </si>
  <si>
    <t>5301-05-0001</t>
  </si>
  <si>
    <t xml:space="preserve">        VIATICOS ADM</t>
  </si>
  <si>
    <t>5301-05-0002</t>
  </si>
  <si>
    <t xml:space="preserve">        HOSPEDAJE</t>
  </si>
  <si>
    <t>5301-05-0003</t>
  </si>
  <si>
    <t xml:space="preserve">        ESTIPENDIOS</t>
  </si>
  <si>
    <t>5301-06</t>
  </si>
  <si>
    <t>5301-06-0001</t>
  </si>
  <si>
    <t xml:space="preserve">        TRANSPORTE AEREO</t>
  </si>
  <si>
    <t>5301-06-0002</t>
  </si>
  <si>
    <t xml:space="preserve">        TRANSPORTE TERRESTRE</t>
  </si>
  <si>
    <t>5301-07</t>
  </si>
  <si>
    <t xml:space="preserve">      SERVICIOS BÁSICOS</t>
  </si>
  <si>
    <t>5301-07-0001</t>
  </si>
  <si>
    <t xml:space="preserve">        SERVICIO DE ENERGIA ELECTRICA</t>
  </si>
  <si>
    <t>5301-07-0003</t>
  </si>
  <si>
    <t xml:space="preserve">        SERVICIO DE TELEFONIA</t>
  </si>
  <si>
    <t>5301-07-0004</t>
  </si>
  <si>
    <t xml:space="preserve">        SERVICIO COURIER</t>
  </si>
  <si>
    <t>5301-07-0006</t>
  </si>
  <si>
    <t xml:space="preserve">        SERVICIO DE INTERNET</t>
  </si>
  <si>
    <t>5301-07-0007</t>
  </si>
  <si>
    <t xml:space="preserve">        LICENCIA MICROSOFT 365 OUTLOOK</t>
  </si>
  <si>
    <t>5301-07-0009</t>
  </si>
  <si>
    <t xml:space="preserve">        SERVICIO DE LIMPIEZA</t>
  </si>
  <si>
    <t>5301-08</t>
  </si>
  <si>
    <t xml:space="preserve">      MATERIALES Y SUMINISTROS</t>
  </si>
  <si>
    <t>5301-08-0001</t>
  </si>
  <si>
    <t xml:space="preserve">        MATERIAL DE ESCRITORIO Y OFICINA</t>
  </si>
  <si>
    <t>5301-08-0002</t>
  </si>
  <si>
    <t xml:space="preserve">        FOTOCOPIAS, FORMULARIOS Y FOTOGRAFIAS</t>
  </si>
  <si>
    <t xml:space="preserve">        SERVICIO DE IMPRENTA</t>
  </si>
  <si>
    <t>5301-08-0006</t>
  </si>
  <si>
    <t xml:space="preserve">        MATERIAL DE LIMPIEZA</t>
  </si>
  <si>
    <t>5301-08-0007</t>
  </si>
  <si>
    <t xml:space="preserve">        ACCESORIOS Y REPUESTOS</t>
  </si>
  <si>
    <t>5301-12</t>
  </si>
  <si>
    <t xml:space="preserve">      ALQUILERES</t>
  </si>
  <si>
    <t>5301-12-0001</t>
  </si>
  <si>
    <t xml:space="preserve">        ALQUILERES DE OFICINA</t>
  </si>
  <si>
    <t>5301-15</t>
  </si>
  <si>
    <t xml:space="preserve">      GASTOS GENERALES</t>
  </si>
  <si>
    <t>5301-15-0003</t>
  </si>
  <si>
    <t xml:space="preserve">        IMPUESTO A LAS TRANSACCIONES</t>
  </si>
  <si>
    <t>5301-15-0004</t>
  </si>
  <si>
    <t xml:space="preserve">        IMPUESTO A LAS TRANSFERENCIAS FINANCIERAS ITF</t>
  </si>
  <si>
    <t>5301-15-0005</t>
  </si>
  <si>
    <t xml:space="preserve">        SERVICIO DE TE Y REFRIGERIOS</t>
  </si>
  <si>
    <t>5301-15-0006</t>
  </si>
  <si>
    <t xml:space="preserve">        CREDITO FISCAL NO COMPENSADO</t>
  </si>
  <si>
    <t>5301-16</t>
  </si>
  <si>
    <t xml:space="preserve">      OTROS GASTOS DE ADMINISTRACIÓN</t>
  </si>
  <si>
    <t>5301-16-0002</t>
  </si>
  <si>
    <t xml:space="preserve">        TRAMITES LEGALES</t>
  </si>
  <si>
    <t>5301-16-0003</t>
  </si>
  <si>
    <t xml:space="preserve">        MULTAS</t>
  </si>
  <si>
    <t>5301-16-0004</t>
  </si>
  <si>
    <t xml:space="preserve">        COMISIONES BOTON DE PAGO</t>
  </si>
  <si>
    <t xml:space="preserve">        COMISIONES POR TRANSFERENCIAS</t>
  </si>
  <si>
    <t>54</t>
  </si>
  <si>
    <t xml:space="preserve">  GASTOS FINANCIEROS</t>
  </si>
  <si>
    <t>5401</t>
  </si>
  <si>
    <t xml:space="preserve">    GASTOS FINANCIEROS</t>
  </si>
  <si>
    <t>5401-03</t>
  </si>
  <si>
    <t xml:space="preserve">      OTROS INTERESES</t>
  </si>
  <si>
    <t>5401-03-0002</t>
  </si>
  <si>
    <t xml:space="preserve">        INTERESES MORATORIOS</t>
  </si>
  <si>
    <t>5401-04</t>
  </si>
  <si>
    <t xml:space="preserve">      COMISIONES BANCARIAS</t>
  </si>
  <si>
    <t>5401-04-0001</t>
  </si>
  <si>
    <t xml:space="preserve">        COMISIONES BANCARIAS</t>
  </si>
  <si>
    <t>5401-05</t>
  </si>
  <si>
    <t xml:space="preserve">      OTROS GASTOS FINANCIEROS</t>
  </si>
  <si>
    <t>5401-05-0001</t>
  </si>
  <si>
    <t xml:space="preserve">        OTROS GASTOS FINANCIEROS</t>
  </si>
  <si>
    <t>5401-05-0002</t>
  </si>
  <si>
    <t xml:space="preserve">        SEGUROS BANCARIOS</t>
  </si>
  <si>
    <t>56</t>
  </si>
  <si>
    <t xml:space="preserve">  OTROS GASTOS NO OPERATIVOS</t>
  </si>
  <si>
    <t>5601</t>
  </si>
  <si>
    <t xml:space="preserve">    OTROS GASTOS NO OPERATIVOS</t>
  </si>
  <si>
    <t>5601-01</t>
  </si>
  <si>
    <t xml:space="preserve">      AJUSTE POR INFLACIÓN Y TENENCIA DE BIENES</t>
  </si>
  <si>
    <t>5601-01-0001</t>
  </si>
  <si>
    <t xml:space="preserve">        AJUSTE POR INFLACIÓN Y TENENCIA DE BIENES</t>
  </si>
  <si>
    <t>5601-01-0002</t>
  </si>
  <si>
    <t xml:space="preserve">        AJUSTE INTEGRAL DE CUENTAS DE EGRESO</t>
  </si>
  <si>
    <t>5601-02</t>
  </si>
  <si>
    <t xml:space="preserve">      DIFERENCIA DE CAMBIO</t>
  </si>
  <si>
    <t>5601-02-0001</t>
  </si>
  <si>
    <t xml:space="preserve">        DIFERENCIA DE CAMBIO</t>
  </si>
  <si>
    <t>5601-03</t>
  </si>
  <si>
    <t xml:space="preserve">      OTROS GASTOS</t>
  </si>
  <si>
    <t>5601-03-0002</t>
  </si>
  <si>
    <t xml:space="preserve">        DIFERENCIA POR REDONDEO</t>
  </si>
  <si>
    <t>5601-03-0003</t>
  </si>
  <si>
    <t xml:space="preserve">        MANTENIMIENTO DE VALOR</t>
  </si>
  <si>
    <t>5201-01</t>
  </si>
  <si>
    <t>5201-01-0002</t>
  </si>
  <si>
    <t>5101-05-0033</t>
  </si>
  <si>
    <t xml:space="preserve">        COSTO LICENCIA IPEXTREME</t>
  </si>
  <si>
    <t xml:space="preserve">      PUBLICIDAD</t>
  </si>
  <si>
    <t xml:space="preserve">         PUBLICIDAD</t>
  </si>
  <si>
    <t>PRESUPUESTO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</si>
</sst>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6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43" fontId="0" fillId="0" borderId="0" xfId="1" applyFont="1"/>
    <xf numFmtId="4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 shrinkToFit="1"/>
    </xf>
    <xf numFmtId="0" fontId="8" fillId="2" borderId="3" xfId="0" applyFont="1" applyFill="1" applyBorder="1" applyAlignment="1">
      <alignment horizontal="center" vertical="center" wrapText="1" shrinkToFit="1"/>
    </xf>
    <xf numFmtId="9" fontId="8" fillId="2" borderId="0" xfId="0" applyNumberFormat="1" applyFont="1" applyFill="1" applyAlignment="1">
      <alignment horizontal="center" vertical="center" wrapText="1" shrinkToFit="1"/>
    </xf>
    <xf numFmtId="0" fontId="9" fillId="3" borderId="3" xfId="0" applyFont="1" applyFill="1" applyBorder="1" applyAlignment="1">
      <alignment horizontal="center" vertical="center" wrapText="1" shrinkToFit="1"/>
    </xf>
    <xf numFmtId="43" fontId="9" fillId="3" borderId="3" xfId="1" applyFont="1" applyFill="1" applyBorder="1" applyAlignment="1">
      <alignment horizontal="center" vertical="center" wrapText="1" shrinkToFit="1"/>
    </xf>
    <xf numFmtId="0" fontId="0" fillId="3" borderId="3" xfId="0" applyFill="1" applyBorder="1"/>
    <xf numFmtId="43" fontId="9" fillId="3" borderId="3" xfId="1" applyFont="1" applyFill="1" applyBorder="1"/>
    <xf numFmtId="0" fontId="8" fillId="3" borderId="3" xfId="0" applyFont="1" applyFill="1" applyBorder="1"/>
    <xf numFmtId="43" fontId="8" fillId="3" borderId="3" xfId="1" applyFont="1" applyFill="1" applyBorder="1"/>
    <xf numFmtId="0" fontId="8" fillId="3" borderId="0" xfId="0" applyFont="1" applyFill="1"/>
    <xf numFmtId="0" fontId="8" fillId="0" borderId="0" xfId="0" applyFont="1"/>
    <xf numFmtId="43" fontId="10" fillId="3" borderId="3" xfId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 shrinkToFit="1"/>
    </xf>
    <xf numFmtId="0" fontId="11" fillId="3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9" fontId="11" fillId="5" borderId="0" xfId="0" applyNumberFormat="1" applyFont="1" applyFill="1" applyAlignment="1">
      <alignment horizontal="center" vertical="center"/>
    </xf>
    <xf numFmtId="43" fontId="11" fillId="3" borderId="3" xfId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/>
    <xf numFmtId="4" fontId="12" fillId="0" borderId="3" xfId="0" applyNumberFormat="1" applyFont="1" applyBorder="1"/>
    <xf numFmtId="4" fontId="13" fillId="6" borderId="3" xfId="0" applyNumberFormat="1" applyFont="1" applyFill="1" applyBorder="1"/>
    <xf numFmtId="4" fontId="14" fillId="0" borderId="3" xfId="0" applyNumberFormat="1" applyFont="1" applyBorder="1"/>
    <xf numFmtId="4" fontId="14" fillId="6" borderId="3" xfId="0" applyNumberFormat="1" applyFont="1" applyFill="1" applyBorder="1"/>
    <xf numFmtId="4" fontId="14" fillId="2" borderId="3" xfId="0" applyNumberFormat="1" applyFont="1" applyFill="1" applyBorder="1"/>
    <xf numFmtId="9" fontId="14" fillId="2" borderId="0" xfId="0" applyNumberFormat="1" applyFont="1" applyFill="1"/>
    <xf numFmtId="43" fontId="13" fillId="6" borderId="3" xfId="1" applyFont="1" applyFill="1" applyBorder="1"/>
    <xf numFmtId="0" fontId="12" fillId="7" borderId="3" xfId="0" applyFont="1" applyFill="1" applyBorder="1" applyAlignment="1">
      <alignment horizontal="left"/>
    </xf>
    <xf numFmtId="0" fontId="12" fillId="7" borderId="3" xfId="0" applyFont="1" applyFill="1" applyBorder="1"/>
    <xf numFmtId="4" fontId="12" fillId="7" borderId="3" xfId="0" applyNumberFormat="1" applyFont="1" applyFill="1" applyBorder="1"/>
    <xf numFmtId="9" fontId="12" fillId="7" borderId="3" xfId="2" applyFont="1" applyFill="1" applyBorder="1"/>
    <xf numFmtId="4" fontId="14" fillId="7" borderId="3" xfId="0" applyNumberFormat="1" applyFont="1" applyFill="1" applyBorder="1"/>
    <xf numFmtId="9" fontId="14" fillId="7" borderId="3" xfId="2" applyFont="1" applyFill="1" applyBorder="1"/>
    <xf numFmtId="9" fontId="14" fillId="7" borderId="0" xfId="0" applyNumberFormat="1" applyFont="1" applyFill="1"/>
    <xf numFmtId="43" fontId="14" fillId="7" borderId="3" xfId="1" applyFont="1" applyFill="1" applyBorder="1"/>
    <xf numFmtId="0" fontId="0" fillId="3" borderId="0" xfId="0" applyFill="1"/>
    <xf numFmtId="0" fontId="12" fillId="8" borderId="3" xfId="0" applyFont="1" applyFill="1" applyBorder="1" applyAlignment="1">
      <alignment horizontal="left"/>
    </xf>
    <xf numFmtId="0" fontId="12" fillId="8" borderId="3" xfId="0" applyFont="1" applyFill="1" applyBorder="1"/>
    <xf numFmtId="4" fontId="12" fillId="8" borderId="3" xfId="0" applyNumberFormat="1" applyFont="1" applyFill="1" applyBorder="1"/>
    <xf numFmtId="4" fontId="2" fillId="9" borderId="3" xfId="0" applyNumberFormat="1" applyFont="1" applyFill="1" applyBorder="1"/>
    <xf numFmtId="9" fontId="12" fillId="2" borderId="3" xfId="2" applyFont="1" applyFill="1" applyBorder="1"/>
    <xf numFmtId="4" fontId="14" fillId="8" borderId="3" xfId="0" applyNumberFormat="1" applyFont="1" applyFill="1" applyBorder="1"/>
    <xf numFmtId="9" fontId="14" fillId="2" borderId="3" xfId="2" applyFont="1" applyFill="1" applyBorder="1"/>
    <xf numFmtId="43" fontId="14" fillId="10" borderId="3" xfId="1" applyFont="1" applyFill="1" applyBorder="1"/>
    <xf numFmtId="43" fontId="15" fillId="8" borderId="3" xfId="1" applyFont="1" applyFill="1" applyBorder="1"/>
    <xf numFmtId="9" fontId="14" fillId="10" borderId="3" xfId="2" applyFont="1" applyFill="1" applyBorder="1"/>
    <xf numFmtId="43" fontId="15" fillId="10" borderId="3" xfId="1" applyFont="1" applyFill="1" applyBorder="1"/>
    <xf numFmtId="0" fontId="0" fillId="8" borderId="0" xfId="0" applyFill="1"/>
    <xf numFmtId="43" fontId="14" fillId="8" borderId="3" xfId="1" applyFont="1" applyFill="1" applyBorder="1"/>
    <xf numFmtId="0" fontId="16" fillId="0" borderId="3" xfId="0" applyFont="1" applyBorder="1" applyAlignment="1">
      <alignment horizontal="left"/>
    </xf>
    <xf numFmtId="0" fontId="16" fillId="0" borderId="3" xfId="0" applyFont="1" applyBorder="1"/>
    <xf numFmtId="4" fontId="16" fillId="0" borderId="3" xfId="0" applyNumberFormat="1" applyFont="1" applyBorder="1"/>
    <xf numFmtId="4" fontId="16" fillId="11" borderId="3" xfId="0" applyNumberFormat="1" applyFont="1" applyFill="1" applyBorder="1"/>
    <xf numFmtId="4" fontId="15" fillId="11" borderId="3" xfId="0" applyNumberFormat="1" applyFont="1" applyFill="1" applyBorder="1"/>
    <xf numFmtId="4" fontId="15" fillId="0" borderId="3" xfId="0" applyNumberFormat="1" applyFont="1" applyBorder="1"/>
    <xf numFmtId="2" fontId="15" fillId="0" borderId="3" xfId="1" applyNumberFormat="1" applyFont="1" applyBorder="1"/>
    <xf numFmtId="0" fontId="16" fillId="2" borderId="3" xfId="0" applyFont="1" applyFill="1" applyBorder="1"/>
    <xf numFmtId="4" fontId="16" fillId="2" borderId="3" xfId="0" applyNumberFormat="1" applyFont="1" applyFill="1" applyBorder="1"/>
    <xf numFmtId="4" fontId="0" fillId="0" borderId="3" xfId="0" applyNumberFormat="1" applyBorder="1"/>
    <xf numFmtId="0" fontId="0" fillId="0" borderId="3" xfId="0" applyBorder="1"/>
    <xf numFmtId="164" fontId="15" fillId="0" borderId="3" xfId="0" applyNumberFormat="1" applyFont="1" applyBorder="1"/>
    <xf numFmtId="43" fontId="15" fillId="0" borderId="3" xfId="1" applyFont="1" applyBorder="1"/>
    <xf numFmtId="2" fontId="15" fillId="0" borderId="3" xfId="1" applyNumberFormat="1" applyFont="1" applyFill="1" applyBorder="1"/>
    <xf numFmtId="2" fontId="14" fillId="10" borderId="3" xfId="1" applyNumberFormat="1" applyFont="1" applyFill="1" applyBorder="1"/>
    <xf numFmtId="2" fontId="14" fillId="8" borderId="3" xfId="1" applyNumberFormat="1" applyFont="1" applyFill="1" applyBorder="1"/>
    <xf numFmtId="2" fontId="15" fillId="0" borderId="3" xfId="0" applyNumberFormat="1" applyFont="1" applyBorder="1"/>
    <xf numFmtId="2" fontId="15" fillId="0" borderId="3" xfId="1" applyNumberFormat="1" applyFont="1" applyBorder="1" applyAlignment="1">
      <alignment vertical="center" wrapText="1"/>
    </xf>
    <xf numFmtId="43" fontId="14" fillId="0" borderId="3" xfId="1" applyFont="1" applyFill="1" applyBorder="1"/>
    <xf numFmtId="2" fontId="15" fillId="2" borderId="3" xfId="1" applyNumberFormat="1" applyFont="1" applyFill="1" applyBorder="1"/>
    <xf numFmtId="43" fontId="15" fillId="0" borderId="3" xfId="1" applyFont="1" applyBorder="1" applyAlignment="1">
      <alignment vertical="center" wrapText="1"/>
    </xf>
    <xf numFmtId="4" fontId="0" fillId="11" borderId="3" xfId="0" applyNumberFormat="1" applyFill="1" applyBorder="1"/>
    <xf numFmtId="2" fontId="14" fillId="7" borderId="3" xfId="1" applyNumberFormat="1" applyFont="1" applyFill="1" applyBorder="1"/>
    <xf numFmtId="0" fontId="12" fillId="3" borderId="3" xfId="0" applyFont="1" applyFill="1" applyBorder="1" applyAlignment="1">
      <alignment horizontal="left"/>
    </xf>
    <xf numFmtId="0" fontId="12" fillId="3" borderId="3" xfId="0" applyFont="1" applyFill="1" applyBorder="1"/>
    <xf numFmtId="4" fontId="12" fillId="3" borderId="3" xfId="0" applyNumberFormat="1" applyFont="1" applyFill="1" applyBorder="1"/>
    <xf numFmtId="9" fontId="12" fillId="3" borderId="3" xfId="2" applyFont="1" applyFill="1" applyBorder="1"/>
    <xf numFmtId="4" fontId="14" fillId="3" borderId="3" xfId="0" applyNumberFormat="1" applyFont="1" applyFill="1" applyBorder="1"/>
    <xf numFmtId="9" fontId="14" fillId="3" borderId="3" xfId="2" applyFont="1" applyFill="1" applyBorder="1"/>
    <xf numFmtId="43" fontId="14" fillId="3" borderId="3" xfId="1" applyFont="1" applyFill="1" applyBorder="1"/>
    <xf numFmtId="43" fontId="14" fillId="12" borderId="3" xfId="1" applyFont="1" applyFill="1" applyBorder="1"/>
    <xf numFmtId="2" fontId="14" fillId="13" borderId="3" xfId="1" applyNumberFormat="1" applyFont="1" applyFill="1" applyBorder="1"/>
    <xf numFmtId="0" fontId="0" fillId="0" borderId="3" xfId="0" applyBorder="1" applyAlignment="1">
      <alignment horizontal="left"/>
    </xf>
    <xf numFmtId="9" fontId="12" fillId="8" borderId="3" xfId="2" applyFont="1" applyFill="1" applyBorder="1"/>
    <xf numFmtId="2" fontId="14" fillId="0" borderId="3" xfId="1" applyNumberFormat="1" applyFont="1" applyBorder="1"/>
    <xf numFmtId="43" fontId="15" fillId="0" borderId="3" xfId="1" applyFont="1" applyFill="1" applyBorder="1"/>
    <xf numFmtId="0" fontId="4" fillId="0" borderId="0" xfId="0" applyFont="1"/>
    <xf numFmtId="43" fontId="14" fillId="13" borderId="3" xfId="1" applyFont="1" applyFill="1" applyBorder="1"/>
    <xf numFmtId="0" fontId="16" fillId="2" borderId="3" xfId="0" applyFont="1" applyFill="1" applyBorder="1" applyAlignment="1">
      <alignment horizontal="left"/>
    </xf>
    <xf numFmtId="4" fontId="12" fillId="2" borderId="3" xfId="0" applyNumberFormat="1" applyFont="1" applyFill="1" applyBorder="1"/>
    <xf numFmtId="43" fontId="14" fillId="2" borderId="3" xfId="1" applyFont="1" applyFill="1" applyBorder="1"/>
    <xf numFmtId="2" fontId="15" fillId="0" borderId="0" xfId="1" applyNumberFormat="1" applyFont="1"/>
    <xf numFmtId="2" fontId="15" fillId="2" borderId="0" xfId="1" applyNumberFormat="1" applyFont="1" applyFill="1"/>
    <xf numFmtId="0" fontId="16" fillId="0" borderId="3" xfId="0" applyFont="1" applyBorder="1" applyAlignment="1">
      <alignment horizontal="left" vertical="top"/>
    </xf>
    <xf numFmtId="43" fontId="15" fillId="2" borderId="3" xfId="1" applyFont="1" applyFill="1" applyBorder="1"/>
    <xf numFmtId="4" fontId="16" fillId="8" borderId="3" xfId="0" applyNumberFormat="1" applyFont="1" applyFill="1" applyBorder="1"/>
    <xf numFmtId="4" fontId="15" fillId="8" borderId="3" xfId="0" applyNumberFormat="1" applyFont="1" applyFill="1" applyBorder="1"/>
    <xf numFmtId="43" fontId="0" fillId="0" borderId="0" xfId="0" applyNumberFormat="1"/>
    <xf numFmtId="165" fontId="14" fillId="2" borderId="3" xfId="2" applyNumberFormat="1" applyFont="1" applyFill="1" applyBorder="1"/>
    <xf numFmtId="43" fontId="15" fillId="0" borderId="3" xfId="1" applyFont="1" applyBorder="1" applyAlignment="1">
      <alignment horizontal="right"/>
    </xf>
    <xf numFmtId="0" fontId="3" fillId="0" borderId="3" xfId="0" applyFont="1" applyBorder="1"/>
    <xf numFmtId="43" fontId="5" fillId="2" borderId="3" xfId="1" applyFont="1" applyFill="1" applyBorder="1"/>
    <xf numFmtId="0" fontId="15" fillId="0" borderId="3" xfId="0" applyFont="1" applyBorder="1" applyAlignment="1">
      <alignment horizontal="left"/>
    </xf>
    <xf numFmtId="4" fontId="12" fillId="11" borderId="3" xfId="0" applyNumberFormat="1" applyFont="1" applyFill="1" applyBorder="1"/>
    <xf numFmtId="4" fontId="14" fillId="11" borderId="3" xfId="0" applyNumberFormat="1" applyFont="1" applyFill="1" applyBorder="1"/>
    <xf numFmtId="2" fontId="0" fillId="0" borderId="0" xfId="0" applyNumberFormat="1"/>
    <xf numFmtId="0" fontId="17" fillId="0" borderId="3" xfId="0" applyFont="1" applyBorder="1" applyAlignment="1">
      <alignment horizontal="left"/>
    </xf>
    <xf numFmtId="9" fontId="14" fillId="8" borderId="3" xfId="2" applyFont="1" applyFill="1" applyBorder="1"/>
    <xf numFmtId="4" fontId="4" fillId="11" borderId="3" xfId="0" applyNumberFormat="1" applyFont="1" applyFill="1" applyBorder="1"/>
    <xf numFmtId="4" fontId="15" fillId="2" borderId="3" xfId="0" applyNumberFormat="1" applyFont="1" applyFill="1" applyBorder="1"/>
    <xf numFmtId="0" fontId="3" fillId="0" borderId="3" xfId="0" applyFont="1" applyBorder="1" applyAlignment="1">
      <alignment horizontal="left"/>
    </xf>
    <xf numFmtId="4" fontId="4" fillId="0" borderId="3" xfId="0" applyNumberFormat="1" applyFont="1" applyBorder="1"/>
    <xf numFmtId="4" fontId="4" fillId="7" borderId="3" xfId="0" applyNumberFormat="1" applyFont="1" applyFill="1" applyBorder="1"/>
    <xf numFmtId="0" fontId="14" fillId="3" borderId="3" xfId="0" applyFont="1" applyFill="1" applyBorder="1"/>
    <xf numFmtId="0" fontId="15" fillId="0" borderId="3" xfId="0" applyFont="1" applyBorder="1"/>
    <xf numFmtId="43" fontId="5" fillId="0" borderId="0" xfId="1" applyFont="1"/>
    <xf numFmtId="43" fontId="3" fillId="0" borderId="0" xfId="1" applyFont="1"/>
    <xf numFmtId="43" fontId="0" fillId="0" borderId="0" xfId="1" applyFont="1" applyFill="1"/>
    <xf numFmtId="43" fontId="3" fillId="0" borderId="0" xfId="1" applyFont="1" applyFill="1"/>
    <xf numFmtId="10" fontId="2" fillId="14" borderId="0" xfId="2" applyNumberFormat="1" applyFont="1" applyFill="1"/>
    <xf numFmtId="10" fontId="2" fillId="0" borderId="0" xfId="2" applyNumberFormat="1" applyFont="1" applyFill="1"/>
    <xf numFmtId="43" fontId="2" fillId="0" borderId="0" xfId="1" applyFont="1" applyFill="1"/>
    <xf numFmtId="43" fontId="0" fillId="2" borderId="0" xfId="1" applyFont="1" applyFill="1"/>
    <xf numFmtId="43" fontId="0" fillId="2" borderId="0" xfId="0" applyNumberFormat="1" applyFill="1"/>
    <xf numFmtId="43" fontId="2" fillId="14" borderId="0" xfId="1" applyFont="1" applyFill="1"/>
    <xf numFmtId="164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4" fontId="4" fillId="2" borderId="0" xfId="0" applyNumberFormat="1" applyFont="1" applyFill="1"/>
    <xf numFmtId="0" fontId="0" fillId="15" borderId="0" xfId="0" applyFill="1"/>
    <xf numFmtId="4" fontId="0" fillId="15" borderId="0" xfId="0" applyNumberFormat="1" applyFill="1"/>
    <xf numFmtId="4" fontId="0" fillId="8" borderId="0" xfId="0" applyNumberFormat="1" applyFill="1"/>
    <xf numFmtId="0" fontId="0" fillId="16" borderId="0" xfId="0" applyFill="1"/>
    <xf numFmtId="4" fontId="0" fillId="16" borderId="0" xfId="0" applyNumberFormat="1" applyFill="1"/>
    <xf numFmtId="4" fontId="0" fillId="2" borderId="0" xfId="0" applyNumberFormat="1" applyFill="1"/>
    <xf numFmtId="0" fontId="0" fillId="0" borderId="0" xfId="0" applyAlignment="1">
      <alignment horizontal="left"/>
    </xf>
    <xf numFmtId="0" fontId="16" fillId="16" borderId="0" xfId="0" applyFont="1" applyFill="1" applyAlignment="1">
      <alignment horizontal="left"/>
    </xf>
    <xf numFmtId="0" fontId="16" fillId="16" borderId="0" xfId="0" applyFont="1" applyFill="1"/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2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43" fontId="8" fillId="3" borderId="2" xfId="1" applyFont="1" applyFill="1" applyBorder="1" applyAlignment="1">
      <alignment horizontal="center" vertical="center" wrapText="1"/>
    </xf>
    <xf numFmtId="43" fontId="8" fillId="3" borderId="7" xfId="1" applyFont="1" applyFill="1" applyBorder="1" applyAlignment="1">
      <alignment horizontal="center" vertical="center" wrapText="1"/>
    </xf>
    <xf numFmtId="43" fontId="9" fillId="4" borderId="2" xfId="1" applyFont="1" applyFill="1" applyBorder="1" applyAlignment="1">
      <alignment horizontal="center" vertical="center" wrapText="1"/>
    </xf>
    <xf numFmtId="43" fontId="9" fillId="4" borderId="7" xfId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 shrinkToFit="1"/>
    </xf>
    <xf numFmtId="0" fontId="8" fillId="3" borderId="5" xfId="0" applyFont="1" applyFill="1" applyBorder="1" applyAlignment="1">
      <alignment horizontal="center" vertical="center" wrapText="1" shrinkToFit="1"/>
    </xf>
    <xf numFmtId="0" fontId="8" fillId="3" borderId="6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port\Downloads\REV2%20B4D-PRESUPUESTO%20A%2030-03-2024.xlsx" TargetMode="External"/><Relationship Id="rId1" Type="http://schemas.openxmlformats.org/officeDocument/2006/relationships/externalLinkPath" Target="/Users/PCPERSONAL/Downloads/REV2%20B4D-PRESUPUESTO%20A%2030-03-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PERSONAL\AppData\Local\Microsoft\Windows\INetCache\Content.Outlook\I6QXE6YY\B4D-PRESUPUESTO%20%20NOVIEMBRE%20AL%2001-12-2024.xlsx" TargetMode="External"/><Relationship Id="rId1" Type="http://schemas.openxmlformats.org/officeDocument/2006/relationships/externalLinkPath" Target="/Users/PCPERSONAL/AppData/Local/Microsoft/Windows/INetCache/Content.Outlook/I6QXE6YY/B4D-PRESUPUESTO%20%20NOVIEMBRE%20AL%2001-12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STOS DIC 22 ENE-NOV 23"/>
      <sheetName val="PRESUPUESTO 2024"/>
      <sheetName val="PRESUPUESTO MODIF"/>
      <sheetName val="ULTIMOPRESUPUESTO AL 30-03-2024"/>
      <sheetName val="ULTIMOPRESUPUESTO AL 30-03- (2)"/>
    </sheetNames>
    <sheetDataSet>
      <sheetData sheetId="0">
        <row r="3">
          <cell r="A3">
            <v>5</v>
          </cell>
          <cell r="B3" t="str">
            <v>EGRESOS</v>
          </cell>
        </row>
        <row r="4">
          <cell r="A4">
            <v>51</v>
          </cell>
          <cell r="B4" t="str">
            <v xml:space="preserve">  COSTO DE VENTAS</v>
          </cell>
        </row>
        <row r="5">
          <cell r="A5">
            <v>5101</v>
          </cell>
          <cell r="B5" t="str">
            <v xml:space="preserve">    COSTO DE VENTAS Y/O SERVICIOS</v>
          </cell>
        </row>
        <row r="6">
          <cell r="A6" t="str">
            <v>5101-01</v>
          </cell>
          <cell r="B6" t="str">
            <v xml:space="preserve">      COSTO DE VENTAS Y/O SERVICIOS</v>
          </cell>
        </row>
        <row r="7">
          <cell r="A7" t="str">
            <v>5101-01-0002</v>
          </cell>
          <cell r="B7" t="str">
            <v xml:space="preserve">        MATERIALES DE INSTALACION</v>
          </cell>
        </row>
        <row r="8">
          <cell r="A8" t="str">
            <v>5301-07-0012</v>
          </cell>
          <cell r="B8" t="str">
            <v xml:space="preserve">        SERVICIOS TECNICOS - INSTALACIONES</v>
          </cell>
        </row>
        <row r="9">
          <cell r="A9" t="str">
            <v>5101-01-0003</v>
          </cell>
          <cell r="B9" t="str">
            <v xml:space="preserve">        COSTO SERVICIO VAS</v>
          </cell>
          <cell r="O9">
            <v>0</v>
          </cell>
        </row>
        <row r="10">
          <cell r="A10" t="str">
            <v>5101-05</v>
          </cell>
          <cell r="B10" t="str">
            <v xml:space="preserve">      COSTO DE LICENCIAS</v>
          </cell>
        </row>
        <row r="11">
          <cell r="A11" t="str">
            <v>5101-05-0001</v>
          </cell>
          <cell r="B11" t="str">
            <v xml:space="preserve">        COSTO LICENCIA WHATAFORM</v>
          </cell>
        </row>
        <row r="12">
          <cell r="A12" t="str">
            <v>5101-05-0004</v>
          </cell>
          <cell r="B12" t="str">
            <v xml:space="preserve">        COSTO LICENCIA PLATAFORMA SILICE WS</v>
          </cell>
        </row>
        <row r="13">
          <cell r="A13" t="str">
            <v>5101-05-0005</v>
          </cell>
          <cell r="B13" t="str">
            <v xml:space="preserve">        COSTO LICENCIA OVHCLOUD</v>
          </cell>
          <cell r="O13">
            <v>827.32</v>
          </cell>
        </row>
        <row r="14">
          <cell r="A14" t="str">
            <v>5101-05-0008</v>
          </cell>
          <cell r="B14" t="str">
            <v xml:space="preserve">        COSTO LICENCIA FLASHSTAR</v>
          </cell>
          <cell r="O14">
            <v>2106</v>
          </cell>
        </row>
        <row r="15">
          <cell r="A15" t="str">
            <v>5101-05-0010</v>
          </cell>
          <cell r="B15" t="str">
            <v xml:space="preserve">        COSTO LICENCIA CLOUD4WI</v>
          </cell>
          <cell r="O15">
            <v>63834.390000000007</v>
          </cell>
        </row>
        <row r="16">
          <cell r="A16" t="str">
            <v>5101-05-0011</v>
          </cell>
          <cell r="B16" t="str">
            <v xml:space="preserve">        COSTO LICENCIA BLUEHOST</v>
          </cell>
          <cell r="O16">
            <v>2008.0300000000002</v>
          </cell>
        </row>
        <row r="17">
          <cell r="A17" t="str">
            <v>5101-05-0012</v>
          </cell>
          <cell r="B17" t="str">
            <v xml:space="preserve">        COSTO LICENCIA BITWORKS</v>
          </cell>
          <cell r="O17">
            <v>34440.67</v>
          </cell>
        </row>
        <row r="18">
          <cell r="A18" t="str">
            <v>5101-05-0013</v>
          </cell>
          <cell r="B18" t="str">
            <v xml:space="preserve">        COSTO LICENCIA BEACONTAC</v>
          </cell>
          <cell r="O18">
            <v>4092.48</v>
          </cell>
        </row>
        <row r="19">
          <cell r="A19" t="str">
            <v>5101-05-0014</v>
          </cell>
          <cell r="B19" t="str">
            <v xml:space="preserve">        COSTO LICENCIA VMS CAMARAS</v>
          </cell>
          <cell r="O19">
            <v>5025.119999999999</v>
          </cell>
        </row>
        <row r="20">
          <cell r="A20" t="str">
            <v>5101-05-0015</v>
          </cell>
          <cell r="B20" t="str">
            <v xml:space="preserve">        COSTO LICENCIA FRESHWORKS</v>
          </cell>
          <cell r="O20">
            <v>3683.24</v>
          </cell>
        </row>
        <row r="21">
          <cell r="A21" t="str">
            <v>5101-05-0016</v>
          </cell>
          <cell r="B21" t="str">
            <v xml:space="preserve">        COSTO LICENCIA NAMECHEAP SSL</v>
          </cell>
          <cell r="O21">
            <v>208.59</v>
          </cell>
        </row>
        <row r="22">
          <cell r="A22" t="str">
            <v>5101-05-0017</v>
          </cell>
          <cell r="B22" t="str">
            <v xml:space="preserve">        COSTO LICENCIA WHATSAPP</v>
          </cell>
          <cell r="O22">
            <v>5220</v>
          </cell>
        </row>
        <row r="23">
          <cell r="A23" t="str">
            <v>5101-05-0018</v>
          </cell>
          <cell r="B23" t="str">
            <v xml:space="preserve">        COSTO LICENCIA ZAPIER INC.</v>
          </cell>
          <cell r="O23">
            <v>12592.38</v>
          </cell>
        </row>
        <row r="24">
          <cell r="A24" t="str">
            <v>5101-05-0019</v>
          </cell>
          <cell r="O24">
            <v>6230.24</v>
          </cell>
        </row>
        <row r="25">
          <cell r="A25" t="str">
            <v>5101-05-0020</v>
          </cell>
          <cell r="B25" t="str">
            <v xml:space="preserve">        COSTO LICENCIA QUADMINDS</v>
          </cell>
          <cell r="O25">
            <v>6264</v>
          </cell>
        </row>
        <row r="26">
          <cell r="A26" t="str">
            <v>5101-05-0021</v>
          </cell>
          <cell r="B26" t="str">
            <v xml:space="preserve">        COSTO LICENCIA COUPONTOOLS</v>
          </cell>
          <cell r="O26">
            <v>7234.9200000000019</v>
          </cell>
        </row>
        <row r="27">
          <cell r="A27" t="str">
            <v>5101-05-0022</v>
          </cell>
          <cell r="B27" t="str">
            <v xml:space="preserve">        COSTO LICENCIA ZEROSSL</v>
          </cell>
          <cell r="O27">
            <v>428.82000000000005</v>
          </cell>
        </row>
        <row r="28">
          <cell r="A28" t="str">
            <v>5101-05-0024</v>
          </cell>
          <cell r="B28" t="str">
            <v xml:space="preserve">        COSTO LICENCIA JOTFORM</v>
          </cell>
          <cell r="O28">
            <v>0</v>
          </cell>
        </row>
        <row r="29">
          <cell r="A29" t="str">
            <v>5101-05-0025</v>
          </cell>
          <cell r="B29" t="str">
            <v xml:space="preserve">        COSTO LICENCIA S1</v>
          </cell>
          <cell r="O29">
            <v>3174.11</v>
          </cell>
        </row>
        <row r="30">
          <cell r="A30" t="str">
            <v>5301-07-0008</v>
          </cell>
          <cell r="B30" t="str">
            <v xml:space="preserve">        LICENCIA SOFTWARE SILICE</v>
          </cell>
          <cell r="O30">
            <v>50215.740000000005</v>
          </cell>
        </row>
        <row r="31">
          <cell r="A31">
            <v>52</v>
          </cell>
          <cell r="B31" t="str">
            <v xml:space="preserve">  GASTOS DE COMERCIALIZACIÓN</v>
          </cell>
        </row>
        <row r="32">
          <cell r="A32">
            <v>5201</v>
          </cell>
          <cell r="B32" t="str">
            <v xml:space="preserve">    GASTOS DE COMERCIALIZACIÓN</v>
          </cell>
        </row>
        <row r="33">
          <cell r="A33" t="str">
            <v>5201-01</v>
          </cell>
          <cell r="B33" t="str">
            <v xml:space="preserve">      SUELDOS Y SALARIOS</v>
          </cell>
          <cell r="O33">
            <v>31500</v>
          </cell>
        </row>
        <row r="34">
          <cell r="A34" t="str">
            <v>5201-01-0002</v>
          </cell>
          <cell r="B34" t="str">
            <v xml:space="preserve">        RETIRO SOCIOS</v>
          </cell>
          <cell r="O34">
            <v>31500</v>
          </cell>
        </row>
        <row r="35">
          <cell r="A35" t="str">
            <v>5201-03</v>
          </cell>
          <cell r="B35" t="str">
            <v xml:space="preserve">      COMISIONES SOBRE VENTAS</v>
          </cell>
          <cell r="O35">
            <v>15681.28</v>
          </cell>
        </row>
        <row r="36">
          <cell r="A36" t="str">
            <v>5201-03-0002</v>
          </cell>
          <cell r="B36" t="str">
            <v xml:space="preserve">        BONOS</v>
          </cell>
          <cell r="O36">
            <v>15681.28</v>
          </cell>
        </row>
        <row r="37">
          <cell r="A37" t="str">
            <v>5201-04</v>
          </cell>
          <cell r="B37" t="str">
            <v xml:space="preserve">      VÍATICOS</v>
          </cell>
          <cell r="O37">
            <v>510</v>
          </cell>
        </row>
        <row r="38">
          <cell r="A38" t="str">
            <v>5201-04-0001</v>
          </cell>
          <cell r="B38" t="str">
            <v xml:space="preserve">        VIATICOS C0M</v>
          </cell>
          <cell r="O38">
            <v>510</v>
          </cell>
        </row>
        <row r="39">
          <cell r="A39" t="str">
            <v>5201-05</v>
          </cell>
          <cell r="B39" t="str">
            <v xml:space="preserve">      PASAJES</v>
          </cell>
          <cell r="O39">
            <v>16729.859999999997</v>
          </cell>
        </row>
        <row r="40">
          <cell r="A40" t="str">
            <v>5201-05-0001</v>
          </cell>
          <cell r="B40" t="str">
            <v xml:space="preserve">VIATICOS DE ADMINISTRACION </v>
          </cell>
          <cell r="O40">
            <v>10440</v>
          </cell>
        </row>
        <row r="41">
          <cell r="A41" t="str">
            <v>5201-05-0003</v>
          </cell>
          <cell r="B41" t="str">
            <v xml:space="preserve">        GASTOS DE MOVILIDAD Y TRANSPORTE</v>
          </cell>
          <cell r="O41">
            <v>6289.8600000000006</v>
          </cell>
        </row>
        <row r="42">
          <cell r="A42">
            <v>53</v>
          </cell>
          <cell r="B42" t="str">
            <v xml:space="preserve">  GASTOS GENERALES DE ADMINISTRACIÓN</v>
          </cell>
        </row>
        <row r="43">
          <cell r="A43">
            <v>5301</v>
          </cell>
          <cell r="B43" t="str">
            <v xml:space="preserve">    GASTOS GENERALES DE ADMINISTRACIÓN</v>
          </cell>
        </row>
        <row r="44">
          <cell r="A44" t="str">
            <v>5301-01</v>
          </cell>
          <cell r="B44" t="str">
            <v xml:space="preserve">      SUELDOS Y SALARIOS</v>
          </cell>
        </row>
        <row r="45">
          <cell r="A45" t="str">
            <v>5301-01-0001</v>
          </cell>
          <cell r="B45" t="str">
            <v xml:space="preserve">        SUELDOS Y SALARIOS ADM</v>
          </cell>
          <cell r="O45">
            <v>649161.7799999998</v>
          </cell>
        </row>
        <row r="46">
          <cell r="A46" t="str">
            <v>5301-01-0002</v>
          </cell>
          <cell r="B46" t="str">
            <v xml:space="preserve">        HONORARIOS PROFESIONALES</v>
          </cell>
          <cell r="O46">
            <v>66990</v>
          </cell>
        </row>
        <row r="47">
          <cell r="A47" t="str">
            <v>5301-01-0003</v>
          </cell>
          <cell r="B47" t="str">
            <v xml:space="preserve">        SERVICIOS COMERCIALES</v>
          </cell>
          <cell r="O47">
            <v>28173.41</v>
          </cell>
        </row>
        <row r="48">
          <cell r="A48" t="str">
            <v>5301-01-0004</v>
          </cell>
          <cell r="B48" t="str">
            <v xml:space="preserve">        RETIRO SOCIOS</v>
          </cell>
          <cell r="O48">
            <v>155320</v>
          </cell>
        </row>
        <row r="49">
          <cell r="A49" t="str">
            <v>5301-01-0005</v>
          </cell>
          <cell r="B49" t="str">
            <v xml:space="preserve">        PRESENTES AL PERSONAL</v>
          </cell>
          <cell r="O49">
            <v>0</v>
          </cell>
        </row>
        <row r="50">
          <cell r="A50" t="str">
            <v>5301-02</v>
          </cell>
          <cell r="B50" t="str">
            <v xml:space="preserve">      BENEFICIOS Y CARGAS SOCIALES</v>
          </cell>
        </row>
        <row r="51">
          <cell r="A51" t="str">
            <v>5301-02-0001</v>
          </cell>
          <cell r="B51" t="str">
            <v xml:space="preserve">        A.F.P. FUTURO DE BOLIVIA ADM</v>
          </cell>
          <cell r="O51">
            <v>6071.64</v>
          </cell>
        </row>
        <row r="52">
          <cell r="A52" t="str">
            <v>5301-02-0002</v>
          </cell>
          <cell r="B52" t="str">
            <v xml:space="preserve">        A.F.P. PREVISION DE BOLIVIA ADM</v>
          </cell>
          <cell r="O52">
            <v>6391.2099999999991</v>
          </cell>
        </row>
        <row r="53">
          <cell r="A53" t="str">
            <v>5301-02-0003</v>
          </cell>
          <cell r="B53" t="str">
            <v xml:space="preserve">        CAJA NACIONAL DE SALUD ADM</v>
          </cell>
          <cell r="O53">
            <v>64916.150000000009</v>
          </cell>
        </row>
        <row r="54">
          <cell r="A54" t="str">
            <v>5301-02-0004</v>
          </cell>
          <cell r="B54" t="str">
            <v xml:space="preserve">        A.F.P. GESTORA BOLIVIA ADM</v>
          </cell>
          <cell r="O54">
            <v>31095.9</v>
          </cell>
        </row>
        <row r="55">
          <cell r="A55" t="str">
            <v>5301-02-0005</v>
          </cell>
          <cell r="B55" t="str">
            <v xml:space="preserve">        VACACIONES ADM</v>
          </cell>
          <cell r="O55">
            <v>2025.67</v>
          </cell>
        </row>
        <row r="56">
          <cell r="A56" t="str">
            <v>5301-03</v>
          </cell>
          <cell r="B56" t="str">
            <v xml:space="preserve">      PROVISIÓN AGUINALDOS</v>
          </cell>
          <cell r="O56">
            <v>54036.099999999991</v>
          </cell>
        </row>
        <row r="57">
          <cell r="A57" t="str">
            <v>5301-03-0001</v>
          </cell>
          <cell r="B57" t="str">
            <v xml:space="preserve">        AGUINALDOS</v>
          </cell>
          <cell r="O57">
            <v>54036.099999999991</v>
          </cell>
        </row>
        <row r="58">
          <cell r="A58" t="str">
            <v>5301-04</v>
          </cell>
          <cell r="B58" t="str">
            <v xml:space="preserve">      PREVISIÓN INDEMNIZACIONES</v>
          </cell>
          <cell r="O58">
            <v>55477.029999999992</v>
          </cell>
        </row>
        <row r="59">
          <cell r="A59" t="str">
            <v>5301-04-0001</v>
          </cell>
          <cell r="B59" t="str">
            <v xml:space="preserve">        BENEFICIOS SOCIALES</v>
          </cell>
          <cell r="O59">
            <v>55477.029999999992</v>
          </cell>
        </row>
        <row r="60">
          <cell r="A60" t="str">
            <v>5301-05</v>
          </cell>
          <cell r="B60" t="str">
            <v xml:space="preserve">      VÍATICOS</v>
          </cell>
        </row>
        <row r="61">
          <cell r="A61" t="str">
            <v>5301-05-0001</v>
          </cell>
          <cell r="B61" t="str">
            <v xml:space="preserve">        VIATICOS ADM</v>
          </cell>
          <cell r="O61">
            <v>3397.2799999999997</v>
          </cell>
        </row>
        <row r="62">
          <cell r="A62" t="str">
            <v>5301-05-0002</v>
          </cell>
          <cell r="B62" t="str">
            <v xml:space="preserve">        HOSPEDAJE</v>
          </cell>
          <cell r="O62">
            <v>2951.5600000000004</v>
          </cell>
        </row>
        <row r="63">
          <cell r="A63" t="str">
            <v>5301-05-0003</v>
          </cell>
          <cell r="B63" t="str">
            <v xml:space="preserve">        ESTIPENDIOS</v>
          </cell>
          <cell r="O63">
            <v>1904.76</v>
          </cell>
        </row>
        <row r="64">
          <cell r="A64" t="str">
            <v>5301-05-0004</v>
          </cell>
          <cell r="B64" t="str">
            <v xml:space="preserve">        DIETAS</v>
          </cell>
          <cell r="O64">
            <v>4022.99</v>
          </cell>
        </row>
        <row r="65">
          <cell r="A65" t="str">
            <v>5301-06</v>
          </cell>
          <cell r="B65" t="str">
            <v xml:space="preserve">      PASAJES</v>
          </cell>
        </row>
        <row r="66">
          <cell r="A66" t="str">
            <v>5301-06-0001</v>
          </cell>
          <cell r="B66" t="str">
            <v xml:space="preserve">        TRANSPORTE AEREO</v>
          </cell>
          <cell r="O66">
            <v>15711.46</v>
          </cell>
        </row>
        <row r="67">
          <cell r="A67" t="str">
            <v>5301-06-0002</v>
          </cell>
          <cell r="B67" t="str">
            <v xml:space="preserve">        TRANSPORTE TERRESTRE</v>
          </cell>
          <cell r="O67">
            <v>671.49</v>
          </cell>
        </row>
        <row r="68">
          <cell r="A68" t="str">
            <v>5301-07</v>
          </cell>
          <cell r="B68" t="str">
            <v xml:space="preserve">      SERVICIOS BÁSICOS</v>
          </cell>
        </row>
        <row r="69">
          <cell r="A69" t="str">
            <v>5301-07-0002</v>
          </cell>
          <cell r="B69" t="str">
            <v xml:space="preserve">        SERVICIO DE ENERGIA ELECTRICA</v>
          </cell>
          <cell r="O69">
            <v>21530.059999999998</v>
          </cell>
        </row>
        <row r="70">
          <cell r="A70" t="str">
            <v>5301-07-0003</v>
          </cell>
          <cell r="B70" t="str">
            <v xml:space="preserve">        SERVICIO DE TELEFONIA</v>
          </cell>
          <cell r="O70">
            <v>15690.719999999998</v>
          </cell>
        </row>
        <row r="71">
          <cell r="A71" t="str">
            <v>5301-07-0004</v>
          </cell>
          <cell r="B71" t="str">
            <v xml:space="preserve">        SERVICIO COURIER</v>
          </cell>
          <cell r="O71">
            <v>2903.8900000000003</v>
          </cell>
        </row>
        <row r="72">
          <cell r="A72" t="str">
            <v>5301-07-0006</v>
          </cell>
          <cell r="B72" t="str">
            <v xml:space="preserve">        SERVICIO DE INTERNET</v>
          </cell>
          <cell r="O72">
            <v>12520.599999999999</v>
          </cell>
        </row>
        <row r="73">
          <cell r="A73" t="str">
            <v>5301-07-0007</v>
          </cell>
          <cell r="B73" t="str">
            <v xml:space="preserve">        LICENCIA MICROSOFT 365 OUTLOOK</v>
          </cell>
          <cell r="O73">
            <v>6499.18</v>
          </cell>
        </row>
        <row r="74">
          <cell r="A74" t="str">
            <v>5301-07-0009</v>
          </cell>
          <cell r="B74" t="str">
            <v xml:space="preserve">        SERVICIO DE LIMPIEZA</v>
          </cell>
          <cell r="O74">
            <v>705.93</v>
          </cell>
        </row>
        <row r="75">
          <cell r="A75" t="str">
            <v>5301-08</v>
          </cell>
          <cell r="B75" t="str">
            <v xml:space="preserve">      MATERIALES Y SUMINISTROS</v>
          </cell>
        </row>
        <row r="76">
          <cell r="A76" t="str">
            <v>5301-08-0001</v>
          </cell>
          <cell r="B76" t="str">
            <v xml:space="preserve">        MATERIAL DE ESCRITORIO Y OFICINA</v>
          </cell>
          <cell r="O76">
            <v>2215.34</v>
          </cell>
        </row>
        <row r="77">
          <cell r="A77" t="str">
            <v>5301-08-0002</v>
          </cell>
          <cell r="B77" t="str">
            <v xml:space="preserve">        FOTOCOPIAS, FORMULARIOS Y FOTOGRAFIAS</v>
          </cell>
          <cell r="O77">
            <v>696</v>
          </cell>
        </row>
        <row r="78">
          <cell r="A78" t="str">
            <v>5301-08-0004</v>
          </cell>
          <cell r="B78" t="str">
            <v xml:space="preserve">        INSUMOS Y SUMINISTROS</v>
          </cell>
          <cell r="O78">
            <v>2088</v>
          </cell>
        </row>
        <row r="79">
          <cell r="A79" t="str">
            <v>5301-08-0006</v>
          </cell>
          <cell r="B79" t="str">
            <v xml:space="preserve">        MATERIAL DE LIMPIEZA</v>
          </cell>
          <cell r="O79">
            <v>311.63</v>
          </cell>
        </row>
        <row r="80">
          <cell r="A80" t="str">
            <v>5301-08-0007</v>
          </cell>
          <cell r="B80" t="str">
            <v xml:space="preserve">        ACCESORIOS Y REPUESTOS</v>
          </cell>
          <cell r="O80">
            <v>2233.29</v>
          </cell>
        </row>
        <row r="81">
          <cell r="A81" t="str">
            <v>5301-12</v>
          </cell>
          <cell r="B81" t="str">
            <v xml:space="preserve">      ALQUILERES</v>
          </cell>
        </row>
        <row r="82">
          <cell r="A82" t="str">
            <v>5301-12-0001</v>
          </cell>
          <cell r="B82" t="str">
            <v xml:space="preserve">        ALQUILERES DE OFICINA</v>
          </cell>
          <cell r="O82">
            <v>75325.47</v>
          </cell>
        </row>
        <row r="83">
          <cell r="A83" t="str">
            <v>5301-12-0002</v>
          </cell>
          <cell r="B83" t="str">
            <v xml:space="preserve">        ALQUILERES</v>
          </cell>
          <cell r="O83">
            <v>5815.15</v>
          </cell>
        </row>
        <row r="84">
          <cell r="A84" t="str">
            <v>5301-12-0002</v>
          </cell>
          <cell r="B84" t="str">
            <v xml:space="preserve">        ALQUILER DE POSTES</v>
          </cell>
          <cell r="O84">
            <v>595.24</v>
          </cell>
        </row>
        <row r="85">
          <cell r="A85" t="str">
            <v>5301-15-0005</v>
          </cell>
          <cell r="B85" t="str">
            <v xml:space="preserve">        SERVICIO DE TE Y REFRIGERIOS</v>
          </cell>
          <cell r="O85">
            <v>1058.0899999999999</v>
          </cell>
        </row>
        <row r="86">
          <cell r="A86" t="str">
            <v>5201-16-0005</v>
          </cell>
          <cell r="B86" t="str">
            <v xml:space="preserve">        PROGRAMAS, CAPACITACIONES Y FOROS DE NEGOCIO</v>
          </cell>
          <cell r="O86">
            <v>14481.25</v>
          </cell>
        </row>
        <row r="87">
          <cell r="A87" t="str">
            <v>5301-17-0001</v>
          </cell>
          <cell r="B87" t="str">
            <v xml:space="preserve">        BONOS EXTRAORDINARIOS AL PERSONAL</v>
          </cell>
          <cell r="O87">
            <v>4480</v>
          </cell>
        </row>
        <row r="88">
          <cell r="A88" t="str">
            <v>5601-04</v>
          </cell>
          <cell r="B88" t="str">
            <v xml:space="preserve">      GASTOS PERSONALES - SOCIOS</v>
          </cell>
        </row>
        <row r="89">
          <cell r="A89" t="str">
            <v>5601-04-0001</v>
          </cell>
          <cell r="B89" t="str">
            <v xml:space="preserve">        GASTOS PERSONALES SOCIOS</v>
          </cell>
          <cell r="O89">
            <v>7000</v>
          </cell>
        </row>
        <row r="90">
          <cell r="A90" t="str">
            <v>5301-16</v>
          </cell>
          <cell r="B90" t="str">
            <v xml:space="preserve">      OTROS GASTOS DE ADMINISTRACIÓN</v>
          </cell>
        </row>
        <row r="91">
          <cell r="A91" t="str">
            <v>5301-16-0001</v>
          </cell>
          <cell r="B91" t="str">
            <v xml:space="preserve">        OTROS GASTOS</v>
          </cell>
          <cell r="O91">
            <v>2316.6400000000003</v>
          </cell>
        </row>
        <row r="92">
          <cell r="A92" t="str">
            <v>5301-16-0002</v>
          </cell>
          <cell r="B92" t="str">
            <v xml:space="preserve">        TRAMITES LEGALES</v>
          </cell>
          <cell r="O92">
            <v>11385.929999999998</v>
          </cell>
        </row>
        <row r="93">
          <cell r="A93" t="str">
            <v>5301-16-0003</v>
          </cell>
          <cell r="B93" t="str">
            <v xml:space="preserve">        MULTAS</v>
          </cell>
          <cell r="O93">
            <v>157.57</v>
          </cell>
        </row>
        <row r="94">
          <cell r="A94" t="str">
            <v>5301-17</v>
          </cell>
          <cell r="B94" t="str">
            <v xml:space="preserve">      BONOS AL PERSONAL</v>
          </cell>
          <cell r="O94">
            <v>4480</v>
          </cell>
        </row>
        <row r="95">
          <cell r="A95">
            <v>54</v>
          </cell>
          <cell r="B95" t="str">
            <v xml:space="preserve">  GASTOS FINANCIEROS</v>
          </cell>
        </row>
        <row r="96">
          <cell r="A96">
            <v>5401</v>
          </cell>
          <cell r="B96" t="str">
            <v xml:space="preserve">    GASTOS FINANCIEROS</v>
          </cell>
        </row>
        <row r="97">
          <cell r="A97" t="str">
            <v>5401-02</v>
          </cell>
          <cell r="B97" t="str">
            <v xml:space="preserve">      INTERESES SOBRE OTRAS OBLIGACIONES FINANCIERAS</v>
          </cell>
          <cell r="O97">
            <v>2</v>
          </cell>
        </row>
        <row r="98">
          <cell r="A98" t="str">
            <v>5401-02-0001</v>
          </cell>
          <cell r="B98" t="str">
            <v xml:space="preserve">        INTERESES SOBRE OTRAS OBLIGACIONES FINANCIERAS</v>
          </cell>
          <cell r="O98">
            <v>2</v>
          </cell>
        </row>
        <row r="99">
          <cell r="A99" t="str">
            <v>5401-03</v>
          </cell>
          <cell r="B99" t="str">
            <v xml:space="preserve">      OTROS INTERESES</v>
          </cell>
          <cell r="O99">
            <v>69.58</v>
          </cell>
        </row>
        <row r="100">
          <cell r="A100" t="str">
            <v>5401-03-0001</v>
          </cell>
          <cell r="B100" t="str">
            <v xml:space="preserve">        OTROS INTERESES</v>
          </cell>
          <cell r="O100">
            <v>69.58</v>
          </cell>
        </row>
        <row r="101">
          <cell r="A101" t="str">
            <v>5401-03-0002</v>
          </cell>
          <cell r="B101" t="str">
            <v xml:space="preserve">        INTERESES MORATORIOS</v>
          </cell>
          <cell r="O101">
            <v>0</v>
          </cell>
        </row>
        <row r="102">
          <cell r="A102" t="str">
            <v>5401-04</v>
          </cell>
          <cell r="B102" t="str">
            <v xml:space="preserve">      COMISIONES BANCARIAS</v>
          </cell>
          <cell r="O102">
            <v>10441.289999999999</v>
          </cell>
        </row>
        <row r="103">
          <cell r="A103" t="str">
            <v>5401-04-0001</v>
          </cell>
          <cell r="B103" t="str">
            <v xml:space="preserve">        COMISIONES BANCARIAS</v>
          </cell>
          <cell r="O103">
            <v>7500.9400000000005</v>
          </cell>
        </row>
        <row r="104">
          <cell r="A104" t="str">
            <v>5301-16-0004</v>
          </cell>
          <cell r="B104" t="str">
            <v xml:space="preserve">        COMISIONES BOTON DE PAGO</v>
          </cell>
          <cell r="O104">
            <v>2940.35</v>
          </cell>
        </row>
        <row r="105">
          <cell r="A105" t="str">
            <v>5401-05</v>
          </cell>
          <cell r="B105" t="str">
            <v xml:space="preserve">      OTROS GASTOS FINANCIEROS</v>
          </cell>
          <cell r="O105">
            <v>158.55000000000001</v>
          </cell>
        </row>
        <row r="106">
          <cell r="A106" t="str">
            <v>5401-05-0001</v>
          </cell>
          <cell r="B106" t="str">
            <v xml:space="preserve">        OTROS GASTOS FINANCIEROS</v>
          </cell>
          <cell r="O106">
            <v>0</v>
          </cell>
        </row>
        <row r="107">
          <cell r="A107" t="str">
            <v>5401-05-0002</v>
          </cell>
          <cell r="B107" t="str">
            <v xml:space="preserve">        SEGUROS BANCARIOS</v>
          </cell>
          <cell r="O107">
            <v>158.55000000000001</v>
          </cell>
        </row>
        <row r="108">
          <cell r="A108" t="str">
            <v>5301-15</v>
          </cell>
          <cell r="B108" t="str">
            <v xml:space="preserve">      GASTOS GENERALES</v>
          </cell>
          <cell r="O108">
            <v>99527.29</v>
          </cell>
        </row>
        <row r="109">
          <cell r="A109" t="str">
            <v>5301-15-0003</v>
          </cell>
          <cell r="B109" t="str">
            <v xml:space="preserve">        IMPUESTO A LAS TRANSACCIONES</v>
          </cell>
          <cell r="O109">
            <v>97242.67</v>
          </cell>
        </row>
        <row r="110">
          <cell r="A110" t="str">
            <v>5301-15-0004</v>
          </cell>
          <cell r="B110" t="str">
            <v xml:space="preserve">        IMPUESTO A LAS TRANSFERENCIAS FINANCIERAS ITF</v>
          </cell>
          <cell r="O110">
            <v>519.33000000000004</v>
          </cell>
        </row>
        <row r="111">
          <cell r="A111" t="str">
            <v>5301-15-0006</v>
          </cell>
          <cell r="B111" t="str">
            <v xml:space="preserve">        CREDITO FISCAL NO COMPENSADO</v>
          </cell>
          <cell r="O111">
            <v>1765.29</v>
          </cell>
        </row>
        <row r="112">
          <cell r="A112">
            <v>55</v>
          </cell>
          <cell r="B112" t="str">
            <v xml:space="preserve">  OTROS GASTOS DE OPERACIÓN</v>
          </cell>
          <cell r="O112">
            <v>19.7</v>
          </cell>
        </row>
        <row r="113">
          <cell r="A113">
            <v>5501</v>
          </cell>
          <cell r="B113" t="str">
            <v xml:space="preserve">    OTROS GASTOS DE OPERACIÓN</v>
          </cell>
        </row>
        <row r="114">
          <cell r="A114" t="str">
            <v>5501-01</v>
          </cell>
          <cell r="B114" t="str">
            <v xml:space="preserve">      OTROS GASTOS</v>
          </cell>
          <cell r="O114">
            <v>19.7</v>
          </cell>
        </row>
        <row r="115">
          <cell r="A115" t="str">
            <v>5501-01-0001</v>
          </cell>
          <cell r="B115" t="str">
            <v xml:space="preserve">        OTRAS GASTOS</v>
          </cell>
          <cell r="O115">
            <v>19.7</v>
          </cell>
        </row>
        <row r="116">
          <cell r="A116">
            <v>56</v>
          </cell>
          <cell r="B116" t="str">
            <v xml:space="preserve">  OTROS GASTOS NO OPERATIVOS</v>
          </cell>
        </row>
        <row r="117">
          <cell r="A117">
            <v>5601</v>
          </cell>
          <cell r="B117" t="str">
            <v xml:space="preserve">    OTROS GASTOS NO OPERATIVOS</v>
          </cell>
        </row>
        <row r="118">
          <cell r="A118" t="str">
            <v>5601-01</v>
          </cell>
          <cell r="B118" t="str">
            <v xml:space="preserve">      AJUSTE POR INFLACIÓN Y TENENCIA DE BIENES</v>
          </cell>
          <cell r="O118">
            <v>11522.57</v>
          </cell>
        </row>
        <row r="119">
          <cell r="A119" t="str">
            <v>5601-01-0001</v>
          </cell>
          <cell r="B119" t="str">
            <v xml:space="preserve">        AJUSTE POR INFLACIÓN Y TENENCIA DE BIENES</v>
          </cell>
          <cell r="O119">
            <v>-2735</v>
          </cell>
        </row>
        <row r="120">
          <cell r="A120" t="str">
            <v>5601-01-0002</v>
          </cell>
          <cell r="B120" t="str">
            <v xml:space="preserve">        AJUSTE INTEGRAL DE CUENTAS DE EGRESO</v>
          </cell>
          <cell r="O120">
            <v>14257.57</v>
          </cell>
        </row>
        <row r="121">
          <cell r="A121" t="str">
            <v>5601-02</v>
          </cell>
          <cell r="B121" t="str">
            <v xml:space="preserve">      DIFERENCIA DE CAMBIO</v>
          </cell>
          <cell r="O121">
            <v>6030.06</v>
          </cell>
        </row>
        <row r="122">
          <cell r="A122" t="str">
            <v>5601-02-0001</v>
          </cell>
          <cell r="B122" t="str">
            <v xml:space="preserve">        DIFERENCIA DE CAMBIO</v>
          </cell>
          <cell r="O122">
            <v>6030.06</v>
          </cell>
        </row>
        <row r="123">
          <cell r="A123" t="str">
            <v>5601-03</v>
          </cell>
          <cell r="B123" t="str">
            <v xml:space="preserve">      OTROS GASTOS</v>
          </cell>
          <cell r="O123">
            <v>150.03</v>
          </cell>
        </row>
        <row r="124">
          <cell r="A124" t="str">
            <v>5601-03-0002</v>
          </cell>
          <cell r="B124" t="str">
            <v xml:space="preserve">        DIFERENCIA POR REDONDEO</v>
          </cell>
          <cell r="O124">
            <v>124.03</v>
          </cell>
        </row>
        <row r="125">
          <cell r="A125" t="str">
            <v>5601-03-0003</v>
          </cell>
          <cell r="B125" t="str">
            <v xml:space="preserve">        MANTENIMIENTO DE VALOR</v>
          </cell>
          <cell r="O125">
            <v>26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STOS DIC 22 ENE-NOV 23"/>
      <sheetName val="PRESUPUESTO 2024"/>
      <sheetName val="PRESUPUESTO MODIF"/>
      <sheetName val="AL 31 DE DICIEMBRE-2024"/>
      <sheetName val="DICIEMBRE-2023"/>
      <sheetName val="Hoja1"/>
      <sheetName val="ENERO-2024"/>
      <sheetName val="FEBRERO"/>
      <sheetName val="MARZO"/>
      <sheetName val="ABRIL"/>
      <sheetName val="MAYO"/>
      <sheetName val="JUNIO"/>
      <sheetName val="JULIO"/>
      <sheetName val="AGOSTO"/>
    </sheetNames>
    <sheetDataSet>
      <sheetData sheetId="0"/>
      <sheetData sheetId="1"/>
      <sheetData sheetId="2"/>
      <sheetData sheetId="3"/>
      <sheetData sheetId="4">
        <row r="18">
          <cell r="K18">
            <v>101801.12</v>
          </cell>
        </row>
        <row r="19">
          <cell r="K19">
            <v>2462.35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6A17-0F12-423F-95DE-BD917A61656B}">
  <sheetPr>
    <tabColor rgb="FF00B050"/>
  </sheetPr>
  <dimension ref="A1:FY180"/>
  <sheetViews>
    <sheetView zoomScale="124" zoomScaleNormal="124" workbookViewId="0">
      <pane xSplit="2" ySplit="5" topLeftCell="AF129" activePane="bottomRight" state="frozen"/>
      <selection pane="topRight" activeCell="C1" sqref="C1"/>
      <selection pane="bottomLeft" activeCell="A6" sqref="A6"/>
      <selection pane="bottomRight" activeCell="AI3" sqref="AI3"/>
    </sheetView>
  </sheetViews>
  <sheetFormatPr baseColWidth="10" defaultColWidth="10.85546875" defaultRowHeight="15" x14ac:dyDescent="0.25"/>
  <cols>
    <col min="1" max="1" width="19.85546875" customWidth="1"/>
    <col min="2" max="2" width="63.85546875" style="1" customWidth="1"/>
    <col min="3" max="3" width="16.5703125" style="1" customWidth="1"/>
    <col min="4" max="4" width="16.42578125" style="1" customWidth="1"/>
    <col min="5" max="5" width="18.85546875" style="1" customWidth="1"/>
    <col min="6" max="6" width="14.5703125" style="1" bestFit="1" customWidth="1"/>
    <col min="7" max="7" width="14.28515625" style="1" customWidth="1"/>
    <col min="8" max="8" width="15.28515625" bestFit="1" customWidth="1"/>
    <col min="9" max="9" width="17" customWidth="1"/>
    <col min="10" max="10" width="15.140625" customWidth="1"/>
    <col min="11" max="11" width="16.28515625" customWidth="1"/>
    <col min="12" max="12" width="11.28515625" customWidth="1"/>
    <col min="13" max="13" width="17.140625" style="3" customWidth="1"/>
    <col min="14" max="14" width="15.7109375" style="3" customWidth="1"/>
    <col min="15" max="15" width="17.140625" style="135" customWidth="1"/>
    <col min="16" max="16" width="14.85546875" style="3" customWidth="1"/>
    <col min="17" max="17" width="14.85546875" style="3" hidden="1" customWidth="1"/>
    <col min="18" max="18" width="14.85546875" style="4" hidden="1" customWidth="1"/>
    <col min="19" max="19" width="17.140625" style="135" customWidth="1"/>
    <col min="20" max="20" width="19" style="3" customWidth="1"/>
    <col min="21" max="21" width="20.5703125" style="1" customWidth="1"/>
    <col min="22" max="22" width="18" customWidth="1"/>
    <col min="23" max="23" width="17.7109375" style="1" customWidth="1"/>
    <col min="24" max="24" width="12.5703125" customWidth="1"/>
    <col min="25" max="25" width="19.85546875" style="1" customWidth="1"/>
    <col min="26" max="26" width="15.5703125" customWidth="1"/>
    <col min="27" max="27" width="21.140625" customWidth="1"/>
    <col min="28" max="28" width="13.85546875" customWidth="1"/>
    <col min="29" max="29" width="19.28515625" customWidth="1"/>
    <col min="31" max="31" width="17.7109375" customWidth="1"/>
    <col min="33" max="33" width="17.140625" customWidth="1"/>
  </cols>
  <sheetData>
    <row r="1" spans="1:181" x14ac:dyDescent="0.25">
      <c r="H1" s="1"/>
      <c r="K1" s="2">
        <f>+I67+I74+I81+I83+I93+I113+I142+I119</f>
        <v>134465.26999999999</v>
      </c>
      <c r="O1" s="3"/>
      <c r="S1" s="3"/>
    </row>
    <row r="2" spans="1:181" ht="21" x14ac:dyDescent="0.3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5"/>
      <c r="P2" s="5"/>
      <c r="Q2" s="6"/>
      <c r="R2" s="7"/>
      <c r="S2" s="5"/>
      <c r="T2" s="5"/>
    </row>
    <row r="3" spans="1:181" ht="27" customHeight="1" x14ac:dyDescent="0.4">
      <c r="A3" s="150" t="s">
        <v>93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8"/>
      <c r="P3" s="8"/>
      <c r="Q3" s="9"/>
      <c r="R3" s="10"/>
      <c r="S3" s="8"/>
      <c r="T3" s="8"/>
    </row>
    <row r="4" spans="1:181" s="22" customFormat="1" ht="18.75" customHeight="1" x14ac:dyDescent="0.25">
      <c r="A4" s="151" t="s">
        <v>0</v>
      </c>
      <c r="B4" s="153" t="s">
        <v>1</v>
      </c>
      <c r="C4" s="155" t="s">
        <v>2</v>
      </c>
      <c r="D4" s="155" t="s">
        <v>3</v>
      </c>
      <c r="E4" s="157" t="s">
        <v>4</v>
      </c>
      <c r="F4" s="157" t="s">
        <v>5</v>
      </c>
      <c r="G4" s="11">
        <v>2023</v>
      </c>
      <c r="H4" s="11"/>
      <c r="I4" s="159">
        <v>2024</v>
      </c>
      <c r="J4" s="160"/>
      <c r="K4" s="160"/>
      <c r="L4" s="160"/>
      <c r="M4" s="160"/>
      <c r="N4" s="161"/>
      <c r="O4" s="12"/>
      <c r="P4" s="12"/>
      <c r="Q4" s="13"/>
      <c r="R4" s="14"/>
      <c r="S4" s="15"/>
      <c r="T4" s="12"/>
      <c r="U4" s="16"/>
      <c r="V4" s="17"/>
      <c r="W4" s="18"/>
      <c r="X4" s="19"/>
      <c r="Y4" s="20"/>
      <c r="Z4" s="19"/>
      <c r="AA4" s="20"/>
      <c r="AB4" s="19"/>
      <c r="AC4" s="21"/>
      <c r="AE4" s="21"/>
      <c r="AG4" s="21"/>
    </row>
    <row r="5" spans="1:181" s="22" customFormat="1" ht="23.25" customHeight="1" x14ac:dyDescent="0.25">
      <c r="A5" s="152"/>
      <c r="B5" s="154"/>
      <c r="C5" s="156"/>
      <c r="D5" s="156"/>
      <c r="E5" s="158"/>
      <c r="F5" s="158"/>
      <c r="G5" s="23" t="s">
        <v>6</v>
      </c>
      <c r="H5" s="24" t="s">
        <v>7</v>
      </c>
      <c r="I5" s="25" t="s">
        <v>8</v>
      </c>
      <c r="J5" s="25" t="s">
        <v>7</v>
      </c>
      <c r="K5" s="25" t="s">
        <v>9</v>
      </c>
      <c r="L5" s="25" t="s">
        <v>7</v>
      </c>
      <c r="M5" s="25" t="s">
        <v>10</v>
      </c>
      <c r="N5" s="25" t="s">
        <v>7</v>
      </c>
      <c r="O5" s="25" t="s">
        <v>11</v>
      </c>
      <c r="P5" s="25" t="s">
        <v>7</v>
      </c>
      <c r="Q5" s="26" t="s">
        <v>12</v>
      </c>
      <c r="R5" s="27" t="s">
        <v>13</v>
      </c>
      <c r="S5" s="25" t="s">
        <v>14</v>
      </c>
      <c r="T5" s="25" t="s">
        <v>7</v>
      </c>
      <c r="U5" s="28" t="s">
        <v>15</v>
      </c>
      <c r="V5" s="25" t="s">
        <v>7</v>
      </c>
      <c r="W5" s="28" t="s">
        <v>16</v>
      </c>
      <c r="X5" s="25" t="s">
        <v>7</v>
      </c>
      <c r="Y5" s="28" t="s">
        <v>17</v>
      </c>
      <c r="Z5" s="25" t="s">
        <v>7</v>
      </c>
      <c r="AA5" s="28" t="s">
        <v>18</v>
      </c>
      <c r="AB5" s="25" t="s">
        <v>7</v>
      </c>
      <c r="AC5" s="28" t="s">
        <v>19</v>
      </c>
      <c r="AD5" s="25" t="s">
        <v>7</v>
      </c>
      <c r="AE5" s="28" t="s">
        <v>20</v>
      </c>
      <c r="AF5" s="25" t="s">
        <v>7</v>
      </c>
      <c r="AG5" s="28" t="s">
        <v>6</v>
      </c>
      <c r="AH5" s="25" t="s">
        <v>7</v>
      </c>
    </row>
    <row r="6" spans="1:181" ht="20.100000000000001" customHeight="1" x14ac:dyDescent="0.35">
      <c r="A6" s="29">
        <f>+'[1]GASTOS DIC 22 ENE-NOV 23'!A3</f>
        <v>5</v>
      </c>
      <c r="B6" s="30" t="str">
        <f>+'[1]GASTOS DIC 22 ENE-NOV 23'!B3</f>
        <v>EGRESOS</v>
      </c>
      <c r="C6" s="31">
        <v>232487.26</v>
      </c>
      <c r="D6" s="31">
        <f>+C6/12</f>
        <v>19373.938333333335</v>
      </c>
      <c r="E6" s="31">
        <f>+F6*12</f>
        <v>2572355.14</v>
      </c>
      <c r="F6" s="31">
        <f>+F7+F48+F65+F129+F146+F150</f>
        <v>214362.92833333334</v>
      </c>
      <c r="G6" s="31">
        <f>+G7+G48+G65+G129+G146+G150+'[2]DICIEMBRE-2023'!K18+'[2]DICIEMBRE-2023'!K19</f>
        <v>367440.79</v>
      </c>
      <c r="H6" s="31"/>
      <c r="I6" s="32">
        <f>+I7+I48+I65+I129+I146+I150</f>
        <v>198294.11999999997</v>
      </c>
      <c r="J6" s="33"/>
      <c r="K6" s="32">
        <f>+K7+K48+K65+K129+K146+K150</f>
        <v>168416.31</v>
      </c>
      <c r="L6" s="33"/>
      <c r="M6" s="34">
        <f>+M7+M48+M65+M129+M146+M150</f>
        <v>313690.6100000001</v>
      </c>
      <c r="N6" s="33"/>
      <c r="O6" s="32">
        <f>+O7+O48+O65+O129+O146+O150</f>
        <v>279882.14999999997</v>
      </c>
      <c r="P6" s="33"/>
      <c r="Q6" s="35"/>
      <c r="R6" s="36"/>
      <c r="S6" s="32">
        <f>+S7+S48+S65+S129+S146+S150</f>
        <v>356259.07</v>
      </c>
      <c r="T6" s="33"/>
      <c r="U6" s="32">
        <f>+U7+U48+U65+U129+U146+U150</f>
        <v>333398.50999999995</v>
      </c>
      <c r="V6" s="33"/>
      <c r="W6" s="37">
        <f>W7+W48+W65+W129+W146+W150</f>
        <v>599256.91999999993</v>
      </c>
      <c r="X6" s="33"/>
      <c r="Y6" s="37">
        <f>Y7+Y48+Y65+Y129+Y146+Y150</f>
        <v>155301</v>
      </c>
      <c r="Z6" s="33"/>
      <c r="AA6" s="37">
        <f>AA7+AA48+AA65+AA129+AA146+AA150</f>
        <v>285707.56</v>
      </c>
      <c r="AB6" s="33"/>
      <c r="AC6" s="37">
        <f>AC7+AC48+AC65+AC129+AC146+AC150</f>
        <v>424710.29</v>
      </c>
      <c r="AD6" s="33"/>
      <c r="AE6" s="37">
        <f>+AE7+AE48+AE65+AE129+AE146+AE150</f>
        <v>300934.65999999997</v>
      </c>
      <c r="AF6" s="33"/>
      <c r="AG6" s="37">
        <f>+AG7+AG48+AG65+AG129+AG146+AG150</f>
        <v>589579.31000000006</v>
      </c>
      <c r="AH6" s="33"/>
      <c r="AJ6">
        <f>668424.35-589579.31</f>
        <v>78845.039999999921</v>
      </c>
    </row>
    <row r="7" spans="1:181" s="46" customFormat="1" x14ac:dyDescent="0.25">
      <c r="A7" s="38">
        <f>+'[1]GASTOS DIC 22 ENE-NOV 23'!A4</f>
        <v>51</v>
      </c>
      <c r="B7" s="39" t="str">
        <f>+'[1]GASTOS DIC 22 ENE-NOV 23'!B4</f>
        <v xml:space="preserve">  COSTO DE VENTAS</v>
      </c>
      <c r="C7" s="40">
        <v>136210.29</v>
      </c>
      <c r="D7" s="40">
        <f t="shared" ref="D7:D11" si="0">+C7/12</f>
        <v>11350.8575</v>
      </c>
      <c r="E7" s="40">
        <f t="shared" ref="E7:I7" si="1">+E8</f>
        <v>1097388</v>
      </c>
      <c r="F7" s="40">
        <f t="shared" si="1"/>
        <v>91449</v>
      </c>
      <c r="G7" s="40">
        <f t="shared" si="1"/>
        <v>96165.37</v>
      </c>
      <c r="H7" s="41">
        <f>+G7/F7-1</f>
        <v>5.1573773360014785E-2</v>
      </c>
      <c r="I7" s="42">
        <f t="shared" si="1"/>
        <v>61110.06</v>
      </c>
      <c r="J7" s="43">
        <f>+I7/F7-1</f>
        <v>-0.33175802906538077</v>
      </c>
      <c r="K7" s="42">
        <f>+K8</f>
        <v>48692.399999999994</v>
      </c>
      <c r="L7" s="43">
        <f>+K7/F7-1</f>
        <v>-0.46754584522520759</v>
      </c>
      <c r="M7" s="42">
        <f>+M8</f>
        <v>195273.22000000003</v>
      </c>
      <c r="N7" s="43">
        <f>+M7/F7-1</f>
        <v>1.1353237323535526</v>
      </c>
      <c r="O7" s="42">
        <f>+O8</f>
        <v>166235.82999999999</v>
      </c>
      <c r="P7" s="43">
        <f>(O7/F7)-1</f>
        <v>0.8177982263338035</v>
      </c>
      <c r="Q7" s="42">
        <f>+O7+M7+K7+I7+G7</f>
        <v>567476.88000000012</v>
      </c>
      <c r="R7" s="44">
        <f>+Q7/E7</f>
        <v>0.5171159881463987</v>
      </c>
      <c r="S7" s="42">
        <f>+S8</f>
        <v>250459.47</v>
      </c>
      <c r="T7" s="43">
        <f>(S7/J7)-1</f>
        <v>-754947.22000735672</v>
      </c>
      <c r="U7" s="45">
        <f>U8</f>
        <v>245847.55999999997</v>
      </c>
      <c r="V7" s="43">
        <f>(U7/L7)-1</f>
        <v>-525826.5687879764</v>
      </c>
      <c r="W7" s="45">
        <f>W8</f>
        <v>464835.12</v>
      </c>
      <c r="X7" s="43">
        <f>(W7/N7)-1</f>
        <v>409428.58096752362</v>
      </c>
      <c r="Y7" s="45">
        <f>Y8</f>
        <v>29506.68</v>
      </c>
      <c r="Z7" s="43">
        <f>(Y7/P7)-1</f>
        <v>36079.635846177734</v>
      </c>
      <c r="AA7" s="45">
        <f>AA8</f>
        <v>82103.110000000015</v>
      </c>
      <c r="AB7" s="43">
        <f>(AA7/R7)-1</f>
        <v>158770.16910327692</v>
      </c>
      <c r="AC7" s="45">
        <f>AC8</f>
        <v>22474.090000000004</v>
      </c>
      <c r="AD7" s="43">
        <f>(AC7/T7)-1</f>
        <v>-1.0297690876983174</v>
      </c>
      <c r="AE7" s="45">
        <f>AE8</f>
        <v>34997.160000000003</v>
      </c>
      <c r="AF7" s="43">
        <f>(AE7/V7)-1</f>
        <v>-1.0665564695231509</v>
      </c>
      <c r="AG7" s="45">
        <f>AG8</f>
        <v>167619.84</v>
      </c>
      <c r="AH7" s="43">
        <f>(AG7/X7)-1</f>
        <v>-0.59060053989417072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</row>
    <row r="8" spans="1:181" s="58" customFormat="1" x14ac:dyDescent="0.25">
      <c r="A8" s="47">
        <f>+'[1]GASTOS DIC 22 ENE-NOV 23'!A5</f>
        <v>5101</v>
      </c>
      <c r="B8" s="48" t="str">
        <f>+'[1]GASTOS DIC 22 ENE-NOV 23'!B5</f>
        <v xml:space="preserve">    COSTO DE VENTAS Y/O SERVICIOS</v>
      </c>
      <c r="C8" s="49">
        <v>136210.29</v>
      </c>
      <c r="D8" s="105">
        <f t="shared" si="0"/>
        <v>11350.8575</v>
      </c>
      <c r="E8" s="50">
        <f>+E9+E19</f>
        <v>1097388</v>
      </c>
      <c r="F8" s="49">
        <f>+F9+F19</f>
        <v>91449</v>
      </c>
      <c r="G8" s="49">
        <f>+G9+G19</f>
        <v>96165.37</v>
      </c>
      <c r="H8" s="51">
        <f t="shared" ref="H8:H87" si="2">+G8/F8-1</f>
        <v>5.1573773360014785E-2</v>
      </c>
      <c r="I8" s="52">
        <f>+I9+I19</f>
        <v>61110.06</v>
      </c>
      <c r="J8" s="53">
        <f t="shared" ref="J8:J87" si="3">+I8/F8-1</f>
        <v>-0.33175802906538077</v>
      </c>
      <c r="K8" s="52">
        <f>K9+K19</f>
        <v>48692.399999999994</v>
      </c>
      <c r="L8" s="53">
        <f t="shared" ref="L8:L87" si="4">+K8/F8-1</f>
        <v>-0.46754584522520759</v>
      </c>
      <c r="M8" s="52">
        <f>M9+M19</f>
        <v>195273.22000000003</v>
      </c>
      <c r="N8" s="53">
        <f t="shared" ref="N8:N87" si="5">+M8/F8-1</f>
        <v>1.1353237323535526</v>
      </c>
      <c r="O8" s="52">
        <f>+O9+O19</f>
        <v>166235.82999999999</v>
      </c>
      <c r="P8" s="53">
        <f t="shared" ref="P8:P87" si="6">(O8/F8)-1</f>
        <v>0.8177982263338035</v>
      </c>
      <c r="Q8" s="35">
        <f t="shared" ref="Q8:Q87" si="7">+O8+M8+K8+I8+G8</f>
        <v>567476.88000000012</v>
      </c>
      <c r="R8" s="36">
        <f t="shared" ref="R8:R87" si="8">+Q8/E8</f>
        <v>0.5171159881463987</v>
      </c>
      <c r="S8" s="52">
        <f>+S9+S19</f>
        <v>250459.47</v>
      </c>
      <c r="T8" s="53">
        <f t="shared" ref="T8:AB81" si="9">(S8/J8)-1</f>
        <v>-754947.22000735672</v>
      </c>
      <c r="U8" s="54">
        <f>U9+U19</f>
        <v>245847.55999999997</v>
      </c>
      <c r="V8" s="53">
        <f t="shared" si="9"/>
        <v>-525826.5687879764</v>
      </c>
      <c r="W8" s="54">
        <f>W9+W19</f>
        <v>464835.12</v>
      </c>
      <c r="X8" s="53">
        <f t="shared" si="9"/>
        <v>409428.58096752362</v>
      </c>
      <c r="Y8" s="55">
        <f>Y9+Y19</f>
        <v>29506.68</v>
      </c>
      <c r="Z8" s="53">
        <f t="shared" si="9"/>
        <v>36079.635846177734</v>
      </c>
      <c r="AA8" s="55">
        <f>AA9+AA19</f>
        <v>82103.110000000015</v>
      </c>
      <c r="AB8" s="53">
        <f t="shared" si="9"/>
        <v>158770.16910327692</v>
      </c>
      <c r="AC8" s="55">
        <f>AC9+AC19+AC17</f>
        <v>22474.090000000004</v>
      </c>
      <c r="AD8" s="53">
        <f t="shared" ref="AD8:AD87" si="10">(AC8/T8)-1</f>
        <v>-1.0297690876983174</v>
      </c>
      <c r="AE8" s="55">
        <f>AE9+AE19+AE17</f>
        <v>34997.160000000003</v>
      </c>
      <c r="AF8" s="56">
        <f t="shared" ref="AF8:AF14" si="11">(AE8/V8)-1</f>
        <v>-1.0665564695231509</v>
      </c>
      <c r="AG8" s="57">
        <f>AG9+AG19+AG17</f>
        <v>167619.84</v>
      </c>
      <c r="AH8" s="53">
        <f t="shared" ref="AH8:AH14" si="12">(AG8/X8)-1</f>
        <v>-0.59060053989417072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181" s="58" customFormat="1" x14ac:dyDescent="0.25">
      <c r="A9" s="47" t="str">
        <f>+'[1]GASTOS DIC 22 ENE-NOV 23'!A6</f>
        <v>5101-01</v>
      </c>
      <c r="B9" s="48" t="str">
        <f>+'[1]GASTOS DIC 22 ENE-NOV 23'!B6</f>
        <v xml:space="preserve">      COSTO DE VENTAS Y/O SERVICIOS</v>
      </c>
      <c r="C9" s="49">
        <f>+C10+C11+C12+C13+C14</f>
        <v>57797.63</v>
      </c>
      <c r="D9" s="105">
        <f t="shared" si="0"/>
        <v>4816.4691666666668</v>
      </c>
      <c r="E9" s="49">
        <f>+F9*12</f>
        <v>159150</v>
      </c>
      <c r="F9" s="49">
        <f>+SUM(F10:F16)</f>
        <v>13262.5</v>
      </c>
      <c r="G9" s="49">
        <f>+SUM(G10:G16)</f>
        <v>6566.78</v>
      </c>
      <c r="H9" s="51">
        <f t="shared" si="2"/>
        <v>-0.50486107445805839</v>
      </c>
      <c r="I9" s="52">
        <f>+SUM(I10:I16)</f>
        <v>26538.84</v>
      </c>
      <c r="J9" s="53">
        <f>+I9/F9-1</f>
        <v>1.0010435438265786</v>
      </c>
      <c r="K9" s="52">
        <f>+SUM(K10:K16)</f>
        <v>8990.84</v>
      </c>
      <c r="L9" s="53">
        <f t="shared" si="4"/>
        <v>-0.32208557964184725</v>
      </c>
      <c r="M9" s="52">
        <f>+SUM(M10:M16)</f>
        <v>45199.560000000005</v>
      </c>
      <c r="N9" s="53">
        <f t="shared" si="5"/>
        <v>2.4080723845428844</v>
      </c>
      <c r="O9" s="52">
        <f>SUM(O10:O16)</f>
        <v>13861.9</v>
      </c>
      <c r="P9" s="53">
        <f t="shared" si="6"/>
        <v>4.5195098963242142E-2</v>
      </c>
      <c r="Q9" s="35">
        <f t="shared" si="7"/>
        <v>101157.92</v>
      </c>
      <c r="R9" s="36">
        <f t="shared" si="8"/>
        <v>0.63561369776939991</v>
      </c>
      <c r="S9" s="52">
        <f>SUM(S10:S16)</f>
        <v>24246.6</v>
      </c>
      <c r="T9" s="53">
        <f t="shared" si="9"/>
        <v>24220.323986881929</v>
      </c>
      <c r="U9" s="54">
        <f>+SUM(U10:U16)</f>
        <v>9833.33</v>
      </c>
      <c r="V9" s="53">
        <f t="shared" si="9"/>
        <v>-30531.177758763577</v>
      </c>
      <c r="W9" s="54">
        <v>14282</v>
      </c>
      <c r="X9" s="53">
        <f t="shared" si="9"/>
        <v>5929.8848403704023</v>
      </c>
      <c r="Y9" s="59">
        <f>Y13</f>
        <v>15137.14</v>
      </c>
      <c r="Z9" s="53">
        <f t="shared" si="9"/>
        <v>334927.79421087814</v>
      </c>
      <c r="AA9" s="54">
        <f>SUM(AA10:AA16)</f>
        <v>36069.160000000003</v>
      </c>
      <c r="AB9" s="53">
        <f t="shared" si="9"/>
        <v>56745.983469015584</v>
      </c>
      <c r="AC9" s="54">
        <f>SUM(AC10:AC16)</f>
        <v>12803.68</v>
      </c>
      <c r="AD9" s="53">
        <f t="shared" si="10"/>
        <v>-0.47136627871143855</v>
      </c>
      <c r="AE9" s="54">
        <f>SUM(AE10:AE16)</f>
        <v>27104.32</v>
      </c>
      <c r="AF9" s="56">
        <f t="shared" si="11"/>
        <v>-1.8877587433462195</v>
      </c>
      <c r="AG9" s="54">
        <f>SUM(AG10:AG16)</f>
        <v>59573.259999999995</v>
      </c>
      <c r="AH9" s="53">
        <f t="shared" si="12"/>
        <v>9.0462760413874808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181" x14ac:dyDescent="0.25">
      <c r="A10" s="60" t="str">
        <f>+'[1]GASTOS DIC 22 ENE-NOV 23'!A7</f>
        <v>5101-01-0002</v>
      </c>
      <c r="B10" s="61" t="str">
        <f>+'[1]GASTOS DIC 22 ENE-NOV 23'!B7</f>
        <v xml:space="preserve">        MATERIALES DE INSTALACION</v>
      </c>
      <c r="C10" s="62">
        <v>0</v>
      </c>
      <c r="D10" s="62">
        <f t="shared" si="0"/>
        <v>0</v>
      </c>
      <c r="E10" s="62">
        <f>+F10*12</f>
        <v>18000</v>
      </c>
      <c r="F10" s="62">
        <v>1500</v>
      </c>
      <c r="G10" s="63">
        <v>2972.79</v>
      </c>
      <c r="H10" s="51">
        <f t="shared" si="2"/>
        <v>0.98185999999999996</v>
      </c>
      <c r="I10" s="64">
        <v>0</v>
      </c>
      <c r="J10" s="53">
        <f t="shared" si="3"/>
        <v>-1</v>
      </c>
      <c r="K10" s="65">
        <v>49.94</v>
      </c>
      <c r="L10" s="53">
        <f t="shared" si="4"/>
        <v>-0.96670666666666671</v>
      </c>
      <c r="M10" s="64"/>
      <c r="N10" s="53">
        <f t="shared" si="5"/>
        <v>-1</v>
      </c>
      <c r="O10" s="65">
        <v>0</v>
      </c>
      <c r="P10" s="53">
        <f t="shared" si="6"/>
        <v>-1</v>
      </c>
      <c r="Q10" s="35">
        <f t="shared" si="7"/>
        <v>3022.73</v>
      </c>
      <c r="R10" s="36">
        <f t="shared" si="8"/>
        <v>0.16792944444444444</v>
      </c>
      <c r="S10" s="65">
        <v>11210.89</v>
      </c>
      <c r="T10" s="53">
        <f t="shared" si="9"/>
        <v>-11211.89</v>
      </c>
      <c r="U10" s="66">
        <v>0</v>
      </c>
      <c r="V10" s="53">
        <f t="shared" si="9"/>
        <v>-1</v>
      </c>
      <c r="W10" s="66">
        <v>0</v>
      </c>
      <c r="X10" s="53">
        <f t="shared" si="9"/>
        <v>-1</v>
      </c>
      <c r="Y10" s="66">
        <v>0</v>
      </c>
      <c r="Z10" s="53">
        <f t="shared" si="9"/>
        <v>-1</v>
      </c>
      <c r="AA10" s="66">
        <v>0</v>
      </c>
      <c r="AB10" s="53">
        <f t="shared" si="9"/>
        <v>-1</v>
      </c>
      <c r="AC10" s="66">
        <v>0</v>
      </c>
      <c r="AD10" s="53">
        <f t="shared" si="10"/>
        <v>-1</v>
      </c>
      <c r="AE10" s="66">
        <v>5737.65</v>
      </c>
      <c r="AF10" s="53">
        <f t="shared" si="11"/>
        <v>-5738.65</v>
      </c>
      <c r="AG10" s="66">
        <v>0</v>
      </c>
      <c r="AH10" s="53">
        <f t="shared" si="12"/>
        <v>-1</v>
      </c>
    </row>
    <row r="11" spans="1:181" x14ac:dyDescent="0.25">
      <c r="A11" s="60" t="str">
        <f>+'[1]GASTOS DIC 22 ENE-NOV 23'!A8</f>
        <v>5301-07-0012</v>
      </c>
      <c r="B11" s="67" t="str">
        <f>+'[1]GASTOS DIC 22 ENE-NOV 23'!B8</f>
        <v xml:space="preserve">        SERVICIOS TECNICOS - INSTALACIONES</v>
      </c>
      <c r="C11" s="68">
        <v>0</v>
      </c>
      <c r="D11" s="62">
        <f t="shared" si="0"/>
        <v>0</v>
      </c>
      <c r="E11" s="62">
        <f t="shared" ref="E11:E47" si="13">+F11*12</f>
        <v>33600</v>
      </c>
      <c r="F11" s="68">
        <v>2800</v>
      </c>
      <c r="G11" s="63">
        <v>0</v>
      </c>
      <c r="H11" s="51">
        <f t="shared" si="2"/>
        <v>-1</v>
      </c>
      <c r="I11" s="64">
        <v>0</v>
      </c>
      <c r="J11" s="53">
        <f t="shared" si="3"/>
        <v>-1</v>
      </c>
      <c r="K11" s="64">
        <v>0</v>
      </c>
      <c r="L11" s="53">
        <f t="shared" si="4"/>
        <v>-1</v>
      </c>
      <c r="M11" s="65">
        <v>36936.720000000001</v>
      </c>
      <c r="N11" s="53">
        <f t="shared" si="5"/>
        <v>12.191685714285715</v>
      </c>
      <c r="O11" s="65">
        <v>0</v>
      </c>
      <c r="P11" s="53">
        <f t="shared" si="6"/>
        <v>-1</v>
      </c>
      <c r="Q11" s="35">
        <f t="shared" si="7"/>
        <v>36936.720000000001</v>
      </c>
      <c r="R11" s="36">
        <f t="shared" si="8"/>
        <v>1.0993071428571428</v>
      </c>
      <c r="S11" s="65">
        <v>0</v>
      </c>
      <c r="T11" s="53">
        <f t="shared" si="9"/>
        <v>-1</v>
      </c>
      <c r="U11" s="66">
        <v>0</v>
      </c>
      <c r="V11" s="53">
        <f t="shared" si="9"/>
        <v>-1</v>
      </c>
      <c r="W11" s="66">
        <v>0</v>
      </c>
      <c r="X11" s="53">
        <f t="shared" si="9"/>
        <v>-1</v>
      </c>
      <c r="Y11" s="66">
        <v>0</v>
      </c>
      <c r="Z11" s="53">
        <f t="shared" si="9"/>
        <v>-1</v>
      </c>
      <c r="AA11" s="66">
        <v>0</v>
      </c>
      <c r="AB11" s="53">
        <f t="shared" si="9"/>
        <v>-1</v>
      </c>
      <c r="AC11" s="66">
        <v>0</v>
      </c>
      <c r="AD11" s="53">
        <f t="shared" si="10"/>
        <v>-1</v>
      </c>
      <c r="AE11" s="66">
        <v>0</v>
      </c>
      <c r="AF11" s="53">
        <f t="shared" si="11"/>
        <v>-1</v>
      </c>
      <c r="AG11" s="66">
        <v>0</v>
      </c>
      <c r="AH11" s="53">
        <f t="shared" si="12"/>
        <v>-1</v>
      </c>
    </row>
    <row r="12" spans="1:181" x14ac:dyDescent="0.25">
      <c r="A12" s="60" t="str">
        <f>+'[1]GASTOS DIC 22 ENE-NOV 23'!A9</f>
        <v>5101-01-0003</v>
      </c>
      <c r="B12" s="61" t="str">
        <f>+'[1]GASTOS DIC 22 ENE-NOV 23'!B9</f>
        <v xml:space="preserve">        COSTO SERVICIO VAS</v>
      </c>
      <c r="C12" s="69">
        <f>+'[1]GASTOS DIC 22 ENE-NOV 23'!O9</f>
        <v>0</v>
      </c>
      <c r="D12" s="69">
        <f t="shared" ref="D12:D92" si="14">+C12/12</f>
        <v>0</v>
      </c>
      <c r="E12" s="62">
        <f t="shared" si="13"/>
        <v>5400</v>
      </c>
      <c r="F12" s="69">
        <v>450</v>
      </c>
      <c r="G12" s="63">
        <v>3474.94</v>
      </c>
      <c r="H12" s="51">
        <f t="shared" si="2"/>
        <v>6.722088888888889</v>
      </c>
      <c r="I12" s="64">
        <v>0</v>
      </c>
      <c r="J12" s="53">
        <f t="shared" si="3"/>
        <v>-1</v>
      </c>
      <c r="K12" s="64">
        <v>0</v>
      </c>
      <c r="L12" s="53">
        <f t="shared" si="4"/>
        <v>-1</v>
      </c>
      <c r="M12" s="64">
        <v>0</v>
      </c>
      <c r="N12" s="53">
        <f t="shared" si="5"/>
        <v>-1</v>
      </c>
      <c r="O12" s="65">
        <v>0</v>
      </c>
      <c r="P12" s="53">
        <f t="shared" si="6"/>
        <v>-1</v>
      </c>
      <c r="Q12" s="35">
        <f t="shared" si="7"/>
        <v>3474.94</v>
      </c>
      <c r="R12" s="36">
        <f t="shared" si="8"/>
        <v>0.64350740740740742</v>
      </c>
      <c r="S12" s="65">
        <v>0</v>
      </c>
      <c r="T12" s="53">
        <f t="shared" si="9"/>
        <v>-1</v>
      </c>
      <c r="U12" s="66">
        <v>0</v>
      </c>
      <c r="V12" s="53">
        <f t="shared" si="9"/>
        <v>-1</v>
      </c>
      <c r="W12" s="66">
        <v>0</v>
      </c>
      <c r="X12" s="53">
        <f t="shared" si="9"/>
        <v>-1</v>
      </c>
      <c r="Y12" s="66">
        <v>0</v>
      </c>
      <c r="Z12" s="53">
        <f t="shared" si="9"/>
        <v>-1</v>
      </c>
      <c r="AA12" s="66">
        <v>0</v>
      </c>
      <c r="AB12" s="53">
        <f t="shared" si="9"/>
        <v>-1</v>
      </c>
      <c r="AC12" s="66">
        <v>0</v>
      </c>
      <c r="AD12" s="53">
        <f t="shared" si="10"/>
        <v>-1</v>
      </c>
      <c r="AE12" s="66">
        <v>0</v>
      </c>
      <c r="AF12" s="53">
        <f t="shared" si="11"/>
        <v>-1</v>
      </c>
      <c r="AG12" s="66">
        <v>0</v>
      </c>
      <c r="AH12" s="53">
        <f t="shared" si="12"/>
        <v>-1</v>
      </c>
    </row>
    <row r="13" spans="1:181" x14ac:dyDescent="0.25">
      <c r="A13" s="60" t="s">
        <v>21</v>
      </c>
      <c r="B13" s="70" t="s">
        <v>22</v>
      </c>
      <c r="C13" s="69">
        <v>57797.63</v>
      </c>
      <c r="D13" s="69">
        <v>0</v>
      </c>
      <c r="E13" s="62">
        <f t="shared" si="13"/>
        <v>102000</v>
      </c>
      <c r="F13" s="69">
        <v>8500</v>
      </c>
      <c r="G13" s="63">
        <v>0</v>
      </c>
      <c r="H13" s="51">
        <f t="shared" si="2"/>
        <v>-1</v>
      </c>
      <c r="I13" s="65">
        <v>26538.84</v>
      </c>
      <c r="J13" s="53">
        <f t="shared" si="3"/>
        <v>2.1222164705882354</v>
      </c>
      <c r="K13" s="65">
        <v>8940.9</v>
      </c>
      <c r="L13" s="53">
        <f t="shared" si="4"/>
        <v>5.1870588235294113E-2</v>
      </c>
      <c r="M13" s="65">
        <v>7786.65</v>
      </c>
      <c r="N13" s="53">
        <f t="shared" si="5"/>
        <v>-8.392352941176473E-2</v>
      </c>
      <c r="O13" s="71">
        <v>13861.9</v>
      </c>
      <c r="P13" s="53">
        <f t="shared" si="6"/>
        <v>0.63081176470588241</v>
      </c>
      <c r="Q13" s="35">
        <f t="shared" si="7"/>
        <v>57128.289999999994</v>
      </c>
      <c r="R13" s="36">
        <f t="shared" si="8"/>
        <v>0.56008127450980383</v>
      </c>
      <c r="S13" s="65">
        <v>13035.71</v>
      </c>
      <c r="T13" s="53">
        <f t="shared" si="9"/>
        <v>6141.4977991932956</v>
      </c>
      <c r="U13" s="72">
        <v>9833.33</v>
      </c>
      <c r="V13" s="53">
        <f t="shared" si="9"/>
        <v>189573.29122249945</v>
      </c>
      <c r="W13" s="72">
        <v>14282</v>
      </c>
      <c r="X13" s="53">
        <f t="shared" si="9"/>
        <v>-170179.73414172561</v>
      </c>
      <c r="Y13" s="72">
        <v>15137.14</v>
      </c>
      <c r="Z13" s="53">
        <f t="shared" si="9"/>
        <v>23995.286764020213</v>
      </c>
      <c r="AA13" s="72">
        <v>25000</v>
      </c>
      <c r="AB13" s="53">
        <f t="shared" si="9"/>
        <v>44635.378928898455</v>
      </c>
      <c r="AC13" s="73">
        <v>0</v>
      </c>
      <c r="AD13" s="53">
        <f t="shared" si="10"/>
        <v>-1</v>
      </c>
      <c r="AE13" s="73">
        <v>21366.67</v>
      </c>
      <c r="AF13" s="53">
        <f t="shared" si="11"/>
        <v>-0.88729071557383976</v>
      </c>
      <c r="AG13" s="73">
        <v>48904.78</v>
      </c>
      <c r="AH13" s="53">
        <f t="shared" si="12"/>
        <v>-1.2873713503352411</v>
      </c>
    </row>
    <row r="14" spans="1:181" x14ac:dyDescent="0.25">
      <c r="A14" s="60" t="s">
        <v>23</v>
      </c>
      <c r="B14" s="70" t="s">
        <v>24</v>
      </c>
      <c r="C14" s="69">
        <v>0</v>
      </c>
      <c r="D14" s="69">
        <v>0</v>
      </c>
      <c r="E14" s="62">
        <f t="shared" si="13"/>
        <v>6</v>
      </c>
      <c r="F14" s="69">
        <v>0.5</v>
      </c>
      <c r="G14" s="63">
        <v>0</v>
      </c>
      <c r="H14" s="51">
        <f t="shared" si="2"/>
        <v>-1</v>
      </c>
      <c r="I14" s="64">
        <v>0</v>
      </c>
      <c r="J14" s="53">
        <f t="shared" si="3"/>
        <v>-1</v>
      </c>
      <c r="K14" s="64">
        <v>0</v>
      </c>
      <c r="L14" s="53">
        <f t="shared" si="4"/>
        <v>-1</v>
      </c>
      <c r="M14" s="64">
        <v>476.19</v>
      </c>
      <c r="N14" s="53">
        <f t="shared" si="5"/>
        <v>951.38</v>
      </c>
      <c r="O14" s="65">
        <v>0</v>
      </c>
      <c r="P14" s="53">
        <f t="shared" si="6"/>
        <v>-1</v>
      </c>
      <c r="Q14" s="35">
        <f t="shared" si="7"/>
        <v>476.19</v>
      </c>
      <c r="R14" s="36">
        <f t="shared" si="8"/>
        <v>79.364999999999995</v>
      </c>
      <c r="S14" s="65">
        <v>0</v>
      </c>
      <c r="T14" s="53">
        <f t="shared" si="9"/>
        <v>-1</v>
      </c>
      <c r="U14" s="66">
        <v>0</v>
      </c>
      <c r="V14" s="53">
        <f t="shared" si="9"/>
        <v>-1</v>
      </c>
      <c r="W14" s="66">
        <v>0</v>
      </c>
      <c r="X14" s="53">
        <f t="shared" si="9"/>
        <v>-1</v>
      </c>
      <c r="Y14" s="66">
        <v>0</v>
      </c>
      <c r="Z14" s="53">
        <f t="shared" si="9"/>
        <v>-1</v>
      </c>
      <c r="AA14" s="66">
        <v>0</v>
      </c>
      <c r="AB14" s="53">
        <f t="shared" si="9"/>
        <v>-1</v>
      </c>
      <c r="AC14" s="66">
        <v>0</v>
      </c>
      <c r="AD14" s="53">
        <f t="shared" si="10"/>
        <v>-1</v>
      </c>
      <c r="AE14" s="66">
        <v>0</v>
      </c>
      <c r="AF14" s="53">
        <f t="shared" si="11"/>
        <v>-1</v>
      </c>
      <c r="AG14" s="66">
        <v>10668.48</v>
      </c>
      <c r="AH14" s="53">
        <f t="shared" si="12"/>
        <v>-10669.48</v>
      </c>
    </row>
    <row r="15" spans="1:181" x14ac:dyDescent="0.25">
      <c r="A15" s="60" t="s">
        <v>25</v>
      </c>
      <c r="B15" s="124" t="s">
        <v>26</v>
      </c>
      <c r="C15" s="69">
        <v>0</v>
      </c>
      <c r="D15" s="69">
        <v>0</v>
      </c>
      <c r="E15" s="62">
        <v>0</v>
      </c>
      <c r="F15" s="69">
        <v>0</v>
      </c>
      <c r="G15" s="63">
        <v>0</v>
      </c>
      <c r="H15" s="51">
        <v>0</v>
      </c>
      <c r="I15" s="64">
        <v>0</v>
      </c>
      <c r="J15" s="53">
        <v>0</v>
      </c>
      <c r="K15" s="64">
        <v>0</v>
      </c>
      <c r="L15" s="53">
        <v>0</v>
      </c>
      <c r="M15" s="64">
        <v>0</v>
      </c>
      <c r="N15" s="53">
        <v>0</v>
      </c>
      <c r="O15" s="65">
        <v>0</v>
      </c>
      <c r="P15" s="53">
        <v>0</v>
      </c>
      <c r="Q15" s="35">
        <f t="shared" si="7"/>
        <v>0</v>
      </c>
      <c r="R15" s="36"/>
      <c r="S15" s="65">
        <v>0</v>
      </c>
      <c r="T15" s="53">
        <v>0</v>
      </c>
      <c r="U15" s="66">
        <v>0</v>
      </c>
      <c r="V15" s="53">
        <v>0</v>
      </c>
      <c r="W15" s="66">
        <v>0</v>
      </c>
      <c r="X15" s="53">
        <v>0</v>
      </c>
      <c r="Y15" s="66">
        <v>0</v>
      </c>
      <c r="Z15" s="53">
        <v>0</v>
      </c>
      <c r="AA15" s="66">
        <v>11069.16</v>
      </c>
      <c r="AB15" s="53">
        <v>0</v>
      </c>
      <c r="AC15" s="73">
        <v>12803.68</v>
      </c>
      <c r="AD15" s="53">
        <v>0</v>
      </c>
      <c r="AE15" s="66">
        <v>0</v>
      </c>
      <c r="AF15" s="53">
        <v>0</v>
      </c>
      <c r="AG15" s="66">
        <v>0</v>
      </c>
      <c r="AH15" s="53">
        <v>0</v>
      </c>
    </row>
    <row r="16" spans="1:181" x14ac:dyDescent="0.25">
      <c r="A16" s="60" t="str">
        <f>+'[1]GASTOS DIC 22 ENE-NOV 23'!A84</f>
        <v>5301-12-0002</v>
      </c>
      <c r="B16" s="61" t="str">
        <f>+'[1]GASTOS DIC 22 ENE-NOV 23'!B84</f>
        <v xml:space="preserve">        ALQUILER DE POSTES</v>
      </c>
      <c r="C16" s="62">
        <f>+'[1]GASTOS DIC 22 ENE-NOV 23'!O84</f>
        <v>595.24</v>
      </c>
      <c r="D16" s="62">
        <f>+C16/12</f>
        <v>49.603333333333332</v>
      </c>
      <c r="E16" s="62">
        <f t="shared" si="13"/>
        <v>144</v>
      </c>
      <c r="F16" s="62">
        <v>12</v>
      </c>
      <c r="G16" s="63">
        <v>119.05</v>
      </c>
      <c r="H16" s="51">
        <f t="shared" si="2"/>
        <v>8.9208333333333325</v>
      </c>
      <c r="I16" s="64">
        <v>0</v>
      </c>
      <c r="J16" s="53">
        <f t="shared" si="3"/>
        <v>-1</v>
      </c>
      <c r="K16" s="64">
        <v>0</v>
      </c>
      <c r="L16" s="53">
        <f t="shared" si="4"/>
        <v>-1</v>
      </c>
      <c r="M16" s="64">
        <v>0</v>
      </c>
      <c r="N16" s="53">
        <f t="shared" si="5"/>
        <v>-1</v>
      </c>
      <c r="O16" s="65">
        <v>0</v>
      </c>
      <c r="P16" s="53">
        <f t="shared" si="6"/>
        <v>-1</v>
      </c>
      <c r="Q16" s="35">
        <f t="shared" si="7"/>
        <v>119.05</v>
      </c>
      <c r="R16" s="36">
        <f t="shared" si="8"/>
        <v>0.82673611111111112</v>
      </c>
      <c r="S16" s="65">
        <v>0</v>
      </c>
      <c r="T16" s="53">
        <f t="shared" si="9"/>
        <v>-1</v>
      </c>
      <c r="U16" s="66">
        <v>0</v>
      </c>
      <c r="V16" s="53">
        <f t="shared" si="9"/>
        <v>-1</v>
      </c>
      <c r="W16" s="66">
        <v>0</v>
      </c>
      <c r="X16" s="53">
        <f t="shared" si="9"/>
        <v>-1</v>
      </c>
      <c r="Y16" s="66">
        <v>0</v>
      </c>
      <c r="Z16" s="53">
        <f t="shared" si="9"/>
        <v>-1</v>
      </c>
      <c r="AA16" s="66">
        <v>0</v>
      </c>
      <c r="AB16" s="53">
        <f t="shared" ref="AB16:AB87" si="15">(AA16/R16)-1</f>
        <v>-1</v>
      </c>
      <c r="AC16" s="66">
        <v>0</v>
      </c>
      <c r="AD16" s="53">
        <f t="shared" si="10"/>
        <v>-1</v>
      </c>
      <c r="AE16" s="66">
        <v>0</v>
      </c>
      <c r="AF16" s="53">
        <f t="shared" ref="AF16" si="16">(AE16/V16)-1</f>
        <v>-1</v>
      </c>
      <c r="AG16" s="66">
        <v>0</v>
      </c>
      <c r="AH16" s="53">
        <f t="shared" ref="AH16" si="17">(AG16/X16)-1</f>
        <v>-1</v>
      </c>
    </row>
    <row r="17" spans="1:181" x14ac:dyDescent="0.25">
      <c r="A17" s="47" t="s">
        <v>27</v>
      </c>
      <c r="B17" s="48" t="s">
        <v>28</v>
      </c>
      <c r="C17" s="49">
        <f>+C18</f>
        <v>0</v>
      </c>
      <c r="D17" s="49">
        <f t="shared" ref="D17:D18" si="18">+C17/12</f>
        <v>0</v>
      </c>
      <c r="E17" s="49">
        <f>+E18</f>
        <v>0</v>
      </c>
      <c r="F17" s="49">
        <f>+F18</f>
        <v>0</v>
      </c>
      <c r="G17" s="49">
        <f>+G18</f>
        <v>0</v>
      </c>
      <c r="H17" s="51">
        <v>0</v>
      </c>
      <c r="I17" s="52">
        <f>+I18</f>
        <v>0</v>
      </c>
      <c r="J17" s="53">
        <v>0</v>
      </c>
      <c r="K17" s="52">
        <f>+K18</f>
        <v>0</v>
      </c>
      <c r="L17" s="53">
        <v>0</v>
      </c>
      <c r="M17" s="52">
        <f>+M18</f>
        <v>0</v>
      </c>
      <c r="N17" s="53">
        <v>0</v>
      </c>
      <c r="O17" s="52">
        <f>+O18</f>
        <v>0</v>
      </c>
      <c r="P17" s="53">
        <v>0</v>
      </c>
      <c r="Q17" s="35">
        <f t="shared" si="7"/>
        <v>0</v>
      </c>
      <c r="R17" s="36" t="e">
        <f t="shared" si="8"/>
        <v>#DIV/0!</v>
      </c>
      <c r="S17" s="52">
        <f>+S18</f>
        <v>0</v>
      </c>
      <c r="T17" s="53">
        <v>0</v>
      </c>
      <c r="U17" s="74">
        <f>+U18</f>
        <v>0</v>
      </c>
      <c r="V17" s="53">
        <v>0</v>
      </c>
      <c r="W17" s="74">
        <f>+W18</f>
        <v>0</v>
      </c>
      <c r="X17" s="53">
        <v>0</v>
      </c>
      <c r="Y17" s="75">
        <v>0</v>
      </c>
      <c r="Z17" s="53">
        <v>0</v>
      </c>
      <c r="AA17" s="74">
        <f>+AA18</f>
        <v>0</v>
      </c>
      <c r="AB17" s="53">
        <v>0</v>
      </c>
      <c r="AC17" s="54">
        <f>+AC18</f>
        <v>0</v>
      </c>
      <c r="AD17" s="53">
        <v>0</v>
      </c>
      <c r="AE17" s="54">
        <f>+AE18</f>
        <v>0</v>
      </c>
      <c r="AF17" s="53">
        <v>0</v>
      </c>
      <c r="AG17" s="54">
        <f>+AG18</f>
        <v>0</v>
      </c>
      <c r="AH17" s="53">
        <v>0</v>
      </c>
    </row>
    <row r="18" spans="1:181" x14ac:dyDescent="0.25">
      <c r="A18" s="60" t="s">
        <v>29</v>
      </c>
      <c r="B18" s="61" t="s">
        <v>30</v>
      </c>
      <c r="C18" s="62">
        <f>+'[1]GASTOS DIC 22 ENE-NOV 23'!O9</f>
        <v>0</v>
      </c>
      <c r="D18" s="62">
        <f t="shared" si="18"/>
        <v>0</v>
      </c>
      <c r="E18" s="62">
        <v>0</v>
      </c>
      <c r="F18" s="62">
        <v>0</v>
      </c>
      <c r="G18" s="63">
        <v>0</v>
      </c>
      <c r="H18" s="51">
        <v>0</v>
      </c>
      <c r="I18" s="65">
        <v>0</v>
      </c>
      <c r="J18" s="53">
        <v>0</v>
      </c>
      <c r="K18" s="65">
        <v>0</v>
      </c>
      <c r="L18" s="53">
        <v>0</v>
      </c>
      <c r="M18" s="76">
        <v>0</v>
      </c>
      <c r="N18" s="53">
        <v>0</v>
      </c>
      <c r="O18" s="76">
        <v>0</v>
      </c>
      <c r="P18" s="53">
        <v>0</v>
      </c>
      <c r="Q18" s="35">
        <f t="shared" si="7"/>
        <v>0</v>
      </c>
      <c r="R18" s="36" t="e">
        <f t="shared" si="8"/>
        <v>#DIV/0!</v>
      </c>
      <c r="S18" s="76">
        <v>0</v>
      </c>
      <c r="T18" s="53">
        <v>0</v>
      </c>
      <c r="U18" s="77">
        <v>0</v>
      </c>
      <c r="V18" s="53">
        <v>0</v>
      </c>
      <c r="W18" s="66">
        <v>0</v>
      </c>
      <c r="X18" s="53">
        <v>0</v>
      </c>
      <c r="Y18" s="66">
        <v>0</v>
      </c>
      <c r="Z18" s="53">
        <v>0</v>
      </c>
      <c r="AA18" s="66">
        <v>0</v>
      </c>
      <c r="AB18" s="53">
        <v>0</v>
      </c>
      <c r="AC18" s="73">
        <v>0</v>
      </c>
      <c r="AD18" s="53">
        <v>0</v>
      </c>
      <c r="AE18" s="73">
        <v>0</v>
      </c>
      <c r="AF18" s="53">
        <v>0</v>
      </c>
      <c r="AG18" s="73">
        <v>0</v>
      </c>
      <c r="AH18" s="53">
        <v>0</v>
      </c>
    </row>
    <row r="19" spans="1:181" s="58" customFormat="1" x14ac:dyDescent="0.25">
      <c r="A19" s="47" t="str">
        <f>+'[1]GASTOS DIC 22 ENE-NOV 23'!A10</f>
        <v>5101-05</v>
      </c>
      <c r="B19" s="48" t="str">
        <f>+'[1]GASTOS DIC 22 ENE-NOV 23'!B10</f>
        <v xml:space="preserve">      COSTO DE LICENCIAS</v>
      </c>
      <c r="C19" s="49">
        <f>SUM(C20:C47)</f>
        <v>208431.69</v>
      </c>
      <c r="D19" s="49">
        <f t="shared" si="14"/>
        <v>17369.307499999999</v>
      </c>
      <c r="E19" s="49">
        <f t="shared" si="13"/>
        <v>938238</v>
      </c>
      <c r="F19" s="49">
        <f>+SUM(F20:F47)</f>
        <v>78186.5</v>
      </c>
      <c r="G19" s="49">
        <f>+SUM(G20:G47)</f>
        <v>89598.59</v>
      </c>
      <c r="H19" s="51">
        <f t="shared" si="2"/>
        <v>0.14595985240418741</v>
      </c>
      <c r="I19" s="52">
        <f>+SUM(I20:I47)</f>
        <v>34571.219999999994</v>
      </c>
      <c r="J19" s="53">
        <f t="shared" si="3"/>
        <v>-0.5578364551425119</v>
      </c>
      <c r="K19" s="52">
        <f>+SUM(K20:K47)</f>
        <v>39701.56</v>
      </c>
      <c r="L19" s="53">
        <f t="shared" si="4"/>
        <v>-0.49221975660759854</v>
      </c>
      <c r="M19" s="52">
        <f>SUM(M20:M47)</f>
        <v>150073.66000000003</v>
      </c>
      <c r="N19" s="53">
        <f t="shared" si="5"/>
        <v>0.91943187123096748</v>
      </c>
      <c r="O19" s="52">
        <f>SUM(O20:O47)</f>
        <v>152373.93</v>
      </c>
      <c r="P19" s="53">
        <f t="shared" si="6"/>
        <v>0.94885216757368585</v>
      </c>
      <c r="Q19" s="35">
        <f t="shared" si="7"/>
        <v>466318.95999999996</v>
      </c>
      <c r="R19" s="36">
        <f t="shared" si="8"/>
        <v>0.49701563995489412</v>
      </c>
      <c r="S19" s="52">
        <f>SUM(S20:S47)</f>
        <v>226212.87</v>
      </c>
      <c r="T19" s="53">
        <f t="shared" si="9"/>
        <v>-405519.26241296623</v>
      </c>
      <c r="U19" s="54">
        <f>+SUM(U20:U47)</f>
        <v>236014.22999999998</v>
      </c>
      <c r="V19" s="53">
        <f t="shared" si="9"/>
        <v>-479490.55081896961</v>
      </c>
      <c r="W19" s="54">
        <f>+SUM(W20:W47)</f>
        <v>450553.12</v>
      </c>
      <c r="X19" s="53">
        <f t="shared" si="9"/>
        <v>490033.2636554286</v>
      </c>
      <c r="Y19" s="59">
        <f>SUM(Y20:Y47)</f>
        <v>14369.539999999999</v>
      </c>
      <c r="Z19" s="53">
        <f t="shared" si="9"/>
        <v>15143.129392405157</v>
      </c>
      <c r="AA19" s="54">
        <f>SUM(AA20:AA47)</f>
        <v>46033.950000000004</v>
      </c>
      <c r="AB19" s="53">
        <f t="shared" si="15"/>
        <v>92619.727195179905</v>
      </c>
      <c r="AC19" s="54">
        <f>SUM(AC20:AC47)</f>
        <v>9670.4100000000017</v>
      </c>
      <c r="AD19" s="53">
        <f t="shared" si="10"/>
        <v>-1.0238469806402242</v>
      </c>
      <c r="AE19" s="54">
        <f>SUM(AE20:AE47)</f>
        <v>7892.8400000000011</v>
      </c>
      <c r="AF19" s="53">
        <f t="shared" ref="AF19:AF58" si="19">(AE19/V19)-1</f>
        <v>-1.0164608874700847</v>
      </c>
      <c r="AG19" s="78">
        <f>SUM(AG20:AG47)</f>
        <v>108046.58</v>
      </c>
      <c r="AH19" s="53">
        <f t="shared" ref="AH19:AH23" si="20">(AG19/X19)-1</f>
        <v>-0.77951174335794893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</row>
    <row r="20" spans="1:181" x14ac:dyDescent="0.25">
      <c r="A20" s="60" t="str">
        <f>+'[1]GASTOS DIC 22 ENE-NOV 23'!A11</f>
        <v>5101-05-0001</v>
      </c>
      <c r="B20" s="61" t="str">
        <f>+'[1]GASTOS DIC 22 ENE-NOV 23'!B11</f>
        <v xml:space="preserve">        COSTO LICENCIA WHATAFORM</v>
      </c>
      <c r="C20" s="62">
        <v>845.64</v>
      </c>
      <c r="D20" s="62">
        <f t="shared" si="14"/>
        <v>70.47</v>
      </c>
      <c r="E20" s="62">
        <f t="shared" si="13"/>
        <v>8280</v>
      </c>
      <c r="F20" s="62">
        <v>690</v>
      </c>
      <c r="G20" s="63">
        <v>689.04</v>
      </c>
      <c r="H20" s="51">
        <f t="shared" si="2"/>
        <v>-1.3913043478261944E-3</v>
      </c>
      <c r="I20" s="65">
        <v>57.42</v>
      </c>
      <c r="J20" s="53">
        <f t="shared" si="3"/>
        <v>-0.9167826086956522</v>
      </c>
      <c r="K20" s="65">
        <v>1137.96</v>
      </c>
      <c r="L20" s="53">
        <f t="shared" si="4"/>
        <v>0.64921739130434797</v>
      </c>
      <c r="M20" s="76">
        <v>1137.96</v>
      </c>
      <c r="N20" s="53">
        <f t="shared" si="5"/>
        <v>0.64921739130434797</v>
      </c>
      <c r="O20" s="76">
        <v>1137.96</v>
      </c>
      <c r="P20" s="53">
        <f t="shared" si="6"/>
        <v>0.64921739130434797</v>
      </c>
      <c r="Q20" s="35">
        <f t="shared" si="7"/>
        <v>4160.34</v>
      </c>
      <c r="R20" s="36">
        <f t="shared" si="8"/>
        <v>0.50245652173913047</v>
      </c>
      <c r="S20" s="76">
        <v>1137.96</v>
      </c>
      <c r="T20" s="53">
        <f t="shared" si="9"/>
        <v>-1242.2539125486105</v>
      </c>
      <c r="U20" s="77">
        <v>2406.42</v>
      </c>
      <c r="V20" s="53">
        <f t="shared" si="9"/>
        <v>3705.6474685239746</v>
      </c>
      <c r="W20" s="66">
        <v>2406.42</v>
      </c>
      <c r="X20" s="53">
        <f t="shared" si="9"/>
        <v>3705.6474685239746</v>
      </c>
      <c r="Y20" s="72">
        <v>2829.24</v>
      </c>
      <c r="Z20" s="53">
        <f t="shared" si="9"/>
        <v>4356.923921778729</v>
      </c>
      <c r="AA20" s="66">
        <v>2829.24</v>
      </c>
      <c r="AB20" s="53">
        <f t="shared" si="15"/>
        <v>5629.8155583437883</v>
      </c>
      <c r="AC20" s="66">
        <v>2829.24</v>
      </c>
      <c r="AD20" s="53">
        <f t="shared" si="10"/>
        <v>-3.2775054048294567</v>
      </c>
      <c r="AE20" s="79">
        <v>0</v>
      </c>
      <c r="AF20" s="53">
        <f t="shared" si="19"/>
        <v>-1</v>
      </c>
      <c r="AG20" s="79">
        <v>8472.06</v>
      </c>
      <c r="AH20" s="53">
        <f t="shared" si="20"/>
        <v>1.2862563349488214</v>
      </c>
    </row>
    <row r="21" spans="1:181" x14ac:dyDescent="0.25">
      <c r="A21" s="60" t="str">
        <f>+'[1]GASTOS DIC 22 ENE-NOV 23'!A12</f>
        <v>5101-05-0004</v>
      </c>
      <c r="B21" s="61" t="str">
        <f>+'[1]GASTOS DIC 22 ENE-NOV 23'!B12</f>
        <v xml:space="preserve">        COSTO LICENCIA PLATAFORMA SILICE WS</v>
      </c>
      <c r="C21" s="62">
        <v>0</v>
      </c>
      <c r="D21" s="62">
        <f t="shared" si="14"/>
        <v>0</v>
      </c>
      <c r="E21" s="62">
        <f t="shared" si="13"/>
        <v>696000</v>
      </c>
      <c r="F21" s="62">
        <v>58000</v>
      </c>
      <c r="G21" s="63">
        <v>48936.6</v>
      </c>
      <c r="H21" s="51">
        <f t="shared" si="2"/>
        <v>-0.15626551724137938</v>
      </c>
      <c r="I21" s="65">
        <v>7217.1</v>
      </c>
      <c r="J21" s="53">
        <f t="shared" si="3"/>
        <v>-0.8755672413793103</v>
      </c>
      <c r="K21" s="65">
        <v>6101.4</v>
      </c>
      <c r="L21" s="53">
        <f t="shared" si="4"/>
        <v>-0.89480344827586211</v>
      </c>
      <c r="M21" s="65">
        <v>86060.47</v>
      </c>
      <c r="N21" s="53">
        <f t="shared" si="5"/>
        <v>0.48380120689655182</v>
      </c>
      <c r="O21" s="65">
        <v>113250.54</v>
      </c>
      <c r="P21" s="53">
        <f t="shared" si="6"/>
        <v>0.95259551724137914</v>
      </c>
      <c r="Q21" s="35">
        <f t="shared" si="7"/>
        <v>261566.11000000002</v>
      </c>
      <c r="R21" s="36">
        <f t="shared" si="8"/>
        <v>0.37581337643678164</v>
      </c>
      <c r="S21" s="65">
        <v>52644.26</v>
      </c>
      <c r="T21" s="53">
        <f t="shared" si="9"/>
        <v>-60126.890407991668</v>
      </c>
      <c r="U21" s="77">
        <v>0</v>
      </c>
      <c r="V21" s="53">
        <f t="shared" si="9"/>
        <v>-1</v>
      </c>
      <c r="W21" s="66">
        <v>0</v>
      </c>
      <c r="X21" s="53">
        <f t="shared" si="9"/>
        <v>-1</v>
      </c>
      <c r="Y21" s="66">
        <v>0</v>
      </c>
      <c r="Z21" s="53">
        <f t="shared" si="9"/>
        <v>-1</v>
      </c>
      <c r="AA21" s="66">
        <v>0</v>
      </c>
      <c r="AB21" s="53">
        <f t="shared" si="15"/>
        <v>-1</v>
      </c>
      <c r="AC21" s="66">
        <v>0</v>
      </c>
      <c r="AD21" s="53">
        <f t="shared" si="10"/>
        <v>-1</v>
      </c>
      <c r="AE21" s="66">
        <v>0</v>
      </c>
      <c r="AF21" s="53">
        <f t="shared" si="19"/>
        <v>-1</v>
      </c>
      <c r="AG21" s="66">
        <v>0</v>
      </c>
      <c r="AH21" s="53">
        <f t="shared" si="20"/>
        <v>-1</v>
      </c>
    </row>
    <row r="22" spans="1:181" x14ac:dyDescent="0.25">
      <c r="A22" s="60" t="str">
        <f>+'[1]GASTOS DIC 22 ENE-NOV 23'!A13</f>
        <v>5101-05-0005</v>
      </c>
      <c r="B22" s="61" t="str">
        <f>+'[1]GASTOS DIC 22 ENE-NOV 23'!B13</f>
        <v xml:space="preserve">        COSTO LICENCIA OVHCLOUD</v>
      </c>
      <c r="C22" s="62">
        <f>+'[1]GASTOS DIC 22 ENE-NOV 23'!O13</f>
        <v>827.32</v>
      </c>
      <c r="D22" s="62">
        <f t="shared" si="14"/>
        <v>68.943333333333342</v>
      </c>
      <c r="E22" s="62">
        <f t="shared" si="13"/>
        <v>540</v>
      </c>
      <c r="F22" s="62">
        <v>45</v>
      </c>
      <c r="G22" s="63">
        <v>273.74</v>
      </c>
      <c r="H22" s="51">
        <f t="shared" si="2"/>
        <v>5.0831111111111111</v>
      </c>
      <c r="I22" s="65">
        <v>3558.58</v>
      </c>
      <c r="J22" s="53">
        <f t="shared" si="3"/>
        <v>78.079555555555558</v>
      </c>
      <c r="K22" s="65">
        <v>273.74</v>
      </c>
      <c r="L22" s="53">
        <f t="shared" si="4"/>
        <v>5.0831111111111111</v>
      </c>
      <c r="M22" s="65">
        <v>273.74</v>
      </c>
      <c r="N22" s="53">
        <f t="shared" si="5"/>
        <v>5.0831111111111111</v>
      </c>
      <c r="O22" s="65">
        <v>273.74</v>
      </c>
      <c r="P22" s="53">
        <f t="shared" si="6"/>
        <v>5.0831111111111111</v>
      </c>
      <c r="Q22" s="35">
        <f t="shared" si="7"/>
        <v>4653.54</v>
      </c>
      <c r="R22" s="36">
        <f t="shared" si="8"/>
        <v>8.6176666666666666</v>
      </c>
      <c r="S22" s="65">
        <v>273.74</v>
      </c>
      <c r="T22" s="53">
        <f t="shared" si="9"/>
        <v>2.5059113496775369</v>
      </c>
      <c r="U22" s="77">
        <v>273.74</v>
      </c>
      <c r="V22" s="53">
        <f t="shared" si="9"/>
        <v>52.852846026055786</v>
      </c>
      <c r="W22" s="66">
        <v>273.74</v>
      </c>
      <c r="X22" s="53">
        <f t="shared" si="9"/>
        <v>52.852846026055786</v>
      </c>
      <c r="Y22" s="66">
        <v>273.74</v>
      </c>
      <c r="Z22" s="53">
        <f t="shared" si="9"/>
        <v>52.852846026055786</v>
      </c>
      <c r="AA22" s="66">
        <v>273.7</v>
      </c>
      <c r="AB22" s="53">
        <f t="shared" si="15"/>
        <v>30.760337291610256</v>
      </c>
      <c r="AC22" s="66">
        <v>0</v>
      </c>
      <c r="AD22" s="53">
        <f t="shared" si="10"/>
        <v>-1</v>
      </c>
      <c r="AE22" s="66">
        <v>3284.84</v>
      </c>
      <c r="AF22" s="53">
        <f t="shared" si="19"/>
        <v>61.150673936851298</v>
      </c>
      <c r="AG22" s="66">
        <v>0</v>
      </c>
      <c r="AH22" s="53">
        <f t="shared" si="20"/>
        <v>-1</v>
      </c>
    </row>
    <row r="23" spans="1:181" x14ac:dyDescent="0.25">
      <c r="A23" s="60" t="str">
        <f>+'[1]GASTOS DIC 22 ENE-NOV 23'!A14</f>
        <v>5101-05-0008</v>
      </c>
      <c r="B23" s="61" t="str">
        <f>+'[1]GASTOS DIC 22 ENE-NOV 23'!B14</f>
        <v xml:space="preserve">        COSTO LICENCIA FLASHSTAR</v>
      </c>
      <c r="C23" s="62">
        <f>+'[1]GASTOS DIC 22 ENE-NOV 23'!O14</f>
        <v>2106</v>
      </c>
      <c r="D23" s="62">
        <f t="shared" si="14"/>
        <v>175.5</v>
      </c>
      <c r="E23" s="62">
        <f t="shared" si="13"/>
        <v>1320</v>
      </c>
      <c r="F23" s="62">
        <v>110</v>
      </c>
      <c r="G23" s="63">
        <v>436.4</v>
      </c>
      <c r="H23" s="51">
        <f t="shared" si="2"/>
        <v>2.9672727272727273</v>
      </c>
      <c r="I23" s="65">
        <v>436.4</v>
      </c>
      <c r="J23" s="53">
        <f t="shared" si="3"/>
        <v>2.9672727272727273</v>
      </c>
      <c r="K23" s="65">
        <v>436.4</v>
      </c>
      <c r="L23" s="53">
        <f t="shared" si="4"/>
        <v>2.9672727272727273</v>
      </c>
      <c r="M23" s="65">
        <v>436.4</v>
      </c>
      <c r="N23" s="53">
        <f t="shared" si="5"/>
        <v>2.9672727272727273</v>
      </c>
      <c r="O23" s="65">
        <v>436.4</v>
      </c>
      <c r="P23" s="53">
        <f t="shared" si="6"/>
        <v>2.9672727272727273</v>
      </c>
      <c r="Q23" s="35">
        <f t="shared" si="7"/>
        <v>2182</v>
      </c>
      <c r="R23" s="36">
        <f t="shared" si="8"/>
        <v>1.6530303030303031</v>
      </c>
      <c r="S23" s="65">
        <v>436.4</v>
      </c>
      <c r="T23" s="53">
        <f t="shared" si="9"/>
        <v>146.07107843137254</v>
      </c>
      <c r="U23" s="77">
        <v>436.4</v>
      </c>
      <c r="V23" s="53">
        <f t="shared" si="9"/>
        <v>146.07107843137254</v>
      </c>
      <c r="W23" s="66">
        <v>436.4</v>
      </c>
      <c r="X23" s="53">
        <f t="shared" si="9"/>
        <v>146.07107843137254</v>
      </c>
      <c r="Y23" s="66">
        <v>436.35</v>
      </c>
      <c r="Z23" s="53">
        <f t="shared" si="9"/>
        <v>146.05422794117646</v>
      </c>
      <c r="AA23" s="66">
        <v>218.15</v>
      </c>
      <c r="AB23" s="53">
        <f t="shared" si="15"/>
        <v>130.96975252062327</v>
      </c>
      <c r="AC23" s="66">
        <v>0</v>
      </c>
      <c r="AD23" s="53">
        <f t="shared" si="10"/>
        <v>-1</v>
      </c>
      <c r="AE23" s="66">
        <v>0</v>
      </c>
      <c r="AF23" s="53">
        <f t="shared" si="19"/>
        <v>-1</v>
      </c>
      <c r="AG23" s="66">
        <v>0</v>
      </c>
      <c r="AH23" s="53">
        <f t="shared" si="20"/>
        <v>-1</v>
      </c>
    </row>
    <row r="24" spans="1:181" x14ac:dyDescent="0.25">
      <c r="A24" t="s">
        <v>31</v>
      </c>
      <c r="B24" t="s">
        <v>32</v>
      </c>
      <c r="C24" s="62">
        <v>0</v>
      </c>
      <c r="D24" s="62">
        <v>0</v>
      </c>
      <c r="E24" s="62">
        <f>+F24*12</f>
        <v>3960</v>
      </c>
      <c r="F24" s="62">
        <v>330</v>
      </c>
      <c r="G24" s="63">
        <v>410.64</v>
      </c>
      <c r="H24" s="51">
        <f t="shared" si="2"/>
        <v>0.24436363636363634</v>
      </c>
      <c r="I24" s="65">
        <v>2874.48</v>
      </c>
      <c r="J24" s="53">
        <f t="shared" si="3"/>
        <v>7.7105454545454553</v>
      </c>
      <c r="K24" s="65">
        <v>410.64</v>
      </c>
      <c r="L24" s="53">
        <f t="shared" si="4"/>
        <v>0.24436363636363634</v>
      </c>
      <c r="M24" s="65">
        <v>410.64</v>
      </c>
      <c r="N24" s="53">
        <f t="shared" si="5"/>
        <v>0.24436363636363634</v>
      </c>
      <c r="O24" s="65">
        <v>410.64</v>
      </c>
      <c r="P24" s="53">
        <f t="shared" si="6"/>
        <v>0.24436363636363634</v>
      </c>
      <c r="Q24" s="35">
        <f t="shared" si="7"/>
        <v>4517.04</v>
      </c>
      <c r="R24" s="36">
        <f t="shared" si="8"/>
        <v>1.1406666666666667</v>
      </c>
      <c r="S24" s="65">
        <v>410.64</v>
      </c>
      <c r="T24" s="53">
        <f t="shared" si="9"/>
        <v>52.256932654216179</v>
      </c>
      <c r="U24" s="77">
        <v>410.64</v>
      </c>
      <c r="V24" s="53">
        <f t="shared" si="9"/>
        <v>1679.4464285714287</v>
      </c>
      <c r="W24" s="66">
        <v>410.64</v>
      </c>
      <c r="X24" s="53">
        <f t="shared" si="9"/>
        <v>1679.4464285714287</v>
      </c>
      <c r="Y24" s="66">
        <v>410.64</v>
      </c>
      <c r="Z24" s="53">
        <f t="shared" si="9"/>
        <v>1679.4464285714287</v>
      </c>
      <c r="AA24" s="66">
        <v>27219.1</v>
      </c>
      <c r="AB24" s="53">
        <f t="shared" si="15"/>
        <v>23861.448860315602</v>
      </c>
      <c r="AC24" s="79">
        <v>410.64</v>
      </c>
      <c r="AD24" s="53">
        <f t="shared" si="10"/>
        <v>6.8580961251055914</v>
      </c>
      <c r="AE24" s="66">
        <v>0</v>
      </c>
      <c r="AF24" s="53">
        <f>(AC24/V24)-1</f>
        <v>-0.75549086114684905</v>
      </c>
      <c r="AG24" s="66">
        <v>0</v>
      </c>
      <c r="AH24" s="53">
        <f>(AE24/X24)-1</f>
        <v>-1</v>
      </c>
    </row>
    <row r="25" spans="1:181" x14ac:dyDescent="0.25">
      <c r="A25" s="60" t="str">
        <f>+'[1]GASTOS DIC 22 ENE-NOV 23'!A15</f>
        <v>5101-05-0010</v>
      </c>
      <c r="B25" s="61" t="str">
        <f>+'[1]GASTOS DIC 22 ENE-NOV 23'!B15</f>
        <v xml:space="preserve">        COSTO LICENCIA CLOUD4WI</v>
      </c>
      <c r="C25" s="62">
        <f>+'[1]GASTOS DIC 22 ENE-NOV 23'!O15</f>
        <v>63834.390000000007</v>
      </c>
      <c r="D25" s="62">
        <f t="shared" si="14"/>
        <v>5319.5325000000003</v>
      </c>
      <c r="E25" s="62">
        <f t="shared" si="13"/>
        <v>64800</v>
      </c>
      <c r="F25" s="62">
        <v>5400</v>
      </c>
      <c r="G25" s="63">
        <v>6187</v>
      </c>
      <c r="H25" s="51">
        <f t="shared" si="2"/>
        <v>0.14574074074074073</v>
      </c>
      <c r="I25" s="65">
        <v>6186.94</v>
      </c>
      <c r="J25" s="53">
        <f t="shared" si="3"/>
        <v>0.14572962962962954</v>
      </c>
      <c r="K25" s="65">
        <v>4582.1000000000004</v>
      </c>
      <c r="L25" s="53">
        <f t="shared" si="4"/>
        <v>-0.15146296296296291</v>
      </c>
      <c r="M25" s="65">
        <v>2438.42</v>
      </c>
      <c r="N25" s="53">
        <f t="shared" si="5"/>
        <v>-0.54844074074074078</v>
      </c>
      <c r="O25" s="65">
        <v>4582.1000000000004</v>
      </c>
      <c r="P25" s="53">
        <f t="shared" si="6"/>
        <v>-0.15146296296296291</v>
      </c>
      <c r="Q25" s="35">
        <f t="shared" si="7"/>
        <v>23976.560000000001</v>
      </c>
      <c r="R25" s="36">
        <f t="shared" si="8"/>
        <v>0.37000864197530864</v>
      </c>
      <c r="S25" s="65">
        <v>4582.1000000000004</v>
      </c>
      <c r="T25" s="53">
        <f t="shared" si="9"/>
        <v>31441.473377894145</v>
      </c>
      <c r="U25" s="77">
        <v>4582.1000000000004</v>
      </c>
      <c r="V25" s="53">
        <f t="shared" si="9"/>
        <v>-30253.280229856962</v>
      </c>
      <c r="W25" s="66">
        <v>4582.1000000000004</v>
      </c>
      <c r="X25" s="53">
        <f t="shared" si="9"/>
        <v>-8355.7768420910452</v>
      </c>
      <c r="Y25" s="66">
        <v>4582.1000000000004</v>
      </c>
      <c r="Z25" s="53">
        <f t="shared" si="9"/>
        <v>-30253.280229856962</v>
      </c>
      <c r="AA25" s="66">
        <v>4582.1000000000004</v>
      </c>
      <c r="AB25" s="53">
        <f t="shared" si="15"/>
        <v>12382.764810298058</v>
      </c>
      <c r="AC25" s="79">
        <v>4582.1000000000004</v>
      </c>
      <c r="AD25" s="53">
        <f t="shared" si="10"/>
        <v>-0.85426573542124207</v>
      </c>
      <c r="AE25" s="66">
        <v>0</v>
      </c>
      <c r="AF25" s="53">
        <f>(AC25/V25)-1</f>
        <v>-1.1514579564657563</v>
      </c>
      <c r="AG25" s="66">
        <v>4582.1000000000004</v>
      </c>
      <c r="AH25" s="53">
        <f>(AE25/X25)-1</f>
        <v>-1</v>
      </c>
    </row>
    <row r="26" spans="1:181" x14ac:dyDescent="0.25">
      <c r="A26" s="60" t="str">
        <f>+'[1]GASTOS DIC 22 ENE-NOV 23'!A16</f>
        <v>5101-05-0011</v>
      </c>
      <c r="B26" s="61" t="str">
        <f>+'[1]GASTOS DIC 22 ENE-NOV 23'!B16</f>
        <v xml:space="preserve">        COSTO LICENCIA BLUEHOST</v>
      </c>
      <c r="C26" s="62">
        <f>+'[1]GASTOS DIC 22 ENE-NOV 23'!O16</f>
        <v>2008.0300000000002</v>
      </c>
      <c r="D26" s="62">
        <f t="shared" si="14"/>
        <v>167.33583333333334</v>
      </c>
      <c r="E26" s="62">
        <f t="shared" si="13"/>
        <v>600</v>
      </c>
      <c r="F26" s="62">
        <v>50</v>
      </c>
      <c r="G26" s="63">
        <v>352.94</v>
      </c>
      <c r="H26" s="51">
        <f t="shared" si="2"/>
        <v>6.0587999999999997</v>
      </c>
      <c r="I26" s="65">
        <v>352.94</v>
      </c>
      <c r="J26" s="53">
        <f t="shared" si="3"/>
        <v>6.0587999999999997</v>
      </c>
      <c r="K26" s="65">
        <v>352.94</v>
      </c>
      <c r="L26" s="53">
        <f t="shared" si="4"/>
        <v>6.0587999999999997</v>
      </c>
      <c r="M26" s="65">
        <v>267.38</v>
      </c>
      <c r="N26" s="53">
        <f t="shared" si="5"/>
        <v>4.3475999999999999</v>
      </c>
      <c r="O26" s="65">
        <v>267.38</v>
      </c>
      <c r="P26" s="53">
        <f t="shared" si="6"/>
        <v>4.3475999999999999</v>
      </c>
      <c r="Q26" s="35">
        <f t="shared" si="7"/>
        <v>1593.5800000000002</v>
      </c>
      <c r="R26" s="36">
        <f t="shared" si="8"/>
        <v>2.655966666666667</v>
      </c>
      <c r="S26" s="65">
        <v>267.38</v>
      </c>
      <c r="T26" s="53">
        <f t="shared" si="9"/>
        <v>43.130850993596091</v>
      </c>
      <c r="U26" s="77">
        <v>267.38</v>
      </c>
      <c r="V26" s="53">
        <f t="shared" si="9"/>
        <v>43.130850993596091</v>
      </c>
      <c r="W26" s="66">
        <v>267.38</v>
      </c>
      <c r="X26" s="53">
        <f t="shared" si="9"/>
        <v>60.500598031097617</v>
      </c>
      <c r="Y26" s="66">
        <v>267.38</v>
      </c>
      <c r="Z26" s="53">
        <f t="shared" si="9"/>
        <v>60.500598031097617</v>
      </c>
      <c r="AA26" s="66">
        <v>267.38</v>
      </c>
      <c r="AB26" s="53">
        <f t="shared" si="15"/>
        <v>99.671444169731032</v>
      </c>
      <c r="AC26" s="79">
        <v>267.38</v>
      </c>
      <c r="AD26" s="53">
        <f t="shared" si="10"/>
        <v>5.199274854087613</v>
      </c>
      <c r="AE26" s="66">
        <v>0</v>
      </c>
      <c r="AF26" s="53">
        <f>(AC26/V26)-1</f>
        <v>5.199274854087613</v>
      </c>
      <c r="AG26" s="66">
        <v>81.34</v>
      </c>
      <c r="AH26" s="53">
        <f>(AE26/X26)-1</f>
        <v>-1</v>
      </c>
    </row>
    <row r="27" spans="1:181" x14ac:dyDescent="0.25">
      <c r="A27" s="60" t="str">
        <f>+'[1]GASTOS DIC 22 ENE-NOV 23'!A17</f>
        <v>5101-05-0012</v>
      </c>
      <c r="B27" s="61" t="str">
        <f>+'[1]GASTOS DIC 22 ENE-NOV 23'!B17</f>
        <v xml:space="preserve">        COSTO LICENCIA BITWORKS</v>
      </c>
      <c r="C27" s="62">
        <f>+'[1]GASTOS DIC 22 ENE-NOV 23'!O17</f>
        <v>34440.67</v>
      </c>
      <c r="D27" s="62">
        <f t="shared" si="14"/>
        <v>2870.0558333333333</v>
      </c>
      <c r="E27" s="62">
        <f t="shared" si="13"/>
        <v>24000</v>
      </c>
      <c r="F27" s="62">
        <v>2000</v>
      </c>
      <c r="G27" s="63">
        <v>17233.59</v>
      </c>
      <c r="H27" s="51">
        <f t="shared" si="2"/>
        <v>7.6167949999999998</v>
      </c>
      <c r="I27" s="64">
        <v>6192.73</v>
      </c>
      <c r="J27" s="53">
        <f t="shared" si="3"/>
        <v>2.0963649999999996</v>
      </c>
      <c r="K27" s="64">
        <v>6370.14</v>
      </c>
      <c r="L27" s="53">
        <f t="shared" si="4"/>
        <v>2.1850700000000001</v>
      </c>
      <c r="M27" s="65">
        <v>8113.41</v>
      </c>
      <c r="N27" s="53">
        <f t="shared" si="5"/>
        <v>3.056705</v>
      </c>
      <c r="O27" s="65">
        <v>0</v>
      </c>
      <c r="P27" s="53">
        <f t="shared" si="6"/>
        <v>-1</v>
      </c>
      <c r="Q27" s="35">
        <f t="shared" si="7"/>
        <v>37909.869999999995</v>
      </c>
      <c r="R27" s="36">
        <f t="shared" si="8"/>
        <v>1.5795779166666666</v>
      </c>
      <c r="S27" s="65">
        <v>2784</v>
      </c>
      <c r="T27" s="53">
        <f t="shared" si="9"/>
        <v>1327.0130130010759</v>
      </c>
      <c r="U27" s="80">
        <v>12353.51</v>
      </c>
      <c r="V27" s="53">
        <f t="shared" si="9"/>
        <v>5652.5991981950237</v>
      </c>
      <c r="W27" s="66">
        <v>4849.87</v>
      </c>
      <c r="X27" s="53">
        <f t="shared" si="9"/>
        <v>1585.633319211373</v>
      </c>
      <c r="Y27" s="72">
        <v>4852.8599999999997</v>
      </c>
      <c r="Z27" s="53">
        <f t="shared" si="9"/>
        <v>-4853.8599999999997</v>
      </c>
      <c r="AA27" s="66">
        <v>0</v>
      </c>
      <c r="AB27" s="53">
        <f t="shared" si="15"/>
        <v>-1</v>
      </c>
      <c r="AC27" s="66">
        <v>0</v>
      </c>
      <c r="AD27" s="53">
        <f t="shared" si="10"/>
        <v>-1</v>
      </c>
      <c r="AE27" s="66">
        <v>0</v>
      </c>
      <c r="AF27" s="53">
        <f t="shared" si="19"/>
        <v>-1</v>
      </c>
      <c r="AG27" s="66">
        <v>0</v>
      </c>
      <c r="AH27" s="53">
        <f t="shared" ref="AH27:AH51" si="21">(AG27/X27)-1</f>
        <v>-1</v>
      </c>
    </row>
    <row r="28" spans="1:181" x14ac:dyDescent="0.25">
      <c r="A28" s="60" t="str">
        <f>+'[1]GASTOS DIC 22 ENE-NOV 23'!A18</f>
        <v>5101-05-0013</v>
      </c>
      <c r="B28" s="61" t="str">
        <f>+'[1]GASTOS DIC 22 ENE-NOV 23'!B18</f>
        <v xml:space="preserve">        COSTO LICENCIA BEACONTAC</v>
      </c>
      <c r="C28" s="62">
        <f>+'[1]GASTOS DIC 22 ENE-NOV 23'!O18</f>
        <v>4092.48</v>
      </c>
      <c r="D28" s="62">
        <f t="shared" si="14"/>
        <v>341.04</v>
      </c>
      <c r="E28" s="62">
        <f t="shared" si="13"/>
        <v>4320</v>
      </c>
      <c r="F28" s="62">
        <v>360</v>
      </c>
      <c r="G28" s="63">
        <v>341.04</v>
      </c>
      <c r="H28" s="51">
        <f t="shared" si="2"/>
        <v>-5.2666666666666639E-2</v>
      </c>
      <c r="I28" s="64">
        <v>4092.48</v>
      </c>
      <c r="J28" s="53">
        <f t="shared" si="3"/>
        <v>10.368</v>
      </c>
      <c r="K28" s="64">
        <v>0</v>
      </c>
      <c r="L28" s="53">
        <f t="shared" si="4"/>
        <v>-1</v>
      </c>
      <c r="M28" s="64">
        <v>0</v>
      </c>
      <c r="N28" s="53">
        <f t="shared" si="5"/>
        <v>-1</v>
      </c>
      <c r="O28" s="65">
        <v>0</v>
      </c>
      <c r="P28" s="53">
        <f t="shared" si="6"/>
        <v>-1</v>
      </c>
      <c r="Q28" s="35">
        <f t="shared" si="7"/>
        <v>4433.5200000000004</v>
      </c>
      <c r="R28" s="36">
        <f t="shared" si="8"/>
        <v>1.0262777777777778</v>
      </c>
      <c r="S28" s="65">
        <v>0</v>
      </c>
      <c r="T28" s="53">
        <f t="shared" si="9"/>
        <v>-1</v>
      </c>
      <c r="U28" s="77">
        <v>0</v>
      </c>
      <c r="V28" s="53">
        <f t="shared" si="9"/>
        <v>-1</v>
      </c>
      <c r="W28" s="66">
        <v>0</v>
      </c>
      <c r="X28" s="53">
        <f t="shared" si="9"/>
        <v>-1</v>
      </c>
      <c r="Y28" s="66">
        <v>0</v>
      </c>
      <c r="Z28" s="53">
        <f t="shared" si="9"/>
        <v>-1</v>
      </c>
      <c r="AA28" s="66">
        <v>0</v>
      </c>
      <c r="AB28" s="53">
        <f t="shared" si="15"/>
        <v>-1</v>
      </c>
      <c r="AC28" s="66">
        <v>0</v>
      </c>
      <c r="AD28" s="53">
        <f t="shared" si="10"/>
        <v>-1</v>
      </c>
      <c r="AE28" s="66">
        <v>0</v>
      </c>
      <c r="AF28" s="53">
        <f t="shared" si="19"/>
        <v>-1</v>
      </c>
      <c r="AG28" s="66">
        <v>0</v>
      </c>
      <c r="AH28" s="53">
        <f t="shared" si="21"/>
        <v>-1</v>
      </c>
    </row>
    <row r="29" spans="1:181" x14ac:dyDescent="0.25">
      <c r="A29" s="60" t="str">
        <f>+'[1]GASTOS DIC 22 ENE-NOV 23'!A19</f>
        <v>5101-05-0014</v>
      </c>
      <c r="B29" s="61" t="str">
        <f>+'[1]GASTOS DIC 22 ENE-NOV 23'!B19</f>
        <v xml:space="preserve">        COSTO LICENCIA VMS CAMARAS</v>
      </c>
      <c r="C29" s="62">
        <f>+'[1]GASTOS DIC 22 ENE-NOV 23'!O19</f>
        <v>5025.119999999999</v>
      </c>
      <c r="D29" s="62">
        <f t="shared" si="14"/>
        <v>418.75999999999993</v>
      </c>
      <c r="E29" s="62">
        <f t="shared" si="13"/>
        <v>3000</v>
      </c>
      <c r="F29" s="62">
        <v>250</v>
      </c>
      <c r="G29" s="63">
        <v>445.44</v>
      </c>
      <c r="H29" s="51">
        <f t="shared" si="2"/>
        <v>0.78176000000000001</v>
      </c>
      <c r="I29" s="65">
        <v>445.44</v>
      </c>
      <c r="J29" s="53">
        <f t="shared" si="3"/>
        <v>0.78176000000000001</v>
      </c>
      <c r="K29" s="65">
        <v>445.44</v>
      </c>
      <c r="L29" s="53">
        <f t="shared" si="4"/>
        <v>0.78176000000000001</v>
      </c>
      <c r="M29" s="65">
        <v>285.36</v>
      </c>
      <c r="N29" s="53">
        <f t="shared" si="5"/>
        <v>0.14144000000000001</v>
      </c>
      <c r="O29" s="65">
        <v>285.36</v>
      </c>
      <c r="P29" s="53">
        <f t="shared" si="6"/>
        <v>0.14144000000000001</v>
      </c>
      <c r="Q29" s="35">
        <f t="shared" si="7"/>
        <v>1907.0400000000002</v>
      </c>
      <c r="R29" s="36">
        <f t="shared" si="8"/>
        <v>0.63568000000000002</v>
      </c>
      <c r="S29" s="65">
        <v>285.36</v>
      </c>
      <c r="T29" s="53">
        <f t="shared" si="9"/>
        <v>364.02251330331563</v>
      </c>
      <c r="U29" s="77">
        <v>0</v>
      </c>
      <c r="V29" s="53">
        <f t="shared" si="9"/>
        <v>-1</v>
      </c>
      <c r="W29" s="66">
        <v>0</v>
      </c>
      <c r="X29" s="53">
        <f t="shared" si="9"/>
        <v>-1</v>
      </c>
      <c r="Y29" s="66">
        <v>0</v>
      </c>
      <c r="Z29" s="53">
        <f t="shared" si="9"/>
        <v>-1</v>
      </c>
      <c r="AA29" s="66">
        <v>0</v>
      </c>
      <c r="AB29" s="53">
        <f t="shared" si="15"/>
        <v>-1</v>
      </c>
      <c r="AC29" s="66">
        <v>0</v>
      </c>
      <c r="AD29" s="53">
        <f t="shared" si="10"/>
        <v>-1</v>
      </c>
      <c r="AE29" s="66">
        <v>0</v>
      </c>
      <c r="AF29" s="53">
        <f t="shared" si="19"/>
        <v>-1</v>
      </c>
      <c r="AG29" s="66">
        <v>0</v>
      </c>
      <c r="AH29" s="53">
        <f t="shared" si="21"/>
        <v>-1</v>
      </c>
    </row>
    <row r="30" spans="1:181" x14ac:dyDescent="0.25">
      <c r="A30" s="60" t="str">
        <f>+'[1]GASTOS DIC 22 ENE-NOV 23'!A20</f>
        <v>5101-05-0015</v>
      </c>
      <c r="B30" s="61" t="str">
        <f>+'[1]GASTOS DIC 22 ENE-NOV 23'!B20</f>
        <v xml:space="preserve">        COSTO LICENCIA FRESHWORKS</v>
      </c>
      <c r="C30" s="62">
        <f>+'[1]GASTOS DIC 22 ENE-NOV 23'!O20</f>
        <v>3683.24</v>
      </c>
      <c r="D30" s="62">
        <f t="shared" si="14"/>
        <v>306.93666666666667</v>
      </c>
      <c r="E30" s="62">
        <f t="shared" si="13"/>
        <v>3480</v>
      </c>
      <c r="F30" s="62">
        <v>290</v>
      </c>
      <c r="G30" s="63">
        <v>920.81</v>
      </c>
      <c r="H30" s="51">
        <f t="shared" si="2"/>
        <v>2.1752068965517242</v>
      </c>
      <c r="I30" s="65">
        <v>920.81</v>
      </c>
      <c r="J30" s="53">
        <f t="shared" si="3"/>
        <v>2.1752068965517242</v>
      </c>
      <c r="K30" s="65">
        <v>920.81</v>
      </c>
      <c r="L30" s="53">
        <f t="shared" si="4"/>
        <v>2.1752068965517242</v>
      </c>
      <c r="M30" s="65">
        <v>920.81</v>
      </c>
      <c r="N30" s="53">
        <f t="shared" si="5"/>
        <v>2.1752068965517242</v>
      </c>
      <c r="O30" s="65">
        <v>920.81</v>
      </c>
      <c r="P30" s="53">
        <f t="shared" si="6"/>
        <v>2.1752068965517242</v>
      </c>
      <c r="Q30" s="35">
        <f t="shared" si="7"/>
        <v>4604.0499999999993</v>
      </c>
      <c r="R30" s="36">
        <f t="shared" si="8"/>
        <v>1.3230028735632182</v>
      </c>
      <c r="S30" s="65">
        <v>920.81</v>
      </c>
      <c r="T30" s="53">
        <f t="shared" si="9"/>
        <v>422.32065122620122</v>
      </c>
      <c r="U30" s="77">
        <v>920.81</v>
      </c>
      <c r="V30" s="53">
        <f t="shared" si="9"/>
        <v>422.32065122620122</v>
      </c>
      <c r="W30" s="66">
        <v>920.79</v>
      </c>
      <c r="X30" s="53">
        <f t="shared" si="9"/>
        <v>422.31145669853044</v>
      </c>
      <c r="Y30" s="66">
        <v>0</v>
      </c>
      <c r="Z30" s="53">
        <f t="shared" si="9"/>
        <v>-1</v>
      </c>
      <c r="AA30" s="66">
        <v>0</v>
      </c>
      <c r="AB30" s="53">
        <f t="shared" si="15"/>
        <v>-1</v>
      </c>
      <c r="AC30" s="66">
        <v>0</v>
      </c>
      <c r="AD30" s="53">
        <f t="shared" si="10"/>
        <v>-1</v>
      </c>
      <c r="AE30" s="66">
        <v>0</v>
      </c>
      <c r="AF30" s="53">
        <f t="shared" si="19"/>
        <v>-1</v>
      </c>
      <c r="AG30" s="66">
        <v>0</v>
      </c>
      <c r="AH30" s="53">
        <f t="shared" si="21"/>
        <v>-1</v>
      </c>
    </row>
    <row r="31" spans="1:181" x14ac:dyDescent="0.25">
      <c r="A31" s="60" t="str">
        <f>+'[1]GASTOS DIC 22 ENE-NOV 23'!A21</f>
        <v>5101-05-0016</v>
      </c>
      <c r="B31" s="61" t="str">
        <f>+'[1]GASTOS DIC 22 ENE-NOV 23'!B21</f>
        <v xml:space="preserve">        COSTO LICENCIA NAMECHEAP SSL</v>
      </c>
      <c r="C31" s="69">
        <f>+'[1]GASTOS DIC 22 ENE-NOV 23'!O21</f>
        <v>208.59</v>
      </c>
      <c r="D31" s="69">
        <f t="shared" si="14"/>
        <v>17.3825</v>
      </c>
      <c r="E31" s="69">
        <f t="shared" si="13"/>
        <v>180</v>
      </c>
      <c r="F31" s="69">
        <v>15</v>
      </c>
      <c r="G31" s="81">
        <v>0</v>
      </c>
      <c r="H31" s="51">
        <f t="shared" si="2"/>
        <v>-1</v>
      </c>
      <c r="I31" s="64">
        <v>0</v>
      </c>
      <c r="J31" s="53">
        <f t="shared" si="3"/>
        <v>-1</v>
      </c>
      <c r="K31" s="64">
        <v>0</v>
      </c>
      <c r="L31" s="53">
        <f t="shared" si="4"/>
        <v>-1</v>
      </c>
      <c r="M31" s="64">
        <v>0</v>
      </c>
      <c r="N31" s="53">
        <f t="shared" si="5"/>
        <v>-1</v>
      </c>
      <c r="O31" s="65">
        <v>0</v>
      </c>
      <c r="P31" s="53">
        <f t="shared" si="6"/>
        <v>-1</v>
      </c>
      <c r="Q31" s="35">
        <f t="shared" si="7"/>
        <v>0</v>
      </c>
      <c r="R31" s="36">
        <f t="shared" si="8"/>
        <v>0</v>
      </c>
      <c r="S31" s="65">
        <v>0</v>
      </c>
      <c r="T31" s="53">
        <f t="shared" si="9"/>
        <v>-1</v>
      </c>
      <c r="U31" s="77">
        <v>0</v>
      </c>
      <c r="V31" s="53">
        <f t="shared" si="9"/>
        <v>-1</v>
      </c>
      <c r="W31" s="66">
        <v>0</v>
      </c>
      <c r="X31" s="53">
        <f t="shared" si="9"/>
        <v>-1</v>
      </c>
      <c r="Y31" s="66">
        <v>0</v>
      </c>
      <c r="Z31" s="53">
        <f t="shared" si="9"/>
        <v>-1</v>
      </c>
      <c r="AA31" s="66">
        <v>0</v>
      </c>
      <c r="AB31" s="53" t="e">
        <f t="shared" si="15"/>
        <v>#DIV/0!</v>
      </c>
      <c r="AC31" s="66">
        <v>0</v>
      </c>
      <c r="AD31" s="53">
        <f t="shared" si="10"/>
        <v>-1</v>
      </c>
      <c r="AE31" s="66">
        <v>0</v>
      </c>
      <c r="AF31" s="53">
        <f t="shared" si="19"/>
        <v>-1</v>
      </c>
      <c r="AG31" s="66">
        <v>0</v>
      </c>
      <c r="AH31" s="53">
        <f t="shared" si="21"/>
        <v>-1</v>
      </c>
    </row>
    <row r="32" spans="1:181" x14ac:dyDescent="0.25">
      <c r="A32" s="60" t="str">
        <f>+'[1]GASTOS DIC 22 ENE-NOV 23'!A22</f>
        <v>5101-05-0017</v>
      </c>
      <c r="B32" s="61" t="str">
        <f>+'[1]GASTOS DIC 22 ENE-NOV 23'!B22</f>
        <v xml:space="preserve">        COSTO LICENCIA WHATSAPP</v>
      </c>
      <c r="C32" s="69">
        <f>+'[1]GASTOS DIC 22 ENE-NOV 23'!O22</f>
        <v>5220</v>
      </c>
      <c r="D32" s="69">
        <f t="shared" si="14"/>
        <v>435</v>
      </c>
      <c r="E32" s="69">
        <f t="shared" si="13"/>
        <v>6</v>
      </c>
      <c r="F32" s="69">
        <v>0.5</v>
      </c>
      <c r="G32" s="81">
        <v>0</v>
      </c>
      <c r="H32" s="51">
        <f t="shared" si="2"/>
        <v>-1</v>
      </c>
      <c r="I32" s="64">
        <v>0</v>
      </c>
      <c r="J32" s="53">
        <f t="shared" si="3"/>
        <v>-1</v>
      </c>
      <c r="K32" s="64">
        <v>0</v>
      </c>
      <c r="L32" s="53">
        <f t="shared" si="4"/>
        <v>-1</v>
      </c>
      <c r="M32" s="64">
        <v>0</v>
      </c>
      <c r="N32" s="53">
        <f t="shared" si="5"/>
        <v>-1</v>
      </c>
      <c r="O32" s="65">
        <v>0</v>
      </c>
      <c r="P32" s="53">
        <f t="shared" si="6"/>
        <v>-1</v>
      </c>
      <c r="Q32" s="35">
        <f t="shared" si="7"/>
        <v>0</v>
      </c>
      <c r="R32" s="36">
        <f t="shared" si="8"/>
        <v>0</v>
      </c>
      <c r="S32" s="65">
        <v>0</v>
      </c>
      <c r="T32" s="53">
        <f t="shared" si="9"/>
        <v>-1</v>
      </c>
      <c r="U32" s="77">
        <v>0</v>
      </c>
      <c r="V32" s="53">
        <f t="shared" si="9"/>
        <v>-1</v>
      </c>
      <c r="W32" s="66">
        <v>0</v>
      </c>
      <c r="X32" s="53">
        <f t="shared" si="9"/>
        <v>-1</v>
      </c>
      <c r="Y32" s="66">
        <v>0</v>
      </c>
      <c r="Z32" s="53">
        <f t="shared" si="9"/>
        <v>-1</v>
      </c>
      <c r="AA32" s="66">
        <v>0</v>
      </c>
      <c r="AB32" s="53" t="e">
        <f t="shared" si="15"/>
        <v>#DIV/0!</v>
      </c>
      <c r="AC32" s="66">
        <v>0</v>
      </c>
      <c r="AD32" s="53">
        <f t="shared" si="10"/>
        <v>-1</v>
      </c>
      <c r="AE32" s="66">
        <v>0</v>
      </c>
      <c r="AF32" s="53">
        <f t="shared" si="19"/>
        <v>-1</v>
      </c>
      <c r="AG32" s="66">
        <v>0</v>
      </c>
      <c r="AH32" s="53">
        <f t="shared" si="21"/>
        <v>-1</v>
      </c>
    </row>
    <row r="33" spans="1:181" x14ac:dyDescent="0.25">
      <c r="A33" s="60" t="str">
        <f>+'[1]GASTOS DIC 22 ENE-NOV 23'!A23</f>
        <v>5101-05-0018</v>
      </c>
      <c r="B33" s="61" t="str">
        <f>+'[1]GASTOS DIC 22 ENE-NOV 23'!B23</f>
        <v xml:space="preserve">        COSTO LICENCIA ZAPIER INC.</v>
      </c>
      <c r="C33" s="62">
        <f>+'[1]GASTOS DIC 22 ENE-NOV 23'!O23</f>
        <v>12592.38</v>
      </c>
      <c r="D33" s="62">
        <f t="shared" si="14"/>
        <v>1049.365</v>
      </c>
      <c r="E33" s="62">
        <f t="shared" si="13"/>
        <v>12000</v>
      </c>
      <c r="F33" s="62">
        <v>1000</v>
      </c>
      <c r="G33" s="63">
        <v>929.16</v>
      </c>
      <c r="H33" s="51">
        <f t="shared" si="2"/>
        <v>-7.0840000000000014E-2</v>
      </c>
      <c r="I33" s="65">
        <v>929.16</v>
      </c>
      <c r="J33" s="53">
        <f t="shared" si="3"/>
        <v>-7.0840000000000014E-2</v>
      </c>
      <c r="K33" s="65">
        <v>929.16</v>
      </c>
      <c r="L33" s="53">
        <f t="shared" si="4"/>
        <v>-7.0840000000000014E-2</v>
      </c>
      <c r="M33" s="65">
        <v>929.16</v>
      </c>
      <c r="N33" s="53">
        <f t="shared" si="5"/>
        <v>-7.0840000000000014E-2</v>
      </c>
      <c r="O33" s="65">
        <v>228.98</v>
      </c>
      <c r="P33" s="53">
        <f t="shared" si="6"/>
        <v>-0.77102000000000004</v>
      </c>
      <c r="Q33" s="35">
        <f t="shared" si="7"/>
        <v>3945.6199999999994</v>
      </c>
      <c r="R33" s="36">
        <f t="shared" si="8"/>
        <v>0.3288016666666666</v>
      </c>
      <c r="S33" s="65">
        <v>0</v>
      </c>
      <c r="T33" s="53">
        <f t="shared" si="9"/>
        <v>-1</v>
      </c>
      <c r="U33" s="77">
        <v>0</v>
      </c>
      <c r="V33" s="53">
        <f t="shared" si="9"/>
        <v>-1</v>
      </c>
      <c r="W33" s="66">
        <v>0</v>
      </c>
      <c r="X33" s="53">
        <f t="shared" si="9"/>
        <v>-1</v>
      </c>
      <c r="Y33" s="66">
        <v>0</v>
      </c>
      <c r="Z33" s="53">
        <f t="shared" si="9"/>
        <v>-1</v>
      </c>
      <c r="AA33" s="66">
        <v>0</v>
      </c>
      <c r="AB33" s="53">
        <f t="shared" si="15"/>
        <v>-1</v>
      </c>
      <c r="AC33" s="66">
        <v>0</v>
      </c>
      <c r="AD33" s="53">
        <f t="shared" si="10"/>
        <v>-1</v>
      </c>
      <c r="AE33" s="66">
        <v>0</v>
      </c>
      <c r="AF33" s="53">
        <f t="shared" si="19"/>
        <v>-1</v>
      </c>
      <c r="AG33" s="66">
        <v>0</v>
      </c>
      <c r="AH33" s="53">
        <f t="shared" si="21"/>
        <v>-1</v>
      </c>
    </row>
    <row r="34" spans="1:181" x14ac:dyDescent="0.25">
      <c r="A34" s="60" t="str">
        <f>+'[1]GASTOS DIC 22 ENE-NOV 23'!A24</f>
        <v>5101-05-0019</v>
      </c>
      <c r="B34" t="s">
        <v>33</v>
      </c>
      <c r="C34" s="62">
        <f>+'[1]GASTOS DIC 22 ENE-NOV 23'!O24</f>
        <v>6230.24</v>
      </c>
      <c r="D34" s="62">
        <f t="shared" si="14"/>
        <v>519.18666666666661</v>
      </c>
      <c r="E34" s="62">
        <f t="shared" si="13"/>
        <v>6300</v>
      </c>
      <c r="F34" s="62">
        <v>525</v>
      </c>
      <c r="G34" s="63">
        <v>522</v>
      </c>
      <c r="H34" s="51">
        <f t="shared" si="2"/>
        <v>-5.7142857142856718E-3</v>
      </c>
      <c r="I34" s="65">
        <v>522</v>
      </c>
      <c r="J34" s="53">
        <f t="shared" si="3"/>
        <v>-5.7142857142856718E-3</v>
      </c>
      <c r="K34" s="65">
        <v>522</v>
      </c>
      <c r="L34" s="53">
        <f t="shared" si="4"/>
        <v>-5.7142857142856718E-3</v>
      </c>
      <c r="M34" s="64">
        <v>0</v>
      </c>
      <c r="N34" s="53">
        <f t="shared" si="5"/>
        <v>-1</v>
      </c>
      <c r="O34" s="65">
        <v>0</v>
      </c>
      <c r="P34" s="53">
        <f t="shared" si="6"/>
        <v>-1</v>
      </c>
      <c r="Q34" s="35">
        <f t="shared" si="7"/>
        <v>1566</v>
      </c>
      <c r="R34" s="36">
        <f t="shared" si="8"/>
        <v>0.24857142857142858</v>
      </c>
      <c r="S34" s="65">
        <v>421.01</v>
      </c>
      <c r="T34" s="53">
        <f t="shared" si="9"/>
        <v>-73677.750000000553</v>
      </c>
      <c r="U34" s="77">
        <v>0</v>
      </c>
      <c r="V34" s="53">
        <f t="shared" si="9"/>
        <v>-1</v>
      </c>
      <c r="W34" s="72">
        <v>324.2</v>
      </c>
      <c r="X34" s="53">
        <f t="shared" si="9"/>
        <v>-325.2</v>
      </c>
      <c r="Y34" s="72">
        <v>346.61</v>
      </c>
      <c r="Z34" s="53">
        <f t="shared" si="9"/>
        <v>-347.61</v>
      </c>
      <c r="AA34" s="72">
        <v>529.66</v>
      </c>
      <c r="AB34" s="53">
        <f t="shared" si="15"/>
        <v>2129.8160919540228</v>
      </c>
      <c r="AC34" s="72">
        <v>520</v>
      </c>
      <c r="AD34" s="53">
        <f t="shared" si="10"/>
        <v>-1.0070577616716037</v>
      </c>
      <c r="AE34" s="66">
        <v>522</v>
      </c>
      <c r="AF34" s="53">
        <f t="shared" si="19"/>
        <v>-523</v>
      </c>
      <c r="AG34" s="66">
        <v>522</v>
      </c>
      <c r="AH34" s="53">
        <f t="shared" si="21"/>
        <v>-2.6051660516605164</v>
      </c>
    </row>
    <row r="35" spans="1:181" x14ac:dyDescent="0.25">
      <c r="A35" s="60" t="str">
        <f>+'[1]GASTOS DIC 22 ENE-NOV 23'!A25</f>
        <v>5101-05-0020</v>
      </c>
      <c r="B35" s="61" t="str">
        <f>+'[1]GASTOS DIC 22 ENE-NOV 23'!B25</f>
        <v xml:space="preserve">        COSTO LICENCIA QUADMINDS</v>
      </c>
      <c r="C35" s="69">
        <f>+'[1]GASTOS DIC 22 ENE-NOV 23'!O25</f>
        <v>6264</v>
      </c>
      <c r="D35" s="69">
        <f t="shared" si="14"/>
        <v>522</v>
      </c>
      <c r="E35" s="69">
        <f t="shared" si="13"/>
        <v>8400</v>
      </c>
      <c r="F35" s="69">
        <v>700</v>
      </c>
      <c r="G35" s="81">
        <v>348</v>
      </c>
      <c r="H35" s="51">
        <f t="shared" si="2"/>
        <v>-0.50285714285714289</v>
      </c>
      <c r="I35" s="65">
        <v>348</v>
      </c>
      <c r="J35" s="53">
        <f t="shared" si="3"/>
        <v>-0.50285714285714289</v>
      </c>
      <c r="K35" s="65">
        <v>348</v>
      </c>
      <c r="L35" s="53">
        <f t="shared" si="4"/>
        <v>-0.50285714285714289</v>
      </c>
      <c r="M35" s="65">
        <v>348</v>
      </c>
      <c r="N35" s="53">
        <f t="shared" si="5"/>
        <v>-0.50285714285714289</v>
      </c>
      <c r="O35" s="65">
        <v>348</v>
      </c>
      <c r="P35" s="53">
        <f t="shared" si="6"/>
        <v>-0.50285714285714289</v>
      </c>
      <c r="Q35" s="35">
        <f t="shared" si="7"/>
        <v>1740</v>
      </c>
      <c r="R35" s="36">
        <f t="shared" si="8"/>
        <v>0.20714285714285716</v>
      </c>
      <c r="S35" s="65">
        <v>348</v>
      </c>
      <c r="T35" s="53">
        <f t="shared" si="9"/>
        <v>-693.0454545454545</v>
      </c>
      <c r="U35" s="77">
        <v>348</v>
      </c>
      <c r="V35" s="53">
        <f t="shared" si="9"/>
        <v>-693.0454545454545</v>
      </c>
      <c r="W35" s="66">
        <v>348</v>
      </c>
      <c r="X35" s="53">
        <f t="shared" si="9"/>
        <v>-693.0454545454545</v>
      </c>
      <c r="Y35" s="66">
        <v>348</v>
      </c>
      <c r="Z35" s="53">
        <f t="shared" si="9"/>
        <v>-693.0454545454545</v>
      </c>
      <c r="AA35" s="66">
        <v>10092</v>
      </c>
      <c r="AB35" s="53">
        <f t="shared" si="15"/>
        <v>48719</v>
      </c>
      <c r="AC35" s="66">
        <v>348</v>
      </c>
      <c r="AD35" s="53">
        <f t="shared" si="10"/>
        <v>-1.502131566865613</v>
      </c>
      <c r="AE35" s="79">
        <v>0</v>
      </c>
      <c r="AF35" s="53">
        <f t="shared" si="19"/>
        <v>-1</v>
      </c>
      <c r="AG35" s="79">
        <v>0</v>
      </c>
      <c r="AH35" s="53">
        <f t="shared" si="21"/>
        <v>-1</v>
      </c>
    </row>
    <row r="36" spans="1:181" x14ac:dyDescent="0.25">
      <c r="A36" s="60" t="str">
        <f>+'[1]GASTOS DIC 22 ENE-NOV 23'!A26</f>
        <v>5101-05-0021</v>
      </c>
      <c r="B36" s="61" t="str">
        <f>+'[1]GASTOS DIC 22 ENE-NOV 23'!B26</f>
        <v xml:space="preserve">        COSTO LICENCIA COUPONTOOLS</v>
      </c>
      <c r="C36" s="62">
        <f>+'[1]GASTOS DIC 22 ENE-NOV 23'!O26</f>
        <v>7234.9200000000019</v>
      </c>
      <c r="D36" s="62">
        <f t="shared" si="14"/>
        <v>602.9100000000002</v>
      </c>
      <c r="E36" s="62">
        <f t="shared" si="13"/>
        <v>4200</v>
      </c>
      <c r="F36" s="62">
        <v>350</v>
      </c>
      <c r="G36" s="63">
        <v>344.52</v>
      </c>
      <c r="H36" s="51">
        <f t="shared" si="2"/>
        <v>-1.5657142857142925E-2</v>
      </c>
      <c r="I36" s="65">
        <v>344.52</v>
      </c>
      <c r="J36" s="53">
        <f t="shared" si="3"/>
        <v>-1.5657142857142925E-2</v>
      </c>
      <c r="K36" s="65">
        <v>172.26</v>
      </c>
      <c r="L36" s="53">
        <f t="shared" si="4"/>
        <v>-0.50782857142857152</v>
      </c>
      <c r="M36" s="65">
        <v>172.26</v>
      </c>
      <c r="N36" s="53">
        <f t="shared" si="5"/>
        <v>-0.50782857142857152</v>
      </c>
      <c r="O36" s="65">
        <v>0</v>
      </c>
      <c r="P36" s="53">
        <f t="shared" si="6"/>
        <v>-1</v>
      </c>
      <c r="Q36" s="35">
        <f t="shared" si="7"/>
        <v>1033.56</v>
      </c>
      <c r="R36" s="36">
        <f t="shared" si="8"/>
        <v>0.24608571428571427</v>
      </c>
      <c r="S36" s="65">
        <v>0</v>
      </c>
      <c r="T36" s="53">
        <f t="shared" si="9"/>
        <v>-1</v>
      </c>
      <c r="U36" s="77">
        <v>0</v>
      </c>
      <c r="V36" s="53">
        <f t="shared" si="9"/>
        <v>-1</v>
      </c>
      <c r="W36" s="72">
        <v>1033.56</v>
      </c>
      <c r="X36" s="53">
        <f t="shared" si="9"/>
        <v>-2036.2537414200513</v>
      </c>
      <c r="Y36" s="66">
        <v>0</v>
      </c>
      <c r="Z36" s="53">
        <f t="shared" si="9"/>
        <v>-1</v>
      </c>
      <c r="AA36" s="66">
        <v>0</v>
      </c>
      <c r="AB36" s="53">
        <f t="shared" si="15"/>
        <v>-1</v>
      </c>
      <c r="AC36" s="66">
        <v>0</v>
      </c>
      <c r="AD36" s="53">
        <f t="shared" si="10"/>
        <v>-1</v>
      </c>
      <c r="AE36" s="79">
        <v>0</v>
      </c>
      <c r="AF36" s="53">
        <f t="shared" si="19"/>
        <v>-1</v>
      </c>
      <c r="AG36" s="79">
        <v>1033.56</v>
      </c>
      <c r="AH36" s="53">
        <f t="shared" si="21"/>
        <v>-1.5075791778676912</v>
      </c>
    </row>
    <row r="37" spans="1:181" x14ac:dyDescent="0.25">
      <c r="A37" s="60" t="str">
        <f>+'[1]GASTOS DIC 22 ENE-NOV 23'!A27</f>
        <v>5101-05-0022</v>
      </c>
      <c r="B37" s="61" t="str">
        <f>+'[1]GASTOS DIC 22 ENE-NOV 23'!B27</f>
        <v xml:space="preserve">        COSTO LICENCIA ZEROSSL</v>
      </c>
      <c r="C37" s="62">
        <f>+'[1]GASTOS DIC 22 ENE-NOV 23'!O27</f>
        <v>428.82000000000005</v>
      </c>
      <c r="D37" s="62">
        <f t="shared" si="14"/>
        <v>35.735000000000007</v>
      </c>
      <c r="E37" s="62">
        <f t="shared" si="13"/>
        <v>840</v>
      </c>
      <c r="F37" s="62">
        <v>70</v>
      </c>
      <c r="G37" s="63">
        <v>69.599999999999994</v>
      </c>
      <c r="H37" s="51">
        <f t="shared" si="2"/>
        <v>-5.7142857142857828E-3</v>
      </c>
      <c r="I37" s="65">
        <v>69.599999999999994</v>
      </c>
      <c r="J37" s="53">
        <f t="shared" si="3"/>
        <v>-5.7142857142857828E-3</v>
      </c>
      <c r="K37" s="65">
        <v>69.599999999999994</v>
      </c>
      <c r="L37" s="53">
        <f t="shared" si="4"/>
        <v>-5.7142857142857828E-3</v>
      </c>
      <c r="M37" s="64">
        <v>69.599999999999994</v>
      </c>
      <c r="N37" s="53">
        <f t="shared" si="5"/>
        <v>-5.7142857142857828E-3</v>
      </c>
      <c r="O37" s="65">
        <v>69.599999999999994</v>
      </c>
      <c r="P37" s="53">
        <f t="shared" si="6"/>
        <v>-5.7142857142857828E-3</v>
      </c>
      <c r="Q37" s="35">
        <f t="shared" si="7"/>
        <v>348</v>
      </c>
      <c r="R37" s="36">
        <f t="shared" si="8"/>
        <v>0.41428571428571431</v>
      </c>
      <c r="S37" s="65">
        <v>0</v>
      </c>
      <c r="T37" s="53">
        <f t="shared" si="9"/>
        <v>-1</v>
      </c>
      <c r="U37" s="77">
        <v>0</v>
      </c>
      <c r="V37" s="53">
        <f t="shared" si="9"/>
        <v>-1</v>
      </c>
      <c r="W37" s="66">
        <v>0</v>
      </c>
      <c r="X37" s="53">
        <f t="shared" si="9"/>
        <v>-1</v>
      </c>
      <c r="Y37" s="66">
        <v>0</v>
      </c>
      <c r="Z37" s="53">
        <f t="shared" si="9"/>
        <v>-1</v>
      </c>
      <c r="AA37" s="66">
        <v>0</v>
      </c>
      <c r="AB37" s="53">
        <f t="shared" si="15"/>
        <v>-1</v>
      </c>
      <c r="AC37" s="66">
        <v>0</v>
      </c>
      <c r="AD37" s="53">
        <f t="shared" si="10"/>
        <v>-1</v>
      </c>
      <c r="AE37" s="79">
        <v>0</v>
      </c>
      <c r="AF37" s="53">
        <f t="shared" si="19"/>
        <v>-1</v>
      </c>
      <c r="AG37" s="79">
        <v>0</v>
      </c>
      <c r="AH37" s="53">
        <f t="shared" si="21"/>
        <v>-1</v>
      </c>
    </row>
    <row r="38" spans="1:181" x14ac:dyDescent="0.25">
      <c r="A38" s="60" t="str">
        <f>+'[1]GASTOS DIC 22 ENE-NOV 23'!A28</f>
        <v>5101-05-0024</v>
      </c>
      <c r="B38" s="61" t="str">
        <f>+'[1]GASTOS DIC 22 ENE-NOV 23'!B28</f>
        <v xml:space="preserve">        COSTO LICENCIA JOTFORM</v>
      </c>
      <c r="C38" s="69">
        <f>+'[1]GASTOS DIC 22 ENE-NOV 23'!O28</f>
        <v>0</v>
      </c>
      <c r="D38" s="69">
        <f t="shared" si="14"/>
        <v>0</v>
      </c>
      <c r="E38" s="69">
        <f t="shared" si="13"/>
        <v>6</v>
      </c>
      <c r="F38" s="69">
        <v>0.5</v>
      </c>
      <c r="G38" s="81">
        <v>22.62</v>
      </c>
      <c r="H38" s="51">
        <f t="shared" si="2"/>
        <v>44.24</v>
      </c>
      <c r="I38" s="64">
        <v>0</v>
      </c>
      <c r="J38" s="53">
        <f t="shared" si="3"/>
        <v>-1</v>
      </c>
      <c r="K38" s="64">
        <v>0</v>
      </c>
      <c r="L38" s="53">
        <f t="shared" si="4"/>
        <v>-1</v>
      </c>
      <c r="M38" s="64">
        <v>0</v>
      </c>
      <c r="N38" s="53">
        <f t="shared" si="5"/>
        <v>-1</v>
      </c>
      <c r="O38" s="65">
        <v>0</v>
      </c>
      <c r="P38" s="53">
        <f t="shared" si="6"/>
        <v>-1</v>
      </c>
      <c r="Q38" s="35">
        <f t="shared" si="7"/>
        <v>22.62</v>
      </c>
      <c r="R38" s="36">
        <f t="shared" si="8"/>
        <v>3.77</v>
      </c>
      <c r="S38" s="65">
        <v>0</v>
      </c>
      <c r="T38" s="53">
        <f t="shared" si="9"/>
        <v>-1</v>
      </c>
      <c r="U38" s="77">
        <v>0</v>
      </c>
      <c r="V38" s="53">
        <f t="shared" si="9"/>
        <v>-1</v>
      </c>
      <c r="W38" s="66">
        <v>0</v>
      </c>
      <c r="X38" s="53">
        <f t="shared" si="9"/>
        <v>-1</v>
      </c>
      <c r="Y38" s="66">
        <v>0</v>
      </c>
      <c r="Z38" s="53">
        <f t="shared" si="9"/>
        <v>-1</v>
      </c>
      <c r="AA38" s="66">
        <v>0</v>
      </c>
      <c r="AB38" s="53">
        <f t="shared" si="15"/>
        <v>-1</v>
      </c>
      <c r="AC38" s="66">
        <v>22.62</v>
      </c>
      <c r="AD38" s="53">
        <f t="shared" si="10"/>
        <v>-23.62</v>
      </c>
      <c r="AE38" s="79">
        <v>0</v>
      </c>
      <c r="AF38" s="53">
        <f t="shared" si="19"/>
        <v>-1</v>
      </c>
      <c r="AG38" s="79">
        <v>0</v>
      </c>
      <c r="AH38" s="53">
        <f t="shared" si="21"/>
        <v>-1</v>
      </c>
    </row>
    <row r="39" spans="1:181" x14ac:dyDescent="0.25">
      <c r="A39" s="60" t="str">
        <f>+'[1]GASTOS DIC 22 ENE-NOV 23'!A29</f>
        <v>5101-05-0025</v>
      </c>
      <c r="B39" s="61" t="str">
        <f>+'[1]GASTOS DIC 22 ENE-NOV 23'!B29</f>
        <v xml:space="preserve">        COSTO LICENCIA S1</v>
      </c>
      <c r="C39" s="62">
        <f>+'[1]GASTOS DIC 22 ENE-NOV 23'!O29</f>
        <v>3174.11</v>
      </c>
      <c r="D39" s="62">
        <f t="shared" si="14"/>
        <v>264.50916666666666</v>
      </c>
      <c r="E39" s="62">
        <f t="shared" si="13"/>
        <v>72000</v>
      </c>
      <c r="F39" s="62">
        <v>6000</v>
      </c>
      <c r="G39" s="63">
        <v>11135.45</v>
      </c>
      <c r="H39" s="51">
        <f t="shared" si="2"/>
        <v>0.85590833333333349</v>
      </c>
      <c r="I39" s="64">
        <v>0</v>
      </c>
      <c r="J39" s="53">
        <f t="shared" si="3"/>
        <v>-1</v>
      </c>
      <c r="K39" s="65">
        <v>16606.349999999999</v>
      </c>
      <c r="L39" s="53">
        <f t="shared" si="4"/>
        <v>1.7677249999999995</v>
      </c>
      <c r="M39" s="65">
        <v>10947.88</v>
      </c>
      <c r="N39" s="53">
        <f t="shared" si="5"/>
        <v>0.82464666666666653</v>
      </c>
      <c r="O39" s="65">
        <v>25603.06</v>
      </c>
      <c r="P39" s="53">
        <f t="shared" si="6"/>
        <v>3.2671766666666668</v>
      </c>
      <c r="Q39" s="35">
        <f t="shared" si="7"/>
        <v>64292.740000000005</v>
      </c>
      <c r="R39" s="36">
        <f t="shared" si="8"/>
        <v>0.89295472222222227</v>
      </c>
      <c r="S39" s="65">
        <v>55457.440000000002</v>
      </c>
      <c r="T39" s="53">
        <f t="shared" si="9"/>
        <v>-55458.44</v>
      </c>
      <c r="U39" s="77">
        <v>33964.21</v>
      </c>
      <c r="V39" s="53">
        <f t="shared" si="9"/>
        <v>19212.514545531692</v>
      </c>
      <c r="W39" s="66">
        <v>35845.040000000001</v>
      </c>
      <c r="X39" s="53">
        <f t="shared" si="9"/>
        <v>43466.149567087326</v>
      </c>
      <c r="Y39" s="66">
        <v>0</v>
      </c>
      <c r="Z39" s="53">
        <f t="shared" si="9"/>
        <v>-1</v>
      </c>
      <c r="AA39" s="66">
        <v>0</v>
      </c>
      <c r="AB39" s="53">
        <f t="shared" si="15"/>
        <v>-1</v>
      </c>
      <c r="AC39" s="66">
        <v>0</v>
      </c>
      <c r="AD39" s="53">
        <f t="shared" si="10"/>
        <v>-1</v>
      </c>
      <c r="AE39" s="66">
        <v>0</v>
      </c>
      <c r="AF39" s="53">
        <f t="shared" si="19"/>
        <v>-1</v>
      </c>
      <c r="AG39" s="66">
        <v>3303.63</v>
      </c>
      <c r="AH39" s="53">
        <f t="shared" si="21"/>
        <v>-0.92399533814466239</v>
      </c>
    </row>
    <row r="40" spans="1:181" x14ac:dyDescent="0.25">
      <c r="A40" s="60" t="s">
        <v>34</v>
      </c>
      <c r="B40" s="61" t="s">
        <v>35</v>
      </c>
      <c r="C40" s="62">
        <v>0</v>
      </c>
      <c r="D40" s="62">
        <v>0</v>
      </c>
      <c r="E40" s="62">
        <v>0</v>
      </c>
      <c r="F40" s="62">
        <v>0.5</v>
      </c>
      <c r="G40" s="63">
        <v>0</v>
      </c>
      <c r="H40" s="51">
        <f t="shared" si="2"/>
        <v>-1</v>
      </c>
      <c r="I40" s="65">
        <v>22.62</v>
      </c>
      <c r="J40" s="53">
        <f t="shared" si="3"/>
        <v>44.24</v>
      </c>
      <c r="K40" s="65">
        <v>22.62</v>
      </c>
      <c r="L40" s="53">
        <f t="shared" si="4"/>
        <v>44.24</v>
      </c>
      <c r="M40" s="65">
        <v>37262.17</v>
      </c>
      <c r="N40" s="53">
        <f t="shared" si="5"/>
        <v>74523.34</v>
      </c>
      <c r="O40" s="65">
        <v>4559.3599999999997</v>
      </c>
      <c r="P40" s="53">
        <f t="shared" si="6"/>
        <v>9117.7199999999993</v>
      </c>
      <c r="Q40" s="35">
        <f t="shared" si="7"/>
        <v>41866.770000000004</v>
      </c>
      <c r="R40" s="36" t="e">
        <f t="shared" si="8"/>
        <v>#DIV/0!</v>
      </c>
      <c r="S40" s="65">
        <v>106243.77</v>
      </c>
      <c r="T40" s="53">
        <f t="shared" si="9"/>
        <v>2400.5318716094034</v>
      </c>
      <c r="U40" s="77">
        <v>180051.02</v>
      </c>
      <c r="V40" s="53">
        <f t="shared" si="9"/>
        <v>4068.8693490054247</v>
      </c>
      <c r="W40" s="66">
        <v>398854.98</v>
      </c>
      <c r="X40" s="53">
        <f t="shared" si="9"/>
        <v>4.3520813747746683</v>
      </c>
      <c r="Y40" s="66">
        <v>22.62</v>
      </c>
      <c r="Z40" s="53">
        <f t="shared" si="9"/>
        <v>-0.99751911662126058</v>
      </c>
      <c r="AA40" s="66">
        <v>22.62</v>
      </c>
      <c r="AB40" s="53" t="e">
        <f t="shared" si="15"/>
        <v>#DIV/0!</v>
      </c>
      <c r="AC40" s="66">
        <v>0</v>
      </c>
      <c r="AD40" s="53">
        <f t="shared" si="10"/>
        <v>-1</v>
      </c>
      <c r="AE40" s="66">
        <v>0</v>
      </c>
      <c r="AF40" s="53">
        <f t="shared" si="19"/>
        <v>-1</v>
      </c>
      <c r="AG40" s="66">
        <v>89361.46</v>
      </c>
      <c r="AH40" s="53">
        <f t="shared" si="21"/>
        <v>20532.039781368232</v>
      </c>
    </row>
    <row r="41" spans="1:181" x14ac:dyDescent="0.25">
      <c r="A41" s="60" t="s">
        <v>36</v>
      </c>
      <c r="B41" s="61" t="s">
        <v>37</v>
      </c>
      <c r="C41" s="62">
        <v>0</v>
      </c>
      <c r="D41" s="62">
        <v>0</v>
      </c>
      <c r="E41" s="62">
        <v>0</v>
      </c>
      <c r="F41" s="62">
        <v>0</v>
      </c>
      <c r="G41" s="63">
        <v>0</v>
      </c>
      <c r="H41" s="51" t="e">
        <f t="shared" si="2"/>
        <v>#DIV/0!</v>
      </c>
      <c r="I41" s="65">
        <v>0</v>
      </c>
      <c r="J41" s="53" t="e">
        <f t="shared" si="3"/>
        <v>#DIV/0!</v>
      </c>
      <c r="K41" s="65">
        <v>0</v>
      </c>
      <c r="L41" s="53" t="e">
        <f t="shared" si="4"/>
        <v>#DIV/0!</v>
      </c>
      <c r="M41" s="65">
        <v>0</v>
      </c>
      <c r="N41" s="53" t="e">
        <f t="shared" si="5"/>
        <v>#DIV/0!</v>
      </c>
      <c r="O41" s="65">
        <v>0</v>
      </c>
      <c r="P41" s="53" t="e">
        <f t="shared" si="6"/>
        <v>#DIV/0!</v>
      </c>
      <c r="Q41" s="35">
        <f t="shared" si="7"/>
        <v>0</v>
      </c>
      <c r="R41" s="36" t="e">
        <f t="shared" si="8"/>
        <v>#DIV/0!</v>
      </c>
      <c r="S41" s="65">
        <v>0</v>
      </c>
      <c r="T41" s="53" t="e">
        <f t="shared" si="9"/>
        <v>#DIV/0!</v>
      </c>
      <c r="U41" s="77">
        <v>0</v>
      </c>
      <c r="V41" s="53" t="e">
        <f t="shared" si="9"/>
        <v>#DIV/0!</v>
      </c>
      <c r="W41" s="66">
        <v>0</v>
      </c>
      <c r="X41" s="53" t="e">
        <f t="shared" si="9"/>
        <v>#DIV/0!</v>
      </c>
      <c r="Y41" s="66">
        <v>0</v>
      </c>
      <c r="Z41" s="53" t="e">
        <f t="shared" si="9"/>
        <v>#DIV/0!</v>
      </c>
      <c r="AA41" s="66">
        <v>0</v>
      </c>
      <c r="AB41" s="53" t="e">
        <f t="shared" si="15"/>
        <v>#DIV/0!</v>
      </c>
      <c r="AC41" s="66">
        <v>690.43</v>
      </c>
      <c r="AD41" s="53" t="e">
        <f t="shared" si="10"/>
        <v>#DIV/0!</v>
      </c>
      <c r="AE41" s="66">
        <v>0</v>
      </c>
      <c r="AF41" s="53" t="e">
        <f t="shared" si="19"/>
        <v>#DIV/0!</v>
      </c>
      <c r="AG41" s="66">
        <v>690.43</v>
      </c>
      <c r="AH41" s="53" t="e">
        <f t="shared" si="21"/>
        <v>#DIV/0!</v>
      </c>
    </row>
    <row r="42" spans="1:181" x14ac:dyDescent="0.25">
      <c r="A42" s="60" t="s">
        <v>38</v>
      </c>
      <c r="B42" s="61" t="s">
        <v>39</v>
      </c>
      <c r="C42" s="62">
        <v>0</v>
      </c>
      <c r="D42" s="62">
        <v>0</v>
      </c>
      <c r="E42" s="62">
        <v>0</v>
      </c>
      <c r="F42" s="62">
        <v>0</v>
      </c>
      <c r="G42" s="63">
        <v>0</v>
      </c>
      <c r="H42" s="51" t="e">
        <f t="shared" si="2"/>
        <v>#DIV/0!</v>
      </c>
      <c r="I42" s="65">
        <v>0</v>
      </c>
      <c r="J42" s="53" t="e">
        <f t="shared" si="3"/>
        <v>#DIV/0!</v>
      </c>
      <c r="K42" s="65">
        <v>0</v>
      </c>
      <c r="L42" s="53" t="e">
        <f t="shared" si="4"/>
        <v>#DIV/0!</v>
      </c>
      <c r="M42" s="65">
        <v>0</v>
      </c>
      <c r="N42" s="53" t="e">
        <f t="shared" si="5"/>
        <v>#DIV/0!</v>
      </c>
      <c r="O42" s="65">
        <v>0</v>
      </c>
      <c r="P42" s="53" t="e">
        <f t="shared" si="6"/>
        <v>#DIV/0!</v>
      </c>
      <c r="Q42" s="35">
        <f t="shared" si="7"/>
        <v>0</v>
      </c>
      <c r="R42" s="36" t="e">
        <f t="shared" si="8"/>
        <v>#DIV/0!</v>
      </c>
      <c r="S42" s="65">
        <v>0</v>
      </c>
      <c r="T42" s="53" t="e">
        <f t="shared" si="9"/>
        <v>#DIV/0!</v>
      </c>
      <c r="U42" s="77">
        <v>0</v>
      </c>
      <c r="V42" s="53" t="e">
        <f t="shared" si="9"/>
        <v>#DIV/0!</v>
      </c>
      <c r="W42" s="66">
        <v>0</v>
      </c>
      <c r="X42" s="53" t="e">
        <f t="shared" si="9"/>
        <v>#DIV/0!</v>
      </c>
      <c r="Y42" s="66">
        <v>0</v>
      </c>
      <c r="Z42" s="53" t="e">
        <f t="shared" si="9"/>
        <v>#DIV/0!</v>
      </c>
      <c r="AA42" s="66">
        <v>0</v>
      </c>
      <c r="AB42" s="53" t="e">
        <f t="shared" si="15"/>
        <v>#DIV/0!</v>
      </c>
      <c r="AC42" s="66">
        <v>0</v>
      </c>
      <c r="AD42" s="53" t="e">
        <f t="shared" si="10"/>
        <v>#DIV/0!</v>
      </c>
      <c r="AE42" s="66">
        <v>139.06</v>
      </c>
      <c r="AF42" s="53" t="e">
        <f t="shared" si="19"/>
        <v>#DIV/0!</v>
      </c>
      <c r="AG42" s="66">
        <v>0</v>
      </c>
      <c r="AH42" s="53" t="e">
        <f t="shared" si="21"/>
        <v>#DIV/0!</v>
      </c>
    </row>
    <row r="43" spans="1:181" x14ac:dyDescent="0.25">
      <c r="A43" s="60" t="s">
        <v>40</v>
      </c>
      <c r="B43" s="61" t="s">
        <v>41</v>
      </c>
      <c r="C43" s="62">
        <v>0</v>
      </c>
      <c r="D43" s="62">
        <v>0</v>
      </c>
      <c r="E43" s="62">
        <v>0</v>
      </c>
      <c r="F43" s="62">
        <v>0</v>
      </c>
      <c r="G43" s="63">
        <v>0</v>
      </c>
      <c r="H43" s="51" t="e">
        <f t="shared" si="2"/>
        <v>#DIV/0!</v>
      </c>
      <c r="I43" s="65">
        <v>0</v>
      </c>
      <c r="J43" s="53" t="e">
        <f t="shared" si="3"/>
        <v>#DIV/0!</v>
      </c>
      <c r="K43" s="65">
        <v>0</v>
      </c>
      <c r="L43" s="53" t="e">
        <f t="shared" si="4"/>
        <v>#DIV/0!</v>
      </c>
      <c r="M43" s="65">
        <v>0</v>
      </c>
      <c r="N43" s="53" t="e">
        <f t="shared" si="5"/>
        <v>#DIV/0!</v>
      </c>
      <c r="O43" s="65">
        <v>0</v>
      </c>
      <c r="P43" s="53" t="e">
        <f t="shared" si="6"/>
        <v>#DIV/0!</v>
      </c>
      <c r="Q43" s="35">
        <f t="shared" si="7"/>
        <v>0</v>
      </c>
      <c r="R43" s="36" t="e">
        <f t="shared" si="8"/>
        <v>#DIV/0!</v>
      </c>
      <c r="S43" s="65">
        <v>0</v>
      </c>
      <c r="T43" s="53" t="e">
        <f t="shared" si="9"/>
        <v>#DIV/0!</v>
      </c>
      <c r="U43" s="77">
        <v>0</v>
      </c>
      <c r="V43" s="53" t="e">
        <f t="shared" si="9"/>
        <v>#DIV/0!</v>
      </c>
      <c r="W43" s="66">
        <v>0</v>
      </c>
      <c r="X43" s="53" t="e">
        <f t="shared" si="9"/>
        <v>#DIV/0!</v>
      </c>
      <c r="Y43" s="66">
        <v>0</v>
      </c>
      <c r="Z43" s="53" t="e">
        <f t="shared" si="9"/>
        <v>#DIV/0!</v>
      </c>
      <c r="AA43" s="66">
        <v>0</v>
      </c>
      <c r="AB43" s="53" t="e">
        <f t="shared" si="15"/>
        <v>#DIV/0!</v>
      </c>
      <c r="AC43" s="66">
        <v>0</v>
      </c>
      <c r="AD43" s="53" t="e">
        <f t="shared" si="10"/>
        <v>#DIV/0!</v>
      </c>
      <c r="AE43" s="66">
        <v>689.04</v>
      </c>
      <c r="AF43" s="53" t="e">
        <f t="shared" si="19"/>
        <v>#DIV/0!</v>
      </c>
      <c r="AG43" s="66">
        <v>0</v>
      </c>
      <c r="AH43" s="53" t="e">
        <f t="shared" si="21"/>
        <v>#DIV/0!</v>
      </c>
    </row>
    <row r="44" spans="1:181" x14ac:dyDescent="0.25">
      <c r="A44" s="60" t="s">
        <v>42</v>
      </c>
      <c r="B44" s="61" t="s">
        <v>43</v>
      </c>
      <c r="C44" s="62">
        <v>0</v>
      </c>
      <c r="D44" s="62">
        <v>0</v>
      </c>
      <c r="E44" s="62">
        <v>0</v>
      </c>
      <c r="F44" s="62">
        <v>0</v>
      </c>
      <c r="G44" s="63">
        <v>0</v>
      </c>
      <c r="H44" s="51" t="e">
        <f t="shared" si="2"/>
        <v>#DIV/0!</v>
      </c>
      <c r="I44" s="65">
        <v>0</v>
      </c>
      <c r="J44" s="53" t="e">
        <f t="shared" si="3"/>
        <v>#DIV/0!</v>
      </c>
      <c r="K44" s="65">
        <v>0</v>
      </c>
      <c r="L44" s="53" t="e">
        <f t="shared" si="4"/>
        <v>#DIV/0!</v>
      </c>
      <c r="M44" s="65">
        <v>0</v>
      </c>
      <c r="N44" s="53" t="e">
        <f t="shared" si="5"/>
        <v>#DIV/0!</v>
      </c>
      <c r="O44" s="65">
        <v>0</v>
      </c>
      <c r="P44" s="53" t="e">
        <f t="shared" si="6"/>
        <v>#DIV/0!</v>
      </c>
      <c r="Q44" s="35">
        <f t="shared" si="7"/>
        <v>0</v>
      </c>
      <c r="R44" s="36" t="e">
        <f t="shared" si="8"/>
        <v>#DIV/0!</v>
      </c>
      <c r="S44" s="65">
        <v>0</v>
      </c>
      <c r="T44" s="53" t="e">
        <f t="shared" si="9"/>
        <v>#DIV/0!</v>
      </c>
      <c r="U44" s="77">
        <v>0</v>
      </c>
      <c r="V44" s="53" t="e">
        <f t="shared" si="9"/>
        <v>#DIV/0!</v>
      </c>
      <c r="W44" s="66">
        <v>0</v>
      </c>
      <c r="X44" s="53" t="e">
        <f t="shared" si="9"/>
        <v>#DIV/0!</v>
      </c>
      <c r="Y44" s="66">
        <v>0</v>
      </c>
      <c r="Z44" s="53" t="e">
        <f t="shared" si="9"/>
        <v>#DIV/0!</v>
      </c>
      <c r="AA44" s="66">
        <v>0</v>
      </c>
      <c r="AB44" s="53" t="e">
        <f t="shared" si="15"/>
        <v>#DIV/0!</v>
      </c>
      <c r="AC44" s="66">
        <v>0</v>
      </c>
      <c r="AD44" s="53" t="e">
        <f t="shared" si="10"/>
        <v>#DIV/0!</v>
      </c>
      <c r="AE44" s="66">
        <v>689.04</v>
      </c>
      <c r="AF44" s="53" t="e">
        <f t="shared" si="19"/>
        <v>#DIV/0!</v>
      </c>
      <c r="AG44" s="66">
        <v>0</v>
      </c>
      <c r="AH44" s="53" t="e">
        <f t="shared" si="21"/>
        <v>#DIV/0!</v>
      </c>
    </row>
    <row r="45" spans="1:181" x14ac:dyDescent="0.25">
      <c r="A45" s="60" t="s">
        <v>44</v>
      </c>
      <c r="B45" s="61" t="s">
        <v>45</v>
      </c>
      <c r="C45" s="62">
        <v>0</v>
      </c>
      <c r="D45" s="62">
        <v>0</v>
      </c>
      <c r="E45" s="62">
        <v>0</v>
      </c>
      <c r="F45" s="62">
        <v>0</v>
      </c>
      <c r="G45" s="63">
        <v>0</v>
      </c>
      <c r="H45" s="51" t="e">
        <f t="shared" si="2"/>
        <v>#DIV/0!</v>
      </c>
      <c r="I45" s="65">
        <v>0</v>
      </c>
      <c r="J45" s="53" t="e">
        <f t="shared" si="3"/>
        <v>#DIV/0!</v>
      </c>
      <c r="K45" s="65">
        <v>0</v>
      </c>
      <c r="L45" s="53" t="e">
        <f t="shared" si="4"/>
        <v>#DIV/0!</v>
      </c>
      <c r="M45" s="65">
        <v>0</v>
      </c>
      <c r="N45" s="53" t="e">
        <f t="shared" si="5"/>
        <v>#DIV/0!</v>
      </c>
      <c r="O45" s="65">
        <v>0</v>
      </c>
      <c r="P45" s="53" t="e">
        <f t="shared" si="6"/>
        <v>#DIV/0!</v>
      </c>
      <c r="Q45" s="35">
        <f t="shared" si="7"/>
        <v>0</v>
      </c>
      <c r="R45" s="36" t="e">
        <f t="shared" si="8"/>
        <v>#DIV/0!</v>
      </c>
      <c r="S45" s="65">
        <v>0</v>
      </c>
      <c r="T45" s="53" t="e">
        <f t="shared" si="9"/>
        <v>#DIV/0!</v>
      </c>
      <c r="U45" s="77">
        <v>0</v>
      </c>
      <c r="V45" s="53" t="e">
        <f t="shared" si="9"/>
        <v>#DIV/0!</v>
      </c>
      <c r="W45" s="66">
        <v>0</v>
      </c>
      <c r="X45" s="53" t="e">
        <f t="shared" si="9"/>
        <v>#DIV/0!</v>
      </c>
      <c r="Y45" s="66">
        <v>0</v>
      </c>
      <c r="Z45" s="53" t="e">
        <f t="shared" si="9"/>
        <v>#DIV/0!</v>
      </c>
      <c r="AA45" s="66">
        <v>0</v>
      </c>
      <c r="AB45" s="53" t="e">
        <f t="shared" si="15"/>
        <v>#DIV/0!</v>
      </c>
      <c r="AC45" s="66">
        <v>0</v>
      </c>
      <c r="AD45" s="53" t="e">
        <f t="shared" si="10"/>
        <v>#DIV/0!</v>
      </c>
      <c r="AE45" s="66">
        <v>2324.15</v>
      </c>
      <c r="AF45" s="53" t="e">
        <f t="shared" si="19"/>
        <v>#DIV/0!</v>
      </c>
      <c r="AG45" s="66">
        <v>0</v>
      </c>
      <c r="AH45" s="53" t="e">
        <f t="shared" si="21"/>
        <v>#DIV/0!</v>
      </c>
    </row>
    <row r="46" spans="1:181" x14ac:dyDescent="0.25">
      <c r="A46" s="60" t="s">
        <v>46</v>
      </c>
      <c r="B46" s="61" t="s">
        <v>47</v>
      </c>
      <c r="C46" s="62">
        <v>0</v>
      </c>
      <c r="D46" s="62">
        <v>0</v>
      </c>
      <c r="E46" s="62">
        <v>0</v>
      </c>
      <c r="F46" s="62">
        <v>0</v>
      </c>
      <c r="G46" s="63">
        <v>0</v>
      </c>
      <c r="H46" s="51" t="e">
        <f t="shared" si="2"/>
        <v>#DIV/0!</v>
      </c>
      <c r="I46" s="65">
        <v>0</v>
      </c>
      <c r="J46" s="53" t="e">
        <f t="shared" si="3"/>
        <v>#DIV/0!</v>
      </c>
      <c r="K46" s="65">
        <v>0</v>
      </c>
      <c r="L46" s="53" t="e">
        <f t="shared" si="4"/>
        <v>#DIV/0!</v>
      </c>
      <c r="M46" s="65">
        <v>0</v>
      </c>
      <c r="N46" s="53" t="e">
        <f t="shared" si="5"/>
        <v>#DIV/0!</v>
      </c>
      <c r="O46" s="65">
        <v>0</v>
      </c>
      <c r="P46" s="53" t="e">
        <f t="shared" si="6"/>
        <v>#DIV/0!</v>
      </c>
      <c r="Q46" s="35">
        <f t="shared" si="7"/>
        <v>0</v>
      </c>
      <c r="R46" s="36" t="e">
        <f t="shared" si="8"/>
        <v>#DIV/0!</v>
      </c>
      <c r="S46" s="65">
        <v>0</v>
      </c>
      <c r="T46" s="53" t="e">
        <f t="shared" si="9"/>
        <v>#DIV/0!</v>
      </c>
      <c r="U46" s="77">
        <v>0</v>
      </c>
      <c r="V46" s="53" t="e">
        <f t="shared" si="9"/>
        <v>#DIV/0!</v>
      </c>
      <c r="W46" s="66">
        <v>0</v>
      </c>
      <c r="X46" s="53" t="e">
        <f t="shared" si="9"/>
        <v>#DIV/0!</v>
      </c>
      <c r="Y46" s="66">
        <v>0</v>
      </c>
      <c r="Z46" s="53" t="e">
        <f t="shared" si="9"/>
        <v>#DIV/0!</v>
      </c>
      <c r="AA46" s="66">
        <v>0</v>
      </c>
      <c r="AB46" s="53" t="e">
        <f t="shared" si="15"/>
        <v>#DIV/0!</v>
      </c>
      <c r="AC46" s="66">
        <v>0</v>
      </c>
      <c r="AD46" s="53" t="e">
        <f t="shared" si="10"/>
        <v>#DIV/0!</v>
      </c>
      <c r="AE46" s="66">
        <v>244.71</v>
      </c>
      <c r="AF46" s="53" t="e">
        <f t="shared" si="19"/>
        <v>#DIV/0!</v>
      </c>
      <c r="AG46" s="66">
        <v>0</v>
      </c>
      <c r="AH46" s="53" t="e">
        <f t="shared" si="21"/>
        <v>#DIV/0!</v>
      </c>
    </row>
    <row r="47" spans="1:181" x14ac:dyDescent="0.25">
      <c r="A47" s="60" t="str">
        <f>+'[1]GASTOS DIC 22 ENE-NOV 23'!A30</f>
        <v>5301-07-0008</v>
      </c>
      <c r="B47" s="67" t="str">
        <f>+'[1]GASTOS DIC 22 ENE-NOV 23'!B30</f>
        <v xml:space="preserve">        LICENCIA SOFTWARE SILICE</v>
      </c>
      <c r="C47" s="68">
        <f>+'[1]GASTOS DIC 22 ENE-NOV 23'!O30</f>
        <v>50215.740000000005</v>
      </c>
      <c r="D47" s="68">
        <f t="shared" si="14"/>
        <v>4184.6450000000004</v>
      </c>
      <c r="E47" s="68">
        <f t="shared" si="13"/>
        <v>24000</v>
      </c>
      <c r="F47" s="68">
        <v>2000</v>
      </c>
      <c r="G47" s="63">
        <v>0</v>
      </c>
      <c r="H47" s="51">
        <f t="shared" si="2"/>
        <v>-1</v>
      </c>
      <c r="I47" s="64">
        <v>0</v>
      </c>
      <c r="J47" s="53">
        <f t="shared" si="3"/>
        <v>-1</v>
      </c>
      <c r="K47" s="64">
        <v>0</v>
      </c>
      <c r="L47" s="53">
        <f t="shared" si="4"/>
        <v>-1</v>
      </c>
      <c r="M47" s="64">
        <v>0</v>
      </c>
      <c r="N47" s="53">
        <f t="shared" si="5"/>
        <v>-1</v>
      </c>
      <c r="O47" s="65">
        <v>0</v>
      </c>
      <c r="P47" s="53">
        <f t="shared" si="6"/>
        <v>-1</v>
      </c>
      <c r="Q47" s="35">
        <f t="shared" si="7"/>
        <v>0</v>
      </c>
      <c r="R47" s="36">
        <f t="shared" si="8"/>
        <v>0</v>
      </c>
      <c r="S47" s="65">
        <v>0</v>
      </c>
      <c r="T47" s="53">
        <f t="shared" si="9"/>
        <v>-1</v>
      </c>
      <c r="U47" s="77">
        <v>0</v>
      </c>
      <c r="V47" s="53">
        <f t="shared" si="9"/>
        <v>-1</v>
      </c>
      <c r="W47" s="66">
        <v>0</v>
      </c>
      <c r="X47" s="53">
        <f t="shared" si="9"/>
        <v>-1</v>
      </c>
      <c r="Y47" s="66">
        <v>0</v>
      </c>
      <c r="Z47" s="53">
        <f t="shared" si="9"/>
        <v>-1</v>
      </c>
      <c r="AA47" s="66">
        <v>0</v>
      </c>
      <c r="AB47" s="53" t="e">
        <f t="shared" si="15"/>
        <v>#DIV/0!</v>
      </c>
      <c r="AC47" s="66">
        <v>0</v>
      </c>
      <c r="AD47" s="53">
        <f t="shared" si="10"/>
        <v>-1</v>
      </c>
      <c r="AE47" s="66">
        <v>0</v>
      </c>
      <c r="AF47" s="53">
        <f t="shared" si="19"/>
        <v>-1</v>
      </c>
      <c r="AG47" s="66">
        <v>0</v>
      </c>
      <c r="AH47" s="53">
        <f t="shared" si="21"/>
        <v>-1</v>
      </c>
    </row>
    <row r="48" spans="1:181" s="46" customFormat="1" x14ac:dyDescent="0.25">
      <c r="A48" s="38">
        <f>+'[1]GASTOS DIC 22 ENE-NOV 23'!A31</f>
        <v>52</v>
      </c>
      <c r="B48" s="39" t="str">
        <f>+'[1]GASTOS DIC 22 ENE-NOV 23'!B31</f>
        <v xml:space="preserve">  GASTOS DE COMERCIALIZACIÓN</v>
      </c>
      <c r="C48" s="40">
        <f>+C49</f>
        <v>64421.14</v>
      </c>
      <c r="D48" s="40">
        <f t="shared" si="14"/>
        <v>5368.4283333333333</v>
      </c>
      <c r="E48" s="40">
        <f>+F48*12</f>
        <v>57192</v>
      </c>
      <c r="F48" s="40">
        <f>+F50+F53+F56+F58</f>
        <v>4766</v>
      </c>
      <c r="G48" s="40">
        <f>+G50+G53+G56+G58</f>
        <v>123.8</v>
      </c>
      <c r="H48" s="41">
        <f t="shared" si="2"/>
        <v>-0.97402433906840113</v>
      </c>
      <c r="I48" s="42">
        <f>+I49</f>
        <v>780.95</v>
      </c>
      <c r="J48" s="43">
        <f t="shared" si="3"/>
        <v>-0.83614141838019296</v>
      </c>
      <c r="K48" s="42">
        <f>+K50+K53+K56+K58</f>
        <v>53.57</v>
      </c>
      <c r="L48" s="43">
        <f t="shared" si="4"/>
        <v>-0.98875996642887121</v>
      </c>
      <c r="M48" s="42">
        <v>29.76</v>
      </c>
      <c r="N48" s="43">
        <f t="shared" si="5"/>
        <v>-0.99375577003776749</v>
      </c>
      <c r="O48" s="42">
        <f>+O49</f>
        <v>5255</v>
      </c>
      <c r="P48" s="43">
        <f t="shared" si="6"/>
        <v>0.10260176248426345</v>
      </c>
      <c r="Q48" s="42">
        <f t="shared" si="7"/>
        <v>6243.08</v>
      </c>
      <c r="R48" s="44">
        <f t="shared" si="8"/>
        <v>0.10916002238075255</v>
      </c>
      <c r="S48" s="42">
        <f>+S49</f>
        <v>474.76</v>
      </c>
      <c r="T48" s="43">
        <f t="shared" si="9"/>
        <v>-568.79868759488591</v>
      </c>
      <c r="U48" s="45">
        <v>23.81</v>
      </c>
      <c r="V48" s="43">
        <f t="shared" si="9"/>
        <v>-25.080667511241543</v>
      </c>
      <c r="W48" s="45">
        <f>W49</f>
        <v>12994.630000000001</v>
      </c>
      <c r="X48" s="43">
        <f t="shared" si="9"/>
        <v>-13077.281307535093</v>
      </c>
      <c r="Y48" s="82">
        <f>Y49</f>
        <v>88.33</v>
      </c>
      <c r="Z48" s="43">
        <f t="shared" si="9"/>
        <v>859.90139059304772</v>
      </c>
      <c r="AA48" s="45">
        <f>AA49</f>
        <v>605</v>
      </c>
      <c r="AB48" s="43">
        <f t="shared" si="15"/>
        <v>5541.3220589837065</v>
      </c>
      <c r="AC48" s="45">
        <f>AC49</f>
        <v>77233.53</v>
      </c>
      <c r="AD48" s="43">
        <f t="shared" si="10"/>
        <v>-136.78359388727677</v>
      </c>
      <c r="AE48" s="45">
        <f>AE49</f>
        <v>9202.24</v>
      </c>
      <c r="AF48" s="43">
        <f t="shared" si="19"/>
        <v>-367.90570519606041</v>
      </c>
      <c r="AG48" s="45">
        <f>AG49</f>
        <v>3949.89</v>
      </c>
      <c r="AH48" s="43">
        <f t="shared" si="21"/>
        <v>-1.3020421375904856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</row>
    <row r="49" spans="1:181" s="46" customFormat="1" x14ac:dyDescent="0.25">
      <c r="A49" s="83">
        <f>+'[1]GASTOS DIC 22 ENE-NOV 23'!A32</f>
        <v>5201</v>
      </c>
      <c r="B49" s="84" t="str">
        <f>+'[1]GASTOS DIC 22 ENE-NOV 23'!B32</f>
        <v xml:space="preserve">    GASTOS DE COMERCIALIZACIÓN</v>
      </c>
      <c r="C49" s="85">
        <f>+C50+C53+C56+C58</f>
        <v>64421.14</v>
      </c>
      <c r="D49" s="85">
        <f t="shared" si="14"/>
        <v>5368.4283333333333</v>
      </c>
      <c r="E49" s="85">
        <f t="shared" ref="E49:E129" si="22">+F49*12</f>
        <v>57192</v>
      </c>
      <c r="F49" s="85">
        <f>+F48</f>
        <v>4766</v>
      </c>
      <c r="G49" s="85">
        <f>+G48</f>
        <v>123.8</v>
      </c>
      <c r="H49" s="86">
        <f t="shared" si="2"/>
        <v>-0.97402433906840113</v>
      </c>
      <c r="I49" s="87">
        <f>+I50+I53+I56+I58+I63</f>
        <v>780.95</v>
      </c>
      <c r="J49" s="88">
        <f t="shared" si="3"/>
        <v>-0.83614141838019296</v>
      </c>
      <c r="K49" s="87">
        <f>+K48</f>
        <v>53.57</v>
      </c>
      <c r="L49" s="88">
        <f t="shared" si="4"/>
        <v>-0.98875996642887121</v>
      </c>
      <c r="M49" s="87">
        <v>0</v>
      </c>
      <c r="N49" s="88">
        <f t="shared" si="5"/>
        <v>-1</v>
      </c>
      <c r="O49" s="87">
        <f>+O50+O53+O56+O58</f>
        <v>5255</v>
      </c>
      <c r="P49" s="88">
        <f t="shared" si="6"/>
        <v>0.10260176248426345</v>
      </c>
      <c r="Q49" s="35">
        <f t="shared" si="7"/>
        <v>6213.32</v>
      </c>
      <c r="R49" s="36">
        <f t="shared" si="8"/>
        <v>0.10863966988389984</v>
      </c>
      <c r="S49" s="87">
        <f>+S50+S53+S56+S58+S63</f>
        <v>474.76</v>
      </c>
      <c r="T49" s="88">
        <f t="shared" si="9"/>
        <v>-568.79868759488591</v>
      </c>
      <c r="U49" s="89">
        <v>23.81</v>
      </c>
      <c r="V49" s="88">
        <f t="shared" si="9"/>
        <v>-25.080667511241543</v>
      </c>
      <c r="W49" s="89">
        <f>W56+W58</f>
        <v>12994.630000000001</v>
      </c>
      <c r="X49" s="88">
        <f t="shared" si="9"/>
        <v>-12995.630000000001</v>
      </c>
      <c r="Y49" s="90">
        <f>Y58</f>
        <v>88.33</v>
      </c>
      <c r="Z49" s="88">
        <f t="shared" si="9"/>
        <v>859.90139059304772</v>
      </c>
      <c r="AA49" s="89">
        <f>AA56+AA58</f>
        <v>605</v>
      </c>
      <c r="AB49" s="88">
        <f t="shared" si="15"/>
        <v>5567.8681735368536</v>
      </c>
      <c r="AC49" s="78">
        <f>+AC50+AC53+AC56+AC58+AC63</f>
        <v>77233.53</v>
      </c>
      <c r="AD49" s="88">
        <f t="shared" si="10"/>
        <v>-136.78359388727677</v>
      </c>
      <c r="AE49" s="78">
        <f>+AE53+AE56+AE58+AE63+AE50</f>
        <v>9202.24</v>
      </c>
      <c r="AF49" s="88">
        <f t="shared" si="19"/>
        <v>-367.90570519606041</v>
      </c>
      <c r="AG49" s="78">
        <f>+AG53+AG56+AG58+AG63+AG50</f>
        <v>3949.89</v>
      </c>
      <c r="AH49" s="88">
        <f t="shared" si="21"/>
        <v>-1.3039398628615926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</row>
    <row r="50" spans="1:181" s="58" customFormat="1" x14ac:dyDescent="0.25">
      <c r="A50" s="47" t="str">
        <f>+'[1]GASTOS DIC 22 ENE-NOV 23'!A33</f>
        <v>5201-01</v>
      </c>
      <c r="B50" s="48" t="str">
        <f>+'[1]GASTOS DIC 22 ENE-NOV 23'!B33</f>
        <v xml:space="preserve">      SUELDOS Y SALARIOS</v>
      </c>
      <c r="C50" s="49">
        <f>+'[1]GASTOS DIC 22 ENE-NOV 23'!O33</f>
        <v>31500</v>
      </c>
      <c r="D50" s="49">
        <f t="shared" si="14"/>
        <v>2625</v>
      </c>
      <c r="E50" s="49">
        <f t="shared" si="22"/>
        <v>31500</v>
      </c>
      <c r="F50" s="49">
        <f>+F51</f>
        <v>2625</v>
      </c>
      <c r="G50" s="49">
        <f>+G51</f>
        <v>0</v>
      </c>
      <c r="H50" s="51">
        <f t="shared" si="2"/>
        <v>-1</v>
      </c>
      <c r="I50" s="52">
        <f>+I51</f>
        <v>0</v>
      </c>
      <c r="J50" s="53">
        <f t="shared" si="3"/>
        <v>-1</v>
      </c>
      <c r="K50" s="52">
        <f>+K51</f>
        <v>0</v>
      </c>
      <c r="L50" s="53">
        <f t="shared" si="4"/>
        <v>-1</v>
      </c>
      <c r="M50" s="52">
        <f>+M51</f>
        <v>0</v>
      </c>
      <c r="N50" s="53">
        <f t="shared" si="5"/>
        <v>-1</v>
      </c>
      <c r="O50" s="52">
        <f>+O51</f>
        <v>0</v>
      </c>
      <c r="P50" s="53">
        <f t="shared" si="6"/>
        <v>-1</v>
      </c>
      <c r="Q50" s="35">
        <f t="shared" si="7"/>
        <v>0</v>
      </c>
      <c r="R50" s="36">
        <f t="shared" si="8"/>
        <v>0</v>
      </c>
      <c r="S50" s="52">
        <f>+S51</f>
        <v>0</v>
      </c>
      <c r="T50" s="53">
        <f t="shared" si="9"/>
        <v>-1</v>
      </c>
      <c r="U50" s="75">
        <v>0</v>
      </c>
      <c r="V50" s="53">
        <f t="shared" si="9"/>
        <v>-1</v>
      </c>
      <c r="W50" s="74">
        <v>0</v>
      </c>
      <c r="X50" s="53">
        <f t="shared" si="9"/>
        <v>-1</v>
      </c>
      <c r="Y50" s="91">
        <v>0</v>
      </c>
      <c r="Z50" s="53">
        <f t="shared" si="9"/>
        <v>-1</v>
      </c>
      <c r="AA50" s="74">
        <v>0</v>
      </c>
      <c r="AB50" s="53" t="e">
        <f t="shared" si="15"/>
        <v>#DIV/0!</v>
      </c>
      <c r="AC50" s="74">
        <v>0</v>
      </c>
      <c r="AD50" s="53">
        <f t="shared" si="10"/>
        <v>-1</v>
      </c>
      <c r="AE50" s="74">
        <f>+AE51+AE52</f>
        <v>2580.62</v>
      </c>
      <c r="AF50" s="53">
        <f t="shared" si="19"/>
        <v>-2581.62</v>
      </c>
      <c r="AG50" s="74">
        <f>+AG51+AG52</f>
        <v>2580.62</v>
      </c>
      <c r="AH50" s="53">
        <f t="shared" si="21"/>
        <v>-2581.62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</row>
    <row r="51" spans="1:181" x14ac:dyDescent="0.25">
      <c r="A51" s="92" t="str">
        <f>+'[1]GASTOS DIC 22 ENE-NOV 23'!A34</f>
        <v>5201-01-0002</v>
      </c>
      <c r="B51" s="70" t="str">
        <f>+'[1]GASTOS DIC 22 ENE-NOV 23'!B34</f>
        <v xml:space="preserve">        RETIRO SOCIOS</v>
      </c>
      <c r="C51" s="69">
        <f>+'[1]GASTOS DIC 22 ENE-NOV 23'!O34</f>
        <v>31500</v>
      </c>
      <c r="D51" s="69">
        <f t="shared" si="14"/>
        <v>2625</v>
      </c>
      <c r="E51" s="69">
        <f t="shared" si="22"/>
        <v>31500</v>
      </c>
      <c r="F51" s="69">
        <v>2625</v>
      </c>
      <c r="G51" s="81">
        <v>0</v>
      </c>
      <c r="H51" s="51">
        <f t="shared" si="2"/>
        <v>-1</v>
      </c>
      <c r="I51" s="64">
        <v>0</v>
      </c>
      <c r="J51" s="53">
        <f t="shared" si="3"/>
        <v>-1</v>
      </c>
      <c r="K51" s="64">
        <v>0</v>
      </c>
      <c r="L51" s="53">
        <f t="shared" si="4"/>
        <v>-1</v>
      </c>
      <c r="M51" s="64">
        <v>0</v>
      </c>
      <c r="N51" s="53">
        <f t="shared" si="5"/>
        <v>-1</v>
      </c>
      <c r="O51" s="65">
        <v>0</v>
      </c>
      <c r="P51" s="53">
        <f t="shared" si="6"/>
        <v>-1</v>
      </c>
      <c r="Q51" s="35">
        <f t="shared" si="7"/>
        <v>0</v>
      </c>
      <c r="R51" s="36">
        <f t="shared" si="8"/>
        <v>0</v>
      </c>
      <c r="S51" s="65">
        <v>0</v>
      </c>
      <c r="T51" s="53">
        <f t="shared" si="9"/>
        <v>-1</v>
      </c>
      <c r="U51" s="66">
        <v>0</v>
      </c>
      <c r="V51" s="53">
        <f t="shared" si="9"/>
        <v>-1</v>
      </c>
      <c r="W51" s="79">
        <v>0</v>
      </c>
      <c r="X51" s="53">
        <f t="shared" si="9"/>
        <v>-1</v>
      </c>
      <c r="Y51" s="66">
        <v>0</v>
      </c>
      <c r="Z51" s="53">
        <f t="shared" si="9"/>
        <v>-1</v>
      </c>
      <c r="AA51" s="79">
        <v>0</v>
      </c>
      <c r="AB51" s="53" t="e">
        <f t="shared" si="15"/>
        <v>#DIV/0!</v>
      </c>
      <c r="AC51" s="79">
        <v>0</v>
      </c>
      <c r="AD51" s="53">
        <f t="shared" si="10"/>
        <v>-1</v>
      </c>
      <c r="AE51" s="79">
        <v>0</v>
      </c>
      <c r="AF51" s="53">
        <f t="shared" si="19"/>
        <v>-1</v>
      </c>
      <c r="AG51" s="79">
        <v>0</v>
      </c>
      <c r="AH51" s="53">
        <f t="shared" si="21"/>
        <v>-1</v>
      </c>
    </row>
    <row r="52" spans="1:181" x14ac:dyDescent="0.25">
      <c r="A52" s="92" t="s">
        <v>48</v>
      </c>
      <c r="B52" s="70" t="s">
        <v>49</v>
      </c>
      <c r="C52" s="69"/>
      <c r="D52" s="69"/>
      <c r="E52" s="69"/>
      <c r="F52" s="69"/>
      <c r="G52" s="81"/>
      <c r="H52" s="51"/>
      <c r="I52" s="64"/>
      <c r="J52" s="53"/>
      <c r="K52" s="64"/>
      <c r="L52" s="53"/>
      <c r="M52" s="64"/>
      <c r="N52" s="53"/>
      <c r="O52" s="65"/>
      <c r="P52" s="53"/>
      <c r="Q52" s="35"/>
      <c r="R52" s="36"/>
      <c r="S52" s="65"/>
      <c r="T52" s="53"/>
      <c r="U52" s="66"/>
      <c r="V52" s="53"/>
      <c r="W52" s="79"/>
      <c r="X52" s="53"/>
      <c r="Y52" s="66"/>
      <c r="Z52" s="53"/>
      <c r="AA52" s="79"/>
      <c r="AB52" s="53"/>
      <c r="AC52" s="79"/>
      <c r="AD52" s="53"/>
      <c r="AE52" s="79">
        <v>2580.62</v>
      </c>
      <c r="AF52" s="53"/>
      <c r="AG52" s="73">
        <v>2580.62</v>
      </c>
      <c r="AH52" s="53"/>
    </row>
    <row r="53" spans="1:181" s="58" customFormat="1" x14ac:dyDescent="0.25">
      <c r="A53" s="47" t="str">
        <f>+'[1]GASTOS DIC 22 ENE-NOV 23'!A35</f>
        <v>5201-03</v>
      </c>
      <c r="B53" s="48" t="str">
        <f>+'[1]GASTOS DIC 22 ENE-NOV 23'!B35</f>
        <v xml:space="preserve">      COMISIONES SOBRE VENTAS</v>
      </c>
      <c r="C53" s="49">
        <f>+'[1]GASTOS DIC 22 ENE-NOV 23'!O35</f>
        <v>15681.28</v>
      </c>
      <c r="D53" s="49">
        <f t="shared" si="14"/>
        <v>1306.7733333333333</v>
      </c>
      <c r="E53" s="49">
        <f t="shared" si="22"/>
        <v>15672</v>
      </c>
      <c r="F53" s="49">
        <f>+F54</f>
        <v>1306</v>
      </c>
      <c r="G53" s="49">
        <f>+G54</f>
        <v>0</v>
      </c>
      <c r="H53" s="51">
        <f t="shared" si="2"/>
        <v>-1</v>
      </c>
      <c r="I53" s="52">
        <f>+I54</f>
        <v>0</v>
      </c>
      <c r="J53" s="53">
        <f t="shared" si="3"/>
        <v>-1</v>
      </c>
      <c r="K53" s="52">
        <f>+K54</f>
        <v>0</v>
      </c>
      <c r="L53" s="53">
        <f t="shared" si="4"/>
        <v>-1</v>
      </c>
      <c r="M53" s="52">
        <f>+M54</f>
        <v>0</v>
      </c>
      <c r="N53" s="53">
        <f t="shared" si="5"/>
        <v>-1</v>
      </c>
      <c r="O53" s="52">
        <f>+O54</f>
        <v>5150</v>
      </c>
      <c r="P53" s="53">
        <f t="shared" si="6"/>
        <v>2.9433384379785603</v>
      </c>
      <c r="Q53" s="35">
        <f t="shared" si="7"/>
        <v>5150</v>
      </c>
      <c r="R53" s="36">
        <f t="shared" si="8"/>
        <v>0.3286115364982134</v>
      </c>
      <c r="S53" s="52">
        <f>+S54</f>
        <v>0</v>
      </c>
      <c r="T53" s="53">
        <f t="shared" si="9"/>
        <v>-1</v>
      </c>
      <c r="U53" s="75">
        <v>0</v>
      </c>
      <c r="V53" s="53">
        <f t="shared" si="9"/>
        <v>-1</v>
      </c>
      <c r="W53" s="74">
        <v>0</v>
      </c>
      <c r="X53" s="53">
        <f t="shared" si="9"/>
        <v>-1</v>
      </c>
      <c r="Y53" s="91">
        <v>0</v>
      </c>
      <c r="Z53" s="53">
        <f t="shared" si="9"/>
        <v>-1</v>
      </c>
      <c r="AA53" s="74">
        <v>0</v>
      </c>
      <c r="AB53" s="53">
        <f t="shared" si="15"/>
        <v>-1</v>
      </c>
      <c r="AC53" s="74">
        <f>+AC54</f>
        <v>41666.67</v>
      </c>
      <c r="AD53" s="53">
        <f t="shared" si="10"/>
        <v>-41667.67</v>
      </c>
      <c r="AE53" s="74">
        <f>+AE54+AE55</f>
        <v>5555.5</v>
      </c>
      <c r="AF53" s="53">
        <f t="shared" si="19"/>
        <v>-5556.5</v>
      </c>
      <c r="AG53" s="74">
        <f>+AG54+AG55</f>
        <v>0</v>
      </c>
      <c r="AH53" s="53">
        <f t="shared" ref="AH53:AH54" si="23">(AG53/X53)-1</f>
        <v>-1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</row>
    <row r="54" spans="1:181" x14ac:dyDescent="0.25">
      <c r="A54" s="60" t="str">
        <f>+'[1]GASTOS DIC 22 ENE-NOV 23'!A36</f>
        <v>5201-03-0002</v>
      </c>
      <c r="B54" s="61" t="str">
        <f>+'[1]GASTOS DIC 22 ENE-NOV 23'!B36</f>
        <v xml:space="preserve">        BONOS</v>
      </c>
      <c r="C54" s="62">
        <f>+'[1]GASTOS DIC 22 ENE-NOV 23'!O36</f>
        <v>15681.28</v>
      </c>
      <c r="D54" s="62">
        <f t="shared" si="14"/>
        <v>1306.7733333333333</v>
      </c>
      <c r="E54" s="62">
        <f t="shared" si="22"/>
        <v>15672</v>
      </c>
      <c r="F54" s="62">
        <v>1306</v>
      </c>
      <c r="G54" s="63">
        <v>0</v>
      </c>
      <c r="H54" s="51">
        <f t="shared" si="2"/>
        <v>-1</v>
      </c>
      <c r="I54" s="64">
        <v>0</v>
      </c>
      <c r="J54" s="53">
        <f t="shared" si="3"/>
        <v>-1</v>
      </c>
      <c r="K54" s="64">
        <v>0</v>
      </c>
      <c r="L54" s="53">
        <f t="shared" si="4"/>
        <v>-1</v>
      </c>
      <c r="M54" s="64">
        <v>0</v>
      </c>
      <c r="N54" s="53">
        <f t="shared" si="5"/>
        <v>-1</v>
      </c>
      <c r="O54" s="65">
        <v>5150</v>
      </c>
      <c r="P54" s="53">
        <f t="shared" si="6"/>
        <v>2.9433384379785603</v>
      </c>
      <c r="Q54" s="35">
        <f t="shared" si="7"/>
        <v>5150</v>
      </c>
      <c r="R54" s="36">
        <f t="shared" si="8"/>
        <v>0.3286115364982134</v>
      </c>
      <c r="S54" s="65">
        <v>0</v>
      </c>
      <c r="T54" s="53">
        <f t="shared" si="9"/>
        <v>-1</v>
      </c>
      <c r="U54" s="66">
        <v>0</v>
      </c>
      <c r="V54" s="53">
        <f t="shared" si="9"/>
        <v>-1</v>
      </c>
      <c r="W54" s="79">
        <v>0</v>
      </c>
      <c r="X54" s="53">
        <f t="shared" si="9"/>
        <v>-1</v>
      </c>
      <c r="Y54" s="66">
        <v>0</v>
      </c>
      <c r="Z54" s="53">
        <f t="shared" si="9"/>
        <v>-1</v>
      </c>
      <c r="AA54" s="79">
        <v>0</v>
      </c>
      <c r="AB54" s="53">
        <f t="shared" si="15"/>
        <v>-1</v>
      </c>
      <c r="AC54" s="79">
        <v>41666.67</v>
      </c>
      <c r="AD54" s="53">
        <f t="shared" si="10"/>
        <v>-41667.67</v>
      </c>
      <c r="AE54" s="79">
        <v>0</v>
      </c>
      <c r="AF54" s="53">
        <f t="shared" si="19"/>
        <v>-1</v>
      </c>
      <c r="AG54" s="79">
        <v>0</v>
      </c>
      <c r="AH54" s="53">
        <f t="shared" si="23"/>
        <v>-1</v>
      </c>
    </row>
    <row r="55" spans="1:181" x14ac:dyDescent="0.25">
      <c r="A55" s="60" t="s">
        <v>50</v>
      </c>
      <c r="B55" s="61" t="s">
        <v>51</v>
      </c>
      <c r="C55" s="62"/>
      <c r="D55" s="62"/>
      <c r="E55" s="62"/>
      <c r="F55" s="62"/>
      <c r="G55" s="63"/>
      <c r="H55" s="51"/>
      <c r="I55" s="64"/>
      <c r="J55" s="53"/>
      <c r="K55" s="64"/>
      <c r="L55" s="53"/>
      <c r="M55" s="64"/>
      <c r="N55" s="53"/>
      <c r="O55" s="65"/>
      <c r="P55" s="53"/>
      <c r="Q55" s="35"/>
      <c r="R55" s="36"/>
      <c r="S55" s="65"/>
      <c r="T55" s="53"/>
      <c r="U55" s="66"/>
      <c r="V55" s="53"/>
      <c r="W55" s="79"/>
      <c r="X55" s="53"/>
      <c r="Y55" s="66"/>
      <c r="Z55" s="53"/>
      <c r="AA55" s="79"/>
      <c r="AB55" s="53"/>
      <c r="AC55" s="79"/>
      <c r="AD55" s="53"/>
      <c r="AE55" s="79">
        <v>5555.5</v>
      </c>
      <c r="AF55" s="53"/>
      <c r="AG55" s="79">
        <v>0</v>
      </c>
      <c r="AH55" s="53"/>
    </row>
    <row r="56" spans="1:181" s="58" customFormat="1" x14ac:dyDescent="0.25">
      <c r="A56" s="47" t="str">
        <f>+'[1]GASTOS DIC 22 ENE-NOV 23'!A37</f>
        <v>5201-04</v>
      </c>
      <c r="B56" s="48" t="str">
        <f>+'[1]GASTOS DIC 22 ENE-NOV 23'!B37</f>
        <v xml:space="preserve">      VÍATICOS</v>
      </c>
      <c r="C56" s="49">
        <f>+'[1]GASTOS DIC 22 ENE-NOV 23'!O37</f>
        <v>510</v>
      </c>
      <c r="D56" s="49">
        <f t="shared" si="14"/>
        <v>42.5</v>
      </c>
      <c r="E56" s="49">
        <f t="shared" si="22"/>
        <v>420</v>
      </c>
      <c r="F56" s="49">
        <f>+F57</f>
        <v>35</v>
      </c>
      <c r="G56" s="49">
        <f>+G57</f>
        <v>0</v>
      </c>
      <c r="H56" s="93">
        <f t="shared" si="2"/>
        <v>-1</v>
      </c>
      <c r="I56" s="52">
        <f>+I57</f>
        <v>0</v>
      </c>
      <c r="J56" s="53">
        <f t="shared" si="3"/>
        <v>-1</v>
      </c>
      <c r="K56" s="52">
        <f>+K57</f>
        <v>0</v>
      </c>
      <c r="L56" s="53">
        <f t="shared" si="4"/>
        <v>-1</v>
      </c>
      <c r="M56" s="52">
        <f>+M57</f>
        <v>0</v>
      </c>
      <c r="N56" s="53">
        <f t="shared" si="5"/>
        <v>-1</v>
      </c>
      <c r="O56" s="52">
        <f>+O57</f>
        <v>0</v>
      </c>
      <c r="P56" s="53">
        <f t="shared" si="6"/>
        <v>-1</v>
      </c>
      <c r="Q56" s="35">
        <f t="shared" si="7"/>
        <v>0</v>
      </c>
      <c r="R56" s="36">
        <f t="shared" si="8"/>
        <v>0</v>
      </c>
      <c r="S56" s="52">
        <f>+S57</f>
        <v>0</v>
      </c>
      <c r="T56" s="53">
        <f t="shared" si="9"/>
        <v>-1</v>
      </c>
      <c r="U56" s="75">
        <v>0</v>
      </c>
      <c r="V56" s="53">
        <f t="shared" si="9"/>
        <v>-1</v>
      </c>
      <c r="W56" s="54">
        <f>W57</f>
        <v>891.7</v>
      </c>
      <c r="X56" s="53">
        <f t="shared" si="9"/>
        <v>-892.7</v>
      </c>
      <c r="Y56" s="91">
        <v>0</v>
      </c>
      <c r="Z56" s="53">
        <f t="shared" si="9"/>
        <v>-1</v>
      </c>
      <c r="AA56" s="54">
        <f>AA57</f>
        <v>0</v>
      </c>
      <c r="AB56" s="53" t="e">
        <f t="shared" si="15"/>
        <v>#DIV/0!</v>
      </c>
      <c r="AC56" s="54">
        <f>AC57</f>
        <v>34500</v>
      </c>
      <c r="AD56" s="53">
        <f t="shared" si="10"/>
        <v>-34501</v>
      </c>
      <c r="AE56" s="54">
        <f>AE57</f>
        <v>0</v>
      </c>
      <c r="AF56" s="53">
        <f t="shared" si="19"/>
        <v>-1</v>
      </c>
      <c r="AG56" s="54">
        <f>AG57</f>
        <v>828.56</v>
      </c>
      <c r="AH56" s="53">
        <f t="shared" ref="AH56:AH58" si="24">(AG56/X56)-1</f>
        <v>-1.9281505544975914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</row>
    <row r="57" spans="1:181" s="96" customFormat="1" ht="20.45" customHeight="1" x14ac:dyDescent="0.25">
      <c r="A57" s="60" t="str">
        <f>+'[1]GASTOS DIC 22 ENE-NOV 23'!A38</f>
        <v>5201-04-0001</v>
      </c>
      <c r="B57" s="61" t="str">
        <f>+'[1]GASTOS DIC 22 ENE-NOV 23'!B38</f>
        <v xml:space="preserve">        VIATICOS C0M</v>
      </c>
      <c r="C57" s="62">
        <f>+'[1]GASTOS DIC 22 ENE-NOV 23'!O38</f>
        <v>510</v>
      </c>
      <c r="D57" s="62">
        <f t="shared" si="14"/>
        <v>42.5</v>
      </c>
      <c r="E57" s="62">
        <f t="shared" si="22"/>
        <v>420</v>
      </c>
      <c r="F57" s="62">
        <v>35</v>
      </c>
      <c r="G57" s="81">
        <v>0</v>
      </c>
      <c r="H57" s="51">
        <f t="shared" si="2"/>
        <v>-1</v>
      </c>
      <c r="I57" s="64">
        <v>0</v>
      </c>
      <c r="J57" s="53">
        <f t="shared" si="3"/>
        <v>-1</v>
      </c>
      <c r="K57" s="64">
        <v>0</v>
      </c>
      <c r="L57" s="53">
        <f t="shared" si="4"/>
        <v>-1</v>
      </c>
      <c r="M57" s="64">
        <v>0</v>
      </c>
      <c r="N57" s="53">
        <f t="shared" si="5"/>
        <v>-1</v>
      </c>
      <c r="O57" s="65">
        <v>0</v>
      </c>
      <c r="P57" s="53">
        <f t="shared" si="6"/>
        <v>-1</v>
      </c>
      <c r="Q57" s="35">
        <f t="shared" si="7"/>
        <v>0</v>
      </c>
      <c r="R57" s="36">
        <f t="shared" si="8"/>
        <v>0</v>
      </c>
      <c r="S57" s="65">
        <v>0</v>
      </c>
      <c r="T57" s="53">
        <f t="shared" si="9"/>
        <v>-1</v>
      </c>
      <c r="U57" s="66">
        <v>0</v>
      </c>
      <c r="V57" s="53">
        <f t="shared" si="9"/>
        <v>-1</v>
      </c>
      <c r="W57" s="72">
        <v>891.7</v>
      </c>
      <c r="X57" s="53">
        <f t="shared" si="9"/>
        <v>-892.7</v>
      </c>
      <c r="Y57" s="94">
        <v>0</v>
      </c>
      <c r="Z57" s="53">
        <f t="shared" si="9"/>
        <v>-1</v>
      </c>
      <c r="AA57" s="72">
        <v>0</v>
      </c>
      <c r="AB57" s="53" t="e">
        <f t="shared" si="15"/>
        <v>#DIV/0!</v>
      </c>
      <c r="AC57" s="95">
        <v>34500</v>
      </c>
      <c r="AD57" s="53">
        <f t="shared" si="10"/>
        <v>-34501</v>
      </c>
      <c r="AE57" s="79">
        <v>0</v>
      </c>
      <c r="AF57" s="53">
        <f t="shared" si="19"/>
        <v>-1</v>
      </c>
      <c r="AG57" s="73">
        <v>828.56</v>
      </c>
      <c r="AH57" s="53">
        <f t="shared" si="24"/>
        <v>-1.9281505544975914</v>
      </c>
    </row>
    <row r="58" spans="1:181" s="58" customFormat="1" x14ac:dyDescent="0.25">
      <c r="A58" s="47" t="str">
        <f>+'[1]GASTOS DIC 22 ENE-NOV 23'!A39</f>
        <v>5201-05</v>
      </c>
      <c r="B58" s="48" t="str">
        <f>+'[1]GASTOS DIC 22 ENE-NOV 23'!B39</f>
        <v xml:space="preserve">      PASAJES</v>
      </c>
      <c r="C58" s="49">
        <f>+'[1]GASTOS DIC 22 ENE-NOV 23'!O39</f>
        <v>16729.859999999997</v>
      </c>
      <c r="D58" s="49">
        <f t="shared" si="14"/>
        <v>1394.1549999999997</v>
      </c>
      <c r="E58" s="49">
        <f t="shared" si="22"/>
        <v>9600</v>
      </c>
      <c r="F58" s="49">
        <f>+F60+F61</f>
        <v>800</v>
      </c>
      <c r="G58" s="49">
        <f>+G60+G61</f>
        <v>123.8</v>
      </c>
      <c r="H58" s="93">
        <f t="shared" si="2"/>
        <v>-0.84525000000000006</v>
      </c>
      <c r="I58" s="52">
        <f>+I60+I61</f>
        <v>780.95</v>
      </c>
      <c r="J58" s="53">
        <f t="shared" si="3"/>
        <v>-2.3812499999999903E-2</v>
      </c>
      <c r="K58" s="52">
        <f>+K60+K61</f>
        <v>53.57</v>
      </c>
      <c r="L58" s="53">
        <f t="shared" si="4"/>
        <v>-0.93303749999999996</v>
      </c>
      <c r="M58" s="52">
        <v>0</v>
      </c>
      <c r="N58" s="53">
        <f t="shared" si="5"/>
        <v>-1</v>
      </c>
      <c r="O58" s="52">
        <f>+O60+O61</f>
        <v>105</v>
      </c>
      <c r="P58" s="53">
        <f t="shared" si="6"/>
        <v>-0.86875000000000002</v>
      </c>
      <c r="Q58" s="35">
        <f t="shared" si="7"/>
        <v>1063.32</v>
      </c>
      <c r="R58" s="36">
        <f t="shared" si="8"/>
        <v>0.1107625</v>
      </c>
      <c r="S58" s="52">
        <f>+S60+S61+S62</f>
        <v>474.76</v>
      </c>
      <c r="T58" s="53">
        <f t="shared" si="9"/>
        <v>-19938.427821522389</v>
      </c>
      <c r="U58" s="59">
        <v>23.81</v>
      </c>
      <c r="V58" s="53">
        <f t="shared" si="9"/>
        <v>-26.51880283482711</v>
      </c>
      <c r="W58" s="54">
        <f>SUM(W59:W62)</f>
        <v>12102.93</v>
      </c>
      <c r="X58" s="53">
        <f t="shared" si="9"/>
        <v>-12103.93</v>
      </c>
      <c r="Y58" s="97">
        <f>Y61</f>
        <v>88.33</v>
      </c>
      <c r="Z58" s="53">
        <f t="shared" si="9"/>
        <v>-102.67482014388489</v>
      </c>
      <c r="AA58" s="54">
        <f>SUM(AA59:AA62)</f>
        <v>605</v>
      </c>
      <c r="AB58" s="53">
        <f t="shared" si="15"/>
        <v>5461.1374562690444</v>
      </c>
      <c r="AC58" s="54">
        <f>SUM(AC59:AC62)</f>
        <v>1066.8599999999999</v>
      </c>
      <c r="AD58" s="53">
        <f t="shared" si="10"/>
        <v>-1.0535077293731447</v>
      </c>
      <c r="AE58" s="54">
        <f>SUM(AE59:AE62)</f>
        <v>1066.1200000000001</v>
      </c>
      <c r="AF58" s="53">
        <f t="shared" si="19"/>
        <v>-41.202418134798535</v>
      </c>
      <c r="AG58" s="54">
        <f>SUM(AG59:AG62)</f>
        <v>540.71</v>
      </c>
      <c r="AH58" s="53">
        <f t="shared" si="24"/>
        <v>-1.0446722676023408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</row>
    <row r="59" spans="1:181" s="3" customFormat="1" x14ac:dyDescent="0.25">
      <c r="A59" s="98" t="s">
        <v>52</v>
      </c>
      <c r="B59" s="67" t="s">
        <v>53</v>
      </c>
      <c r="C59" s="99"/>
      <c r="D59" s="99"/>
      <c r="E59" s="99"/>
      <c r="F59" s="99"/>
      <c r="G59" s="99"/>
      <c r="H59" s="51"/>
      <c r="I59" s="35"/>
      <c r="J59" s="53"/>
      <c r="K59" s="35"/>
      <c r="L59" s="53"/>
      <c r="M59" s="35"/>
      <c r="N59" s="53"/>
      <c r="O59" s="35"/>
      <c r="P59" s="53"/>
      <c r="Q59" s="35"/>
      <c r="R59" s="36"/>
      <c r="S59" s="35"/>
      <c r="T59" s="53"/>
      <c r="U59" s="100">
        <v>0</v>
      </c>
      <c r="V59" s="53">
        <v>-1</v>
      </c>
      <c r="W59" s="72">
        <v>487.2</v>
      </c>
      <c r="X59" s="53">
        <v>-1</v>
      </c>
      <c r="Y59" s="79">
        <v>0</v>
      </c>
      <c r="Z59" s="53">
        <v>-1</v>
      </c>
      <c r="AA59" s="72">
        <v>0</v>
      </c>
      <c r="AB59" s="53">
        <v>-1</v>
      </c>
      <c r="AC59" s="72">
        <v>0</v>
      </c>
      <c r="AD59" s="53">
        <v>-1</v>
      </c>
      <c r="AE59" s="66">
        <v>0</v>
      </c>
      <c r="AF59" s="53">
        <v>-1</v>
      </c>
      <c r="AG59" s="66">
        <v>0</v>
      </c>
      <c r="AH59" s="53">
        <v>-1</v>
      </c>
    </row>
    <row r="60" spans="1:181" x14ac:dyDescent="0.25">
      <c r="A60" s="60" t="str">
        <f>+'[1]GASTOS DIC 22 ENE-NOV 23'!A40</f>
        <v>5201-05-0001</v>
      </c>
      <c r="B60" s="61" t="str">
        <f>+'[1]GASTOS DIC 22 ENE-NOV 23'!B40</f>
        <v xml:space="preserve">VIATICOS DE ADMINISTRACION </v>
      </c>
      <c r="C60" s="62">
        <f>+'[1]GASTOS DIC 22 ENE-NOV 23'!O40</f>
        <v>10440</v>
      </c>
      <c r="D60" s="62">
        <f t="shared" si="14"/>
        <v>870</v>
      </c>
      <c r="E60" s="62">
        <f t="shared" si="22"/>
        <v>4800</v>
      </c>
      <c r="F60" s="62">
        <v>400</v>
      </c>
      <c r="G60" s="81">
        <v>0</v>
      </c>
      <c r="H60" s="51">
        <f t="shared" si="2"/>
        <v>-1</v>
      </c>
      <c r="I60" s="64">
        <v>0</v>
      </c>
      <c r="J60" s="53">
        <f t="shared" si="3"/>
        <v>-1</v>
      </c>
      <c r="K60" s="64">
        <v>0</v>
      </c>
      <c r="L60" s="53">
        <f t="shared" si="4"/>
        <v>-1</v>
      </c>
      <c r="M60" s="64">
        <v>0</v>
      </c>
      <c r="N60" s="53">
        <f t="shared" si="5"/>
        <v>-1</v>
      </c>
      <c r="O60" s="65">
        <v>0</v>
      </c>
      <c r="P60" s="53">
        <f t="shared" si="6"/>
        <v>-1</v>
      </c>
      <c r="Q60" s="35">
        <f t="shared" si="7"/>
        <v>0</v>
      </c>
      <c r="R60" s="36">
        <f t="shared" si="8"/>
        <v>0</v>
      </c>
      <c r="S60" s="65">
        <v>0</v>
      </c>
      <c r="T60" s="53">
        <f>(S60/J60)-1</f>
        <v>-1</v>
      </c>
      <c r="U60" s="66">
        <v>0</v>
      </c>
      <c r="V60" s="53">
        <f>(U60/L60)-1</f>
        <v>-1</v>
      </c>
      <c r="W60" s="101">
        <v>0</v>
      </c>
      <c r="X60" s="53">
        <f>(W60/N60)-1</f>
        <v>-1</v>
      </c>
      <c r="Y60" s="66">
        <v>0</v>
      </c>
      <c r="Z60" s="53">
        <f>(Y60/P60)-1</f>
        <v>-1</v>
      </c>
      <c r="AA60" s="101">
        <v>0</v>
      </c>
      <c r="AB60" s="53" t="e">
        <f>(AA60/R60)-1</f>
        <v>#DIV/0!</v>
      </c>
      <c r="AC60" s="101">
        <v>0</v>
      </c>
      <c r="AD60" s="53">
        <f>(AC60/T60)-1</f>
        <v>-1</v>
      </c>
      <c r="AE60" s="102">
        <v>0</v>
      </c>
      <c r="AF60" s="53">
        <f>(AE60/V60)-1</f>
        <v>-1</v>
      </c>
      <c r="AG60" s="102">
        <v>0</v>
      </c>
      <c r="AH60" s="53">
        <f>(AG60/X60)-1</f>
        <v>-1</v>
      </c>
    </row>
    <row r="61" spans="1:181" x14ac:dyDescent="0.25">
      <c r="A61" s="60" t="str">
        <f>+'[1]GASTOS DIC 22 ENE-NOV 23'!A41</f>
        <v>5201-05-0003</v>
      </c>
      <c r="B61" s="103" t="str">
        <f>+'[1]GASTOS DIC 22 ENE-NOV 23'!B41</f>
        <v xml:space="preserve">        GASTOS DE MOVILIDAD Y TRANSPORTE</v>
      </c>
      <c r="C61" s="62">
        <f>+'[1]GASTOS DIC 22 ENE-NOV 23'!O41</f>
        <v>6289.8600000000006</v>
      </c>
      <c r="D61" s="62">
        <f t="shared" si="14"/>
        <v>524.15500000000009</v>
      </c>
      <c r="E61" s="62">
        <f t="shared" si="22"/>
        <v>4800</v>
      </c>
      <c r="F61" s="62">
        <v>400</v>
      </c>
      <c r="G61" s="63">
        <v>123.8</v>
      </c>
      <c r="H61" s="51">
        <f t="shared" si="2"/>
        <v>-0.6905</v>
      </c>
      <c r="I61" s="65">
        <v>780.95</v>
      </c>
      <c r="J61" s="53">
        <f t="shared" si="3"/>
        <v>0.95237500000000019</v>
      </c>
      <c r="K61" s="64">
        <v>53.57</v>
      </c>
      <c r="L61" s="53">
        <f t="shared" si="4"/>
        <v>-0.86607500000000004</v>
      </c>
      <c r="M61" s="64">
        <v>29.76</v>
      </c>
      <c r="N61" s="53">
        <f t="shared" si="5"/>
        <v>-0.92559999999999998</v>
      </c>
      <c r="O61" s="65">
        <v>105</v>
      </c>
      <c r="P61" s="53">
        <f t="shared" si="6"/>
        <v>-0.73750000000000004</v>
      </c>
      <c r="Q61" s="35">
        <f t="shared" si="7"/>
        <v>1093.08</v>
      </c>
      <c r="R61" s="36">
        <f t="shared" si="8"/>
        <v>0.22772499999999998</v>
      </c>
      <c r="S61" s="65">
        <v>174.76</v>
      </c>
      <c r="T61" s="53">
        <f>(S61/J61)-1</f>
        <v>182.4991468696679</v>
      </c>
      <c r="U61" s="72">
        <v>23.81</v>
      </c>
      <c r="V61" s="53">
        <f>(U61/L61)-1</f>
        <v>-28.491845394451978</v>
      </c>
      <c r="W61" s="72">
        <v>124.05</v>
      </c>
      <c r="X61" s="53">
        <f>(W61/N61)-1</f>
        <v>-135.02117545375972</v>
      </c>
      <c r="Y61" s="72">
        <v>88.33</v>
      </c>
      <c r="Z61" s="53">
        <f>(Y61/P61)-1</f>
        <v>-120.76949152542372</v>
      </c>
      <c r="AA61" s="72">
        <v>5</v>
      </c>
      <c r="AB61" s="53">
        <f>(AA61/R61)-1</f>
        <v>20.95630694917115</v>
      </c>
      <c r="AC61" s="95">
        <v>22.86</v>
      </c>
      <c r="AD61" s="53">
        <f>(AC61/T61)-1</f>
        <v>-0.87473914047211676</v>
      </c>
      <c r="AE61" s="104">
        <v>491.92</v>
      </c>
      <c r="AF61" s="53">
        <f>(AE61/V61)-1</f>
        <v>-18.265290934640134</v>
      </c>
      <c r="AG61" s="95">
        <v>540.71</v>
      </c>
      <c r="AH61" s="53">
        <f>(AG61/X61)-1</f>
        <v>-5.0046311119930609</v>
      </c>
    </row>
    <row r="62" spans="1:181" x14ac:dyDescent="0.25">
      <c r="A62" s="60" t="s">
        <v>54</v>
      </c>
      <c r="B62" s="61" t="s">
        <v>55</v>
      </c>
      <c r="C62" s="62"/>
      <c r="D62" s="62"/>
      <c r="E62" s="62"/>
      <c r="F62" s="62"/>
      <c r="G62" s="63">
        <v>0</v>
      </c>
      <c r="H62" s="51"/>
      <c r="I62" s="64">
        <v>0</v>
      </c>
      <c r="J62" s="53"/>
      <c r="K62" s="64"/>
      <c r="L62" s="53"/>
      <c r="M62" s="64"/>
      <c r="N62" s="53"/>
      <c r="O62" s="65"/>
      <c r="P62" s="53"/>
      <c r="Q62" s="35"/>
      <c r="R62" s="36"/>
      <c r="S62" s="65">
        <v>300</v>
      </c>
      <c r="T62" s="53"/>
      <c r="U62" s="66">
        <v>0</v>
      </c>
      <c r="V62" s="53"/>
      <c r="W62" s="72">
        <v>11491.68</v>
      </c>
      <c r="X62" s="53"/>
      <c r="Y62" s="66">
        <v>0</v>
      </c>
      <c r="Z62" s="53"/>
      <c r="AA62" s="72">
        <v>600</v>
      </c>
      <c r="AB62" s="53"/>
      <c r="AC62" s="95">
        <v>1044</v>
      </c>
      <c r="AD62" s="53">
        <v>0</v>
      </c>
      <c r="AE62" s="104">
        <v>574.20000000000005</v>
      </c>
      <c r="AF62" s="53"/>
      <c r="AG62" s="104">
        <v>0</v>
      </c>
      <c r="AH62" s="53"/>
    </row>
    <row r="63" spans="1:181" x14ac:dyDescent="0.25">
      <c r="A63" s="47" t="s">
        <v>56</v>
      </c>
      <c r="B63" s="48" t="s">
        <v>57</v>
      </c>
      <c r="C63" s="105"/>
      <c r="D63" s="105"/>
      <c r="E63" s="105"/>
      <c r="F63" s="105"/>
      <c r="G63" s="105">
        <v>0</v>
      </c>
      <c r="H63" s="93"/>
      <c r="I63" s="106">
        <v>0</v>
      </c>
      <c r="J63" s="53"/>
      <c r="K63" s="106"/>
      <c r="L63" s="53"/>
      <c r="M63" s="106"/>
      <c r="N63" s="53"/>
      <c r="O63" s="106"/>
      <c r="P63" s="53"/>
      <c r="Q63" s="35"/>
      <c r="R63" s="36"/>
      <c r="S63" s="106">
        <f>+S64</f>
        <v>0</v>
      </c>
      <c r="T63" s="53"/>
      <c r="U63" s="75">
        <v>0</v>
      </c>
      <c r="V63" s="53"/>
      <c r="W63" s="75">
        <v>0</v>
      </c>
      <c r="X63" s="53"/>
      <c r="Y63" s="66">
        <v>0</v>
      </c>
      <c r="Z63" s="53"/>
      <c r="AA63" s="75">
        <v>0</v>
      </c>
      <c r="AB63" s="53"/>
      <c r="AC63" s="75">
        <v>0</v>
      </c>
      <c r="AD63" s="53"/>
      <c r="AE63" s="74">
        <v>0</v>
      </c>
      <c r="AF63" s="56"/>
      <c r="AG63" s="75">
        <v>0</v>
      </c>
      <c r="AH63" s="53"/>
    </row>
    <row r="64" spans="1:181" x14ac:dyDescent="0.25">
      <c r="A64" s="60" t="s">
        <v>58</v>
      </c>
      <c r="B64" s="61" t="s">
        <v>57</v>
      </c>
      <c r="C64" s="62"/>
      <c r="D64" s="62"/>
      <c r="E64" s="62"/>
      <c r="F64" s="62"/>
      <c r="G64" s="63">
        <v>0</v>
      </c>
      <c r="H64" s="51"/>
      <c r="I64" s="64">
        <v>0</v>
      </c>
      <c r="J64" s="53"/>
      <c r="K64" s="64"/>
      <c r="L64" s="53"/>
      <c r="M64" s="64"/>
      <c r="N64" s="53"/>
      <c r="O64" s="65"/>
      <c r="P64" s="53"/>
      <c r="Q64" s="35"/>
      <c r="R64" s="36"/>
      <c r="S64" s="65">
        <v>0</v>
      </c>
      <c r="T64" s="53"/>
      <c r="U64" s="66">
        <v>0</v>
      </c>
      <c r="V64" s="53"/>
      <c r="W64" s="66">
        <v>0</v>
      </c>
      <c r="X64" s="53"/>
      <c r="Y64" s="66">
        <v>0</v>
      </c>
      <c r="Z64" s="53"/>
      <c r="AA64" s="66">
        <v>0</v>
      </c>
      <c r="AB64" s="53"/>
      <c r="AC64" s="66">
        <v>0</v>
      </c>
      <c r="AD64" s="53"/>
      <c r="AE64" s="66">
        <v>0</v>
      </c>
      <c r="AF64" s="53"/>
      <c r="AG64" s="66">
        <v>0</v>
      </c>
      <c r="AH64" s="53"/>
    </row>
    <row r="65" spans="1:181" s="46" customFormat="1" x14ac:dyDescent="0.25">
      <c r="A65" s="38">
        <f>+'[1]GASTOS DIC 22 ENE-NOV 23'!A42</f>
        <v>53</v>
      </c>
      <c r="B65" s="39" t="str">
        <f>+'[1]GASTOS DIC 22 ENE-NOV 23'!B42</f>
        <v xml:space="preserve">  GASTOS GENERALES DE ADMINISTRACIÓN</v>
      </c>
      <c r="C65" s="40">
        <f>+C66</f>
        <v>1342213.17</v>
      </c>
      <c r="D65" s="40">
        <f t="shared" si="14"/>
        <v>111851.09749999999</v>
      </c>
      <c r="E65" s="40">
        <f t="shared" si="22"/>
        <v>1287438.8999999999</v>
      </c>
      <c r="F65" s="40">
        <f>+F66</f>
        <v>107286.575</v>
      </c>
      <c r="G65" s="40">
        <f>+G66</f>
        <v>129036.75999999998</v>
      </c>
      <c r="H65" s="41">
        <f t="shared" si="2"/>
        <v>0.2027297916817643</v>
      </c>
      <c r="I65" s="42">
        <f>+I67+I74+I81+I83+I90+I93+I113+I119+I142</f>
        <v>135116.44999999998</v>
      </c>
      <c r="J65" s="43">
        <f t="shared" si="3"/>
        <v>0.25939755276930021</v>
      </c>
      <c r="K65" s="42">
        <f>+K66</f>
        <v>118415.97000000002</v>
      </c>
      <c r="L65" s="43">
        <f t="shared" si="4"/>
        <v>0.10373520638532852</v>
      </c>
      <c r="M65" s="42">
        <f>+M66</f>
        <v>101004.35000000002</v>
      </c>
      <c r="N65" s="43">
        <f t="shared" si="5"/>
        <v>-5.8555555529664183E-2</v>
      </c>
      <c r="O65" s="42">
        <f>+O66</f>
        <v>104573.89000000001</v>
      </c>
      <c r="P65" s="43">
        <f t="shared" si="6"/>
        <v>-2.5284477577926068E-2</v>
      </c>
      <c r="Q65" s="42">
        <f>+O65+M65+K65+I65+G65</f>
        <v>588147.42000000004</v>
      </c>
      <c r="R65" s="44">
        <f>+Q65/E65</f>
        <v>0.45683520981073361</v>
      </c>
      <c r="S65" s="42">
        <f>+S66</f>
        <v>97341.099999999991</v>
      </c>
      <c r="T65" s="43">
        <f t="shared" si="9"/>
        <v>375257.35907392704</v>
      </c>
      <c r="U65" s="45">
        <f>U66</f>
        <v>84961.809999999983</v>
      </c>
      <c r="V65" s="43">
        <f t="shared" si="9"/>
        <v>819024.79616418737</v>
      </c>
      <c r="W65" s="45">
        <f>W66</f>
        <v>116485.60999999999</v>
      </c>
      <c r="X65" s="43">
        <f t="shared" si="9"/>
        <v>-1989318.8187164238</v>
      </c>
      <c r="Y65" s="45">
        <f>Y66</f>
        <v>125477.26999999999</v>
      </c>
      <c r="Z65" s="43">
        <f t="shared" si="9"/>
        <v>-4962621.6281416127</v>
      </c>
      <c r="AA65" s="45">
        <f>AA66</f>
        <v>106288.9</v>
      </c>
      <c r="AB65" s="43">
        <f t="shared" si="15"/>
        <v>232662.54632348803</v>
      </c>
      <c r="AC65" s="45">
        <f>AC66</f>
        <v>232193.59</v>
      </c>
      <c r="AD65" s="43">
        <f t="shared" si="10"/>
        <v>-0.38124174147306455</v>
      </c>
      <c r="AE65" s="45">
        <f>AE66</f>
        <v>238791.34</v>
      </c>
      <c r="AF65" s="43">
        <f t="shared" ref="AF65:AF72" si="25">(AE65/V65)-1</f>
        <v>-0.70844430947835402</v>
      </c>
      <c r="AG65" s="45">
        <f>AG66</f>
        <v>339164.54000000004</v>
      </c>
      <c r="AH65" s="43">
        <f t="shared" ref="AH65:AH72" si="26">(AG65/X65)-1</f>
        <v>-1.1704928022642647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</row>
    <row r="66" spans="1:181" s="46" customFormat="1" x14ac:dyDescent="0.25">
      <c r="A66" s="83">
        <f>+'[1]GASTOS DIC 22 ENE-NOV 23'!A43</f>
        <v>5301</v>
      </c>
      <c r="B66" s="84" t="str">
        <f>+'[1]GASTOS DIC 22 ENE-NOV 23'!B43</f>
        <v xml:space="preserve">    GASTOS GENERALES DE ADMINISTRACIÓN</v>
      </c>
      <c r="C66" s="85">
        <f>+C67+C74+C81+C83+C85+C90+C93+C101+C110+C113+C117+C119+C127</f>
        <v>1342213.17</v>
      </c>
      <c r="D66" s="85">
        <f>+D67+D74+D81+D83+D85+D90+D93+D101+D113+D117+D119+D127+D132</f>
        <v>111851.26416666663</v>
      </c>
      <c r="E66" s="85">
        <f t="shared" si="22"/>
        <v>1287438.8999999999</v>
      </c>
      <c r="F66" s="85">
        <f>+F67+F74+F81+F83+F85+F90+F93+F101+F113+F117+F119+F127</f>
        <v>107286.575</v>
      </c>
      <c r="G66" s="85">
        <f>+G67+G74+G81+G83+G85+G90+G93+G101+G113+G117+G119+G127+G110</f>
        <v>129036.75999999998</v>
      </c>
      <c r="H66" s="86">
        <f t="shared" si="2"/>
        <v>0.2027297916817643</v>
      </c>
      <c r="I66" s="87">
        <f>+I67+I74+I81+I83+I85+I90+I93+I101+I113+I117+I119+I127+I110</f>
        <v>127227.99999999997</v>
      </c>
      <c r="J66" s="88">
        <f t="shared" si="3"/>
        <v>0.18587064597783987</v>
      </c>
      <c r="K66" s="87">
        <f>+K67+K74+K81+K83+K85+K90+K93+K101+K113+K117+K119+K127+K110+K142</f>
        <v>118415.97000000002</v>
      </c>
      <c r="L66" s="88">
        <f t="shared" si="4"/>
        <v>0.10373520638532852</v>
      </c>
      <c r="M66" s="87">
        <f>+M67+M74+M81+M83+M85+M90+M93+M101+M113+M117+M119+M127+M110</f>
        <v>101004.35000000002</v>
      </c>
      <c r="N66" s="88">
        <f t="shared" si="5"/>
        <v>-5.8555555529664183E-2</v>
      </c>
      <c r="O66" s="87">
        <f>+O67+O74+O81+O83+O85+O90+O93+O101+O110+O113+O119+O142</f>
        <v>104573.89000000001</v>
      </c>
      <c r="P66" s="88">
        <f t="shared" si="6"/>
        <v>-2.5284477577926068E-2</v>
      </c>
      <c r="Q66" s="35">
        <f t="shared" si="7"/>
        <v>580258.97000000009</v>
      </c>
      <c r="R66" s="36">
        <f t="shared" si="8"/>
        <v>0.45070796757811199</v>
      </c>
      <c r="S66" s="87">
        <f>+S67+S74+S81+S83+S85+S90+S93+S101+S110+S113+S119+S142</f>
        <v>97341.099999999991</v>
      </c>
      <c r="T66" s="88">
        <f t="shared" si="9"/>
        <v>523702.45778862428</v>
      </c>
      <c r="U66" s="89">
        <f>+U67+U74+U81+U83+U85+U90+U93+U101+U110+U113+U117+U119+U142</f>
        <v>84961.809999999983</v>
      </c>
      <c r="V66" s="88">
        <f t="shared" si="9"/>
        <v>819024.79616418737</v>
      </c>
      <c r="W66" s="89">
        <f>W67+W74+W81+W83+W85+W90+W93+W101+W113+W119+W142</f>
        <v>116485.60999999999</v>
      </c>
      <c r="X66" s="88">
        <f t="shared" si="9"/>
        <v>-1989318.8187164238</v>
      </c>
      <c r="Y66" s="90">
        <f>Y67+Y74+Y81+Y83+Y85+Y90+Y93+Y101+Y110+Y113+Y117+Y119+Y142</f>
        <v>125477.26999999999</v>
      </c>
      <c r="Z66" s="88">
        <f t="shared" si="9"/>
        <v>-4962621.6281416127</v>
      </c>
      <c r="AA66" s="90">
        <f>AA67+AA74+AA81+AA83+AA85+AA90+AA93+AA101+AA110+AA113+AA117+AA119+AA142</f>
        <v>106288.9</v>
      </c>
      <c r="AB66" s="88">
        <f t="shared" si="15"/>
        <v>235825.53879217058</v>
      </c>
      <c r="AC66" s="78">
        <f>AC67+AC74+AC81+AC83+AC85+AC90+AC93+AC101+AC110+AC113+AC117+AC119+AC142</f>
        <v>232193.59</v>
      </c>
      <c r="AD66" s="88">
        <f t="shared" si="10"/>
        <v>-0.55663070404432302</v>
      </c>
      <c r="AE66" s="78">
        <f>+AE67+AE74+AE81+AE83+AE85+AE90+AE93+AE101+AE110+AE113+AE117+AE119+AE127</f>
        <v>238791.34</v>
      </c>
      <c r="AF66" s="88">
        <f t="shared" si="25"/>
        <v>-0.70844430947835402</v>
      </c>
      <c r="AG66" s="78">
        <f>+AG67+AG74+AG83+AG85+AG90+AG93+AG101+AG110+AG113+AG119+AG142</f>
        <v>339164.54000000004</v>
      </c>
      <c r="AH66" s="88">
        <f t="shared" si="26"/>
        <v>-1.1704928022642647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</row>
    <row r="67" spans="1:181" s="58" customFormat="1" x14ac:dyDescent="0.25">
      <c r="A67" s="47" t="str">
        <f>+'[1]GASTOS DIC 22 ENE-NOV 23'!A44</f>
        <v>5301-01</v>
      </c>
      <c r="B67" s="48" t="str">
        <f>+'[1]GASTOS DIC 22 ENE-NOV 23'!B44</f>
        <v xml:space="preserve">      SUELDOS Y SALARIOS</v>
      </c>
      <c r="C67" s="49">
        <f>SUM(C68:C72)</f>
        <v>899645.18999999983</v>
      </c>
      <c r="D67" s="49">
        <f t="shared" si="14"/>
        <v>74970.432499999981</v>
      </c>
      <c r="E67" s="49">
        <f>+F67*12</f>
        <v>874560</v>
      </c>
      <c r="F67" s="49">
        <f>+F68+F69+F70+F71+F72</f>
        <v>72880</v>
      </c>
      <c r="G67" s="49">
        <f>+G68+G69+G70+G71+G72</f>
        <v>74026.31</v>
      </c>
      <c r="H67" s="51">
        <f t="shared" si="2"/>
        <v>1.5728732162458847E-2</v>
      </c>
      <c r="I67" s="52">
        <f>+I68+I69+I70+I71+I72</f>
        <v>67171.34</v>
      </c>
      <c r="J67" s="53">
        <f t="shared" si="3"/>
        <v>-7.832958287596048E-2</v>
      </c>
      <c r="K67" s="52">
        <f>+K68+K69+K70+K71+K72</f>
        <v>82765.94</v>
      </c>
      <c r="L67" s="53">
        <f t="shared" si="4"/>
        <v>0.13564681668496159</v>
      </c>
      <c r="M67" s="52">
        <f>+M68+M69+M70+M71+M72</f>
        <v>68385.94</v>
      </c>
      <c r="N67" s="53">
        <f t="shared" si="5"/>
        <v>-6.1663830954994503E-2</v>
      </c>
      <c r="O67" s="52">
        <f>+SUM(O68:O72)</f>
        <v>64791.08</v>
      </c>
      <c r="P67" s="53">
        <f t="shared" si="6"/>
        <v>-0.11098957189901204</v>
      </c>
      <c r="Q67" s="35">
        <f t="shared" si="7"/>
        <v>357140.61000000004</v>
      </c>
      <c r="R67" s="36">
        <f t="shared" si="8"/>
        <v>0.40836604692645451</v>
      </c>
      <c r="S67" s="52">
        <f>+SUM(S68:S72)</f>
        <v>48636.66</v>
      </c>
      <c r="T67" s="53">
        <f t="shared" si="9"/>
        <v>-620924.26059005095</v>
      </c>
      <c r="U67" s="59">
        <f>SUM(U68:U71)</f>
        <v>52136.66</v>
      </c>
      <c r="V67" s="53">
        <f t="shared" si="9"/>
        <v>384354.94195392646</v>
      </c>
      <c r="W67" s="54">
        <f>W68+W71</f>
        <v>71436.66</v>
      </c>
      <c r="X67" s="53">
        <f t="shared" si="9"/>
        <v>-1158486.5967210054</v>
      </c>
      <c r="Y67" s="97">
        <f>SUM(Y68:Y72)</f>
        <v>47786.66</v>
      </c>
      <c r="Z67" s="53">
        <f t="shared" si="9"/>
        <v>-430551.89935368398</v>
      </c>
      <c r="AA67" s="54">
        <f>SUM(AA68:AA72)</f>
        <v>56486.66</v>
      </c>
      <c r="AB67" s="53">
        <f t="shared" si="15"/>
        <v>138322.59576694455</v>
      </c>
      <c r="AC67" s="54">
        <f>SUM(AC68:AC73)</f>
        <v>166834.28</v>
      </c>
      <c r="AD67" s="53">
        <f t="shared" si="10"/>
        <v>-1.268687005145299</v>
      </c>
      <c r="AE67" s="54">
        <f>SUM(AE68:AE73)</f>
        <v>187865.09999999998</v>
      </c>
      <c r="AF67" s="53">
        <f t="shared" si="25"/>
        <v>-0.51121976201227093</v>
      </c>
      <c r="AG67" s="45">
        <f>SUM(AG68:AG73)</f>
        <v>293299.86</v>
      </c>
      <c r="AH67" s="53">
        <f t="shared" si="26"/>
        <v>-1.2531750137033604</v>
      </c>
      <c r="AI67"/>
      <c r="AJ67" s="107">
        <f>+AG65-339164.54</f>
        <v>0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</row>
    <row r="68" spans="1:181" x14ac:dyDescent="0.25">
      <c r="A68" s="60" t="str">
        <f>+'[1]GASTOS DIC 22 ENE-NOV 23'!A45</f>
        <v>5301-01-0001</v>
      </c>
      <c r="B68" s="61" t="str">
        <f>+'[1]GASTOS DIC 22 ENE-NOV 23'!B45</f>
        <v xml:space="preserve">        SUELDOS Y SALARIOS ADM</v>
      </c>
      <c r="C68" s="62">
        <f>+'[1]GASTOS DIC 22 ENE-NOV 23'!O45</f>
        <v>649161.7799999998</v>
      </c>
      <c r="D68" s="62">
        <f t="shared" si="14"/>
        <v>54096.814999999981</v>
      </c>
      <c r="E68" s="62">
        <f t="shared" si="22"/>
        <v>596280</v>
      </c>
      <c r="F68" s="62">
        <v>49690</v>
      </c>
      <c r="G68" s="63">
        <v>59156.94</v>
      </c>
      <c r="H68" s="51">
        <f t="shared" si="2"/>
        <v>0.19052002414972846</v>
      </c>
      <c r="I68" s="65">
        <v>55026.34</v>
      </c>
      <c r="J68" s="53">
        <f t="shared" si="3"/>
        <v>0.10739263433286372</v>
      </c>
      <c r="K68" s="65">
        <v>49485.94</v>
      </c>
      <c r="L68" s="108">
        <f t="shared" si="4"/>
        <v>-4.1066613000603214E-3</v>
      </c>
      <c r="M68" s="64">
        <v>49485.94</v>
      </c>
      <c r="N68" s="108">
        <f t="shared" si="5"/>
        <v>-4.1066613000603214E-3</v>
      </c>
      <c r="O68" s="65">
        <v>49941.08</v>
      </c>
      <c r="P68" s="108">
        <f t="shared" si="6"/>
        <v>5.0529281545583782E-3</v>
      </c>
      <c r="Q68" s="35">
        <f t="shared" si="7"/>
        <v>263096.24</v>
      </c>
      <c r="R68" s="36">
        <f t="shared" si="8"/>
        <v>0.4412293553364191</v>
      </c>
      <c r="S68" s="65">
        <v>36436.660000000003</v>
      </c>
      <c r="T68" s="108">
        <f t="shared" si="9"/>
        <v>339283.53498090466</v>
      </c>
      <c r="U68" s="72">
        <v>36436.660000000003</v>
      </c>
      <c r="V68" s="108">
        <f t="shared" si="9"/>
        <v>-8872575.9064001944</v>
      </c>
      <c r="W68" s="72">
        <v>36436.660000000003</v>
      </c>
      <c r="X68" s="108">
        <f t="shared" si="9"/>
        <v>-8872575.9064001944</v>
      </c>
      <c r="Y68" s="66">
        <v>36436.660000000003</v>
      </c>
      <c r="Z68" s="108">
        <f t="shared" si="9"/>
        <v>7210998.0258083409</v>
      </c>
      <c r="AA68" s="72">
        <v>36436.660000000003</v>
      </c>
      <c r="AB68" s="108">
        <f t="shared" si="15"/>
        <v>82578.863645333753</v>
      </c>
      <c r="AC68" s="95">
        <v>36436.660000000003</v>
      </c>
      <c r="AD68" s="108">
        <f t="shared" si="10"/>
        <v>-0.89260704913944411</v>
      </c>
      <c r="AE68" s="95">
        <v>30967.48</v>
      </c>
      <c r="AF68" s="108">
        <f t="shared" si="25"/>
        <v>-1.0034902468377489</v>
      </c>
      <c r="AG68" s="95">
        <v>30967.48</v>
      </c>
      <c r="AH68" s="108">
        <f t="shared" si="26"/>
        <v>-1.0034902468377489</v>
      </c>
    </row>
    <row r="69" spans="1:181" x14ac:dyDescent="0.25">
      <c r="A69" s="60" t="str">
        <f>+'[1]GASTOS DIC 22 ENE-NOV 23'!A46</f>
        <v>5301-01-0002</v>
      </c>
      <c r="B69" s="61" t="str">
        <f>+'[1]GASTOS DIC 22 ENE-NOV 23'!B46</f>
        <v xml:space="preserve">        HONORARIOS PROFESIONALES</v>
      </c>
      <c r="C69" s="62">
        <f>+'[1]GASTOS DIC 22 ENE-NOV 23'!O46</f>
        <v>66990</v>
      </c>
      <c r="D69" s="62">
        <f t="shared" si="14"/>
        <v>5582.5</v>
      </c>
      <c r="E69" s="62">
        <f t="shared" si="22"/>
        <v>83400</v>
      </c>
      <c r="F69" s="62">
        <v>6950</v>
      </c>
      <c r="G69" s="63">
        <v>3045</v>
      </c>
      <c r="H69" s="51">
        <f t="shared" si="2"/>
        <v>-0.56187050359712232</v>
      </c>
      <c r="I69" s="65">
        <v>3045</v>
      </c>
      <c r="J69" s="53">
        <f t="shared" si="3"/>
        <v>-0.56187050359712232</v>
      </c>
      <c r="K69" s="64">
        <v>8700</v>
      </c>
      <c r="L69" s="53">
        <f t="shared" si="4"/>
        <v>0.25179856115107913</v>
      </c>
      <c r="M69" s="64">
        <v>0</v>
      </c>
      <c r="N69" s="53">
        <f t="shared" si="5"/>
        <v>-1</v>
      </c>
      <c r="O69" s="65">
        <v>4350</v>
      </c>
      <c r="P69" s="53">
        <f t="shared" si="6"/>
        <v>-0.37410071942446044</v>
      </c>
      <c r="Q69" s="35">
        <f t="shared" si="7"/>
        <v>19140</v>
      </c>
      <c r="R69" s="36">
        <f t="shared" si="8"/>
        <v>0.22949640287769785</v>
      </c>
      <c r="S69" s="65">
        <v>8700</v>
      </c>
      <c r="T69" s="53">
        <f t="shared" si="9"/>
        <v>-15484.994878361074</v>
      </c>
      <c r="U69" s="72">
        <v>8700</v>
      </c>
      <c r="V69" s="53">
        <f t="shared" si="9"/>
        <v>34550.428571428572</v>
      </c>
      <c r="W69" s="66">
        <v>0</v>
      </c>
      <c r="X69" s="53">
        <f t="shared" si="9"/>
        <v>-1</v>
      </c>
      <c r="Y69" s="109">
        <v>4350</v>
      </c>
      <c r="Z69" s="53">
        <f t="shared" si="9"/>
        <v>-11628.884615384615</v>
      </c>
      <c r="AA69" s="66">
        <v>13050</v>
      </c>
      <c r="AB69" s="53">
        <f t="shared" si="15"/>
        <v>56862.63636363636</v>
      </c>
      <c r="AC69" s="73">
        <v>4350</v>
      </c>
      <c r="AD69" s="53">
        <f t="shared" si="10"/>
        <v>-1.2809171093804328</v>
      </c>
      <c r="AE69" s="73">
        <v>4350</v>
      </c>
      <c r="AF69" s="53">
        <f t="shared" si="25"/>
        <v>-0.87409707549627247</v>
      </c>
      <c r="AG69" s="73">
        <v>4350</v>
      </c>
      <c r="AH69" s="53">
        <f t="shared" si="26"/>
        <v>-4351</v>
      </c>
    </row>
    <row r="70" spans="1:181" x14ac:dyDescent="0.25">
      <c r="A70" s="60" t="str">
        <f>+'[1]GASTOS DIC 22 ENE-NOV 23'!A47</f>
        <v>5301-01-0003</v>
      </c>
      <c r="B70" s="61" t="str">
        <f>+'[1]GASTOS DIC 22 ENE-NOV 23'!B47</f>
        <v xml:space="preserve">        SERVICIOS COMERCIALES</v>
      </c>
      <c r="C70" s="62">
        <f>+'[1]GASTOS DIC 22 ENE-NOV 23'!O47</f>
        <v>28173.41</v>
      </c>
      <c r="D70" s="62">
        <f t="shared" si="14"/>
        <v>2347.7841666666668</v>
      </c>
      <c r="E70" s="62">
        <f t="shared" si="22"/>
        <v>24000</v>
      </c>
      <c r="F70" s="62">
        <v>2000</v>
      </c>
      <c r="G70" s="81"/>
      <c r="H70" s="51">
        <f t="shared" si="2"/>
        <v>-1</v>
      </c>
      <c r="I70" s="64">
        <v>0</v>
      </c>
      <c r="J70" s="53">
        <f t="shared" si="3"/>
        <v>-1</v>
      </c>
      <c r="K70" s="64">
        <v>0</v>
      </c>
      <c r="L70" s="53">
        <f t="shared" si="4"/>
        <v>-1</v>
      </c>
      <c r="M70" s="64">
        <v>0</v>
      </c>
      <c r="N70" s="53">
        <f t="shared" si="5"/>
        <v>-1</v>
      </c>
      <c r="O70" s="65">
        <v>0</v>
      </c>
      <c r="P70" s="53">
        <f t="shared" si="6"/>
        <v>-1</v>
      </c>
      <c r="Q70" s="35">
        <f t="shared" si="7"/>
        <v>0</v>
      </c>
      <c r="R70" s="36">
        <f t="shared" si="8"/>
        <v>0</v>
      </c>
      <c r="S70" s="65">
        <v>0</v>
      </c>
      <c r="T70" s="53">
        <f t="shared" si="9"/>
        <v>-1</v>
      </c>
      <c r="U70" s="66">
        <v>0</v>
      </c>
      <c r="V70" s="53">
        <f t="shared" si="9"/>
        <v>-1</v>
      </c>
      <c r="W70" s="66">
        <v>0</v>
      </c>
      <c r="X70" s="53">
        <f t="shared" si="9"/>
        <v>-1</v>
      </c>
      <c r="Y70" s="66">
        <v>0</v>
      </c>
      <c r="Z70" s="53">
        <f t="shared" si="9"/>
        <v>-1</v>
      </c>
      <c r="AA70" s="66">
        <v>0</v>
      </c>
      <c r="AB70" s="53" t="e">
        <f t="shared" si="15"/>
        <v>#DIV/0!</v>
      </c>
      <c r="AC70" s="73">
        <v>0</v>
      </c>
      <c r="AD70" s="53">
        <f t="shared" si="10"/>
        <v>-1</v>
      </c>
      <c r="AE70" s="73">
        <v>0</v>
      </c>
      <c r="AF70" s="53">
        <f t="shared" si="25"/>
        <v>-1</v>
      </c>
      <c r="AG70" s="73">
        <v>0</v>
      </c>
      <c r="AH70" s="53">
        <f t="shared" si="26"/>
        <v>-1</v>
      </c>
    </row>
    <row r="71" spans="1:181" x14ac:dyDescent="0.25">
      <c r="A71" s="60" t="str">
        <f>+'[1]GASTOS DIC 22 ENE-NOV 23'!A48</f>
        <v>5301-01-0004</v>
      </c>
      <c r="B71" s="61" t="str">
        <f>+'[1]GASTOS DIC 22 ENE-NOV 23'!B48</f>
        <v xml:space="preserve">        RETIRO SOCIOS</v>
      </c>
      <c r="C71" s="62">
        <f>+'[1]GASTOS DIC 22 ENE-NOV 23'!O48</f>
        <v>155320</v>
      </c>
      <c r="D71" s="62">
        <f t="shared" si="14"/>
        <v>12943.333333333334</v>
      </c>
      <c r="E71" s="62">
        <f t="shared" si="22"/>
        <v>168000</v>
      </c>
      <c r="F71" s="62">
        <v>14000</v>
      </c>
      <c r="G71" s="63">
        <v>9100</v>
      </c>
      <c r="H71" s="51">
        <f t="shared" si="2"/>
        <v>-0.35</v>
      </c>
      <c r="I71" s="65">
        <v>9100</v>
      </c>
      <c r="J71" s="53">
        <f t="shared" si="3"/>
        <v>-0.35</v>
      </c>
      <c r="K71" s="65">
        <v>24580</v>
      </c>
      <c r="L71" s="53">
        <f t="shared" si="4"/>
        <v>0.75571428571428578</v>
      </c>
      <c r="M71" s="64">
        <v>18900</v>
      </c>
      <c r="N71" s="53">
        <f t="shared" si="5"/>
        <v>0.35000000000000009</v>
      </c>
      <c r="O71" s="65">
        <v>10500</v>
      </c>
      <c r="P71" s="53">
        <f t="shared" si="6"/>
        <v>-0.25</v>
      </c>
      <c r="Q71" s="35">
        <f t="shared" si="7"/>
        <v>72180</v>
      </c>
      <c r="R71" s="36">
        <f t="shared" si="8"/>
        <v>0.42964285714285716</v>
      </c>
      <c r="S71" s="65">
        <v>3500</v>
      </c>
      <c r="T71" s="53">
        <f t="shared" si="9"/>
        <v>-10001</v>
      </c>
      <c r="U71" s="72">
        <v>7000</v>
      </c>
      <c r="V71" s="53">
        <f t="shared" si="9"/>
        <v>9261.759924385633</v>
      </c>
      <c r="W71" s="72">
        <v>35000</v>
      </c>
      <c r="X71" s="53">
        <f t="shared" si="9"/>
        <v>99998.999999999971</v>
      </c>
      <c r="Y71" s="72">
        <v>7000</v>
      </c>
      <c r="Z71" s="53">
        <f t="shared" si="9"/>
        <v>-28001</v>
      </c>
      <c r="AA71" s="72">
        <v>7000</v>
      </c>
      <c r="AB71" s="53">
        <f t="shared" si="15"/>
        <v>16291.60182876143</v>
      </c>
      <c r="AC71" s="95">
        <v>7000</v>
      </c>
      <c r="AD71" s="53">
        <f t="shared" si="10"/>
        <v>-1.6999300069993</v>
      </c>
      <c r="AE71" s="95">
        <v>33500</v>
      </c>
      <c r="AF71" s="53">
        <f t="shared" si="25"/>
        <v>2.6170231439271712</v>
      </c>
      <c r="AG71" s="95">
        <v>10500</v>
      </c>
      <c r="AH71" s="53">
        <f t="shared" si="26"/>
        <v>-0.89499894998949991</v>
      </c>
    </row>
    <row r="72" spans="1:181" x14ac:dyDescent="0.25">
      <c r="A72" s="60" t="str">
        <f>+'[1]GASTOS DIC 22 ENE-NOV 23'!A49</f>
        <v>5301-01-0005</v>
      </c>
      <c r="B72" s="61" t="str">
        <f>+'[1]GASTOS DIC 22 ENE-NOV 23'!B49</f>
        <v xml:space="preserve">        PRESENTES AL PERSONAL</v>
      </c>
      <c r="C72" s="62">
        <f>+'[1]GASTOS DIC 22 ENE-NOV 23'!O49</f>
        <v>0</v>
      </c>
      <c r="D72" s="62">
        <f t="shared" si="14"/>
        <v>0</v>
      </c>
      <c r="E72" s="62">
        <f t="shared" si="22"/>
        <v>2880</v>
      </c>
      <c r="F72" s="62">
        <v>240</v>
      </c>
      <c r="G72" s="81">
        <v>2724.37</v>
      </c>
      <c r="H72" s="51">
        <f t="shared" si="2"/>
        <v>10.351541666666666</v>
      </c>
      <c r="I72" s="64">
        <v>0</v>
      </c>
      <c r="J72" s="53">
        <f t="shared" si="3"/>
        <v>-1</v>
      </c>
      <c r="K72" s="64">
        <v>0</v>
      </c>
      <c r="L72" s="53">
        <f t="shared" si="4"/>
        <v>-1</v>
      </c>
      <c r="M72" s="64">
        <v>0</v>
      </c>
      <c r="N72" s="53">
        <f t="shared" si="5"/>
        <v>-1</v>
      </c>
      <c r="O72" s="65">
        <v>0</v>
      </c>
      <c r="P72" s="53">
        <f t="shared" si="6"/>
        <v>-1</v>
      </c>
      <c r="Q72" s="35">
        <f t="shared" si="7"/>
        <v>2724.37</v>
      </c>
      <c r="R72" s="36">
        <f t="shared" si="8"/>
        <v>0.94596180555555553</v>
      </c>
      <c r="S72" s="65">
        <v>0</v>
      </c>
      <c r="T72" s="53">
        <f t="shared" si="9"/>
        <v>-1</v>
      </c>
      <c r="U72" s="66">
        <v>0</v>
      </c>
      <c r="V72" s="53">
        <f t="shared" si="9"/>
        <v>-1</v>
      </c>
      <c r="W72" s="66">
        <v>0</v>
      </c>
      <c r="X72" s="53">
        <f t="shared" si="9"/>
        <v>-1</v>
      </c>
      <c r="Y72" s="66">
        <v>0</v>
      </c>
      <c r="Z72" s="53">
        <f t="shared" si="9"/>
        <v>-1</v>
      </c>
      <c r="AA72" s="66">
        <v>0</v>
      </c>
      <c r="AB72" s="53">
        <f t="shared" si="15"/>
        <v>-1</v>
      </c>
      <c r="AC72" s="73">
        <v>0</v>
      </c>
      <c r="AD72" s="53">
        <f t="shared" si="10"/>
        <v>-1</v>
      </c>
      <c r="AE72" s="73">
        <v>0</v>
      </c>
      <c r="AF72" s="53">
        <f t="shared" si="25"/>
        <v>-1</v>
      </c>
      <c r="AG72" s="73">
        <v>3434.76</v>
      </c>
      <c r="AH72" s="53">
        <f t="shared" si="26"/>
        <v>-3435.76</v>
      </c>
    </row>
    <row r="73" spans="1:181" x14ac:dyDescent="0.25">
      <c r="A73" s="60" t="s">
        <v>59</v>
      </c>
      <c r="B73" s="110" t="s">
        <v>60</v>
      </c>
      <c r="C73" s="62">
        <v>0</v>
      </c>
      <c r="D73" s="62">
        <v>0</v>
      </c>
      <c r="E73" s="62">
        <v>0</v>
      </c>
      <c r="F73" s="62">
        <v>0</v>
      </c>
      <c r="G73" s="81">
        <v>0</v>
      </c>
      <c r="H73" s="51" t="e">
        <f t="shared" si="2"/>
        <v>#DIV/0!</v>
      </c>
      <c r="I73" s="64">
        <v>0</v>
      </c>
      <c r="J73" s="53" t="e">
        <f t="shared" si="3"/>
        <v>#DIV/0!</v>
      </c>
      <c r="K73" s="64">
        <v>0</v>
      </c>
      <c r="L73" s="53" t="e">
        <f t="shared" si="4"/>
        <v>#DIV/0!</v>
      </c>
      <c r="M73" s="64">
        <v>0</v>
      </c>
      <c r="N73" s="53">
        <v>0</v>
      </c>
      <c r="O73" s="65">
        <v>0</v>
      </c>
      <c r="P73" s="53">
        <v>0</v>
      </c>
      <c r="Q73" s="35">
        <f t="shared" si="7"/>
        <v>0</v>
      </c>
      <c r="R73" s="36"/>
      <c r="S73" s="65">
        <v>0</v>
      </c>
      <c r="T73" s="53">
        <v>0</v>
      </c>
      <c r="U73" s="66">
        <v>0</v>
      </c>
      <c r="V73" s="53">
        <v>0</v>
      </c>
      <c r="W73" s="66">
        <v>0</v>
      </c>
      <c r="X73" s="53">
        <v>0</v>
      </c>
      <c r="Y73" s="66">
        <v>0</v>
      </c>
      <c r="Z73" s="53">
        <v>0</v>
      </c>
      <c r="AA73" s="66">
        <v>0</v>
      </c>
      <c r="AB73" s="53">
        <v>0</v>
      </c>
      <c r="AC73" s="73">
        <v>119047.62</v>
      </c>
      <c r="AD73" s="53">
        <v>0</v>
      </c>
      <c r="AE73" s="73">
        <v>119047.62</v>
      </c>
      <c r="AF73" s="53">
        <v>0</v>
      </c>
      <c r="AG73" s="73">
        <v>244047.62</v>
      </c>
      <c r="AH73" s="53">
        <v>0</v>
      </c>
    </row>
    <row r="74" spans="1:181" s="58" customFormat="1" x14ac:dyDescent="0.25">
      <c r="A74" s="47" t="str">
        <f>+'[1]GASTOS DIC 22 ENE-NOV 23'!A50</f>
        <v>5301-02</v>
      </c>
      <c r="B74" s="48" t="str">
        <f>+'[1]GASTOS DIC 22 ENE-NOV 23'!B50</f>
        <v xml:space="preserve">      BENEFICIOS Y CARGAS SOCIALES</v>
      </c>
      <c r="C74" s="49">
        <f>SUM(C75:C80)</f>
        <v>110500.56999999999</v>
      </c>
      <c r="D74" s="49">
        <f t="shared" si="14"/>
        <v>9208.3808333333327</v>
      </c>
      <c r="E74" s="49">
        <f t="shared" si="22"/>
        <v>108480.90000000001</v>
      </c>
      <c r="F74" s="49">
        <f>+SUM(F75:F79)</f>
        <v>9040.0750000000007</v>
      </c>
      <c r="G74" s="49">
        <f>+SUM(G75:G79)</f>
        <v>9885.08</v>
      </c>
      <c r="H74" s="93">
        <f t="shared" si="2"/>
        <v>9.3473228927857255E-2</v>
      </c>
      <c r="I74" s="52">
        <f>+SUM(I75:I79)+I80</f>
        <v>39899.839999999997</v>
      </c>
      <c r="J74" s="53">
        <f t="shared" si="3"/>
        <v>3.4136624972691036</v>
      </c>
      <c r="K74" s="52">
        <f>+SUM(K75:K79)</f>
        <v>8269.1</v>
      </c>
      <c r="L74" s="53">
        <f t="shared" si="4"/>
        <v>-8.5284137576292274E-2</v>
      </c>
      <c r="M74" s="52">
        <f>+SUM(M75:M80)</f>
        <v>8269.1</v>
      </c>
      <c r="N74" s="53">
        <f t="shared" si="5"/>
        <v>-8.5284137576292274E-2</v>
      </c>
      <c r="O74" s="52">
        <f>SUM(O75:O80)</f>
        <v>9521.6899999999987</v>
      </c>
      <c r="P74" s="53">
        <f t="shared" si="6"/>
        <v>5.3275553576712431E-2</v>
      </c>
      <c r="Q74" s="35">
        <f t="shared" si="7"/>
        <v>75844.81</v>
      </c>
      <c r="R74" s="36">
        <f t="shared" si="8"/>
        <v>0.69915358371842407</v>
      </c>
      <c r="S74" s="52">
        <f>SUM(S75:S80)</f>
        <v>6088.57</v>
      </c>
      <c r="T74" s="53">
        <f t="shared" si="9"/>
        <v>1782.5887422587311</v>
      </c>
      <c r="U74" s="59">
        <f>SUM(U77:U78)</f>
        <v>6088.57</v>
      </c>
      <c r="V74" s="53">
        <f t="shared" si="9"/>
        <v>-71392.587850124808</v>
      </c>
      <c r="W74" s="54">
        <f>W77+W78</f>
        <v>6088.57</v>
      </c>
      <c r="X74" s="53">
        <f t="shared" si="9"/>
        <v>-71392.587850124808</v>
      </c>
      <c r="Y74" s="97">
        <f>SUM(Y75:Y79)</f>
        <v>6088.57</v>
      </c>
      <c r="Z74" s="53">
        <f t="shared" si="9"/>
        <v>114283.49994861073</v>
      </c>
      <c r="AA74" s="54">
        <f>AA77+AA78</f>
        <v>6088.57</v>
      </c>
      <c r="AB74" s="53">
        <f t="shared" si="15"/>
        <v>8707.4871504457606</v>
      </c>
      <c r="AC74" s="54">
        <f>AC77+AC78</f>
        <v>6270.75</v>
      </c>
      <c r="AD74" s="53">
        <f t="shared" si="10"/>
        <v>2.5177771806492433</v>
      </c>
      <c r="AE74" s="54">
        <f>AE77+AE78+AE79+AE80</f>
        <v>24471.64</v>
      </c>
      <c r="AF74" s="53">
        <f t="shared" ref="AF74:AF99" si="27">(AE74/V74)-1</f>
        <v>-1.3427756401179007</v>
      </c>
      <c r="AG74" s="45">
        <f>AG77+AG78+AG79+AG80</f>
        <v>5329.51</v>
      </c>
      <c r="AH74" s="53">
        <f t="shared" ref="AH74:AH99" si="28">(AG74/X74)-1</f>
        <v>-1.0746507468140571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</row>
    <row r="75" spans="1:181" x14ac:dyDescent="0.25">
      <c r="A75" s="60" t="str">
        <f>+'[1]GASTOS DIC 22 ENE-NOV 23'!A51</f>
        <v>5301-02-0001</v>
      </c>
      <c r="B75" s="61" t="str">
        <f>+'[1]GASTOS DIC 22 ENE-NOV 23'!B51</f>
        <v xml:space="preserve">        A.F.P. FUTURO DE BOLIVIA ADM</v>
      </c>
      <c r="C75" s="69">
        <f>+'[1]GASTOS DIC 22 ENE-NOV 23'!O51</f>
        <v>6071.64</v>
      </c>
      <c r="D75" s="69">
        <f t="shared" si="14"/>
        <v>505.97</v>
      </c>
      <c r="E75" s="69">
        <f t="shared" si="22"/>
        <v>6071.64</v>
      </c>
      <c r="F75" s="69">
        <f>+D75*1</f>
        <v>505.97</v>
      </c>
      <c r="G75" s="81"/>
      <c r="H75" s="51">
        <f t="shared" si="2"/>
        <v>-1</v>
      </c>
      <c r="I75" s="64">
        <v>0</v>
      </c>
      <c r="J75" s="53">
        <f t="shared" si="3"/>
        <v>-1</v>
      </c>
      <c r="K75" s="64">
        <v>0</v>
      </c>
      <c r="L75" s="53">
        <f t="shared" si="4"/>
        <v>-1</v>
      </c>
      <c r="M75" s="64">
        <v>0</v>
      </c>
      <c r="N75" s="53">
        <f t="shared" si="5"/>
        <v>-1</v>
      </c>
      <c r="O75" s="65">
        <v>0</v>
      </c>
      <c r="P75" s="53">
        <f t="shared" si="6"/>
        <v>-1</v>
      </c>
      <c r="Q75" s="35">
        <f t="shared" si="7"/>
        <v>0</v>
      </c>
      <c r="R75" s="36">
        <f t="shared" si="8"/>
        <v>0</v>
      </c>
      <c r="S75" s="65">
        <v>0</v>
      </c>
      <c r="T75" s="53">
        <f t="shared" si="9"/>
        <v>-1</v>
      </c>
      <c r="U75" s="66">
        <v>0</v>
      </c>
      <c r="V75" s="53">
        <f t="shared" si="9"/>
        <v>-1</v>
      </c>
      <c r="W75" s="66">
        <v>0</v>
      </c>
      <c r="X75" s="53">
        <f t="shared" si="9"/>
        <v>-1</v>
      </c>
      <c r="Y75" s="66">
        <v>0</v>
      </c>
      <c r="Z75" s="53">
        <f t="shared" si="9"/>
        <v>-1</v>
      </c>
      <c r="AA75" s="66">
        <v>0</v>
      </c>
      <c r="AB75" s="53" t="e">
        <f t="shared" si="15"/>
        <v>#DIV/0!</v>
      </c>
      <c r="AC75" s="73">
        <v>0</v>
      </c>
      <c r="AD75" s="53">
        <f t="shared" si="10"/>
        <v>-1</v>
      </c>
      <c r="AE75" s="73">
        <v>0</v>
      </c>
      <c r="AF75" s="53">
        <f t="shared" si="27"/>
        <v>-1</v>
      </c>
      <c r="AG75" s="73">
        <v>0</v>
      </c>
      <c r="AH75" s="53">
        <f t="shared" si="28"/>
        <v>-1</v>
      </c>
    </row>
    <row r="76" spans="1:181" x14ac:dyDescent="0.25">
      <c r="A76" s="60" t="str">
        <f>+'[1]GASTOS DIC 22 ENE-NOV 23'!A52</f>
        <v>5301-02-0002</v>
      </c>
      <c r="B76" s="61" t="str">
        <f>+'[1]GASTOS DIC 22 ENE-NOV 23'!B52</f>
        <v xml:space="preserve">        A.F.P. PREVISION DE BOLIVIA ADM</v>
      </c>
      <c r="C76" s="69">
        <f>+'[1]GASTOS DIC 22 ENE-NOV 23'!O52</f>
        <v>6391.2099999999991</v>
      </c>
      <c r="D76" s="69">
        <f t="shared" si="14"/>
        <v>532.6008333333333</v>
      </c>
      <c r="E76" s="69">
        <f t="shared" si="22"/>
        <v>6391.2099999999991</v>
      </c>
      <c r="F76" s="69">
        <f t="shared" ref="F76:F78" si="29">+D76*1</f>
        <v>532.6008333333333</v>
      </c>
      <c r="G76" s="81"/>
      <c r="H76" s="51">
        <f t="shared" si="2"/>
        <v>-1</v>
      </c>
      <c r="I76" s="64"/>
      <c r="J76" s="53">
        <f t="shared" si="3"/>
        <v>-1</v>
      </c>
      <c r="K76" s="64">
        <v>0</v>
      </c>
      <c r="L76" s="53">
        <f t="shared" si="4"/>
        <v>-1</v>
      </c>
      <c r="M76" s="64">
        <v>0</v>
      </c>
      <c r="N76" s="53">
        <f t="shared" si="5"/>
        <v>-1</v>
      </c>
      <c r="O76" s="65">
        <v>0</v>
      </c>
      <c r="P76" s="53">
        <f t="shared" si="6"/>
        <v>-1</v>
      </c>
      <c r="Q76" s="35">
        <f t="shared" si="7"/>
        <v>0</v>
      </c>
      <c r="R76" s="36">
        <f t="shared" si="8"/>
        <v>0</v>
      </c>
      <c r="S76" s="65">
        <v>0</v>
      </c>
      <c r="T76" s="53">
        <f t="shared" si="9"/>
        <v>-1</v>
      </c>
      <c r="U76" s="66">
        <v>0</v>
      </c>
      <c r="V76" s="53">
        <f t="shared" si="9"/>
        <v>-1</v>
      </c>
      <c r="W76" s="66">
        <v>0</v>
      </c>
      <c r="X76" s="53">
        <f t="shared" si="9"/>
        <v>-1</v>
      </c>
      <c r="Y76" s="66">
        <v>0</v>
      </c>
      <c r="Z76" s="53">
        <f t="shared" si="9"/>
        <v>-1</v>
      </c>
      <c r="AA76" s="66">
        <v>0</v>
      </c>
      <c r="AB76" s="53" t="e">
        <f t="shared" si="15"/>
        <v>#DIV/0!</v>
      </c>
      <c r="AC76" s="73">
        <v>0</v>
      </c>
      <c r="AD76" s="53">
        <f t="shared" si="10"/>
        <v>-1</v>
      </c>
      <c r="AE76" s="73">
        <v>0</v>
      </c>
      <c r="AF76" s="53">
        <f t="shared" si="27"/>
        <v>-1</v>
      </c>
      <c r="AG76" s="73">
        <v>0</v>
      </c>
      <c r="AH76" s="53">
        <f t="shared" si="28"/>
        <v>-1</v>
      </c>
    </row>
    <row r="77" spans="1:181" x14ac:dyDescent="0.25">
      <c r="A77" s="60" t="str">
        <f>+'[1]GASTOS DIC 22 ENE-NOV 23'!A53</f>
        <v>5301-02-0003</v>
      </c>
      <c r="B77" s="61" t="str">
        <f>+'[1]GASTOS DIC 22 ENE-NOV 23'!B53</f>
        <v xml:space="preserve">        CAJA NACIONAL DE SALUD ADM</v>
      </c>
      <c r="C77" s="62">
        <f>+'[1]GASTOS DIC 22 ENE-NOV 23'!O53</f>
        <v>64916.150000000009</v>
      </c>
      <c r="D77" s="62">
        <f t="shared" si="14"/>
        <v>5409.6791666666677</v>
      </c>
      <c r="E77" s="69">
        <f t="shared" si="22"/>
        <v>64916.150000000009</v>
      </c>
      <c r="F77" s="69">
        <f t="shared" si="29"/>
        <v>5409.6791666666677</v>
      </c>
      <c r="G77" s="81">
        <v>5915.65</v>
      </c>
      <c r="H77" s="51">
        <f t="shared" si="2"/>
        <v>9.3530654544361935E-2</v>
      </c>
      <c r="I77" s="65">
        <v>5109.78</v>
      </c>
      <c r="J77" s="53">
        <f t="shared" si="3"/>
        <v>-5.5437514393567922E-2</v>
      </c>
      <c r="K77" s="64">
        <v>4948.59</v>
      </c>
      <c r="L77" s="53">
        <f t="shared" si="4"/>
        <v>-8.5234105842691088E-2</v>
      </c>
      <c r="M77" s="64">
        <v>4948.59</v>
      </c>
      <c r="N77" s="53">
        <f t="shared" si="5"/>
        <v>-8.5234105842691088E-2</v>
      </c>
      <c r="O77" s="65">
        <v>4992.0600000000004</v>
      </c>
      <c r="P77" s="53">
        <f t="shared" si="6"/>
        <v>-7.7198509153731498E-2</v>
      </c>
      <c r="Q77" s="35">
        <f t="shared" si="7"/>
        <v>25914.67</v>
      </c>
      <c r="R77" s="36">
        <f t="shared" si="8"/>
        <v>0.39920220160930669</v>
      </c>
      <c r="S77" s="65">
        <v>3643.67</v>
      </c>
      <c r="T77" s="53">
        <f t="shared" si="9"/>
        <v>-65726.710105479637</v>
      </c>
      <c r="U77" s="72">
        <v>3643.67</v>
      </c>
      <c r="V77" s="53">
        <f t="shared" si="9"/>
        <v>-42749.967258773075</v>
      </c>
      <c r="W77" s="72">
        <v>3643.67</v>
      </c>
      <c r="X77" s="53">
        <f t="shared" si="9"/>
        <v>-42749.967258773075</v>
      </c>
      <c r="Y77" s="66">
        <v>3643.67</v>
      </c>
      <c r="Z77" s="53">
        <f t="shared" si="9"/>
        <v>-47199.709404401474</v>
      </c>
      <c r="AA77" s="72">
        <v>3643.67</v>
      </c>
      <c r="AB77" s="53">
        <f t="shared" si="15"/>
        <v>9126.3795217342158</v>
      </c>
      <c r="AC77" s="95">
        <v>3643.67</v>
      </c>
      <c r="AD77" s="53">
        <f t="shared" si="10"/>
        <v>-1.0554366709386878</v>
      </c>
      <c r="AE77" s="95">
        <v>3096.75</v>
      </c>
      <c r="AF77" s="53">
        <f t="shared" si="27"/>
        <v>-1.0724386519703004</v>
      </c>
      <c r="AG77" s="95">
        <v>3096.75</v>
      </c>
      <c r="AH77" s="53">
        <f t="shared" si="28"/>
        <v>-1.0724386519703004</v>
      </c>
    </row>
    <row r="78" spans="1:181" x14ac:dyDescent="0.25">
      <c r="A78" s="60" t="str">
        <f>+'[1]GASTOS DIC 22 ENE-NOV 23'!A54</f>
        <v>5301-02-0004</v>
      </c>
      <c r="B78" s="61" t="str">
        <f>+'[1]GASTOS DIC 22 ENE-NOV 23'!B54</f>
        <v xml:space="preserve">        A.F.P. GESTORA BOLIVIA ADM</v>
      </c>
      <c r="C78" s="62">
        <f>+'[1]GASTOS DIC 22 ENE-NOV 23'!O54</f>
        <v>31095.9</v>
      </c>
      <c r="D78" s="62">
        <f t="shared" si="14"/>
        <v>2591.3250000000003</v>
      </c>
      <c r="E78" s="69">
        <f t="shared" si="22"/>
        <v>31095.9</v>
      </c>
      <c r="F78" s="69">
        <f t="shared" si="29"/>
        <v>2591.3250000000003</v>
      </c>
      <c r="G78" s="81">
        <v>3969.43</v>
      </c>
      <c r="H78" s="51">
        <f t="shared" si="2"/>
        <v>0.53181480516724045</v>
      </c>
      <c r="I78" s="65">
        <v>3428.66</v>
      </c>
      <c r="J78" s="53">
        <f t="shared" si="3"/>
        <v>0.32313005894667768</v>
      </c>
      <c r="K78" s="64">
        <v>3320.51</v>
      </c>
      <c r="L78" s="53">
        <f t="shared" si="4"/>
        <v>0.28139465331442404</v>
      </c>
      <c r="M78" s="64">
        <v>3320.51</v>
      </c>
      <c r="N78" s="53">
        <f t="shared" si="5"/>
        <v>0.28139465331442404</v>
      </c>
      <c r="O78" s="65">
        <v>3349.67</v>
      </c>
      <c r="P78" s="53">
        <f t="shared" si="6"/>
        <v>0.29264758376506217</v>
      </c>
      <c r="Q78" s="35">
        <f t="shared" si="7"/>
        <v>17388.78</v>
      </c>
      <c r="R78" s="36">
        <f t="shared" si="8"/>
        <v>0.55919847954231905</v>
      </c>
      <c r="S78" s="65">
        <v>2444.9</v>
      </c>
      <c r="T78" s="53">
        <f t="shared" si="9"/>
        <v>7565.3032030191071</v>
      </c>
      <c r="U78" s="72">
        <v>2444.9</v>
      </c>
      <c r="V78" s="53">
        <f t="shared" si="9"/>
        <v>8687.509078628882</v>
      </c>
      <c r="W78" s="72">
        <v>2444.9</v>
      </c>
      <c r="X78" s="53">
        <f t="shared" si="9"/>
        <v>8687.509078628882</v>
      </c>
      <c r="Y78" s="66">
        <v>2444.9</v>
      </c>
      <c r="Z78" s="53">
        <f t="shared" si="9"/>
        <v>8353.4171749006091</v>
      </c>
      <c r="AA78" s="72">
        <v>2444.9</v>
      </c>
      <c r="AB78" s="53">
        <f t="shared" si="15"/>
        <v>4371.1506574929354</v>
      </c>
      <c r="AC78" s="95">
        <v>2627.08</v>
      </c>
      <c r="AD78" s="53">
        <f t="shared" si="10"/>
        <v>-0.65274623772493301</v>
      </c>
      <c r="AE78" s="95">
        <v>2232.7600000000002</v>
      </c>
      <c r="AF78" s="53">
        <f t="shared" si="27"/>
        <v>-0.74299192325536101</v>
      </c>
      <c r="AG78" s="95">
        <v>2232.7600000000002</v>
      </c>
      <c r="AH78" s="53">
        <f t="shared" si="28"/>
        <v>-0.74299192325536101</v>
      </c>
    </row>
    <row r="79" spans="1:181" x14ac:dyDescent="0.25">
      <c r="A79" s="60" t="str">
        <f>+'[1]GASTOS DIC 22 ENE-NOV 23'!A55</f>
        <v>5301-02-0005</v>
      </c>
      <c r="B79" s="61" t="str">
        <f>+'[1]GASTOS DIC 22 ENE-NOV 23'!B55</f>
        <v xml:space="preserve">        VACACIONES ADM</v>
      </c>
      <c r="C79" s="69">
        <f>+'[1]GASTOS DIC 22 ENE-NOV 23'!O55</f>
        <v>2025.67</v>
      </c>
      <c r="D79" s="69">
        <f t="shared" si="14"/>
        <v>168.80583333333334</v>
      </c>
      <c r="E79" s="69">
        <f t="shared" si="22"/>
        <v>6</v>
      </c>
      <c r="F79" s="69">
        <v>0.5</v>
      </c>
      <c r="G79" s="81">
        <v>0</v>
      </c>
      <c r="H79" s="51">
        <f t="shared" si="2"/>
        <v>-1</v>
      </c>
      <c r="I79" s="65">
        <v>2348.4</v>
      </c>
      <c r="J79" s="53">
        <f t="shared" si="3"/>
        <v>4695.8</v>
      </c>
      <c r="K79" s="64">
        <v>0</v>
      </c>
      <c r="L79" s="53">
        <f t="shared" si="4"/>
        <v>-1</v>
      </c>
      <c r="M79" s="64">
        <v>0</v>
      </c>
      <c r="N79" s="53">
        <f t="shared" si="5"/>
        <v>-1</v>
      </c>
      <c r="O79" s="65">
        <v>1179.96</v>
      </c>
      <c r="P79" s="53">
        <f t="shared" si="6"/>
        <v>2358.92</v>
      </c>
      <c r="Q79" s="35">
        <f t="shared" si="7"/>
        <v>3528.36</v>
      </c>
      <c r="R79" s="36">
        <f t="shared" si="8"/>
        <v>588.06000000000006</v>
      </c>
      <c r="S79" s="65">
        <v>0</v>
      </c>
      <c r="T79" s="53">
        <f t="shared" si="9"/>
        <v>-1</v>
      </c>
      <c r="U79" s="66">
        <v>0</v>
      </c>
      <c r="V79" s="53">
        <f t="shared" si="9"/>
        <v>-1</v>
      </c>
      <c r="W79" s="66">
        <v>0</v>
      </c>
      <c r="X79" s="53">
        <f t="shared" si="9"/>
        <v>-1</v>
      </c>
      <c r="Y79" s="66">
        <v>0</v>
      </c>
      <c r="Z79" s="53">
        <f t="shared" si="9"/>
        <v>-1</v>
      </c>
      <c r="AA79" s="66">
        <v>0</v>
      </c>
      <c r="AB79" s="53">
        <f t="shared" si="15"/>
        <v>-1</v>
      </c>
      <c r="AC79" s="73">
        <v>0</v>
      </c>
      <c r="AD79" s="53">
        <f t="shared" si="10"/>
        <v>-1</v>
      </c>
      <c r="AE79" s="73">
        <v>2734.59</v>
      </c>
      <c r="AF79" s="53">
        <f t="shared" si="27"/>
        <v>-2735.59</v>
      </c>
      <c r="AG79" s="73">
        <v>0</v>
      </c>
      <c r="AH79" s="53">
        <f t="shared" si="28"/>
        <v>-1</v>
      </c>
    </row>
    <row r="80" spans="1:181" x14ac:dyDescent="0.25">
      <c r="A80" t="s">
        <v>61</v>
      </c>
      <c r="B80" t="s">
        <v>62</v>
      </c>
      <c r="C80" s="69">
        <v>0</v>
      </c>
      <c r="D80" s="69">
        <v>0</v>
      </c>
      <c r="E80" s="69">
        <v>0</v>
      </c>
      <c r="F80" s="69">
        <f>90000/12</f>
        <v>7500</v>
      </c>
      <c r="G80" s="81">
        <v>0</v>
      </c>
      <c r="H80" s="51">
        <f t="shared" si="2"/>
        <v>-1</v>
      </c>
      <c r="I80" s="65">
        <v>29013</v>
      </c>
      <c r="J80" s="53">
        <f t="shared" si="3"/>
        <v>2.8683999999999998</v>
      </c>
      <c r="K80" s="64">
        <v>0</v>
      </c>
      <c r="L80" s="53">
        <f t="shared" si="4"/>
        <v>-1</v>
      </c>
      <c r="M80" s="64">
        <v>0</v>
      </c>
      <c r="N80" s="53">
        <f t="shared" si="5"/>
        <v>-1</v>
      </c>
      <c r="O80" s="65">
        <v>0</v>
      </c>
      <c r="P80" s="53">
        <f t="shared" si="6"/>
        <v>-1</v>
      </c>
      <c r="Q80" s="35">
        <f t="shared" si="7"/>
        <v>29013</v>
      </c>
      <c r="R80" s="36" t="e">
        <f>+Q80/E80</f>
        <v>#DIV/0!</v>
      </c>
      <c r="S80" s="65">
        <v>0</v>
      </c>
      <c r="T80" s="53">
        <f t="shared" si="9"/>
        <v>-1</v>
      </c>
      <c r="U80" s="66">
        <v>0</v>
      </c>
      <c r="V80" s="53">
        <f t="shared" si="9"/>
        <v>-1</v>
      </c>
      <c r="W80" s="66">
        <v>0</v>
      </c>
      <c r="X80" s="53">
        <f t="shared" si="9"/>
        <v>-1</v>
      </c>
      <c r="Y80" s="66">
        <v>0</v>
      </c>
      <c r="Z80" s="53">
        <f t="shared" si="9"/>
        <v>-1</v>
      </c>
      <c r="AA80" s="66">
        <v>0</v>
      </c>
      <c r="AB80" s="53" t="e">
        <f t="shared" si="15"/>
        <v>#DIV/0!</v>
      </c>
      <c r="AC80" s="73">
        <v>0</v>
      </c>
      <c r="AD80" s="53">
        <f t="shared" si="10"/>
        <v>-1</v>
      </c>
      <c r="AE80" s="73">
        <v>16407.54</v>
      </c>
      <c r="AF80" s="53">
        <f t="shared" si="27"/>
        <v>-16408.54</v>
      </c>
      <c r="AG80" s="73">
        <v>0</v>
      </c>
      <c r="AH80" s="53">
        <f t="shared" si="28"/>
        <v>-1</v>
      </c>
    </row>
    <row r="81" spans="1:181" s="58" customFormat="1" x14ac:dyDescent="0.25">
      <c r="A81" s="47" t="str">
        <f>+'[1]GASTOS DIC 22 ENE-NOV 23'!A56</f>
        <v>5301-03</v>
      </c>
      <c r="B81" s="48" t="str">
        <f>+'[1]GASTOS DIC 22 ENE-NOV 23'!B56</f>
        <v xml:space="preserve">      PROVISIÓN AGUINALDOS</v>
      </c>
      <c r="C81" s="49">
        <f>+'[1]GASTOS DIC 22 ENE-NOV 23'!O56</f>
        <v>54036.099999999991</v>
      </c>
      <c r="D81" s="49">
        <f t="shared" si="14"/>
        <v>4503.0083333333323</v>
      </c>
      <c r="E81" s="49">
        <f t="shared" si="22"/>
        <v>49692</v>
      </c>
      <c r="F81" s="49">
        <f>+F82</f>
        <v>4141</v>
      </c>
      <c r="G81" s="49">
        <f>+G82</f>
        <v>6079.45</v>
      </c>
      <c r="H81" s="51">
        <f t="shared" si="2"/>
        <v>0.46811156725428638</v>
      </c>
      <c r="I81" s="52">
        <f>+I82</f>
        <v>4258.1499999999996</v>
      </c>
      <c r="J81" s="53">
        <f t="shared" si="3"/>
        <v>2.8290268051195167E-2</v>
      </c>
      <c r="K81" s="52">
        <f>+K82</f>
        <v>4123.83</v>
      </c>
      <c r="L81" s="53">
        <f t="shared" si="4"/>
        <v>-4.1463414634146378E-3</v>
      </c>
      <c r="M81" s="52">
        <f>+M82</f>
        <v>4123.83</v>
      </c>
      <c r="N81" s="53">
        <f t="shared" si="5"/>
        <v>-4.1463414634146378E-3</v>
      </c>
      <c r="O81" s="52">
        <f>+O82</f>
        <v>4160.05</v>
      </c>
      <c r="P81" s="53">
        <f t="shared" si="6"/>
        <v>4.6003380825887508E-3</v>
      </c>
      <c r="Q81" s="35">
        <f t="shared" si="7"/>
        <v>22745.31</v>
      </c>
      <c r="R81" s="36">
        <f t="shared" si="8"/>
        <v>0.45772579087177012</v>
      </c>
      <c r="S81" s="52">
        <f>+S82</f>
        <v>3036.39</v>
      </c>
      <c r="T81" s="53">
        <f t="shared" si="9"/>
        <v>107328.84199743993</v>
      </c>
      <c r="U81" s="59">
        <f>U82</f>
        <v>3036.39</v>
      </c>
      <c r="V81" s="53">
        <f t="shared" si="9"/>
        <v>-732306.82352941111</v>
      </c>
      <c r="W81" s="54">
        <f>W82</f>
        <v>3036.39</v>
      </c>
      <c r="X81" s="53">
        <f t="shared" si="9"/>
        <v>-732306.82352941111</v>
      </c>
      <c r="Y81" s="97">
        <f>SUM(Y82)</f>
        <v>3036.39</v>
      </c>
      <c r="Z81" s="53">
        <f t="shared" si="9"/>
        <v>660035.27244094422</v>
      </c>
      <c r="AA81" s="54">
        <f>AA82</f>
        <v>3036.39</v>
      </c>
      <c r="AB81" s="53">
        <f t="shared" si="15"/>
        <v>6632.6441174026641</v>
      </c>
      <c r="AC81" s="54">
        <f>AC82</f>
        <v>3036.39</v>
      </c>
      <c r="AD81" s="53">
        <f t="shared" si="10"/>
        <v>-0.97170946836384919</v>
      </c>
      <c r="AE81" s="54">
        <f>AE82</f>
        <v>2580.62</v>
      </c>
      <c r="AF81" s="53">
        <f t="shared" si="27"/>
        <v>-1.0035239600630272</v>
      </c>
      <c r="AG81" s="45">
        <f>AG82</f>
        <v>0</v>
      </c>
      <c r="AH81" s="53">
        <f t="shared" si="28"/>
        <v>-1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</row>
    <row r="82" spans="1:181" x14ac:dyDescent="0.25">
      <c r="A82" s="60" t="str">
        <f>+'[1]GASTOS DIC 22 ENE-NOV 23'!A57</f>
        <v>5301-03-0001</v>
      </c>
      <c r="B82" s="61" t="str">
        <f>+'[1]GASTOS DIC 22 ENE-NOV 23'!B57</f>
        <v xml:space="preserve">        AGUINALDOS</v>
      </c>
      <c r="C82" s="62">
        <f>+'[1]GASTOS DIC 22 ENE-NOV 23'!O57</f>
        <v>54036.099999999991</v>
      </c>
      <c r="D82" s="62">
        <f t="shared" si="14"/>
        <v>4503.0083333333323</v>
      </c>
      <c r="E82" s="62">
        <f t="shared" si="22"/>
        <v>49692</v>
      </c>
      <c r="F82" s="62">
        <v>4141</v>
      </c>
      <c r="G82" s="63">
        <v>6079.45</v>
      </c>
      <c r="H82" s="51">
        <f t="shared" si="2"/>
        <v>0.46811156725428638</v>
      </c>
      <c r="I82" s="65">
        <v>4258.1499999999996</v>
      </c>
      <c r="J82" s="53">
        <f t="shared" si="3"/>
        <v>2.8290268051195167E-2</v>
      </c>
      <c r="K82" s="64">
        <v>4123.83</v>
      </c>
      <c r="L82" s="53">
        <f t="shared" si="4"/>
        <v>-4.1463414634146378E-3</v>
      </c>
      <c r="M82" s="64">
        <v>4123.83</v>
      </c>
      <c r="N82" s="53">
        <f t="shared" si="5"/>
        <v>-4.1463414634146378E-3</v>
      </c>
      <c r="O82" s="65">
        <v>4160.05</v>
      </c>
      <c r="P82" s="53">
        <f t="shared" si="6"/>
        <v>4.6003380825887508E-3</v>
      </c>
      <c r="Q82" s="35">
        <f t="shared" si="7"/>
        <v>22745.31</v>
      </c>
      <c r="R82" s="36">
        <f t="shared" si="8"/>
        <v>0.45772579087177012</v>
      </c>
      <c r="S82" s="65">
        <v>3036.39</v>
      </c>
      <c r="T82" s="53">
        <f t="shared" ref="T82:AB141" si="30">(S82/J82)-1</f>
        <v>107328.84199743993</v>
      </c>
      <c r="U82" s="72">
        <v>3036.39</v>
      </c>
      <c r="V82" s="53">
        <f t="shared" si="30"/>
        <v>-732306.82352941111</v>
      </c>
      <c r="W82" s="72">
        <v>3036.39</v>
      </c>
      <c r="X82" s="53">
        <f t="shared" si="30"/>
        <v>-732306.82352941111</v>
      </c>
      <c r="Y82" s="66">
        <v>3036.39</v>
      </c>
      <c r="Z82" s="53">
        <f t="shared" si="30"/>
        <v>660035.27244094422</v>
      </c>
      <c r="AA82" s="72">
        <v>3036.39</v>
      </c>
      <c r="AB82" s="53">
        <f t="shared" si="15"/>
        <v>6632.6441174026641</v>
      </c>
      <c r="AC82" s="72">
        <v>3036.39</v>
      </c>
      <c r="AD82" s="53">
        <f t="shared" si="10"/>
        <v>-0.97170946836384919</v>
      </c>
      <c r="AE82" s="72">
        <v>2580.62</v>
      </c>
      <c r="AF82" s="53">
        <f t="shared" si="27"/>
        <v>-1.0035239600630272</v>
      </c>
      <c r="AG82" s="72">
        <v>0</v>
      </c>
      <c r="AH82" s="53">
        <f t="shared" si="28"/>
        <v>-1</v>
      </c>
    </row>
    <row r="83" spans="1:181" s="58" customFormat="1" x14ac:dyDescent="0.25">
      <c r="A83" s="47" t="str">
        <f>+'[1]GASTOS DIC 22 ENE-NOV 23'!A58</f>
        <v>5301-04</v>
      </c>
      <c r="B83" s="48" t="str">
        <f>+'[1]GASTOS DIC 22 ENE-NOV 23'!B58</f>
        <v xml:space="preserve">      PREVISIÓN INDEMNIZACIONES</v>
      </c>
      <c r="C83" s="49">
        <f>+'[1]GASTOS DIC 22 ENE-NOV 23'!O58</f>
        <v>55477.029999999992</v>
      </c>
      <c r="D83" s="49">
        <f t="shared" si="14"/>
        <v>4623.0858333333326</v>
      </c>
      <c r="E83" s="49">
        <f t="shared" si="22"/>
        <v>49692</v>
      </c>
      <c r="F83" s="49">
        <f>+F84</f>
        <v>4141</v>
      </c>
      <c r="G83" s="49">
        <f>+G84</f>
        <v>14198.37</v>
      </c>
      <c r="H83" s="51">
        <f t="shared" si="2"/>
        <v>2.4287297754165662</v>
      </c>
      <c r="I83" s="52">
        <f>+I84</f>
        <v>4258.1499999999996</v>
      </c>
      <c r="J83" s="53">
        <f t="shared" si="3"/>
        <v>2.8290268051195167E-2</v>
      </c>
      <c r="K83" s="52">
        <f>+K84</f>
        <v>4123.83</v>
      </c>
      <c r="L83" s="53">
        <f t="shared" si="4"/>
        <v>-4.1463414634146378E-3</v>
      </c>
      <c r="M83" s="52">
        <f>+M84</f>
        <v>4123.83</v>
      </c>
      <c r="N83" s="53">
        <f t="shared" si="5"/>
        <v>-4.1463414634146378E-3</v>
      </c>
      <c r="O83" s="52">
        <f>+O84</f>
        <v>4160.05</v>
      </c>
      <c r="P83" s="53">
        <f t="shared" si="6"/>
        <v>4.6003380825887508E-3</v>
      </c>
      <c r="Q83" s="35">
        <f t="shared" si="7"/>
        <v>30864.230000000003</v>
      </c>
      <c r="R83" s="36">
        <f t="shared" si="8"/>
        <v>0.62111064155196016</v>
      </c>
      <c r="S83" s="52">
        <f>+S84</f>
        <v>3036.39</v>
      </c>
      <c r="T83" s="53">
        <f t="shared" si="30"/>
        <v>107328.84199743993</v>
      </c>
      <c r="U83" s="59">
        <f>U84</f>
        <v>3036.39</v>
      </c>
      <c r="V83" s="53">
        <f t="shared" si="30"/>
        <v>-732306.82352941111</v>
      </c>
      <c r="W83" s="54">
        <f>W84</f>
        <v>3036.39</v>
      </c>
      <c r="X83" s="53">
        <f t="shared" si="30"/>
        <v>-732306.82352941111</v>
      </c>
      <c r="Y83" s="97">
        <f>SUM(Y84)</f>
        <v>3036.39</v>
      </c>
      <c r="Z83" s="53">
        <f t="shared" si="30"/>
        <v>660035.27244094422</v>
      </c>
      <c r="AA83" s="54">
        <f>AA84</f>
        <v>3036.39</v>
      </c>
      <c r="AB83" s="53">
        <f t="shared" si="15"/>
        <v>4887.6459140564975</v>
      </c>
      <c r="AC83" s="54">
        <f>AC84</f>
        <v>3036.39</v>
      </c>
      <c r="AD83" s="53">
        <f t="shared" si="10"/>
        <v>-0.97170946836384919</v>
      </c>
      <c r="AE83" s="54">
        <f>AE84</f>
        <v>2580.62</v>
      </c>
      <c r="AF83" s="53">
        <f t="shared" si="27"/>
        <v>-1.0035239600630272</v>
      </c>
      <c r="AG83" s="45">
        <f>AG84</f>
        <v>2580.62</v>
      </c>
      <c r="AH83" s="53">
        <f t="shared" si="28"/>
        <v>-1.0035239600630272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</row>
    <row r="84" spans="1:181" x14ac:dyDescent="0.25">
      <c r="A84" s="60" t="str">
        <f>+'[1]GASTOS DIC 22 ENE-NOV 23'!A59</f>
        <v>5301-04-0001</v>
      </c>
      <c r="B84" s="61" t="str">
        <f>+'[1]GASTOS DIC 22 ENE-NOV 23'!B59</f>
        <v xml:space="preserve">        BENEFICIOS SOCIALES</v>
      </c>
      <c r="C84" s="62">
        <f>+'[1]GASTOS DIC 22 ENE-NOV 23'!O59</f>
        <v>55477.029999999992</v>
      </c>
      <c r="D84" s="62">
        <f t="shared" si="14"/>
        <v>4623.0858333333326</v>
      </c>
      <c r="E84" s="62">
        <f t="shared" si="22"/>
        <v>49692</v>
      </c>
      <c r="F84" s="62">
        <f>+F82</f>
        <v>4141</v>
      </c>
      <c r="G84" s="63">
        <v>14198.37</v>
      </c>
      <c r="H84" s="51">
        <f t="shared" si="2"/>
        <v>2.4287297754165662</v>
      </c>
      <c r="I84" s="65">
        <v>4258.1499999999996</v>
      </c>
      <c r="J84" s="53">
        <f t="shared" si="3"/>
        <v>2.8290268051195167E-2</v>
      </c>
      <c r="K84" s="64">
        <v>4123.83</v>
      </c>
      <c r="L84" s="53">
        <f t="shared" si="4"/>
        <v>-4.1463414634146378E-3</v>
      </c>
      <c r="M84" s="64">
        <v>4123.83</v>
      </c>
      <c r="N84" s="53">
        <f t="shared" si="5"/>
        <v>-4.1463414634146378E-3</v>
      </c>
      <c r="O84" s="65">
        <v>4160.05</v>
      </c>
      <c r="P84" s="53">
        <f t="shared" si="6"/>
        <v>4.6003380825887508E-3</v>
      </c>
      <c r="Q84" s="35">
        <f t="shared" si="7"/>
        <v>30864.230000000003</v>
      </c>
      <c r="R84" s="36">
        <f t="shared" si="8"/>
        <v>0.62111064155196016</v>
      </c>
      <c r="S84" s="65">
        <v>3036.39</v>
      </c>
      <c r="T84" s="53">
        <f t="shared" si="30"/>
        <v>107328.84199743993</v>
      </c>
      <c r="U84" s="72">
        <v>3036.39</v>
      </c>
      <c r="V84" s="53">
        <f t="shared" si="30"/>
        <v>-732306.82352941111</v>
      </c>
      <c r="W84" s="72">
        <v>3036.39</v>
      </c>
      <c r="X84" s="53">
        <f t="shared" si="30"/>
        <v>-732306.82352941111</v>
      </c>
      <c r="Y84" s="66">
        <v>3036.39</v>
      </c>
      <c r="Z84" s="53">
        <f t="shared" si="30"/>
        <v>660035.27244094422</v>
      </c>
      <c r="AA84" s="72">
        <v>3036.39</v>
      </c>
      <c r="AB84" s="53">
        <f t="shared" si="15"/>
        <v>4887.6459140564975</v>
      </c>
      <c r="AC84" s="72">
        <v>3036.39</v>
      </c>
      <c r="AD84" s="53">
        <f t="shared" si="10"/>
        <v>-0.97170946836384919</v>
      </c>
      <c r="AE84" s="72">
        <v>2580.62</v>
      </c>
      <c r="AF84" s="53">
        <f t="shared" si="27"/>
        <v>-1.0035239600630272</v>
      </c>
      <c r="AG84" s="95">
        <v>2580.62</v>
      </c>
      <c r="AH84" s="53">
        <f t="shared" si="28"/>
        <v>-1.0035239600630272</v>
      </c>
    </row>
    <row r="85" spans="1:181" s="58" customFormat="1" x14ac:dyDescent="0.25">
      <c r="A85" s="47" t="str">
        <f>+'[1]GASTOS DIC 22 ENE-NOV 23'!A60</f>
        <v>5301-05</v>
      </c>
      <c r="B85" s="48" t="str">
        <f>+'[1]GASTOS DIC 22 ENE-NOV 23'!B60</f>
        <v xml:space="preserve">      VÍATICOS</v>
      </c>
      <c r="C85" s="49">
        <f>+C86+C87+C88+C89</f>
        <v>12276.59</v>
      </c>
      <c r="D85" s="49">
        <f t="shared" si="14"/>
        <v>1023.0491666666667</v>
      </c>
      <c r="E85" s="49">
        <f t="shared" si="22"/>
        <v>6366</v>
      </c>
      <c r="F85" s="49">
        <f>+SUM(F86:F89)</f>
        <v>530.5</v>
      </c>
      <c r="G85" s="49">
        <f>+SUM(G86:G89)</f>
        <v>1666.33</v>
      </c>
      <c r="H85" s="51">
        <f t="shared" si="2"/>
        <v>2.1410556079170591</v>
      </c>
      <c r="I85" s="52">
        <f>+SUM(I86:I89)</f>
        <v>0</v>
      </c>
      <c r="J85" s="53">
        <f t="shared" si="3"/>
        <v>-1</v>
      </c>
      <c r="K85" s="52">
        <f>+SUM(K86:K89)</f>
        <v>0</v>
      </c>
      <c r="L85" s="53">
        <f t="shared" si="4"/>
        <v>-1</v>
      </c>
      <c r="M85" s="52">
        <v>0</v>
      </c>
      <c r="N85" s="53">
        <f t="shared" si="5"/>
        <v>-1</v>
      </c>
      <c r="O85" s="52">
        <f>SUM(O86:O89)</f>
        <v>2144.38</v>
      </c>
      <c r="P85" s="53">
        <f t="shared" si="6"/>
        <v>3.042186616399623</v>
      </c>
      <c r="Q85" s="35">
        <f t="shared" si="7"/>
        <v>3810.71</v>
      </c>
      <c r="R85" s="36">
        <f t="shared" si="8"/>
        <v>0.59860351869305684</v>
      </c>
      <c r="S85" s="52">
        <f>SUM(S86:S89)</f>
        <v>952.38</v>
      </c>
      <c r="T85" s="53">
        <f t="shared" si="30"/>
        <v>-953.38</v>
      </c>
      <c r="U85" s="75">
        <v>0</v>
      </c>
      <c r="V85" s="53">
        <f t="shared" si="30"/>
        <v>-1</v>
      </c>
      <c r="W85" s="54">
        <f>SUM(W86:W88)</f>
        <v>803.22</v>
      </c>
      <c r="X85" s="53">
        <f t="shared" si="30"/>
        <v>-804.22</v>
      </c>
      <c r="Y85" s="97">
        <f>Y88</f>
        <v>1309.52</v>
      </c>
      <c r="Z85" s="53">
        <f t="shared" si="30"/>
        <v>429.45354053585152</v>
      </c>
      <c r="AA85" s="54">
        <f>SUM(AA86:AA88)</f>
        <v>2619.04</v>
      </c>
      <c r="AB85" s="53">
        <f t="shared" si="15"/>
        <v>4374.2499245547415</v>
      </c>
      <c r="AC85" s="54">
        <f>SUM(AC86:AC88)</f>
        <v>1496.4</v>
      </c>
      <c r="AD85" s="53">
        <f t="shared" si="10"/>
        <v>-2.5695735173802685</v>
      </c>
      <c r="AE85" s="54">
        <f>SUM(AE86:AE88)</f>
        <v>1309.52</v>
      </c>
      <c r="AF85" s="53">
        <f t="shared" si="27"/>
        <v>-1310.52</v>
      </c>
      <c r="AG85" s="45">
        <f>SUM(AG86:AG88)</f>
        <v>2619.0500000000002</v>
      </c>
      <c r="AH85" s="53">
        <f t="shared" si="28"/>
        <v>-4.2566337569321835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</row>
    <row r="86" spans="1:181" x14ac:dyDescent="0.25">
      <c r="A86" s="60" t="str">
        <f>+'[1]GASTOS DIC 22 ENE-NOV 23'!A61</f>
        <v>5301-05-0001</v>
      </c>
      <c r="B86" s="61" t="str">
        <f>+'[1]GASTOS DIC 22 ENE-NOV 23'!B61</f>
        <v xml:space="preserve">        VIATICOS ADM</v>
      </c>
      <c r="C86" s="62">
        <f>+'[1]GASTOS DIC 22 ENE-NOV 23'!O61</f>
        <v>3397.2799999999997</v>
      </c>
      <c r="D86" s="62">
        <f t="shared" si="14"/>
        <v>283.10666666666663</v>
      </c>
      <c r="E86" s="62">
        <f t="shared" si="22"/>
        <v>1800</v>
      </c>
      <c r="F86" s="62">
        <v>150</v>
      </c>
      <c r="G86" s="63">
        <v>466</v>
      </c>
      <c r="H86" s="51">
        <f t="shared" si="2"/>
        <v>2.1066666666666665</v>
      </c>
      <c r="I86" s="64">
        <v>0</v>
      </c>
      <c r="J86" s="53">
        <f t="shared" si="3"/>
        <v>-1</v>
      </c>
      <c r="K86" s="64"/>
      <c r="L86" s="53">
        <f t="shared" si="4"/>
        <v>-1</v>
      </c>
      <c r="M86" s="64">
        <v>0</v>
      </c>
      <c r="N86" s="53">
        <f t="shared" si="5"/>
        <v>-1</v>
      </c>
      <c r="O86" s="65">
        <v>1192</v>
      </c>
      <c r="P86" s="53">
        <f t="shared" si="6"/>
        <v>6.9466666666666663</v>
      </c>
      <c r="Q86" s="35">
        <f t="shared" si="7"/>
        <v>1658</v>
      </c>
      <c r="R86" s="36">
        <f t="shared" si="8"/>
        <v>0.9211111111111111</v>
      </c>
      <c r="S86" s="65">
        <v>0</v>
      </c>
      <c r="T86" s="53">
        <f t="shared" si="30"/>
        <v>-1</v>
      </c>
      <c r="U86" s="66">
        <v>0</v>
      </c>
      <c r="V86" s="53">
        <f t="shared" si="30"/>
        <v>-1</v>
      </c>
      <c r="W86" s="72">
        <v>100</v>
      </c>
      <c r="X86" s="53">
        <f t="shared" si="30"/>
        <v>-101</v>
      </c>
      <c r="Y86" s="66">
        <v>0</v>
      </c>
      <c r="Z86" s="53">
        <f t="shared" si="30"/>
        <v>-1</v>
      </c>
      <c r="AA86" s="66">
        <v>0</v>
      </c>
      <c r="AB86" s="53">
        <f t="shared" si="15"/>
        <v>-1</v>
      </c>
      <c r="AC86" s="66">
        <v>696</v>
      </c>
      <c r="AD86" s="53">
        <f t="shared" si="10"/>
        <v>-697</v>
      </c>
      <c r="AE86" s="66">
        <v>0</v>
      </c>
      <c r="AF86" s="53">
        <f t="shared" si="27"/>
        <v>-1</v>
      </c>
      <c r="AG86" s="66">
        <v>0</v>
      </c>
      <c r="AH86" s="53">
        <f t="shared" si="28"/>
        <v>-1</v>
      </c>
    </row>
    <row r="87" spans="1:181" x14ac:dyDescent="0.25">
      <c r="A87" s="60" t="str">
        <f>+'[1]GASTOS DIC 22 ENE-NOV 23'!A62</f>
        <v>5301-05-0002</v>
      </c>
      <c r="B87" s="61" t="str">
        <f>+'[1]GASTOS DIC 22 ENE-NOV 23'!B62</f>
        <v xml:space="preserve">        HOSPEDAJE</v>
      </c>
      <c r="C87" s="62">
        <f>+'[1]GASTOS DIC 22 ENE-NOV 23'!O62</f>
        <v>2951.5600000000004</v>
      </c>
      <c r="D87" s="62">
        <f t="shared" si="14"/>
        <v>245.96333333333337</v>
      </c>
      <c r="E87" s="62">
        <f t="shared" si="22"/>
        <v>2760</v>
      </c>
      <c r="F87" s="62">
        <v>230</v>
      </c>
      <c r="G87" s="63">
        <v>247.95</v>
      </c>
      <c r="H87" s="51">
        <f t="shared" si="2"/>
        <v>7.8043478260869437E-2</v>
      </c>
      <c r="I87" s="64">
        <v>0</v>
      </c>
      <c r="J87" s="53">
        <f t="shared" si="3"/>
        <v>-1</v>
      </c>
      <c r="K87" s="64"/>
      <c r="L87" s="53">
        <f t="shared" si="4"/>
        <v>-1</v>
      </c>
      <c r="M87" s="64">
        <v>0</v>
      </c>
      <c r="N87" s="53">
        <f t="shared" si="5"/>
        <v>-1</v>
      </c>
      <c r="O87" s="65">
        <v>0</v>
      </c>
      <c r="P87" s="53">
        <f t="shared" si="6"/>
        <v>-1</v>
      </c>
      <c r="Q87" s="35">
        <f t="shared" si="7"/>
        <v>247.95</v>
      </c>
      <c r="R87" s="36">
        <f t="shared" si="8"/>
        <v>8.983695652173912E-2</v>
      </c>
      <c r="S87" s="65">
        <v>0</v>
      </c>
      <c r="T87" s="53">
        <f t="shared" si="30"/>
        <v>-1</v>
      </c>
      <c r="U87" s="66">
        <v>0</v>
      </c>
      <c r="V87" s="53">
        <f t="shared" si="30"/>
        <v>-1</v>
      </c>
      <c r="W87" s="72">
        <v>528.61</v>
      </c>
      <c r="X87" s="53">
        <f t="shared" si="30"/>
        <v>-529.61</v>
      </c>
      <c r="Y87" s="66">
        <v>0</v>
      </c>
      <c r="Z87" s="53">
        <f t="shared" si="30"/>
        <v>-1</v>
      </c>
      <c r="AA87" s="66">
        <v>0</v>
      </c>
      <c r="AB87" s="53">
        <f t="shared" si="15"/>
        <v>-1</v>
      </c>
      <c r="AC87" s="66">
        <v>800.4</v>
      </c>
      <c r="AD87" s="53">
        <f t="shared" si="10"/>
        <v>-801.4</v>
      </c>
      <c r="AE87" s="66">
        <v>0</v>
      </c>
      <c r="AF87" s="53">
        <f t="shared" si="27"/>
        <v>-1</v>
      </c>
      <c r="AG87" s="66">
        <v>0</v>
      </c>
      <c r="AH87" s="53">
        <f t="shared" si="28"/>
        <v>-1</v>
      </c>
    </row>
    <row r="88" spans="1:181" x14ac:dyDescent="0.25">
      <c r="A88" s="60" t="str">
        <f>+'[1]GASTOS DIC 22 ENE-NOV 23'!A63</f>
        <v>5301-05-0003</v>
      </c>
      <c r="B88" s="61" t="str">
        <f>+'[1]GASTOS DIC 22 ENE-NOV 23'!B63</f>
        <v xml:space="preserve">        ESTIPENDIOS</v>
      </c>
      <c r="C88" s="62">
        <f>+'[1]GASTOS DIC 22 ENE-NOV 23'!O63</f>
        <v>1904.76</v>
      </c>
      <c r="D88" s="62">
        <f t="shared" si="14"/>
        <v>158.72999999999999</v>
      </c>
      <c r="E88" s="62">
        <f t="shared" si="22"/>
        <v>1800</v>
      </c>
      <c r="F88" s="62">
        <v>150</v>
      </c>
      <c r="G88" s="63">
        <v>952.38</v>
      </c>
      <c r="H88" s="51">
        <f t="shared" ref="H88:H159" si="31">+G88/F88-1</f>
        <v>5.3491999999999997</v>
      </c>
      <c r="I88" s="64">
        <v>0</v>
      </c>
      <c r="J88" s="53">
        <f t="shared" ref="J88:J159" si="32">+I88/F88-1</f>
        <v>-1</v>
      </c>
      <c r="K88" s="64"/>
      <c r="L88" s="53">
        <f t="shared" ref="L88:L159" si="33">+K88/F88-1</f>
        <v>-1</v>
      </c>
      <c r="M88" s="64">
        <v>0</v>
      </c>
      <c r="N88" s="53">
        <f t="shared" ref="N88:N159" si="34">+M88/F88-1</f>
        <v>-1</v>
      </c>
      <c r="O88" s="65">
        <v>952.38</v>
      </c>
      <c r="P88" s="53">
        <f t="shared" ref="P88:P151" si="35">(O88/F88)-1</f>
        <v>5.3491999999999997</v>
      </c>
      <c r="Q88" s="35">
        <f t="shared" ref="Q88:Q158" si="36">+O88+M88+K88+I88+G88</f>
        <v>1904.76</v>
      </c>
      <c r="R88" s="36">
        <f t="shared" ref="R88:R158" si="37">+Q88/E88</f>
        <v>1.0582</v>
      </c>
      <c r="S88" s="65">
        <v>952.38</v>
      </c>
      <c r="T88" s="53">
        <f t="shared" si="30"/>
        <v>-953.38</v>
      </c>
      <c r="U88" s="66">
        <v>0</v>
      </c>
      <c r="V88" s="53">
        <f t="shared" si="30"/>
        <v>-1</v>
      </c>
      <c r="W88" s="72">
        <v>174.61</v>
      </c>
      <c r="X88" s="53">
        <f t="shared" si="30"/>
        <v>-175.61</v>
      </c>
      <c r="Y88" s="72">
        <v>1309.52</v>
      </c>
      <c r="Z88" s="53">
        <f t="shared" si="30"/>
        <v>243.8067000672998</v>
      </c>
      <c r="AA88" s="72">
        <v>2619.04</v>
      </c>
      <c r="AB88" s="53">
        <f t="shared" si="30"/>
        <v>2473.9952749952749</v>
      </c>
      <c r="AC88" s="72">
        <v>0</v>
      </c>
      <c r="AD88" s="53">
        <f t="shared" ref="AD88:AD158" si="38">(AC88/T88)-1</f>
        <v>-1</v>
      </c>
      <c r="AE88" s="72">
        <v>1309.52</v>
      </c>
      <c r="AF88" s="53">
        <f t="shared" si="27"/>
        <v>-1310.52</v>
      </c>
      <c r="AG88" s="95">
        <v>2619.0500000000002</v>
      </c>
      <c r="AH88" s="53">
        <f t="shared" si="28"/>
        <v>-15.914014008313877</v>
      </c>
    </row>
    <row r="89" spans="1:181" x14ac:dyDescent="0.25">
      <c r="A89" s="92" t="str">
        <f>+'[1]GASTOS DIC 22 ENE-NOV 23'!A64</f>
        <v>5301-05-0004</v>
      </c>
      <c r="B89" s="70" t="str">
        <f>+'[1]GASTOS DIC 22 ENE-NOV 23'!B64</f>
        <v xml:space="preserve">        DIETAS</v>
      </c>
      <c r="C89" s="69">
        <f>+'[1]GASTOS DIC 22 ENE-NOV 23'!O64</f>
        <v>4022.99</v>
      </c>
      <c r="D89" s="69">
        <f t="shared" si="14"/>
        <v>335.24916666666667</v>
      </c>
      <c r="E89" s="69">
        <f t="shared" si="22"/>
        <v>6</v>
      </c>
      <c r="F89" s="69">
        <v>0.5</v>
      </c>
      <c r="G89" s="81"/>
      <c r="H89" s="51">
        <f t="shared" si="31"/>
        <v>-1</v>
      </c>
      <c r="I89" s="64">
        <v>0</v>
      </c>
      <c r="J89" s="53">
        <f t="shared" si="32"/>
        <v>-1</v>
      </c>
      <c r="K89" s="64"/>
      <c r="L89" s="53">
        <f t="shared" si="33"/>
        <v>-1</v>
      </c>
      <c r="M89" s="64">
        <v>0</v>
      </c>
      <c r="N89" s="53">
        <f t="shared" si="34"/>
        <v>-1</v>
      </c>
      <c r="O89" s="65">
        <v>0</v>
      </c>
      <c r="P89" s="53">
        <f t="shared" si="35"/>
        <v>-1</v>
      </c>
      <c r="Q89" s="35">
        <f t="shared" si="36"/>
        <v>0</v>
      </c>
      <c r="R89" s="36">
        <f t="shared" si="37"/>
        <v>0</v>
      </c>
      <c r="S89" s="65">
        <v>0</v>
      </c>
      <c r="T89" s="53">
        <f t="shared" si="30"/>
        <v>-1</v>
      </c>
      <c r="U89" s="66">
        <v>0</v>
      </c>
      <c r="V89" s="53">
        <f t="shared" si="30"/>
        <v>-1</v>
      </c>
      <c r="W89" s="66">
        <v>0</v>
      </c>
      <c r="X89" s="53">
        <f t="shared" si="30"/>
        <v>-1</v>
      </c>
      <c r="Y89" s="66">
        <v>0</v>
      </c>
      <c r="Z89" s="53">
        <f t="shared" si="30"/>
        <v>-1</v>
      </c>
      <c r="AA89" s="66">
        <v>0</v>
      </c>
      <c r="AB89" s="53" t="e">
        <f t="shared" si="30"/>
        <v>#DIV/0!</v>
      </c>
      <c r="AC89" s="66">
        <v>0</v>
      </c>
      <c r="AD89" s="53">
        <f t="shared" si="38"/>
        <v>-1</v>
      </c>
      <c r="AE89" s="66">
        <v>0</v>
      </c>
      <c r="AF89" s="53">
        <f t="shared" si="27"/>
        <v>-1</v>
      </c>
      <c r="AG89" s="66">
        <v>0</v>
      </c>
      <c r="AH89" s="53">
        <f t="shared" si="28"/>
        <v>-1</v>
      </c>
    </row>
    <row r="90" spans="1:181" s="58" customFormat="1" x14ac:dyDescent="0.25">
      <c r="A90" s="47" t="str">
        <f>+'[1]GASTOS DIC 22 ENE-NOV 23'!A65</f>
        <v>5301-06</v>
      </c>
      <c r="B90" s="48" t="str">
        <f>+'[1]GASTOS DIC 22 ENE-NOV 23'!B65</f>
        <v xml:space="preserve">      PASAJES</v>
      </c>
      <c r="C90" s="49">
        <f>+C91+C92</f>
        <v>16382.949999999999</v>
      </c>
      <c r="D90" s="49">
        <f t="shared" si="14"/>
        <v>1365.2458333333332</v>
      </c>
      <c r="E90" s="49">
        <f t="shared" si="22"/>
        <v>11400</v>
      </c>
      <c r="F90" s="49">
        <f>+F91+F92</f>
        <v>950</v>
      </c>
      <c r="G90" s="49">
        <f>+G91+G92</f>
        <v>1751.28</v>
      </c>
      <c r="H90" s="51">
        <f t="shared" si="31"/>
        <v>0.84345263157894723</v>
      </c>
      <c r="I90" s="52">
        <f>+I91+I92</f>
        <v>651.17999999999995</v>
      </c>
      <c r="J90" s="53">
        <f t="shared" si="32"/>
        <v>-0.31454736842105269</v>
      </c>
      <c r="K90" s="52">
        <f>+K91+K92</f>
        <v>896.52</v>
      </c>
      <c r="L90" s="53">
        <f t="shared" si="33"/>
        <v>-5.6294736842105286E-2</v>
      </c>
      <c r="M90" s="52">
        <v>0</v>
      </c>
      <c r="N90" s="53">
        <f t="shared" si="34"/>
        <v>-1</v>
      </c>
      <c r="O90" s="52">
        <f>+O91+O92</f>
        <v>824.31</v>
      </c>
      <c r="P90" s="53">
        <f t="shared" si="35"/>
        <v>-0.13230526315789481</v>
      </c>
      <c r="Q90" s="35">
        <f t="shared" si="36"/>
        <v>4123.29</v>
      </c>
      <c r="R90" s="36">
        <f t="shared" si="37"/>
        <v>0.36169210526315787</v>
      </c>
      <c r="S90" s="52">
        <f>+S91+S92</f>
        <v>1509.63</v>
      </c>
      <c r="T90" s="53">
        <f t="shared" si="30"/>
        <v>-4800.3725319590385</v>
      </c>
      <c r="U90" s="75">
        <v>0</v>
      </c>
      <c r="V90" s="53">
        <f t="shared" si="30"/>
        <v>-1</v>
      </c>
      <c r="W90" s="54">
        <f>W91+W92</f>
        <v>1822.62</v>
      </c>
      <c r="X90" s="53">
        <f t="shared" si="30"/>
        <v>-1823.62</v>
      </c>
      <c r="Y90" s="91">
        <v>0</v>
      </c>
      <c r="Z90" s="53">
        <f t="shared" si="30"/>
        <v>-1</v>
      </c>
      <c r="AA90" s="54">
        <f>AA91+AA92</f>
        <v>2284.62</v>
      </c>
      <c r="AB90" s="53">
        <f t="shared" si="30"/>
        <v>6315.4773760759008</v>
      </c>
      <c r="AC90" s="54">
        <f>AC91+AC92</f>
        <v>2838.33</v>
      </c>
      <c r="AD90" s="53">
        <f t="shared" si="38"/>
        <v>-1.5912728608255895</v>
      </c>
      <c r="AE90" s="54">
        <f>AE91+AE92</f>
        <v>5378.67</v>
      </c>
      <c r="AF90" s="53">
        <f t="shared" si="27"/>
        <v>-5379.67</v>
      </c>
      <c r="AG90" s="45">
        <f>AG91+AG92</f>
        <v>4236.84</v>
      </c>
      <c r="AH90" s="53">
        <f t="shared" si="28"/>
        <v>-3.3233129709040261</v>
      </c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</row>
    <row r="91" spans="1:181" x14ac:dyDescent="0.25">
      <c r="A91" s="60" t="str">
        <f>+'[1]GASTOS DIC 22 ENE-NOV 23'!A66</f>
        <v>5301-06-0001</v>
      </c>
      <c r="B91" s="61" t="str">
        <f>+'[1]GASTOS DIC 22 ENE-NOV 23'!B66</f>
        <v xml:space="preserve">        TRANSPORTE AEREO</v>
      </c>
      <c r="C91" s="62">
        <f>+'[1]GASTOS DIC 22 ENE-NOV 23'!O66</f>
        <v>15711.46</v>
      </c>
      <c r="D91" s="62">
        <f t="shared" si="14"/>
        <v>1309.2883333333332</v>
      </c>
      <c r="E91" s="62">
        <f t="shared" si="22"/>
        <v>10800</v>
      </c>
      <c r="F91" s="62">
        <v>900</v>
      </c>
      <c r="G91" s="63">
        <v>1729.53</v>
      </c>
      <c r="H91" s="51">
        <f t="shared" si="31"/>
        <v>0.92169999999999996</v>
      </c>
      <c r="I91" s="65">
        <v>651.17999999999995</v>
      </c>
      <c r="J91" s="53">
        <f t="shared" si="32"/>
        <v>-0.27646666666666675</v>
      </c>
      <c r="K91" s="64">
        <v>896.52</v>
      </c>
      <c r="L91" s="53">
        <f t="shared" si="33"/>
        <v>-3.8666666666666849E-3</v>
      </c>
      <c r="M91" s="64">
        <v>0</v>
      </c>
      <c r="N91" s="53">
        <f t="shared" si="34"/>
        <v>-1</v>
      </c>
      <c r="O91" s="65">
        <v>824.31</v>
      </c>
      <c r="P91" s="53">
        <f t="shared" si="35"/>
        <v>-8.4100000000000064E-2</v>
      </c>
      <c r="Q91" s="35">
        <f t="shared" si="36"/>
        <v>4101.54</v>
      </c>
      <c r="R91" s="36">
        <f t="shared" si="37"/>
        <v>0.37977222222222223</v>
      </c>
      <c r="S91" s="65">
        <v>1509.63</v>
      </c>
      <c r="T91" s="53">
        <f t="shared" si="30"/>
        <v>-5461.4412828550749</v>
      </c>
      <c r="U91" s="66">
        <v>0</v>
      </c>
      <c r="V91" s="53">
        <f t="shared" si="30"/>
        <v>-1</v>
      </c>
      <c r="W91" s="72">
        <v>1648.62</v>
      </c>
      <c r="X91" s="53">
        <f t="shared" si="30"/>
        <v>-1649.62</v>
      </c>
      <c r="Y91" s="66">
        <v>0</v>
      </c>
      <c r="Z91" s="53">
        <f t="shared" si="30"/>
        <v>-1</v>
      </c>
      <c r="AA91" s="72">
        <v>2284.62</v>
      </c>
      <c r="AB91" s="53">
        <f t="shared" si="30"/>
        <v>6014.7638350473235</v>
      </c>
      <c r="AC91" s="72">
        <v>2838.33</v>
      </c>
      <c r="AD91" s="53">
        <f t="shared" si="38"/>
        <v>-1.5197034725815466</v>
      </c>
      <c r="AE91" s="111">
        <v>5378.67</v>
      </c>
      <c r="AF91" s="53">
        <f t="shared" si="27"/>
        <v>-5379.67</v>
      </c>
      <c r="AG91" s="95">
        <v>4236.84</v>
      </c>
      <c r="AH91" s="53">
        <f t="shared" si="28"/>
        <v>-3.5683733223409031</v>
      </c>
    </row>
    <row r="92" spans="1:181" x14ac:dyDescent="0.25">
      <c r="A92" s="60" t="str">
        <f>+'[1]GASTOS DIC 22 ENE-NOV 23'!A67</f>
        <v>5301-06-0002</v>
      </c>
      <c r="B92" s="61" t="str">
        <f>+'[1]GASTOS DIC 22 ENE-NOV 23'!B67</f>
        <v xml:space="preserve">        TRANSPORTE TERRESTRE</v>
      </c>
      <c r="C92" s="69">
        <f>+'[1]GASTOS DIC 22 ENE-NOV 23'!O67</f>
        <v>671.49</v>
      </c>
      <c r="D92" s="69">
        <f t="shared" si="14"/>
        <v>55.957500000000003</v>
      </c>
      <c r="E92" s="69">
        <f t="shared" si="22"/>
        <v>600</v>
      </c>
      <c r="F92" s="69">
        <v>50</v>
      </c>
      <c r="G92" s="81">
        <v>21.75</v>
      </c>
      <c r="H92" s="51">
        <f t="shared" si="31"/>
        <v>-0.56499999999999995</v>
      </c>
      <c r="I92" s="64"/>
      <c r="J92" s="53">
        <f t="shared" si="32"/>
        <v>-1</v>
      </c>
      <c r="K92" s="64"/>
      <c r="L92" s="53">
        <f t="shared" si="33"/>
        <v>-1</v>
      </c>
      <c r="M92" s="64">
        <v>0</v>
      </c>
      <c r="N92" s="53">
        <f t="shared" si="34"/>
        <v>-1</v>
      </c>
      <c r="O92" s="65">
        <v>0</v>
      </c>
      <c r="P92" s="53">
        <f t="shared" si="35"/>
        <v>-1</v>
      </c>
      <c r="Q92" s="35">
        <f t="shared" si="36"/>
        <v>21.75</v>
      </c>
      <c r="R92" s="36">
        <f t="shared" si="37"/>
        <v>3.6249999999999998E-2</v>
      </c>
      <c r="S92" s="65">
        <v>0</v>
      </c>
      <c r="T92" s="53">
        <f t="shared" si="30"/>
        <v>-1</v>
      </c>
      <c r="U92" s="66">
        <v>0</v>
      </c>
      <c r="V92" s="53">
        <f t="shared" si="30"/>
        <v>-1</v>
      </c>
      <c r="W92" s="72">
        <v>174</v>
      </c>
      <c r="X92" s="53">
        <f t="shared" si="30"/>
        <v>-175</v>
      </c>
      <c r="Y92" s="66">
        <v>0</v>
      </c>
      <c r="Z92" s="53">
        <f t="shared" si="30"/>
        <v>-1</v>
      </c>
      <c r="AA92" s="66">
        <v>0</v>
      </c>
      <c r="AB92" s="53">
        <f t="shared" si="30"/>
        <v>-1</v>
      </c>
      <c r="AC92" s="66">
        <v>0</v>
      </c>
      <c r="AD92" s="53">
        <f t="shared" si="38"/>
        <v>-1</v>
      </c>
      <c r="AE92" s="66">
        <v>0</v>
      </c>
      <c r="AF92" s="53">
        <f t="shared" si="27"/>
        <v>-1</v>
      </c>
      <c r="AG92" s="66">
        <v>0</v>
      </c>
      <c r="AH92" s="53">
        <f t="shared" si="28"/>
        <v>-1</v>
      </c>
    </row>
    <row r="93" spans="1:181" s="58" customFormat="1" x14ac:dyDescent="0.25">
      <c r="A93" s="47" t="str">
        <f>+'[1]GASTOS DIC 22 ENE-NOV 23'!A68</f>
        <v>5301-07</v>
      </c>
      <c r="B93" s="48" t="str">
        <f>+'[1]GASTOS DIC 22 ENE-NOV 23'!B68</f>
        <v xml:space="preserve">      SERVICIOS BÁSICOS</v>
      </c>
      <c r="C93" s="49">
        <f>+SUM(C94:C99)</f>
        <v>59850.38</v>
      </c>
      <c r="D93" s="49">
        <f t="shared" ref="D93:D161" si="39">+C93/12</f>
        <v>4987.5316666666668</v>
      </c>
      <c r="E93" s="49">
        <f t="shared" si="22"/>
        <v>58320</v>
      </c>
      <c r="F93" s="49">
        <f>+SUM(F94:F99)</f>
        <v>4860</v>
      </c>
      <c r="G93" s="49">
        <f>+SUM(G94:G99)</f>
        <v>4567.78</v>
      </c>
      <c r="H93" s="51">
        <f t="shared" si="31"/>
        <v>-6.0127572016460906E-2</v>
      </c>
      <c r="I93" s="52">
        <f>+SUM(I94:I99)</f>
        <v>4457.3099999999995</v>
      </c>
      <c r="J93" s="53">
        <f t="shared" si="32"/>
        <v>-8.2858024691358168E-2</v>
      </c>
      <c r="K93" s="52">
        <f>+SUM(K94:K99)</f>
        <v>4261.01</v>
      </c>
      <c r="L93" s="53">
        <f t="shared" si="33"/>
        <v>-0.1232489711934156</v>
      </c>
      <c r="M93" s="52">
        <f>+M94+M95+M97+M98</f>
        <v>4388.4800000000005</v>
      </c>
      <c r="N93" s="53">
        <f t="shared" si="34"/>
        <v>-9.7020576131687131E-2</v>
      </c>
      <c r="O93" s="52">
        <f>SUM(O94:O99)</f>
        <v>4375.07</v>
      </c>
      <c r="P93" s="53">
        <f t="shared" si="35"/>
        <v>-9.9779835390946592E-2</v>
      </c>
      <c r="Q93" s="35">
        <f t="shared" si="36"/>
        <v>22049.649999999998</v>
      </c>
      <c r="R93" s="36">
        <f t="shared" si="37"/>
        <v>0.37808041838134426</v>
      </c>
      <c r="S93" s="52">
        <f>SUM(S94:S100)</f>
        <v>19762.400000000001</v>
      </c>
      <c r="T93" s="53">
        <f t="shared" si="30"/>
        <v>-238510.18572599231</v>
      </c>
      <c r="U93" s="59">
        <f>SUM(U94:U100)</f>
        <v>4632.9000000000005</v>
      </c>
      <c r="V93" s="53">
        <f t="shared" si="30"/>
        <v>-37590.766106278919</v>
      </c>
      <c r="W93" s="54">
        <f>SUM(W94:W100)</f>
        <v>6113.7800000000007</v>
      </c>
      <c r="X93" s="53">
        <f t="shared" si="30"/>
        <v>-63016.292670512463</v>
      </c>
      <c r="Y93" s="97">
        <f>SUM(Y94:Y100)</f>
        <v>5901</v>
      </c>
      <c r="Z93" s="53">
        <f t="shared" si="30"/>
        <v>-59141.205802899334</v>
      </c>
      <c r="AA93" s="54">
        <f>SUM(AA94:AA100)+AA123</f>
        <v>6132.78</v>
      </c>
      <c r="AB93" s="53">
        <f t="shared" si="30"/>
        <v>16219.834779690382</v>
      </c>
      <c r="AC93" s="54">
        <f>SUM(AC94:AC100)+AC123</f>
        <v>5369.03</v>
      </c>
      <c r="AD93" s="53">
        <f t="shared" si="38"/>
        <v>-1.0225106948101919</v>
      </c>
      <c r="AE93" s="54">
        <f>SUM(AE94:AE100)</f>
        <v>5121.2300000000005</v>
      </c>
      <c r="AF93" s="53">
        <f t="shared" si="27"/>
        <v>-1.1362363827733903</v>
      </c>
      <c r="AG93" s="45">
        <f>SUM(AG94:AG100)</f>
        <v>6115.3600000000006</v>
      </c>
      <c r="AH93" s="53">
        <f t="shared" si="28"/>
        <v>-1.0970441094015928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</row>
    <row r="94" spans="1:181" x14ac:dyDescent="0.25">
      <c r="A94" s="112" t="str">
        <f>+'[1]GASTOS DIC 22 ENE-NOV 23'!A69</f>
        <v>5301-07-0002</v>
      </c>
      <c r="B94" s="61" t="str">
        <f>+'[1]GASTOS DIC 22 ENE-NOV 23'!B69</f>
        <v xml:space="preserve">        SERVICIO DE ENERGIA ELECTRICA</v>
      </c>
      <c r="C94" s="62">
        <f>+'[1]GASTOS DIC 22 ENE-NOV 23'!O69</f>
        <v>21530.059999999998</v>
      </c>
      <c r="D94" s="62">
        <f t="shared" si="39"/>
        <v>1794.1716666666664</v>
      </c>
      <c r="E94" s="62">
        <f t="shared" si="22"/>
        <v>21600</v>
      </c>
      <c r="F94" s="62">
        <v>1800</v>
      </c>
      <c r="G94" s="63">
        <v>1977.79</v>
      </c>
      <c r="H94" s="51">
        <f t="shared" si="31"/>
        <v>9.8772222222222261E-2</v>
      </c>
      <c r="I94" s="65">
        <v>1730.73</v>
      </c>
      <c r="J94" s="53">
        <f t="shared" si="32"/>
        <v>-3.8483333333333314E-2</v>
      </c>
      <c r="K94" s="65">
        <v>1646.93</v>
      </c>
      <c r="L94" s="53">
        <f t="shared" si="33"/>
        <v>-8.5038888888888886E-2</v>
      </c>
      <c r="M94" s="64">
        <v>1765.7</v>
      </c>
      <c r="N94" s="53">
        <f t="shared" si="34"/>
        <v>-1.9055555555555492E-2</v>
      </c>
      <c r="O94" s="65">
        <v>1725.49</v>
      </c>
      <c r="P94" s="53">
        <f t="shared" si="35"/>
        <v>-4.13944444444444E-2</v>
      </c>
      <c r="Q94" s="35">
        <f t="shared" si="36"/>
        <v>8846.64</v>
      </c>
      <c r="R94" s="36">
        <f t="shared" si="37"/>
        <v>0.40956666666666663</v>
      </c>
      <c r="S94" s="65">
        <v>1817.18</v>
      </c>
      <c r="T94" s="53">
        <f t="shared" si="30"/>
        <v>-47220.922044174993</v>
      </c>
      <c r="U94" s="72">
        <v>1272.8</v>
      </c>
      <c r="V94" s="53">
        <f t="shared" si="30"/>
        <v>-14968.26987652708</v>
      </c>
      <c r="W94" s="72">
        <v>1417.98</v>
      </c>
      <c r="X94" s="53">
        <f t="shared" si="30"/>
        <v>-74413.944606414239</v>
      </c>
      <c r="Y94" s="72">
        <v>1265.23</v>
      </c>
      <c r="Z94" s="53">
        <f t="shared" si="30"/>
        <v>-30566.212723124445</v>
      </c>
      <c r="AA94" s="72">
        <v>1401.39</v>
      </c>
      <c r="AB94" s="53">
        <f t="shared" si="30"/>
        <v>3420.6407585252709</v>
      </c>
      <c r="AC94" s="104">
        <v>1948.38</v>
      </c>
      <c r="AD94" s="53">
        <f t="shared" si="38"/>
        <v>-1.0412609478098986</v>
      </c>
      <c r="AE94" s="104">
        <v>1930.26</v>
      </c>
      <c r="AF94" s="53">
        <f t="shared" si="27"/>
        <v>-1.1289567876529933</v>
      </c>
      <c r="AG94" s="95">
        <v>1760.47</v>
      </c>
      <c r="AH94" s="53">
        <f t="shared" si="28"/>
        <v>-1.0236577970609053</v>
      </c>
    </row>
    <row r="95" spans="1:181" x14ac:dyDescent="0.25">
      <c r="A95" s="60" t="str">
        <f>+'[1]GASTOS DIC 22 ENE-NOV 23'!A70</f>
        <v>5301-07-0003</v>
      </c>
      <c r="B95" s="61" t="str">
        <f>+'[1]GASTOS DIC 22 ENE-NOV 23'!B70</f>
        <v xml:space="preserve">        SERVICIO DE TELEFONIA</v>
      </c>
      <c r="C95" s="62">
        <f>+'[1]GASTOS DIC 22 ENE-NOV 23'!O70</f>
        <v>15690.719999999998</v>
      </c>
      <c r="D95" s="62">
        <f t="shared" si="39"/>
        <v>1307.5599999999997</v>
      </c>
      <c r="E95" s="62">
        <f t="shared" si="22"/>
        <v>14040</v>
      </c>
      <c r="F95" s="62">
        <v>1170</v>
      </c>
      <c r="G95" s="63">
        <v>1048.3499999999999</v>
      </c>
      <c r="H95" s="51">
        <f t="shared" si="31"/>
        <v>-0.10397435897435903</v>
      </c>
      <c r="I95" s="64">
        <v>1048.3499999999999</v>
      </c>
      <c r="J95" s="53">
        <f t="shared" si="32"/>
        <v>-0.10397435897435903</v>
      </c>
      <c r="K95" s="65">
        <v>1048.3499999999999</v>
      </c>
      <c r="L95" s="53">
        <f t="shared" si="33"/>
        <v>-0.10397435897435903</v>
      </c>
      <c r="M95" s="64">
        <v>1048.3499999999999</v>
      </c>
      <c r="N95" s="53">
        <f t="shared" si="34"/>
        <v>-0.10397435897435903</v>
      </c>
      <c r="O95" s="65">
        <v>1135.3499999999999</v>
      </c>
      <c r="P95" s="53">
        <f t="shared" si="35"/>
        <v>-2.961538461538471E-2</v>
      </c>
      <c r="Q95" s="35">
        <f t="shared" si="36"/>
        <v>5328.75</v>
      </c>
      <c r="R95" s="36">
        <f t="shared" si="37"/>
        <v>0.37954059829059827</v>
      </c>
      <c r="S95" s="65">
        <v>1178.8499999999999</v>
      </c>
      <c r="T95" s="53">
        <f t="shared" si="30"/>
        <v>-11338.891491985198</v>
      </c>
      <c r="U95" s="72">
        <v>1140.1300000000001</v>
      </c>
      <c r="V95" s="53">
        <f t="shared" si="30"/>
        <v>-10966.491985203447</v>
      </c>
      <c r="W95" s="72">
        <v>1044</v>
      </c>
      <c r="X95" s="53">
        <f t="shared" si="30"/>
        <v>-10041.937114673237</v>
      </c>
      <c r="Y95" s="72">
        <v>1044</v>
      </c>
      <c r="Z95" s="53">
        <f t="shared" si="30"/>
        <v>-35252.94805194794</v>
      </c>
      <c r="AA95" s="72">
        <v>1044</v>
      </c>
      <c r="AB95" s="53">
        <f t="shared" si="30"/>
        <v>2749.6938775510207</v>
      </c>
      <c r="AC95" s="72">
        <v>1044</v>
      </c>
      <c r="AD95" s="53">
        <f t="shared" si="38"/>
        <v>-1.0920724923364813</v>
      </c>
      <c r="AE95" s="72">
        <v>1044</v>
      </c>
      <c r="AF95" s="53">
        <f t="shared" si="27"/>
        <v>-1.0951990847582453</v>
      </c>
      <c r="AG95" s="95">
        <v>1044</v>
      </c>
      <c r="AH95" s="53">
        <f t="shared" si="28"/>
        <v>-1.1039640049602095</v>
      </c>
    </row>
    <row r="96" spans="1:181" x14ac:dyDescent="0.25">
      <c r="A96" s="60" t="str">
        <f>+'[1]GASTOS DIC 22 ENE-NOV 23'!A71</f>
        <v>5301-07-0004</v>
      </c>
      <c r="B96" s="61" t="str">
        <f>+'[1]GASTOS DIC 22 ENE-NOV 23'!B71</f>
        <v xml:space="preserve">        SERVICIO COURIER</v>
      </c>
      <c r="C96" s="62">
        <f>+'[1]GASTOS DIC 22 ENE-NOV 23'!O71</f>
        <v>2903.8900000000003</v>
      </c>
      <c r="D96" s="62">
        <f t="shared" si="39"/>
        <v>241.99083333333337</v>
      </c>
      <c r="E96" s="62">
        <f t="shared" si="22"/>
        <v>2160</v>
      </c>
      <c r="F96" s="62">
        <v>180</v>
      </c>
      <c r="G96" s="63"/>
      <c r="H96" s="51">
        <f t="shared" si="31"/>
        <v>-1</v>
      </c>
      <c r="I96" s="65">
        <v>200.1</v>
      </c>
      <c r="J96" s="53">
        <f t="shared" si="32"/>
        <v>0.11166666666666658</v>
      </c>
      <c r="K96" s="64">
        <v>91.35</v>
      </c>
      <c r="L96" s="53">
        <f t="shared" si="33"/>
        <v>-0.49250000000000005</v>
      </c>
      <c r="M96" s="64">
        <v>0</v>
      </c>
      <c r="N96" s="53">
        <f t="shared" si="34"/>
        <v>-1</v>
      </c>
      <c r="O96" s="65">
        <v>0</v>
      </c>
      <c r="P96" s="53">
        <f t="shared" si="35"/>
        <v>-1</v>
      </c>
      <c r="Q96" s="35">
        <f t="shared" si="36"/>
        <v>291.45</v>
      </c>
      <c r="R96" s="36">
        <f t="shared" si="37"/>
        <v>0.13493055555555555</v>
      </c>
      <c r="S96" s="65">
        <v>291.45</v>
      </c>
      <c r="T96" s="53">
        <f t="shared" si="30"/>
        <v>2609.0000000000018</v>
      </c>
      <c r="U96" s="72">
        <v>139.19999999999999</v>
      </c>
      <c r="V96" s="53">
        <f t="shared" si="30"/>
        <v>-283.63959390862937</v>
      </c>
      <c r="W96" s="72">
        <v>46.11</v>
      </c>
      <c r="X96" s="53">
        <f t="shared" si="30"/>
        <v>-47.11</v>
      </c>
      <c r="Y96" s="72">
        <v>100.05</v>
      </c>
      <c r="Z96" s="53">
        <f t="shared" si="30"/>
        <v>-101.05</v>
      </c>
      <c r="AA96" s="72">
        <v>130.5</v>
      </c>
      <c r="AB96" s="53">
        <f t="shared" si="30"/>
        <v>966.16417910447763</v>
      </c>
      <c r="AC96" s="72">
        <v>87</v>
      </c>
      <c r="AD96" s="53">
        <f t="shared" si="38"/>
        <v>-0.9666538903794557</v>
      </c>
      <c r="AE96" s="72">
        <v>134.85</v>
      </c>
      <c r="AF96" s="53">
        <f t="shared" si="27"/>
        <v>-1.4754272777708182</v>
      </c>
      <c r="AG96" s="95">
        <v>914.37</v>
      </c>
      <c r="AH96" s="53">
        <f t="shared" si="28"/>
        <v>-20.409254935257909</v>
      </c>
    </row>
    <row r="97" spans="1:181" x14ac:dyDescent="0.25">
      <c r="A97" s="60" t="str">
        <f>+'[1]GASTOS DIC 22 ENE-NOV 23'!A72</f>
        <v>5301-07-0006</v>
      </c>
      <c r="B97" s="61" t="str">
        <f>+'[1]GASTOS DIC 22 ENE-NOV 23'!B72</f>
        <v xml:space="preserve">        SERVICIO DE INTERNET</v>
      </c>
      <c r="C97" s="62">
        <f>+'[1]GASTOS DIC 22 ENE-NOV 23'!O72</f>
        <v>12520.599999999999</v>
      </c>
      <c r="D97" s="62">
        <f t="shared" si="39"/>
        <v>1043.3833333333332</v>
      </c>
      <c r="E97" s="62">
        <f t="shared" si="22"/>
        <v>10800</v>
      </c>
      <c r="F97" s="62">
        <v>900</v>
      </c>
      <c r="G97" s="63">
        <v>756.9</v>
      </c>
      <c r="H97" s="51">
        <f t="shared" si="31"/>
        <v>-0.15900000000000003</v>
      </c>
      <c r="I97" s="65">
        <v>756.9</v>
      </c>
      <c r="J97" s="53">
        <f t="shared" si="32"/>
        <v>-0.15900000000000003</v>
      </c>
      <c r="K97" s="65">
        <v>793.17</v>
      </c>
      <c r="L97" s="53">
        <f t="shared" si="33"/>
        <v>-0.11870000000000003</v>
      </c>
      <c r="M97" s="64">
        <v>793.17</v>
      </c>
      <c r="N97" s="53">
        <f t="shared" si="34"/>
        <v>-0.11870000000000003</v>
      </c>
      <c r="O97" s="65">
        <v>793.17</v>
      </c>
      <c r="P97" s="53">
        <f t="shared" si="35"/>
        <v>-0.11870000000000003</v>
      </c>
      <c r="Q97" s="35">
        <f t="shared" si="36"/>
        <v>3893.31</v>
      </c>
      <c r="R97" s="36">
        <f t="shared" si="37"/>
        <v>0.36049166666666665</v>
      </c>
      <c r="S97" s="65">
        <v>793.17</v>
      </c>
      <c r="T97" s="53">
        <f t="shared" si="30"/>
        <v>-4989.4905660377344</v>
      </c>
      <c r="U97" s="72">
        <v>793.17</v>
      </c>
      <c r="V97" s="53">
        <f t="shared" si="30"/>
        <v>-6683.1398483572011</v>
      </c>
      <c r="W97" s="72">
        <v>793.17</v>
      </c>
      <c r="X97" s="53">
        <f t="shared" si="30"/>
        <v>-6683.1398483572011</v>
      </c>
      <c r="Y97" s="72">
        <v>793.17</v>
      </c>
      <c r="Z97" s="53">
        <f t="shared" si="30"/>
        <v>-6683.1398483572011</v>
      </c>
      <c r="AA97" s="72">
        <v>1072.17</v>
      </c>
      <c r="AB97" s="53">
        <f t="shared" si="30"/>
        <v>2973.188030236483</v>
      </c>
      <c r="AC97" s="72">
        <v>514.16999999999996</v>
      </c>
      <c r="AD97" s="53">
        <f t="shared" si="38"/>
        <v>-1.1030506006965584</v>
      </c>
      <c r="AE97" s="72">
        <v>514.16999999999996</v>
      </c>
      <c r="AF97" s="53">
        <f t="shared" si="27"/>
        <v>-1.0769353943904658</v>
      </c>
      <c r="AG97" s="95">
        <v>1055.17</v>
      </c>
      <c r="AH97" s="53">
        <f t="shared" si="28"/>
        <v>-1.1578853688449111</v>
      </c>
    </row>
    <row r="98" spans="1:181" x14ac:dyDescent="0.25">
      <c r="A98" s="60" t="str">
        <f>+'[1]GASTOS DIC 22 ENE-NOV 23'!A73</f>
        <v>5301-07-0007</v>
      </c>
      <c r="B98" s="61" t="str">
        <f>+'[1]GASTOS DIC 22 ENE-NOV 23'!B73</f>
        <v xml:space="preserve">        LICENCIA MICROSOFT 365 OUTLOOK</v>
      </c>
      <c r="C98" s="69">
        <f>+'[1]GASTOS DIC 22 ENE-NOV 23'!O73</f>
        <v>6499.18</v>
      </c>
      <c r="D98" s="69">
        <f t="shared" si="39"/>
        <v>541.59833333333336</v>
      </c>
      <c r="E98" s="69">
        <f t="shared" si="22"/>
        <v>8880</v>
      </c>
      <c r="F98" s="69">
        <v>740</v>
      </c>
      <c r="G98" s="81">
        <v>681.21</v>
      </c>
      <c r="H98" s="51">
        <f t="shared" si="31"/>
        <v>-7.9445945945945895E-2</v>
      </c>
      <c r="I98" s="65">
        <v>721.23</v>
      </c>
      <c r="J98" s="53">
        <f t="shared" si="32"/>
        <v>-2.5364864864864889E-2</v>
      </c>
      <c r="K98" s="64">
        <v>681.21</v>
      </c>
      <c r="L98" s="53">
        <f t="shared" si="33"/>
        <v>-7.9445945945945895E-2</v>
      </c>
      <c r="M98" s="64">
        <v>781.26</v>
      </c>
      <c r="N98" s="53">
        <f t="shared" si="34"/>
        <v>5.5756756756756731E-2</v>
      </c>
      <c r="O98" s="65">
        <v>721.06</v>
      </c>
      <c r="P98" s="53">
        <f t="shared" si="35"/>
        <v>-2.5594594594594677E-2</v>
      </c>
      <c r="Q98" s="35">
        <f t="shared" si="36"/>
        <v>3585.97</v>
      </c>
      <c r="R98" s="36">
        <f t="shared" si="37"/>
        <v>0.40382545045045043</v>
      </c>
      <c r="S98" s="65">
        <v>765.6</v>
      </c>
      <c r="T98" s="53">
        <f t="shared" si="30"/>
        <v>-30184.484283430978</v>
      </c>
      <c r="U98" s="72">
        <v>765.6</v>
      </c>
      <c r="V98" s="53">
        <f t="shared" si="30"/>
        <v>-9637.7409423371391</v>
      </c>
      <c r="W98" s="72">
        <v>867.39</v>
      </c>
      <c r="X98" s="53">
        <f t="shared" si="30"/>
        <v>15555.679592825989</v>
      </c>
      <c r="Y98" s="72">
        <v>1258.02</v>
      </c>
      <c r="Z98" s="53">
        <f t="shared" si="30"/>
        <v>-49152.78458289319</v>
      </c>
      <c r="AA98" s="72">
        <v>1258.02</v>
      </c>
      <c r="AB98" s="53">
        <f t="shared" si="30"/>
        <v>3114.2568482168008</v>
      </c>
      <c r="AC98" s="72">
        <v>1258.02</v>
      </c>
      <c r="AD98" s="53">
        <f t="shared" si="38"/>
        <v>-1.0416777039550269</v>
      </c>
      <c r="AE98" s="72">
        <v>1258.02</v>
      </c>
      <c r="AF98" s="53">
        <f t="shared" si="27"/>
        <v>-1.1305305888098431</v>
      </c>
      <c r="AG98" s="95">
        <v>1258.02</v>
      </c>
      <c r="AH98" s="53">
        <f t="shared" si="28"/>
        <v>-0.91912793057397657</v>
      </c>
    </row>
    <row r="99" spans="1:181" x14ac:dyDescent="0.25">
      <c r="A99" s="60" t="str">
        <f>+'[1]GASTOS DIC 22 ENE-NOV 23'!A74</f>
        <v>5301-07-0009</v>
      </c>
      <c r="B99" s="61" t="str">
        <f>+'[1]GASTOS DIC 22 ENE-NOV 23'!B74</f>
        <v xml:space="preserve">        SERVICIO DE LIMPIEZA</v>
      </c>
      <c r="C99" s="62">
        <f>+'[1]GASTOS DIC 22 ENE-NOV 23'!O74</f>
        <v>705.93</v>
      </c>
      <c r="D99" s="62">
        <f t="shared" si="39"/>
        <v>58.827499999999993</v>
      </c>
      <c r="E99" s="62">
        <f t="shared" si="22"/>
        <v>840</v>
      </c>
      <c r="F99" s="62">
        <v>70</v>
      </c>
      <c r="G99" s="63">
        <v>103.53</v>
      </c>
      <c r="H99" s="51">
        <f t="shared" si="31"/>
        <v>0.47900000000000009</v>
      </c>
      <c r="I99" s="64"/>
      <c r="J99" s="53">
        <f t="shared" si="32"/>
        <v>-1</v>
      </c>
      <c r="K99" s="64"/>
      <c r="L99" s="53">
        <f t="shared" si="33"/>
        <v>-1</v>
      </c>
      <c r="M99" s="64">
        <v>0</v>
      </c>
      <c r="N99" s="53">
        <f t="shared" si="34"/>
        <v>-1</v>
      </c>
      <c r="O99" s="65">
        <v>0</v>
      </c>
      <c r="P99" s="53">
        <f t="shared" si="35"/>
        <v>-1</v>
      </c>
      <c r="Q99" s="35">
        <f t="shared" si="36"/>
        <v>103.53</v>
      </c>
      <c r="R99" s="36">
        <f t="shared" si="37"/>
        <v>0.12325</v>
      </c>
      <c r="S99" s="65">
        <v>0</v>
      </c>
      <c r="T99" s="53">
        <f t="shared" si="30"/>
        <v>-1</v>
      </c>
      <c r="U99" s="66">
        <v>0</v>
      </c>
      <c r="V99" s="53">
        <f t="shared" si="30"/>
        <v>-1</v>
      </c>
      <c r="W99" s="72">
        <v>83.33</v>
      </c>
      <c r="X99" s="53">
        <f t="shared" si="30"/>
        <v>-84.33</v>
      </c>
      <c r="Y99" s="101">
        <v>83.33</v>
      </c>
      <c r="Z99" s="53">
        <f t="shared" si="30"/>
        <v>-84.33</v>
      </c>
      <c r="AA99" s="66">
        <v>0</v>
      </c>
      <c r="AB99" s="53">
        <f t="shared" si="30"/>
        <v>-1</v>
      </c>
      <c r="AC99" s="66">
        <v>83.33</v>
      </c>
      <c r="AD99" s="53">
        <f t="shared" si="38"/>
        <v>-84.33</v>
      </c>
      <c r="AE99" s="66">
        <v>83.33</v>
      </c>
      <c r="AF99" s="53">
        <f t="shared" si="27"/>
        <v>-84.33</v>
      </c>
      <c r="AG99" s="73">
        <v>83.33</v>
      </c>
      <c r="AH99" s="53">
        <f t="shared" si="28"/>
        <v>-1.9881418237875015</v>
      </c>
    </row>
    <row r="100" spans="1:181" x14ac:dyDescent="0.25">
      <c r="A100" s="60" t="s">
        <v>63</v>
      </c>
      <c r="B100" s="61" t="s">
        <v>64</v>
      </c>
      <c r="C100" s="62"/>
      <c r="D100" s="62"/>
      <c r="E100" s="62"/>
      <c r="F100" s="62"/>
      <c r="G100" s="63"/>
      <c r="H100" s="51"/>
      <c r="I100" s="64"/>
      <c r="J100" s="53"/>
      <c r="K100" s="64"/>
      <c r="L100" s="53"/>
      <c r="M100" s="64"/>
      <c r="N100" s="53"/>
      <c r="O100" s="65">
        <v>0</v>
      </c>
      <c r="P100" s="53"/>
      <c r="Q100" s="35"/>
      <c r="R100" s="36"/>
      <c r="S100" s="65">
        <v>14916.15</v>
      </c>
      <c r="T100" s="53"/>
      <c r="U100" s="72">
        <v>522</v>
      </c>
      <c r="V100" s="53"/>
      <c r="W100" s="72">
        <v>1861.8</v>
      </c>
      <c r="X100" s="53"/>
      <c r="Y100" s="72">
        <v>1357.2</v>
      </c>
      <c r="Z100" s="53"/>
      <c r="AA100" s="72">
        <v>1013.55</v>
      </c>
      <c r="AB100" s="53"/>
      <c r="AC100" s="72">
        <v>261</v>
      </c>
      <c r="AD100" s="53"/>
      <c r="AE100" s="72">
        <v>156.6</v>
      </c>
      <c r="AF100" s="53"/>
      <c r="AG100" s="95">
        <v>0</v>
      </c>
      <c r="AH100" s="53"/>
    </row>
    <row r="101" spans="1:181" s="58" customFormat="1" x14ac:dyDescent="0.25">
      <c r="A101" s="47" t="str">
        <f>+'[1]GASTOS DIC 22 ENE-NOV 23'!A75</f>
        <v>5301-08</v>
      </c>
      <c r="B101" s="48" t="str">
        <f>+'[1]GASTOS DIC 22 ENE-NOV 23'!B75</f>
        <v xml:space="preserve">      MATERIALES Y SUMINISTROS</v>
      </c>
      <c r="C101" s="49">
        <f>+SUM(C102:C107)</f>
        <v>7544.26</v>
      </c>
      <c r="D101" s="49">
        <f t="shared" si="39"/>
        <v>628.68833333333339</v>
      </c>
      <c r="E101" s="49">
        <f t="shared" si="22"/>
        <v>4560</v>
      </c>
      <c r="F101" s="49">
        <f>+SUM(F102:F107)</f>
        <v>380</v>
      </c>
      <c r="G101" s="49">
        <f>+SUM(G102:G107)</f>
        <v>0</v>
      </c>
      <c r="H101" s="51">
        <f t="shared" si="31"/>
        <v>-1</v>
      </c>
      <c r="I101" s="52">
        <f>+SUM(I102:I107)</f>
        <v>0</v>
      </c>
      <c r="J101" s="53">
        <f t="shared" si="32"/>
        <v>-1</v>
      </c>
      <c r="K101" s="52">
        <f>+SUM(K102:K107)</f>
        <v>1915.5800000000002</v>
      </c>
      <c r="L101" s="53">
        <f t="shared" si="33"/>
        <v>4.0410000000000004</v>
      </c>
      <c r="M101" s="52">
        <f>+M103</f>
        <v>84.1</v>
      </c>
      <c r="N101" s="53">
        <f t="shared" si="34"/>
        <v>-0.77868421052631587</v>
      </c>
      <c r="O101" s="52">
        <f>+SUM(O102:O107)</f>
        <v>10</v>
      </c>
      <c r="P101" s="53">
        <f t="shared" si="35"/>
        <v>-0.97368421052631582</v>
      </c>
      <c r="Q101" s="35">
        <f t="shared" si="36"/>
        <v>2009.68</v>
      </c>
      <c r="R101" s="36">
        <f t="shared" si="37"/>
        <v>0.44071929824561407</v>
      </c>
      <c r="S101" s="52">
        <f>+SUM(S102:S107)</f>
        <v>704.54</v>
      </c>
      <c r="T101" s="53">
        <f t="shared" si="30"/>
        <v>-705.54</v>
      </c>
      <c r="U101" s="59">
        <f>U102+U103</f>
        <v>421.29</v>
      </c>
      <c r="V101" s="53">
        <f t="shared" si="30"/>
        <v>103.25389755011136</v>
      </c>
      <c r="W101" s="54">
        <f>W103+W105</f>
        <v>2601.9499999999998</v>
      </c>
      <c r="X101" s="53">
        <f t="shared" si="30"/>
        <v>-3342.4700912470425</v>
      </c>
      <c r="Y101" s="97">
        <f>SUM(Y102:Y106)</f>
        <v>297.83999999999997</v>
      </c>
      <c r="Z101" s="53">
        <f t="shared" si="30"/>
        <v>-306.88972972972971</v>
      </c>
      <c r="AA101" s="54">
        <f>SUM(AA102:AA107)</f>
        <v>195.53</v>
      </c>
      <c r="AB101" s="53">
        <f t="shared" si="30"/>
        <v>442.66108037100429</v>
      </c>
      <c r="AC101" s="54">
        <f>SUM(AC102:AC107)</f>
        <v>9679.6200000000008</v>
      </c>
      <c r="AD101" s="53">
        <f t="shared" si="38"/>
        <v>-14.719448932732377</v>
      </c>
      <c r="AE101" s="54">
        <f>SUM(AE102:AE108)</f>
        <v>2967.6499999999996</v>
      </c>
      <c r="AF101" s="53">
        <f t="shared" ref="AF101:AF103" si="40">(AE101/V101)-1</f>
        <v>27.741287935980669</v>
      </c>
      <c r="AG101" s="45">
        <f>SUM(AG102:AG109)</f>
        <v>578.58999999999992</v>
      </c>
      <c r="AH101" s="53">
        <f t="shared" ref="AH101:AH103" si="41">(AG101/X101)-1</f>
        <v>-1.1731025212507238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</row>
    <row r="102" spans="1:181" x14ac:dyDescent="0.25">
      <c r="A102" s="60" t="str">
        <f>+'[1]GASTOS DIC 22 ENE-NOV 23'!A76</f>
        <v>5301-08-0001</v>
      </c>
      <c r="B102" s="61" t="str">
        <f>+'[1]GASTOS DIC 22 ENE-NOV 23'!B76</f>
        <v xml:space="preserve">        MATERIAL DE ESCRITORIO Y OFICINA</v>
      </c>
      <c r="C102" s="62">
        <f>+'[1]GASTOS DIC 22 ENE-NOV 23'!O76</f>
        <v>2215.34</v>
      </c>
      <c r="D102" s="62">
        <f t="shared" si="39"/>
        <v>184.61166666666668</v>
      </c>
      <c r="E102" s="62">
        <f t="shared" si="22"/>
        <v>480</v>
      </c>
      <c r="F102" s="62">
        <v>40</v>
      </c>
      <c r="G102" s="63"/>
      <c r="H102" s="51">
        <f t="shared" si="31"/>
        <v>-1</v>
      </c>
      <c r="I102" s="64">
        <v>0</v>
      </c>
      <c r="J102" s="53">
        <f t="shared" si="32"/>
        <v>-1</v>
      </c>
      <c r="K102" s="64"/>
      <c r="L102" s="53">
        <f t="shared" si="33"/>
        <v>-1</v>
      </c>
      <c r="M102" s="64">
        <v>0</v>
      </c>
      <c r="N102" s="53">
        <f t="shared" si="34"/>
        <v>-1</v>
      </c>
      <c r="O102" s="65">
        <v>0</v>
      </c>
      <c r="P102" s="53">
        <f t="shared" si="35"/>
        <v>-1</v>
      </c>
      <c r="Q102" s="35">
        <f t="shared" si="36"/>
        <v>0</v>
      </c>
      <c r="R102" s="36">
        <f t="shared" si="37"/>
        <v>0</v>
      </c>
      <c r="S102" s="65">
        <v>380.43</v>
      </c>
      <c r="T102" s="53">
        <f t="shared" si="30"/>
        <v>-381.43</v>
      </c>
      <c r="U102" s="72">
        <v>391.5</v>
      </c>
      <c r="V102" s="53">
        <f t="shared" si="30"/>
        <v>-392.5</v>
      </c>
      <c r="W102" s="66">
        <v>0</v>
      </c>
      <c r="X102" s="53">
        <f t="shared" si="30"/>
        <v>-1</v>
      </c>
      <c r="Y102" s="72">
        <v>117.45</v>
      </c>
      <c r="Z102" s="53">
        <f t="shared" si="30"/>
        <v>-118.45</v>
      </c>
      <c r="AA102" s="66">
        <v>190.53</v>
      </c>
      <c r="AB102" s="53" t="e">
        <f t="shared" si="30"/>
        <v>#DIV/0!</v>
      </c>
      <c r="AC102" s="66">
        <v>1277.6400000000001</v>
      </c>
      <c r="AD102" s="53">
        <f t="shared" si="38"/>
        <v>-4.3496054321893922</v>
      </c>
      <c r="AE102" s="66">
        <v>0</v>
      </c>
      <c r="AF102" s="53">
        <f t="shared" si="40"/>
        <v>-1</v>
      </c>
      <c r="AG102" s="79">
        <v>91.35</v>
      </c>
      <c r="AH102" s="53">
        <f t="shared" si="41"/>
        <v>-92.35</v>
      </c>
    </row>
    <row r="103" spans="1:181" x14ac:dyDescent="0.25">
      <c r="A103" s="60" t="str">
        <f>+'[1]GASTOS DIC 22 ENE-NOV 23'!A77</f>
        <v>5301-08-0002</v>
      </c>
      <c r="B103" s="61" t="str">
        <f>+'[1]GASTOS DIC 22 ENE-NOV 23'!B77</f>
        <v xml:space="preserve">        FOTOCOPIAS, FORMULARIOS Y FOTOGRAFIAS</v>
      </c>
      <c r="C103" s="62">
        <f>+'[1]GASTOS DIC 22 ENE-NOV 23'!O77</f>
        <v>696</v>
      </c>
      <c r="D103" s="62">
        <f t="shared" si="39"/>
        <v>58</v>
      </c>
      <c r="E103" s="62">
        <f t="shared" si="22"/>
        <v>480</v>
      </c>
      <c r="F103" s="62">
        <v>40</v>
      </c>
      <c r="G103" s="81"/>
      <c r="H103" s="51">
        <f t="shared" si="31"/>
        <v>-1</v>
      </c>
      <c r="I103" s="64">
        <v>0</v>
      </c>
      <c r="J103" s="53">
        <f t="shared" si="32"/>
        <v>-1</v>
      </c>
      <c r="K103" s="65">
        <v>36.380000000000003</v>
      </c>
      <c r="L103" s="53">
        <f t="shared" si="33"/>
        <v>-9.0499999999999914E-2</v>
      </c>
      <c r="M103" s="64">
        <v>84.1</v>
      </c>
      <c r="N103" s="53">
        <f t="shared" si="34"/>
        <v>1.1025</v>
      </c>
      <c r="O103" s="65">
        <v>10</v>
      </c>
      <c r="P103" s="53">
        <f t="shared" si="35"/>
        <v>-0.75</v>
      </c>
      <c r="Q103" s="35">
        <f t="shared" si="36"/>
        <v>130.47999999999999</v>
      </c>
      <c r="R103" s="36">
        <f t="shared" si="37"/>
        <v>0.27183333333333332</v>
      </c>
      <c r="S103" s="65">
        <v>324.11</v>
      </c>
      <c r="T103" s="53">
        <f t="shared" si="30"/>
        <v>-325.11</v>
      </c>
      <c r="U103" s="72">
        <v>29.79</v>
      </c>
      <c r="V103" s="53">
        <f t="shared" si="30"/>
        <v>-330.17127071823234</v>
      </c>
      <c r="W103" s="72">
        <v>5</v>
      </c>
      <c r="X103" s="53">
        <f t="shared" si="30"/>
        <v>3.5351473922902494</v>
      </c>
      <c r="Y103" s="72">
        <v>108.18</v>
      </c>
      <c r="Z103" s="53">
        <f t="shared" si="30"/>
        <v>-145.24</v>
      </c>
      <c r="AA103" s="72">
        <v>5</v>
      </c>
      <c r="AB103" s="53">
        <f t="shared" si="30"/>
        <v>17.393623543838139</v>
      </c>
      <c r="AC103" s="72">
        <v>5</v>
      </c>
      <c r="AD103" s="53">
        <f t="shared" si="38"/>
        <v>-1.0153794100458307</v>
      </c>
      <c r="AE103" s="72">
        <v>20</v>
      </c>
      <c r="AF103" s="53">
        <f t="shared" si="40"/>
        <v>-1.060574622245277</v>
      </c>
      <c r="AG103" s="104">
        <v>5</v>
      </c>
      <c r="AH103" s="53">
        <f t="shared" si="41"/>
        <v>0.41436818473380366</v>
      </c>
    </row>
    <row r="104" spans="1:181" x14ac:dyDescent="0.25">
      <c r="A104" s="60" t="str">
        <f>+'[1]GASTOS DIC 22 ENE-NOV 23'!A78</f>
        <v>5301-08-0004</v>
      </c>
      <c r="B104" s="61" t="str">
        <f>+'[1]GASTOS DIC 22 ENE-NOV 23'!B78</f>
        <v xml:space="preserve">        INSUMOS Y SUMINISTROS</v>
      </c>
      <c r="C104" s="62">
        <f>+'[1]GASTOS DIC 22 ENE-NOV 23'!O78</f>
        <v>2088</v>
      </c>
      <c r="D104" s="62">
        <f t="shared" si="39"/>
        <v>174</v>
      </c>
      <c r="E104" s="62">
        <f t="shared" si="22"/>
        <v>840</v>
      </c>
      <c r="F104" s="62">
        <v>70</v>
      </c>
      <c r="G104" s="81"/>
      <c r="H104" s="51">
        <f t="shared" si="31"/>
        <v>-1</v>
      </c>
      <c r="I104" s="64">
        <v>0</v>
      </c>
      <c r="J104" s="53">
        <f t="shared" si="32"/>
        <v>-1</v>
      </c>
      <c r="K104" s="64"/>
      <c r="L104" s="53">
        <f t="shared" si="33"/>
        <v>-1</v>
      </c>
      <c r="M104" s="64">
        <v>0</v>
      </c>
      <c r="N104" s="53">
        <f t="shared" si="34"/>
        <v>-1</v>
      </c>
      <c r="O104" s="65">
        <v>0</v>
      </c>
      <c r="P104" s="53">
        <f t="shared" si="35"/>
        <v>-1</v>
      </c>
      <c r="Q104" s="35">
        <f t="shared" si="36"/>
        <v>0</v>
      </c>
      <c r="R104" s="36">
        <f t="shared" si="37"/>
        <v>0</v>
      </c>
      <c r="S104" s="65">
        <v>0</v>
      </c>
      <c r="T104" s="53">
        <f t="shared" si="30"/>
        <v>-1</v>
      </c>
      <c r="U104" s="66">
        <v>0</v>
      </c>
      <c r="V104" s="53">
        <v>-1</v>
      </c>
      <c r="W104" s="101">
        <v>0</v>
      </c>
      <c r="X104" s="53">
        <v>-1</v>
      </c>
      <c r="Y104" s="66">
        <v>0</v>
      </c>
      <c r="Z104" s="53">
        <v>-1</v>
      </c>
      <c r="AA104" s="66">
        <v>0</v>
      </c>
      <c r="AB104" s="53">
        <v>-1</v>
      </c>
      <c r="AC104" s="66">
        <v>0</v>
      </c>
      <c r="AD104" s="53">
        <v>-1</v>
      </c>
      <c r="AE104" s="66">
        <v>0</v>
      </c>
      <c r="AF104" s="53">
        <v>-1</v>
      </c>
      <c r="AG104" s="79">
        <v>0</v>
      </c>
      <c r="AH104" s="53">
        <v>-1</v>
      </c>
    </row>
    <row r="105" spans="1:181" x14ac:dyDescent="0.25">
      <c r="A105" s="60" t="s">
        <v>65</v>
      </c>
      <c r="B105" s="60" t="s">
        <v>66</v>
      </c>
      <c r="C105" s="62"/>
      <c r="D105" s="62"/>
      <c r="E105" s="62"/>
      <c r="F105" s="62"/>
      <c r="G105" s="81"/>
      <c r="H105" s="51"/>
      <c r="I105" s="64">
        <v>0</v>
      </c>
      <c r="J105" s="53"/>
      <c r="K105" s="64"/>
      <c r="L105" s="53"/>
      <c r="M105" s="64"/>
      <c r="N105" s="53"/>
      <c r="O105" s="65"/>
      <c r="P105" s="53"/>
      <c r="Q105" s="35"/>
      <c r="R105" s="36"/>
      <c r="S105" s="65"/>
      <c r="T105" s="53"/>
      <c r="U105" s="66">
        <v>0</v>
      </c>
      <c r="V105" s="53">
        <v>-1</v>
      </c>
      <c r="W105" s="95">
        <v>2596.9499999999998</v>
      </c>
      <c r="X105" s="53">
        <v>-1</v>
      </c>
      <c r="Y105" s="66">
        <v>0</v>
      </c>
      <c r="Z105" s="53">
        <v>-1</v>
      </c>
      <c r="AA105" s="66">
        <v>0</v>
      </c>
      <c r="AB105" s="53">
        <v>-1</v>
      </c>
      <c r="AC105" s="66">
        <v>0</v>
      </c>
      <c r="AD105" s="53">
        <v>-1</v>
      </c>
      <c r="AE105" s="66">
        <v>0</v>
      </c>
      <c r="AF105" s="53">
        <v>-1</v>
      </c>
      <c r="AG105" s="79">
        <v>0</v>
      </c>
      <c r="AH105" s="53">
        <v>-1</v>
      </c>
    </row>
    <row r="106" spans="1:181" x14ac:dyDescent="0.25">
      <c r="A106" s="60" t="str">
        <f>+'[1]GASTOS DIC 22 ENE-NOV 23'!A79</f>
        <v>5301-08-0006</v>
      </c>
      <c r="B106" s="61" t="str">
        <f>+'[1]GASTOS DIC 22 ENE-NOV 23'!B79</f>
        <v xml:space="preserve">        MATERIAL DE LIMPIEZA</v>
      </c>
      <c r="C106" s="69">
        <f>+'[1]GASTOS DIC 22 ENE-NOV 23'!O79</f>
        <v>311.63</v>
      </c>
      <c r="D106" s="69">
        <f t="shared" si="39"/>
        <v>25.969166666666666</v>
      </c>
      <c r="E106" s="69">
        <f t="shared" si="22"/>
        <v>840</v>
      </c>
      <c r="F106" s="69">
        <v>70</v>
      </c>
      <c r="G106" s="81"/>
      <c r="H106" s="51">
        <f t="shared" si="31"/>
        <v>-1</v>
      </c>
      <c r="I106" s="64">
        <v>0</v>
      </c>
      <c r="J106" s="53">
        <f t="shared" si="32"/>
        <v>-1</v>
      </c>
      <c r="K106" s="64"/>
      <c r="L106" s="53">
        <f t="shared" si="33"/>
        <v>-1</v>
      </c>
      <c r="M106" s="64">
        <v>0</v>
      </c>
      <c r="N106" s="53">
        <f t="shared" si="34"/>
        <v>-1</v>
      </c>
      <c r="O106" s="65">
        <v>0</v>
      </c>
      <c r="P106" s="53">
        <f t="shared" si="35"/>
        <v>-1</v>
      </c>
      <c r="Q106" s="35">
        <f t="shared" si="36"/>
        <v>0</v>
      </c>
      <c r="R106" s="36">
        <f t="shared" si="37"/>
        <v>0</v>
      </c>
      <c r="S106" s="65">
        <v>0</v>
      </c>
      <c r="T106" s="53">
        <f t="shared" si="30"/>
        <v>-1</v>
      </c>
      <c r="U106" s="66">
        <v>0</v>
      </c>
      <c r="V106" s="53">
        <f t="shared" si="30"/>
        <v>-1</v>
      </c>
      <c r="W106" s="66">
        <v>0</v>
      </c>
      <c r="X106" s="53">
        <f t="shared" si="30"/>
        <v>-1</v>
      </c>
      <c r="Y106" s="72">
        <v>72.209999999999994</v>
      </c>
      <c r="Z106" s="53">
        <f t="shared" si="30"/>
        <v>-73.209999999999994</v>
      </c>
      <c r="AA106" s="66">
        <v>0</v>
      </c>
      <c r="AB106" s="53" t="e">
        <f t="shared" si="30"/>
        <v>#DIV/0!</v>
      </c>
      <c r="AC106" s="66">
        <v>197.23</v>
      </c>
      <c r="AD106" s="53">
        <f t="shared" si="38"/>
        <v>-198.23</v>
      </c>
      <c r="AE106" s="66">
        <v>32.28</v>
      </c>
      <c r="AF106" s="53">
        <f t="shared" ref="AF106:AF115" si="42">(AE106/V106)-1</f>
        <v>-33.28</v>
      </c>
      <c r="AG106" s="79">
        <v>68.290000000000006</v>
      </c>
      <c r="AH106" s="53">
        <f t="shared" ref="AH106:AH115" si="43">(AG106/X106)-1</f>
        <v>-69.290000000000006</v>
      </c>
    </row>
    <row r="107" spans="1:181" x14ac:dyDescent="0.25">
      <c r="A107" s="60" t="str">
        <f>+'[1]GASTOS DIC 22 ENE-NOV 23'!A80</f>
        <v>5301-08-0007</v>
      </c>
      <c r="B107" s="61" t="str">
        <f>+'[1]GASTOS DIC 22 ENE-NOV 23'!B80</f>
        <v xml:space="preserve">        ACCESORIOS Y REPUESTOS</v>
      </c>
      <c r="C107" s="69">
        <f>+'[1]GASTOS DIC 22 ENE-NOV 23'!O80</f>
        <v>2233.29</v>
      </c>
      <c r="D107" s="69">
        <f t="shared" si="39"/>
        <v>186.10749999999999</v>
      </c>
      <c r="E107" s="69">
        <f t="shared" si="22"/>
        <v>1920</v>
      </c>
      <c r="F107" s="69">
        <v>160</v>
      </c>
      <c r="G107" s="81"/>
      <c r="H107" s="51">
        <f t="shared" si="31"/>
        <v>-1</v>
      </c>
      <c r="I107" s="64">
        <v>0</v>
      </c>
      <c r="J107" s="53">
        <f t="shared" si="32"/>
        <v>-1</v>
      </c>
      <c r="K107" s="65">
        <v>1879.2</v>
      </c>
      <c r="L107" s="53">
        <f t="shared" si="33"/>
        <v>10.745000000000001</v>
      </c>
      <c r="M107" s="64">
        <v>0</v>
      </c>
      <c r="N107" s="53">
        <f t="shared" si="34"/>
        <v>-1</v>
      </c>
      <c r="O107" s="65">
        <v>0</v>
      </c>
      <c r="P107" s="53">
        <f t="shared" si="35"/>
        <v>-1</v>
      </c>
      <c r="Q107" s="35">
        <f t="shared" si="36"/>
        <v>1879.2</v>
      </c>
      <c r="R107" s="36">
        <f t="shared" si="37"/>
        <v>0.97875000000000001</v>
      </c>
      <c r="S107" s="65">
        <v>0</v>
      </c>
      <c r="T107" s="53">
        <f t="shared" si="30"/>
        <v>-1</v>
      </c>
      <c r="U107" s="66">
        <v>0</v>
      </c>
      <c r="V107" s="53">
        <f t="shared" si="30"/>
        <v>-1</v>
      </c>
      <c r="W107" s="66">
        <v>0</v>
      </c>
      <c r="X107" s="53">
        <f t="shared" si="30"/>
        <v>-1</v>
      </c>
      <c r="Y107" s="66">
        <v>0</v>
      </c>
      <c r="Z107" s="53">
        <f t="shared" si="30"/>
        <v>-1</v>
      </c>
      <c r="AA107" s="66">
        <v>0</v>
      </c>
      <c r="AB107" s="53">
        <f t="shared" si="30"/>
        <v>-1</v>
      </c>
      <c r="AC107" s="66">
        <v>8199.75</v>
      </c>
      <c r="AD107" s="53">
        <f t="shared" si="38"/>
        <v>-8200.75</v>
      </c>
      <c r="AE107" s="66">
        <v>1349.37</v>
      </c>
      <c r="AF107" s="53">
        <f t="shared" si="42"/>
        <v>-1350.37</v>
      </c>
      <c r="AG107" s="79">
        <v>124.41</v>
      </c>
      <c r="AH107" s="53">
        <f t="shared" si="43"/>
        <v>-125.41</v>
      </c>
    </row>
    <row r="108" spans="1:181" x14ac:dyDescent="0.25">
      <c r="A108" s="60" t="s">
        <v>67</v>
      </c>
      <c r="B108" s="61" t="s">
        <v>68</v>
      </c>
      <c r="C108" s="69"/>
      <c r="D108" s="69"/>
      <c r="E108" s="69"/>
      <c r="F108" s="69"/>
      <c r="G108" s="81"/>
      <c r="H108" s="51"/>
      <c r="I108" s="64"/>
      <c r="J108" s="53"/>
      <c r="K108" s="65"/>
      <c r="L108" s="53"/>
      <c r="M108" s="64"/>
      <c r="N108" s="53"/>
      <c r="O108" s="65"/>
      <c r="P108" s="53"/>
      <c r="Q108" s="35"/>
      <c r="R108" s="36"/>
      <c r="S108" s="65"/>
      <c r="T108" s="53"/>
      <c r="U108" s="66"/>
      <c r="V108" s="53"/>
      <c r="W108" s="66"/>
      <c r="X108" s="53"/>
      <c r="Y108" s="66"/>
      <c r="Z108" s="53">
        <v>0</v>
      </c>
      <c r="AA108" s="66">
        <v>0</v>
      </c>
      <c r="AB108" s="53">
        <v>0</v>
      </c>
      <c r="AC108" s="66">
        <v>0</v>
      </c>
      <c r="AD108" s="53">
        <v>0</v>
      </c>
      <c r="AE108" s="66">
        <v>1566</v>
      </c>
      <c r="AF108" s="53" t="e">
        <f t="shared" si="42"/>
        <v>#DIV/0!</v>
      </c>
      <c r="AG108" s="79">
        <v>0</v>
      </c>
      <c r="AH108" s="53" t="e">
        <f t="shared" si="43"/>
        <v>#DIV/0!</v>
      </c>
    </row>
    <row r="109" spans="1:181" x14ac:dyDescent="0.25">
      <c r="A109" s="60" t="s">
        <v>69</v>
      </c>
      <c r="B109" s="61" t="s">
        <v>70</v>
      </c>
      <c r="C109" s="69"/>
      <c r="D109" s="69"/>
      <c r="E109" s="69"/>
      <c r="F109" s="69"/>
      <c r="G109" s="81"/>
      <c r="H109" s="51"/>
      <c r="I109" s="64"/>
      <c r="J109" s="53"/>
      <c r="K109" s="65"/>
      <c r="L109" s="53"/>
      <c r="M109" s="64"/>
      <c r="N109" s="53"/>
      <c r="O109" s="65"/>
      <c r="P109" s="53"/>
      <c r="Q109" s="35"/>
      <c r="R109" s="36"/>
      <c r="S109" s="65"/>
      <c r="T109" s="53"/>
      <c r="U109" s="66"/>
      <c r="V109" s="53"/>
      <c r="W109" s="66"/>
      <c r="X109" s="53"/>
      <c r="Y109" s="66"/>
      <c r="Z109" s="53"/>
      <c r="AA109" s="66"/>
      <c r="AB109" s="53"/>
      <c r="AC109" s="66"/>
      <c r="AD109" s="53"/>
      <c r="AE109" s="66"/>
      <c r="AF109" s="53" t="e">
        <f t="shared" si="42"/>
        <v>#DIV/0!</v>
      </c>
      <c r="AG109" s="79">
        <v>289.54000000000002</v>
      </c>
      <c r="AH109" s="53" t="e">
        <f t="shared" si="43"/>
        <v>#DIV/0!</v>
      </c>
    </row>
    <row r="110" spans="1:181" s="58" customFormat="1" x14ac:dyDescent="0.25">
      <c r="A110" s="47" t="s">
        <v>71</v>
      </c>
      <c r="B110" s="48" t="s">
        <v>72</v>
      </c>
      <c r="C110" s="49">
        <f>+C112</f>
        <v>0</v>
      </c>
      <c r="D110" s="49">
        <f t="shared" ref="D110:G110" si="44">+D112</f>
        <v>0</v>
      </c>
      <c r="E110" s="49">
        <f t="shared" si="44"/>
        <v>6</v>
      </c>
      <c r="F110" s="49">
        <f t="shared" si="44"/>
        <v>0.5</v>
      </c>
      <c r="G110" s="49">
        <f t="shared" si="44"/>
        <v>0</v>
      </c>
      <c r="H110" s="51">
        <f t="shared" si="31"/>
        <v>-1</v>
      </c>
      <c r="I110" s="52">
        <f>+I111+I112</f>
        <v>0</v>
      </c>
      <c r="J110" s="53">
        <f t="shared" si="32"/>
        <v>-1</v>
      </c>
      <c r="K110" s="52">
        <f>+K112</f>
        <v>452.38</v>
      </c>
      <c r="L110" s="53">
        <f t="shared" si="33"/>
        <v>903.76</v>
      </c>
      <c r="M110" s="52">
        <v>0</v>
      </c>
      <c r="N110" s="53">
        <f t="shared" si="34"/>
        <v>-1</v>
      </c>
      <c r="O110" s="52">
        <f>+O111+O112</f>
        <v>1166.67</v>
      </c>
      <c r="P110" s="53">
        <f t="shared" si="35"/>
        <v>2332.34</v>
      </c>
      <c r="Q110" s="35">
        <f t="shared" si="36"/>
        <v>1619.0500000000002</v>
      </c>
      <c r="R110" s="36">
        <f t="shared" si="37"/>
        <v>269.8416666666667</v>
      </c>
      <c r="S110" s="52">
        <f>+S111+S112</f>
        <v>0</v>
      </c>
      <c r="T110" s="53">
        <f t="shared" si="30"/>
        <v>-1</v>
      </c>
      <c r="U110" s="75">
        <v>0</v>
      </c>
      <c r="V110" s="53">
        <f t="shared" si="30"/>
        <v>-1</v>
      </c>
      <c r="W110" s="75">
        <v>0</v>
      </c>
      <c r="X110" s="53">
        <f t="shared" si="30"/>
        <v>-1</v>
      </c>
      <c r="Y110" s="91">
        <v>0</v>
      </c>
      <c r="Z110" s="53">
        <f t="shared" si="30"/>
        <v>-1</v>
      </c>
      <c r="AA110" s="75">
        <v>0</v>
      </c>
      <c r="AB110" s="53">
        <f t="shared" si="30"/>
        <v>-1</v>
      </c>
      <c r="AC110" s="75">
        <v>0</v>
      </c>
      <c r="AD110" s="53">
        <f t="shared" si="38"/>
        <v>-1</v>
      </c>
      <c r="AE110" s="75">
        <v>0</v>
      </c>
      <c r="AF110" s="53">
        <f t="shared" si="42"/>
        <v>-1</v>
      </c>
      <c r="AG110" s="45">
        <f>SUM(AG111+AG112)</f>
        <v>130.5</v>
      </c>
      <c r="AH110" s="53">
        <f t="shared" si="43"/>
        <v>-131.5</v>
      </c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</row>
    <row r="111" spans="1:181" x14ac:dyDescent="0.25">
      <c r="A111" s="70" t="s">
        <v>73</v>
      </c>
      <c r="B111" s="70" t="s">
        <v>74</v>
      </c>
      <c r="C111" s="69"/>
      <c r="D111" s="69"/>
      <c r="E111" s="69">
        <v>6</v>
      </c>
      <c r="F111" s="69">
        <f>+E111/12</f>
        <v>0.5</v>
      </c>
      <c r="G111" s="81">
        <v>0</v>
      </c>
      <c r="H111" s="51">
        <f t="shared" si="31"/>
        <v>-1</v>
      </c>
      <c r="I111" s="64">
        <v>0</v>
      </c>
      <c r="J111" s="53">
        <f t="shared" si="32"/>
        <v>-1</v>
      </c>
      <c r="K111" s="64">
        <v>0</v>
      </c>
      <c r="L111" s="53">
        <f>+K111/F111-1</f>
        <v>-1</v>
      </c>
      <c r="M111" s="64">
        <v>0</v>
      </c>
      <c r="N111" s="53">
        <f t="shared" si="34"/>
        <v>-1</v>
      </c>
      <c r="O111" s="65">
        <v>1166.67</v>
      </c>
      <c r="P111" s="53">
        <f t="shared" si="35"/>
        <v>2332.34</v>
      </c>
      <c r="Q111" s="35">
        <f t="shared" si="36"/>
        <v>1166.67</v>
      </c>
      <c r="R111" s="36">
        <f t="shared" si="37"/>
        <v>194.44500000000002</v>
      </c>
      <c r="S111" s="65">
        <v>0</v>
      </c>
      <c r="T111" s="53">
        <f t="shared" si="30"/>
        <v>-1</v>
      </c>
      <c r="U111" s="66">
        <v>0</v>
      </c>
      <c r="V111" s="53">
        <f t="shared" si="30"/>
        <v>-1</v>
      </c>
      <c r="W111" s="66">
        <v>0</v>
      </c>
      <c r="X111" s="53">
        <f t="shared" si="30"/>
        <v>-1</v>
      </c>
      <c r="Y111" s="66">
        <v>0</v>
      </c>
      <c r="Z111" s="53">
        <f t="shared" si="30"/>
        <v>-1</v>
      </c>
      <c r="AA111" s="66">
        <v>0</v>
      </c>
      <c r="AB111" s="53">
        <f t="shared" si="30"/>
        <v>-1</v>
      </c>
      <c r="AC111" s="66">
        <v>0</v>
      </c>
      <c r="AD111" s="53">
        <f t="shared" si="38"/>
        <v>-1</v>
      </c>
      <c r="AE111" s="66">
        <v>0</v>
      </c>
      <c r="AF111" s="53">
        <f t="shared" si="42"/>
        <v>-1</v>
      </c>
      <c r="AG111" s="66">
        <v>0</v>
      </c>
      <c r="AH111" s="53">
        <f t="shared" si="43"/>
        <v>-1</v>
      </c>
    </row>
    <row r="112" spans="1:181" x14ac:dyDescent="0.25">
      <c r="A112" s="70" t="s">
        <v>75</v>
      </c>
      <c r="B112" t="s">
        <v>76</v>
      </c>
      <c r="C112" s="69">
        <v>0</v>
      </c>
      <c r="D112" s="69">
        <v>0</v>
      </c>
      <c r="E112" s="69">
        <f>+F112*12</f>
        <v>6</v>
      </c>
      <c r="F112" s="69">
        <v>0.5</v>
      </c>
      <c r="G112" s="81">
        <v>0</v>
      </c>
      <c r="H112" s="51">
        <f t="shared" si="31"/>
        <v>-1</v>
      </c>
      <c r="I112" s="64">
        <v>0</v>
      </c>
      <c r="J112" s="53">
        <f t="shared" si="32"/>
        <v>-1</v>
      </c>
      <c r="K112" s="65">
        <v>452.38</v>
      </c>
      <c r="L112" s="53">
        <f t="shared" si="33"/>
        <v>903.76</v>
      </c>
      <c r="M112" s="64">
        <v>0</v>
      </c>
      <c r="N112" s="53">
        <f t="shared" si="34"/>
        <v>-1</v>
      </c>
      <c r="O112" s="65">
        <v>0</v>
      </c>
      <c r="P112" s="53">
        <f t="shared" si="35"/>
        <v>-1</v>
      </c>
      <c r="Q112" s="35">
        <f t="shared" si="36"/>
        <v>452.38</v>
      </c>
      <c r="R112" s="36">
        <f t="shared" si="37"/>
        <v>75.396666666666661</v>
      </c>
      <c r="S112" s="65">
        <v>0</v>
      </c>
      <c r="T112" s="53">
        <f t="shared" si="30"/>
        <v>-1</v>
      </c>
      <c r="U112" s="66">
        <v>0</v>
      </c>
      <c r="V112" s="53">
        <f t="shared" si="30"/>
        <v>-1</v>
      </c>
      <c r="W112" s="66">
        <v>0</v>
      </c>
      <c r="X112" s="53">
        <f t="shared" si="30"/>
        <v>-1</v>
      </c>
      <c r="Y112" s="66">
        <v>0</v>
      </c>
      <c r="Z112" s="53">
        <f t="shared" si="30"/>
        <v>-1</v>
      </c>
      <c r="AA112" s="66">
        <v>0</v>
      </c>
      <c r="AB112" s="53">
        <f t="shared" si="30"/>
        <v>-1</v>
      </c>
      <c r="AC112" s="66">
        <v>0</v>
      </c>
      <c r="AD112" s="53">
        <f t="shared" si="38"/>
        <v>-1</v>
      </c>
      <c r="AE112" s="66">
        <v>0</v>
      </c>
      <c r="AF112" s="53">
        <f t="shared" si="42"/>
        <v>-1</v>
      </c>
      <c r="AG112" s="79">
        <v>130.5</v>
      </c>
      <c r="AH112" s="53">
        <f t="shared" si="43"/>
        <v>-131.5</v>
      </c>
    </row>
    <row r="113" spans="1:181" s="58" customFormat="1" x14ac:dyDescent="0.25">
      <c r="A113" s="47" t="str">
        <f>+'[1]GASTOS DIC 22 ENE-NOV 23'!A81</f>
        <v>5301-12</v>
      </c>
      <c r="B113" s="48" t="str">
        <f>+'[1]GASTOS DIC 22 ENE-NOV 23'!B81</f>
        <v xml:space="preserve">      ALQUILERES</v>
      </c>
      <c r="C113" s="49">
        <f>+C114+C115</f>
        <v>81140.62</v>
      </c>
      <c r="D113" s="49">
        <f t="shared" si="39"/>
        <v>6761.7183333333332</v>
      </c>
      <c r="E113" s="49">
        <f t="shared" si="22"/>
        <v>108642</v>
      </c>
      <c r="F113" s="49">
        <f>+SUM(F114:F128)</f>
        <v>9053.5</v>
      </c>
      <c r="G113" s="49">
        <f>G114</f>
        <v>7200.12</v>
      </c>
      <c r="H113" s="51">
        <f t="shared" si="31"/>
        <v>-0.20471419892859122</v>
      </c>
      <c r="I113" s="52">
        <f>I114</f>
        <v>6246.6</v>
      </c>
      <c r="J113" s="53">
        <f t="shared" si="32"/>
        <v>-0.31003479317391058</v>
      </c>
      <c r="K113" s="52">
        <f>+K114+K115</f>
        <v>3636.6</v>
      </c>
      <c r="L113" s="53">
        <f t="shared" si="33"/>
        <v>-0.59832109129066113</v>
      </c>
      <c r="M113" s="52">
        <f>+M114</f>
        <v>3965.46</v>
      </c>
      <c r="N113" s="53">
        <f t="shared" si="34"/>
        <v>-0.56199701772795052</v>
      </c>
      <c r="O113" s="52">
        <f>+O114+O115</f>
        <v>3784.5</v>
      </c>
      <c r="P113" s="53">
        <f t="shared" si="35"/>
        <v>-0.5819848677307119</v>
      </c>
      <c r="Q113" s="35">
        <f t="shared" si="36"/>
        <v>24833.279999999999</v>
      </c>
      <c r="R113" s="36">
        <f t="shared" si="37"/>
        <v>0.22857900259568123</v>
      </c>
      <c r="S113" s="52">
        <f>+S114+S115</f>
        <v>4019.4</v>
      </c>
      <c r="T113" s="53">
        <f t="shared" si="30"/>
        <v>-12965.351384089212</v>
      </c>
      <c r="U113" s="59">
        <f>U114</f>
        <v>4019.4</v>
      </c>
      <c r="V113" s="53">
        <f t="shared" si="30"/>
        <v>-6718.7976148719745</v>
      </c>
      <c r="W113" s="59">
        <f>W114</f>
        <v>4019.4</v>
      </c>
      <c r="X113" s="53">
        <f t="shared" si="30"/>
        <v>-7152.9952476788703</v>
      </c>
      <c r="Y113" s="97">
        <f>Y114</f>
        <v>4019.4</v>
      </c>
      <c r="Z113" s="53">
        <f t="shared" si="30"/>
        <v>-6907.3651356993732</v>
      </c>
      <c r="AA113" s="59">
        <f>AA114</f>
        <v>4019.4</v>
      </c>
      <c r="AB113" s="53">
        <f t="shared" si="30"/>
        <v>17583.292320627803</v>
      </c>
      <c r="AC113" s="59">
        <f>SUM(AC114+AC115+AC116)</f>
        <v>4437</v>
      </c>
      <c r="AD113" s="53">
        <f t="shared" si="38"/>
        <v>-1.342219803270815</v>
      </c>
      <c r="AE113" s="59">
        <f>SUM(AE114+AE115+AE116)</f>
        <v>4019.4</v>
      </c>
      <c r="AF113" s="53">
        <f t="shared" si="42"/>
        <v>-1.5982320394802647</v>
      </c>
      <c r="AG113" s="45">
        <f>SUM(AG114+AG115+AG116)</f>
        <v>4019.4</v>
      </c>
      <c r="AH113" s="53">
        <f t="shared" si="43"/>
        <v>-1.5619184496598519</v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</row>
    <row r="114" spans="1:181" x14ac:dyDescent="0.25">
      <c r="A114" s="60" t="str">
        <f>+'[1]GASTOS DIC 22 ENE-NOV 23'!A82</f>
        <v>5301-12-0001</v>
      </c>
      <c r="B114" s="61" t="str">
        <f>+'[1]GASTOS DIC 22 ENE-NOV 23'!B82</f>
        <v xml:space="preserve">        ALQUILERES DE OFICINA</v>
      </c>
      <c r="C114" s="62">
        <f>+'[1]GASTOS DIC 22 ENE-NOV 23'!O82</f>
        <v>75325.47</v>
      </c>
      <c r="D114" s="62">
        <f t="shared" si="39"/>
        <v>6277.1225000000004</v>
      </c>
      <c r="E114" s="62">
        <f t="shared" si="22"/>
        <v>70800</v>
      </c>
      <c r="F114" s="62">
        <v>5900</v>
      </c>
      <c r="G114" s="63">
        <v>7200.12</v>
      </c>
      <c r="H114" s="51">
        <f t="shared" si="31"/>
        <v>0.22035932203389819</v>
      </c>
      <c r="I114" s="65">
        <v>6246.6</v>
      </c>
      <c r="J114" s="53">
        <f t="shared" si="32"/>
        <v>5.874576271186438E-2</v>
      </c>
      <c r="K114" s="64">
        <v>3636.6</v>
      </c>
      <c r="L114" s="53">
        <f t="shared" si="33"/>
        <v>-0.38362711864406784</v>
      </c>
      <c r="M114" s="64">
        <v>3965.46</v>
      </c>
      <c r="N114" s="53">
        <f t="shared" si="34"/>
        <v>-0.32788813559322039</v>
      </c>
      <c r="O114" s="65">
        <v>3784.5</v>
      </c>
      <c r="P114" s="53">
        <f t="shared" si="35"/>
        <v>-0.35855932203389829</v>
      </c>
      <c r="Q114" s="35">
        <f t="shared" si="36"/>
        <v>24833.279999999999</v>
      </c>
      <c r="R114" s="36">
        <f t="shared" si="37"/>
        <v>0.35075254237288134</v>
      </c>
      <c r="S114" s="65">
        <v>4019.4</v>
      </c>
      <c r="T114" s="53">
        <f t="shared" si="30"/>
        <v>68419.253894979833</v>
      </c>
      <c r="U114" s="72">
        <v>4019.4</v>
      </c>
      <c r="V114" s="53">
        <f t="shared" si="30"/>
        <v>-10478.361491561367</v>
      </c>
      <c r="W114" s="72">
        <v>4019.4</v>
      </c>
      <c r="X114" s="53">
        <f t="shared" si="30"/>
        <v>-12259.449036980366</v>
      </c>
      <c r="Y114" s="72">
        <v>4019.4</v>
      </c>
      <c r="Z114" s="53">
        <f t="shared" si="30"/>
        <v>-11210.860553060744</v>
      </c>
      <c r="AA114" s="72">
        <v>4019.4</v>
      </c>
      <c r="AB114" s="53">
        <f t="shared" si="30"/>
        <v>11458.360986547086</v>
      </c>
      <c r="AC114" s="72">
        <v>4019.4</v>
      </c>
      <c r="AD114" s="53">
        <f t="shared" si="38"/>
        <v>-0.94125337867364678</v>
      </c>
      <c r="AE114" s="72">
        <v>4019.4</v>
      </c>
      <c r="AF114" s="53">
        <f t="shared" si="42"/>
        <v>-1.3835905072789272</v>
      </c>
      <c r="AG114" s="104">
        <v>4019.4</v>
      </c>
      <c r="AH114" s="53">
        <f t="shared" si="43"/>
        <v>-1.3278613898451361</v>
      </c>
    </row>
    <row r="115" spans="1:181" x14ac:dyDescent="0.25">
      <c r="A115" s="60" t="str">
        <f>+'[1]GASTOS DIC 22 ENE-NOV 23'!A83</f>
        <v>5301-12-0002</v>
      </c>
      <c r="B115" s="61" t="str">
        <f>+'[1]GASTOS DIC 22 ENE-NOV 23'!B83</f>
        <v xml:space="preserve">        ALQUILERES</v>
      </c>
      <c r="C115" s="31">
        <f>+'[1]GASTOS DIC 22 ENE-NOV 23'!O83</f>
        <v>5815.15</v>
      </c>
      <c r="D115" s="31">
        <f t="shared" si="39"/>
        <v>484.5958333333333</v>
      </c>
      <c r="E115" s="31">
        <f t="shared" si="22"/>
        <v>6</v>
      </c>
      <c r="F115" s="31">
        <v>0.5</v>
      </c>
      <c r="G115" s="113"/>
      <c r="H115" s="51">
        <f t="shared" si="31"/>
        <v>-1</v>
      </c>
      <c r="I115" s="114">
        <v>0</v>
      </c>
      <c r="J115" s="53">
        <f t="shared" si="32"/>
        <v>-1</v>
      </c>
      <c r="K115" s="114"/>
      <c r="L115" s="53">
        <f t="shared" si="33"/>
        <v>-1</v>
      </c>
      <c r="M115" s="64">
        <v>0</v>
      </c>
      <c r="N115" s="53">
        <f t="shared" si="34"/>
        <v>-1</v>
      </c>
      <c r="O115" s="65">
        <v>0</v>
      </c>
      <c r="P115" s="53">
        <f t="shared" si="35"/>
        <v>-1</v>
      </c>
      <c r="Q115" s="35">
        <f t="shared" si="36"/>
        <v>0</v>
      </c>
      <c r="R115" s="36">
        <f t="shared" si="37"/>
        <v>0</v>
      </c>
      <c r="S115" s="65">
        <v>0</v>
      </c>
      <c r="T115" s="53">
        <f t="shared" si="30"/>
        <v>-1</v>
      </c>
      <c r="U115" s="66">
        <v>0</v>
      </c>
      <c r="V115" s="53">
        <f t="shared" si="30"/>
        <v>-1</v>
      </c>
      <c r="W115" s="66">
        <v>0</v>
      </c>
      <c r="X115" s="53">
        <f t="shared" si="30"/>
        <v>-1</v>
      </c>
      <c r="Y115" s="66">
        <v>0</v>
      </c>
      <c r="Z115" s="53">
        <f t="shared" si="30"/>
        <v>-1</v>
      </c>
      <c r="AA115" s="66">
        <v>0</v>
      </c>
      <c r="AB115" s="53" t="e">
        <f t="shared" si="30"/>
        <v>#DIV/0!</v>
      </c>
      <c r="AC115" s="66">
        <v>0</v>
      </c>
      <c r="AD115" s="53">
        <f t="shared" si="38"/>
        <v>-1</v>
      </c>
      <c r="AE115" s="66">
        <v>0</v>
      </c>
      <c r="AF115" s="53">
        <f t="shared" si="42"/>
        <v>-1</v>
      </c>
      <c r="AG115" s="66">
        <v>0</v>
      </c>
      <c r="AH115" s="53">
        <f t="shared" si="43"/>
        <v>-1</v>
      </c>
    </row>
    <row r="116" spans="1:181" x14ac:dyDescent="0.25">
      <c r="A116" s="60" t="s">
        <v>77</v>
      </c>
      <c r="B116" s="61" t="s">
        <v>78</v>
      </c>
      <c r="C116" s="31">
        <v>0</v>
      </c>
      <c r="D116" s="31">
        <v>0</v>
      </c>
      <c r="E116" s="31">
        <v>0</v>
      </c>
      <c r="F116" s="31">
        <v>0</v>
      </c>
      <c r="G116" s="113">
        <v>0</v>
      </c>
      <c r="H116" s="51">
        <v>0</v>
      </c>
      <c r="I116" s="114">
        <v>0</v>
      </c>
      <c r="J116" s="53">
        <v>0</v>
      </c>
      <c r="K116" s="114">
        <v>0</v>
      </c>
      <c r="L116" s="53">
        <v>0</v>
      </c>
      <c r="M116" s="64">
        <v>0</v>
      </c>
      <c r="N116" s="53">
        <v>0</v>
      </c>
      <c r="O116" s="65">
        <v>0</v>
      </c>
      <c r="P116" s="53">
        <v>0</v>
      </c>
      <c r="Q116" s="35"/>
      <c r="R116" s="36"/>
      <c r="S116" s="65">
        <v>0</v>
      </c>
      <c r="T116" s="53">
        <v>0</v>
      </c>
      <c r="U116" s="66">
        <v>0</v>
      </c>
      <c r="V116" s="53">
        <v>0</v>
      </c>
      <c r="W116" s="66">
        <v>0</v>
      </c>
      <c r="X116" s="53">
        <v>0</v>
      </c>
      <c r="Y116" s="66">
        <v>0</v>
      </c>
      <c r="Z116" s="53">
        <v>0</v>
      </c>
      <c r="AA116" s="66">
        <v>0</v>
      </c>
      <c r="AB116" s="53">
        <v>0</v>
      </c>
      <c r="AC116" s="66">
        <v>417.6</v>
      </c>
      <c r="AD116" s="53">
        <v>0</v>
      </c>
      <c r="AE116" s="66">
        <v>0</v>
      </c>
      <c r="AF116" s="53">
        <v>0</v>
      </c>
      <c r="AG116" s="66">
        <v>0</v>
      </c>
      <c r="AH116" s="53">
        <v>0</v>
      </c>
    </row>
    <row r="117" spans="1:181" s="58" customFormat="1" x14ac:dyDescent="0.25">
      <c r="A117" s="47" t="str">
        <f>+'[1]GASTOS DIC 22 ENE-NOV 23'!A88</f>
        <v>5601-04</v>
      </c>
      <c r="B117" s="48" t="str">
        <f>+'[1]GASTOS DIC 22 ENE-NOV 23'!B88</f>
        <v xml:space="preserve">      GASTOS PERSONALES - SOCIOS</v>
      </c>
      <c r="C117" s="49">
        <f>+C118</f>
        <v>7000</v>
      </c>
      <c r="D117" s="49">
        <f t="shared" si="39"/>
        <v>583.33333333333337</v>
      </c>
      <c r="E117" s="49">
        <f t="shared" si="22"/>
        <v>6</v>
      </c>
      <c r="F117" s="49">
        <f>+F118</f>
        <v>0.5</v>
      </c>
      <c r="G117" s="49">
        <f>+G118</f>
        <v>0</v>
      </c>
      <c r="H117" s="51">
        <f t="shared" si="31"/>
        <v>-1</v>
      </c>
      <c r="I117" s="52">
        <f>+I118</f>
        <v>0</v>
      </c>
      <c r="J117" s="53">
        <f t="shared" si="32"/>
        <v>-1</v>
      </c>
      <c r="K117" s="52">
        <f>+K118</f>
        <v>0</v>
      </c>
      <c r="L117" s="53">
        <f t="shared" si="33"/>
        <v>-1</v>
      </c>
      <c r="M117" s="52">
        <v>0</v>
      </c>
      <c r="N117" s="53">
        <f t="shared" si="34"/>
        <v>-1</v>
      </c>
      <c r="O117" s="52">
        <f>+O118</f>
        <v>0</v>
      </c>
      <c r="P117" s="53">
        <f t="shared" si="35"/>
        <v>-1</v>
      </c>
      <c r="Q117" s="35">
        <f t="shared" si="36"/>
        <v>0</v>
      </c>
      <c r="R117" s="36">
        <f t="shared" si="37"/>
        <v>0</v>
      </c>
      <c r="S117" s="52">
        <f>+S118</f>
        <v>0</v>
      </c>
      <c r="T117" s="53">
        <f t="shared" si="30"/>
        <v>-1</v>
      </c>
      <c r="U117" s="75">
        <v>0</v>
      </c>
      <c r="V117" s="53">
        <f t="shared" si="30"/>
        <v>-1</v>
      </c>
      <c r="W117" s="74">
        <v>0</v>
      </c>
      <c r="X117" s="53">
        <f t="shared" si="30"/>
        <v>-1</v>
      </c>
      <c r="Y117" s="91">
        <v>0</v>
      </c>
      <c r="Z117" s="53">
        <f t="shared" si="30"/>
        <v>-1</v>
      </c>
      <c r="AA117" s="74">
        <v>0</v>
      </c>
      <c r="AB117" s="53" t="e">
        <f t="shared" si="30"/>
        <v>#DIV/0!</v>
      </c>
      <c r="AC117" s="74">
        <v>0</v>
      </c>
      <c r="AD117" s="53">
        <f t="shared" si="38"/>
        <v>-1</v>
      </c>
      <c r="AE117" s="74">
        <v>0</v>
      </c>
      <c r="AF117" s="53">
        <f t="shared" ref="AF117:AF124" si="45">(AE117/V117)-1</f>
        <v>-1</v>
      </c>
      <c r="AG117" s="74">
        <v>0</v>
      </c>
      <c r="AH117" s="53">
        <f t="shared" ref="AH117:AH124" si="46">(AG117/X117)-1</f>
        <v>-1</v>
      </c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</row>
    <row r="118" spans="1:181" x14ac:dyDescent="0.25">
      <c r="A118" s="60" t="str">
        <f>+'[1]GASTOS DIC 22 ENE-NOV 23'!A89</f>
        <v>5601-04-0001</v>
      </c>
      <c r="B118" s="70" t="str">
        <f>+'[1]GASTOS DIC 22 ENE-NOV 23'!B89</f>
        <v xml:space="preserve">        GASTOS PERSONALES SOCIOS</v>
      </c>
      <c r="C118" s="69">
        <f>+'[1]GASTOS DIC 22 ENE-NOV 23'!O89</f>
        <v>7000</v>
      </c>
      <c r="D118" s="69">
        <f t="shared" si="39"/>
        <v>583.33333333333337</v>
      </c>
      <c r="E118" s="69">
        <f t="shared" si="22"/>
        <v>6</v>
      </c>
      <c r="F118" s="69">
        <v>0.5</v>
      </c>
      <c r="G118" s="81"/>
      <c r="H118" s="51">
        <f t="shared" si="31"/>
        <v>-1</v>
      </c>
      <c r="I118" s="64">
        <v>0</v>
      </c>
      <c r="J118" s="53">
        <f t="shared" si="32"/>
        <v>-1</v>
      </c>
      <c r="K118" s="64"/>
      <c r="L118" s="53">
        <f t="shared" si="33"/>
        <v>-1</v>
      </c>
      <c r="M118" s="64">
        <v>0</v>
      </c>
      <c r="N118" s="53">
        <f t="shared" si="34"/>
        <v>-1</v>
      </c>
      <c r="O118" s="65">
        <v>0</v>
      </c>
      <c r="P118" s="53">
        <f t="shared" si="35"/>
        <v>-1</v>
      </c>
      <c r="Q118" s="35">
        <f t="shared" si="36"/>
        <v>0</v>
      </c>
      <c r="R118" s="36">
        <f t="shared" si="37"/>
        <v>0</v>
      </c>
      <c r="S118" s="65">
        <v>0</v>
      </c>
      <c r="T118" s="53">
        <f t="shared" si="30"/>
        <v>-1</v>
      </c>
      <c r="U118" s="66">
        <v>0</v>
      </c>
      <c r="V118" s="53">
        <f t="shared" si="30"/>
        <v>-1</v>
      </c>
      <c r="W118" s="66">
        <v>0</v>
      </c>
      <c r="X118" s="53">
        <f t="shared" si="30"/>
        <v>-1</v>
      </c>
      <c r="Y118" s="66">
        <v>0</v>
      </c>
      <c r="Z118" s="53">
        <f t="shared" si="30"/>
        <v>-1</v>
      </c>
      <c r="AA118" s="66">
        <v>0</v>
      </c>
      <c r="AB118" s="53" t="e">
        <f t="shared" si="30"/>
        <v>#DIV/0!</v>
      </c>
      <c r="AC118" s="66">
        <v>0</v>
      </c>
      <c r="AD118" s="53">
        <f t="shared" si="38"/>
        <v>-1</v>
      </c>
      <c r="AE118" s="66">
        <v>0</v>
      </c>
      <c r="AF118" s="53">
        <f t="shared" si="45"/>
        <v>-1</v>
      </c>
      <c r="AG118" s="66">
        <v>0</v>
      </c>
      <c r="AH118" s="53">
        <f t="shared" si="46"/>
        <v>-1</v>
      </c>
    </row>
    <row r="119" spans="1:181" s="58" customFormat="1" x14ac:dyDescent="0.25">
      <c r="A119" s="47" t="str">
        <f>+'[1]GASTOS DIC 22 ENE-NOV 23'!A90</f>
        <v>5301-16</v>
      </c>
      <c r="B119" s="48" t="str">
        <f>+'[1]GASTOS DIC 22 ENE-NOV 23'!B90</f>
        <v xml:space="preserve">      OTROS GASTOS DE ADMINISTRACIÓN</v>
      </c>
      <c r="C119" s="49">
        <f>SUM(C120:C127)</f>
        <v>33879.479999999996</v>
      </c>
      <c r="D119" s="49">
        <f t="shared" si="39"/>
        <v>2823.2899999999995</v>
      </c>
      <c r="E119" s="49">
        <f t="shared" si="22"/>
        <v>11520</v>
      </c>
      <c r="F119" s="49">
        <f>+F120+F121+F122</f>
        <v>960</v>
      </c>
      <c r="G119" s="49">
        <f>SUM(G120:G124)</f>
        <v>9662.0400000000009</v>
      </c>
      <c r="H119" s="51">
        <f t="shared" si="31"/>
        <v>9.0646250000000013</v>
      </c>
      <c r="I119" s="52">
        <f>+(I120+I121+I122+I124+I125+I127+I128+I138)</f>
        <v>285.43</v>
      </c>
      <c r="J119" s="53">
        <f t="shared" si="32"/>
        <v>-0.70267708333333334</v>
      </c>
      <c r="K119" s="52">
        <f>+K120+K121+K122+K123+K124</f>
        <v>258.42</v>
      </c>
      <c r="L119" s="53">
        <f t="shared" si="33"/>
        <v>-0.73081249999999998</v>
      </c>
      <c r="M119" s="52">
        <f>+M120+M121+M122+M123+M124</f>
        <v>7663.61</v>
      </c>
      <c r="N119" s="53">
        <f t="shared" si="34"/>
        <v>6.9829270833333332</v>
      </c>
      <c r="O119" s="52">
        <f>SUM(O120:O124)</f>
        <v>675.77</v>
      </c>
      <c r="P119" s="53">
        <f t="shared" si="35"/>
        <v>-0.29607291666666669</v>
      </c>
      <c r="Q119" s="35">
        <f t="shared" si="36"/>
        <v>18545.27</v>
      </c>
      <c r="R119" s="36">
        <f t="shared" si="37"/>
        <v>1.6098324652777778</v>
      </c>
      <c r="S119" s="52">
        <f>SUM(S120:S124)</f>
        <v>3628.72</v>
      </c>
      <c r="T119" s="53">
        <f t="shared" si="30"/>
        <v>-5165.1359680981959</v>
      </c>
      <c r="U119" s="59">
        <f>U121+U123</f>
        <v>1373.76</v>
      </c>
      <c r="V119" s="53">
        <f t="shared" si="30"/>
        <v>-1880.7708030445567</v>
      </c>
      <c r="W119" s="54">
        <f>W121+W123+W122</f>
        <v>1292.95</v>
      </c>
      <c r="X119" s="53">
        <f t="shared" si="30"/>
        <v>184.15874282662625</v>
      </c>
      <c r="Y119" s="97">
        <f>SUM(Y121:Y125)</f>
        <v>30785.329999999998</v>
      </c>
      <c r="Z119" s="53">
        <f t="shared" si="30"/>
        <v>-103979.87907680399</v>
      </c>
      <c r="AA119" s="54">
        <f>SUM(AA120:AA126)-AA123</f>
        <v>7731.94</v>
      </c>
      <c r="AB119" s="53">
        <f t="shared" si="30"/>
        <v>4801.946994031362</v>
      </c>
      <c r="AC119" s="54">
        <f>SUM(AC120:AC126)-AC123</f>
        <v>9542.9600000000009</v>
      </c>
      <c r="AD119" s="53">
        <f t="shared" si="38"/>
        <v>-2.8475718856078283</v>
      </c>
      <c r="AE119" s="54">
        <f>+AE120+AE121+AE122+AE123+AE124+AE125+AE126</f>
        <v>2496.89</v>
      </c>
      <c r="AF119" s="53">
        <f t="shared" si="45"/>
        <v>-2.3275886652207065</v>
      </c>
      <c r="AG119" s="45">
        <f>+AG120+AG121+AG122+AG123+AG124+AG125+AG126</f>
        <v>3576.91</v>
      </c>
      <c r="AH119" s="53">
        <f t="shared" si="46"/>
        <v>18.422971427250854</v>
      </c>
      <c r="AI119" s="115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</row>
    <row r="120" spans="1:181" x14ac:dyDescent="0.25">
      <c r="A120" s="60" t="str">
        <f>+'[1]GASTOS DIC 22 ENE-NOV 23'!A91</f>
        <v>5301-16-0001</v>
      </c>
      <c r="B120" s="61" t="str">
        <f>+'[1]GASTOS DIC 22 ENE-NOV 23'!B91</f>
        <v xml:space="preserve">        OTROS GASTOS</v>
      </c>
      <c r="C120" s="62">
        <f>+'[1]GASTOS DIC 22 ENE-NOV 23'!O91</f>
        <v>2316.6400000000003</v>
      </c>
      <c r="D120" s="62">
        <f t="shared" si="39"/>
        <v>193.05333333333337</v>
      </c>
      <c r="E120" s="62">
        <f t="shared" si="22"/>
        <v>1200</v>
      </c>
      <c r="F120" s="62">
        <v>100</v>
      </c>
      <c r="G120" s="81"/>
      <c r="H120" s="51">
        <f t="shared" si="31"/>
        <v>-1</v>
      </c>
      <c r="I120" s="64">
        <v>0</v>
      </c>
      <c r="J120" s="53">
        <f t="shared" si="32"/>
        <v>-1</v>
      </c>
      <c r="K120" s="64"/>
      <c r="L120" s="53">
        <f t="shared" si="33"/>
        <v>-1</v>
      </c>
      <c r="M120" s="64">
        <v>0</v>
      </c>
      <c r="N120" s="53">
        <f t="shared" si="34"/>
        <v>-1</v>
      </c>
      <c r="O120" s="65">
        <v>0</v>
      </c>
      <c r="P120" s="53">
        <f t="shared" si="35"/>
        <v>-1</v>
      </c>
      <c r="Q120" s="35">
        <f t="shared" si="36"/>
        <v>0</v>
      </c>
      <c r="R120" s="36">
        <f t="shared" si="37"/>
        <v>0</v>
      </c>
      <c r="S120" s="65">
        <v>0</v>
      </c>
      <c r="T120" s="53">
        <f t="shared" si="30"/>
        <v>-1</v>
      </c>
      <c r="U120" s="66">
        <v>0</v>
      </c>
      <c r="V120" s="53">
        <f t="shared" si="30"/>
        <v>-1</v>
      </c>
      <c r="W120" s="66">
        <v>0</v>
      </c>
      <c r="X120" s="53">
        <f t="shared" si="30"/>
        <v>-1</v>
      </c>
      <c r="Y120" s="66">
        <v>0</v>
      </c>
      <c r="Z120" s="53">
        <f t="shared" si="30"/>
        <v>-1</v>
      </c>
      <c r="AA120" s="66">
        <v>0</v>
      </c>
      <c r="AB120" s="53" t="e">
        <f t="shared" si="30"/>
        <v>#DIV/0!</v>
      </c>
      <c r="AC120" s="66">
        <v>0</v>
      </c>
      <c r="AD120" s="53">
        <f t="shared" si="38"/>
        <v>-1</v>
      </c>
      <c r="AE120" s="66">
        <v>0</v>
      </c>
      <c r="AF120" s="53">
        <f t="shared" si="45"/>
        <v>-1</v>
      </c>
      <c r="AG120" s="79">
        <v>0</v>
      </c>
      <c r="AH120" s="53">
        <f t="shared" si="46"/>
        <v>-1</v>
      </c>
    </row>
    <row r="121" spans="1:181" x14ac:dyDescent="0.25">
      <c r="A121" s="60" t="str">
        <f>+'[1]GASTOS DIC 22 ENE-NOV 23'!A92</f>
        <v>5301-16-0002</v>
      </c>
      <c r="B121" s="61" t="str">
        <f>+'[1]GASTOS DIC 22 ENE-NOV 23'!B92</f>
        <v xml:space="preserve">        TRAMITES LEGALES</v>
      </c>
      <c r="C121" s="62">
        <f>+'[1]GASTOS DIC 22 ENE-NOV 23'!O92</f>
        <v>11385.929999999998</v>
      </c>
      <c r="D121" s="62">
        <f t="shared" si="39"/>
        <v>948.82749999999987</v>
      </c>
      <c r="E121" s="62">
        <f t="shared" si="22"/>
        <v>10200</v>
      </c>
      <c r="F121" s="62">
        <v>850</v>
      </c>
      <c r="G121" s="81">
        <v>2391</v>
      </c>
      <c r="H121" s="51">
        <f t="shared" si="31"/>
        <v>1.8129411764705883</v>
      </c>
      <c r="I121" s="65">
        <v>105</v>
      </c>
      <c r="J121" s="53">
        <f t="shared" si="32"/>
        <v>-0.87647058823529411</v>
      </c>
      <c r="K121" s="65">
        <v>244.5</v>
      </c>
      <c r="L121" s="53">
        <f t="shared" si="33"/>
        <v>-0.71235294117647063</v>
      </c>
      <c r="M121" s="64">
        <v>42</v>
      </c>
      <c r="N121" s="53">
        <f t="shared" si="34"/>
        <v>-0.95058823529411762</v>
      </c>
      <c r="O121" s="65">
        <v>634.01</v>
      </c>
      <c r="P121" s="53">
        <f t="shared" si="35"/>
        <v>-0.25410588235294118</v>
      </c>
      <c r="Q121" s="35">
        <f t="shared" si="36"/>
        <v>3416.51</v>
      </c>
      <c r="R121" s="36">
        <f t="shared" si="37"/>
        <v>0.33495196078431377</v>
      </c>
      <c r="S121" s="65">
        <v>3401.04</v>
      </c>
      <c r="T121" s="53">
        <f t="shared" si="30"/>
        <v>-3881.3812080536914</v>
      </c>
      <c r="U121" s="72">
        <v>1332</v>
      </c>
      <c r="V121" s="53">
        <f t="shared" si="30"/>
        <v>-1870.8596201486373</v>
      </c>
      <c r="W121" s="72">
        <v>96.6</v>
      </c>
      <c r="X121" s="53">
        <f t="shared" si="30"/>
        <v>-102.62128712871286</v>
      </c>
      <c r="Y121" s="72">
        <v>27</v>
      </c>
      <c r="Z121" s="53">
        <f t="shared" si="30"/>
        <v>-107.25491920922265</v>
      </c>
      <c r="AA121" s="72">
        <v>27</v>
      </c>
      <c r="AB121" s="53">
        <f t="shared" si="30"/>
        <v>79.608574246819117</v>
      </c>
      <c r="AC121" s="72">
        <v>7471.49</v>
      </c>
      <c r="AD121" s="53">
        <f t="shared" si="38"/>
        <v>-2.9249565037561869</v>
      </c>
      <c r="AE121" s="66">
        <v>792.67</v>
      </c>
      <c r="AF121" s="53">
        <f t="shared" si="45"/>
        <v>-1.4236929331646078</v>
      </c>
      <c r="AG121" s="79">
        <v>800.91</v>
      </c>
      <c r="AH121" s="53">
        <f t="shared" si="46"/>
        <v>-8.8045210931281517</v>
      </c>
    </row>
    <row r="122" spans="1:181" x14ac:dyDescent="0.25">
      <c r="A122" s="60" t="str">
        <f>+'[1]GASTOS DIC 22 ENE-NOV 23'!A93</f>
        <v>5301-16-0003</v>
      </c>
      <c r="B122" s="61" t="str">
        <f>+'[1]GASTOS DIC 22 ENE-NOV 23'!B93</f>
        <v xml:space="preserve">        MULTAS</v>
      </c>
      <c r="C122" s="69">
        <f>+'[1]GASTOS DIC 22 ENE-NOV 23'!O93</f>
        <v>157.57</v>
      </c>
      <c r="D122" s="69">
        <f t="shared" si="39"/>
        <v>13.130833333333333</v>
      </c>
      <c r="E122" s="69">
        <f t="shared" si="22"/>
        <v>120</v>
      </c>
      <c r="F122" s="69">
        <v>10</v>
      </c>
      <c r="G122" s="81"/>
      <c r="H122" s="51">
        <f t="shared" si="31"/>
        <v>-1</v>
      </c>
      <c r="I122" s="64">
        <v>0</v>
      </c>
      <c r="J122" s="53">
        <f t="shared" si="32"/>
        <v>-1</v>
      </c>
      <c r="K122" s="64"/>
      <c r="L122" s="53">
        <f t="shared" si="33"/>
        <v>-1</v>
      </c>
      <c r="M122" s="65">
        <v>7432</v>
      </c>
      <c r="N122" s="53">
        <f t="shared" si="34"/>
        <v>742.2</v>
      </c>
      <c r="O122" s="65">
        <v>0</v>
      </c>
      <c r="P122" s="53">
        <f t="shared" si="35"/>
        <v>-1</v>
      </c>
      <c r="Q122" s="35">
        <f t="shared" si="36"/>
        <v>7432</v>
      </c>
      <c r="R122" s="36">
        <f t="shared" si="37"/>
        <v>61.93333333333333</v>
      </c>
      <c r="S122" s="65">
        <v>0</v>
      </c>
      <c r="T122" s="53">
        <f t="shared" si="30"/>
        <v>-1</v>
      </c>
      <c r="U122" s="66">
        <v>0</v>
      </c>
      <c r="V122" s="53">
        <f t="shared" si="30"/>
        <v>-1</v>
      </c>
      <c r="W122" s="66">
        <v>218</v>
      </c>
      <c r="X122" s="53">
        <f t="shared" si="30"/>
        <v>-0.7062786310967395</v>
      </c>
      <c r="Y122" s="66">
        <v>0</v>
      </c>
      <c r="Z122" s="53">
        <f t="shared" si="30"/>
        <v>-1</v>
      </c>
      <c r="AA122" s="66">
        <v>0</v>
      </c>
      <c r="AB122" s="53">
        <f t="shared" si="30"/>
        <v>-1</v>
      </c>
      <c r="AC122" s="66">
        <v>0</v>
      </c>
      <c r="AD122" s="53">
        <f t="shared" si="38"/>
        <v>-1</v>
      </c>
      <c r="AE122" s="66">
        <v>0</v>
      </c>
      <c r="AF122" s="53">
        <f t="shared" si="45"/>
        <v>-1</v>
      </c>
      <c r="AG122" s="79">
        <v>0</v>
      </c>
      <c r="AH122" s="53">
        <f t="shared" si="46"/>
        <v>-1</v>
      </c>
    </row>
    <row r="123" spans="1:181" x14ac:dyDescent="0.25">
      <c r="A123" s="60" t="str">
        <f>+'[1]GASTOS DIC 22 ENE-NOV 23'!A85</f>
        <v>5301-15-0005</v>
      </c>
      <c r="B123" s="61" t="str">
        <f>+'[1]GASTOS DIC 22 ENE-NOV 23'!B85</f>
        <v xml:space="preserve">        SERVICIO DE TE Y REFRIGERIOS</v>
      </c>
      <c r="C123" s="62">
        <f>+'[1]GASTOS DIC 22 ENE-NOV 23'!O85</f>
        <v>1058.0899999999999</v>
      </c>
      <c r="D123" s="62">
        <f>+C123/12</f>
        <v>88.174166666666665</v>
      </c>
      <c r="E123" s="62">
        <f>+F123*12</f>
        <v>984</v>
      </c>
      <c r="F123" s="62">
        <v>82</v>
      </c>
      <c r="G123" s="63">
        <v>577.04</v>
      </c>
      <c r="H123" s="51">
        <f t="shared" si="31"/>
        <v>6.0370731707317065</v>
      </c>
      <c r="I123" s="65">
        <v>41.76</v>
      </c>
      <c r="J123" s="53">
        <f t="shared" si="32"/>
        <v>-0.49073170731707316</v>
      </c>
      <c r="K123" s="65">
        <v>13.92</v>
      </c>
      <c r="L123" s="53">
        <f t="shared" si="33"/>
        <v>-0.83024390243902435</v>
      </c>
      <c r="M123" s="64">
        <v>189.61</v>
      </c>
      <c r="N123" s="53">
        <f t="shared" si="34"/>
        <v>1.3123170731707319</v>
      </c>
      <c r="O123" s="65">
        <v>41.76</v>
      </c>
      <c r="P123" s="53">
        <f t="shared" si="35"/>
        <v>-0.49073170731707316</v>
      </c>
      <c r="Q123" s="35">
        <f t="shared" si="36"/>
        <v>864.08999999999992</v>
      </c>
      <c r="R123" s="36">
        <f t="shared" si="37"/>
        <v>0.87814024390243894</v>
      </c>
      <c r="S123" s="65">
        <v>227.68</v>
      </c>
      <c r="T123" s="53">
        <f t="shared" si="30"/>
        <v>-464.96023856858847</v>
      </c>
      <c r="U123" s="72">
        <v>41.76</v>
      </c>
      <c r="V123" s="53">
        <f t="shared" si="30"/>
        <v>-51.298472385428909</v>
      </c>
      <c r="W123" s="72">
        <v>978.35</v>
      </c>
      <c r="X123" s="53">
        <f t="shared" si="30"/>
        <v>744.51342812006317</v>
      </c>
      <c r="Y123" s="72">
        <v>113.1</v>
      </c>
      <c r="Z123" s="53">
        <f t="shared" si="30"/>
        <v>-231.47216699801191</v>
      </c>
      <c r="AA123" s="66">
        <v>213.15</v>
      </c>
      <c r="AB123" s="53">
        <f t="shared" si="30"/>
        <v>241.72888240808251</v>
      </c>
      <c r="AC123" s="66">
        <v>173.13</v>
      </c>
      <c r="AD123" s="53">
        <f t="shared" si="38"/>
        <v>-1.3723544200962052</v>
      </c>
      <c r="AE123" s="66">
        <v>534.78</v>
      </c>
      <c r="AF123" s="53">
        <f t="shared" si="45"/>
        <v>-11.424871835986712</v>
      </c>
      <c r="AG123" s="79">
        <v>827.2</v>
      </c>
      <c r="AH123" s="53">
        <f t="shared" si="46"/>
        <v>0.11106122301746124</v>
      </c>
    </row>
    <row r="124" spans="1:181" x14ac:dyDescent="0.25">
      <c r="A124" s="60" t="str">
        <f>+'[1]GASTOS DIC 22 ENE-NOV 23'!A86</f>
        <v>5201-16-0005</v>
      </c>
      <c r="B124" s="61" t="str">
        <f>+'[1]GASTOS DIC 22 ENE-NOV 23'!B86</f>
        <v xml:space="preserve">        PROGRAMAS, CAPACITACIONES Y FOROS DE NEGOCIO</v>
      </c>
      <c r="C124" s="69">
        <f>+'[1]GASTOS DIC 22 ENE-NOV 23'!O86</f>
        <v>14481.25</v>
      </c>
      <c r="D124" s="69">
        <f>+C124/12</f>
        <v>1206.7708333333333</v>
      </c>
      <c r="E124" s="69">
        <f>+F124*12</f>
        <v>8400</v>
      </c>
      <c r="F124" s="69">
        <v>700</v>
      </c>
      <c r="G124" s="81">
        <v>6694</v>
      </c>
      <c r="H124" s="51">
        <f t="shared" si="31"/>
        <v>8.5628571428571423</v>
      </c>
      <c r="I124" s="64">
        <v>0</v>
      </c>
      <c r="J124" s="53">
        <f t="shared" si="32"/>
        <v>-1</v>
      </c>
      <c r="K124" s="64"/>
      <c r="L124" s="53">
        <f t="shared" si="33"/>
        <v>-1</v>
      </c>
      <c r="M124" s="64">
        <v>0</v>
      </c>
      <c r="N124" s="53">
        <f t="shared" si="34"/>
        <v>-1</v>
      </c>
      <c r="O124" s="65">
        <v>0</v>
      </c>
      <c r="P124" s="53">
        <f t="shared" si="35"/>
        <v>-1</v>
      </c>
      <c r="Q124" s="35">
        <f t="shared" si="36"/>
        <v>6694</v>
      </c>
      <c r="R124" s="36">
        <f t="shared" si="37"/>
        <v>0.79690476190476189</v>
      </c>
      <c r="S124" s="65">
        <v>0</v>
      </c>
      <c r="T124" s="53">
        <f t="shared" si="30"/>
        <v>-1</v>
      </c>
      <c r="U124" s="66">
        <v>0</v>
      </c>
      <c r="V124" s="53">
        <f t="shared" si="30"/>
        <v>-1</v>
      </c>
      <c r="W124" s="66">
        <v>0</v>
      </c>
      <c r="X124" s="53">
        <f t="shared" si="30"/>
        <v>-1</v>
      </c>
      <c r="Y124" s="66">
        <v>0</v>
      </c>
      <c r="Z124" s="53">
        <f t="shared" si="30"/>
        <v>-1</v>
      </c>
      <c r="AA124" s="66">
        <v>0</v>
      </c>
      <c r="AB124" s="53">
        <f t="shared" si="30"/>
        <v>-1</v>
      </c>
      <c r="AC124" s="66">
        <v>0</v>
      </c>
      <c r="AD124" s="53">
        <f t="shared" si="38"/>
        <v>-1</v>
      </c>
      <c r="AE124" s="66">
        <v>574.20000000000005</v>
      </c>
      <c r="AF124" s="53">
        <f t="shared" si="45"/>
        <v>-575.20000000000005</v>
      </c>
      <c r="AG124" s="79">
        <v>0</v>
      </c>
      <c r="AH124" s="53">
        <f t="shared" si="46"/>
        <v>-1</v>
      </c>
    </row>
    <row r="125" spans="1:181" x14ac:dyDescent="0.25">
      <c r="A125" s="60" t="s">
        <v>79</v>
      </c>
      <c r="B125" s="61" t="s">
        <v>80</v>
      </c>
      <c r="C125" s="69">
        <v>0</v>
      </c>
      <c r="D125" s="69"/>
      <c r="E125" s="69"/>
      <c r="F125" s="69"/>
      <c r="G125" s="81"/>
      <c r="H125" s="51"/>
      <c r="I125" s="64">
        <v>0</v>
      </c>
      <c r="J125" s="53"/>
      <c r="K125" s="64"/>
      <c r="L125" s="53"/>
      <c r="M125" s="64"/>
      <c r="N125" s="53"/>
      <c r="O125" s="65"/>
      <c r="P125" s="53"/>
      <c r="Q125" s="35"/>
      <c r="R125" s="36"/>
      <c r="S125" s="65"/>
      <c r="T125" s="53"/>
      <c r="U125" s="66"/>
      <c r="V125" s="53"/>
      <c r="W125" s="66"/>
      <c r="X125" s="53"/>
      <c r="Y125" s="72">
        <v>30645.23</v>
      </c>
      <c r="Z125" s="53"/>
      <c r="AA125" s="66">
        <v>0</v>
      </c>
      <c r="AB125" s="53"/>
      <c r="AC125" s="66">
        <v>0</v>
      </c>
      <c r="AD125" s="53"/>
      <c r="AE125" s="66">
        <v>0</v>
      </c>
      <c r="AF125" s="53"/>
      <c r="AG125" s="79">
        <v>0</v>
      </c>
      <c r="AH125" s="53"/>
    </row>
    <row r="126" spans="1:181" x14ac:dyDescent="0.25">
      <c r="A126" s="116" t="s">
        <v>81</v>
      </c>
      <c r="B126" s="61" t="s">
        <v>82</v>
      </c>
      <c r="C126" s="69">
        <v>0</v>
      </c>
      <c r="D126" s="69"/>
      <c r="E126" s="69"/>
      <c r="F126" s="69"/>
      <c r="G126" s="81"/>
      <c r="H126" s="51"/>
      <c r="I126" s="64"/>
      <c r="J126" s="53"/>
      <c r="K126" s="64"/>
      <c r="L126" s="53"/>
      <c r="M126" s="64"/>
      <c r="N126" s="53"/>
      <c r="O126" s="65"/>
      <c r="P126" s="53"/>
      <c r="Q126" s="35"/>
      <c r="R126" s="36"/>
      <c r="S126" s="65"/>
      <c r="T126" s="53"/>
      <c r="U126" s="66"/>
      <c r="V126" s="53"/>
      <c r="W126" s="66"/>
      <c r="X126" s="53"/>
      <c r="Y126" s="72"/>
      <c r="Z126" s="53"/>
      <c r="AA126" s="66">
        <v>7704.94</v>
      </c>
      <c r="AB126" s="53"/>
      <c r="AC126" s="66">
        <v>2071.4699999999998</v>
      </c>
      <c r="AD126" s="53"/>
      <c r="AE126" s="66">
        <v>595.24</v>
      </c>
      <c r="AF126" s="53"/>
      <c r="AG126" s="79">
        <v>1948.8</v>
      </c>
      <c r="AH126" s="53"/>
    </row>
    <row r="127" spans="1:181" s="58" customFormat="1" x14ac:dyDescent="0.25">
      <c r="A127" s="47" t="str">
        <f>+'[1]GASTOS DIC 22 ENE-NOV 23'!A94</f>
        <v>5301-17</v>
      </c>
      <c r="B127" s="48" t="str">
        <f>+'[1]GASTOS DIC 22 ENE-NOV 23'!B94</f>
        <v xml:space="preserve">      BONOS AL PERSONAL</v>
      </c>
      <c r="C127" s="49">
        <f>+'[1]GASTOS DIC 22 ENE-NOV 23'!O94</f>
        <v>4480</v>
      </c>
      <c r="D127" s="49">
        <f t="shared" si="39"/>
        <v>373.33333333333331</v>
      </c>
      <c r="E127" s="49">
        <f t="shared" si="22"/>
        <v>4200</v>
      </c>
      <c r="F127" s="49">
        <v>350</v>
      </c>
      <c r="G127" s="49">
        <f>+G128</f>
        <v>0</v>
      </c>
      <c r="H127" s="51">
        <f t="shared" si="31"/>
        <v>-1</v>
      </c>
      <c r="I127" s="52">
        <v>0</v>
      </c>
      <c r="J127" s="53">
        <f t="shared" si="32"/>
        <v>-1</v>
      </c>
      <c r="K127" s="52">
        <f>+K128</f>
        <v>0</v>
      </c>
      <c r="L127" s="53">
        <f t="shared" si="33"/>
        <v>-1</v>
      </c>
      <c r="M127" s="52">
        <v>0</v>
      </c>
      <c r="N127" s="117">
        <f t="shared" si="34"/>
        <v>-1</v>
      </c>
      <c r="O127" s="52">
        <f>+O128</f>
        <v>0</v>
      </c>
      <c r="P127" s="117">
        <f t="shared" si="35"/>
        <v>-1</v>
      </c>
      <c r="Q127" s="35">
        <f t="shared" si="36"/>
        <v>0</v>
      </c>
      <c r="R127" s="36">
        <f t="shared" si="37"/>
        <v>0</v>
      </c>
      <c r="S127" s="52">
        <f>+S128</f>
        <v>0</v>
      </c>
      <c r="T127" s="53">
        <f t="shared" si="30"/>
        <v>-1</v>
      </c>
      <c r="U127" s="75">
        <v>0</v>
      </c>
      <c r="V127" s="53">
        <f t="shared" si="30"/>
        <v>-1</v>
      </c>
      <c r="W127" s="74">
        <v>0</v>
      </c>
      <c r="X127" s="53">
        <f t="shared" si="30"/>
        <v>-1</v>
      </c>
      <c r="Y127" s="91">
        <v>0</v>
      </c>
      <c r="Z127" s="53">
        <f t="shared" si="30"/>
        <v>-1</v>
      </c>
      <c r="AA127" s="74">
        <v>0</v>
      </c>
      <c r="AB127" s="53" t="e">
        <f t="shared" si="30"/>
        <v>#DIV/0!</v>
      </c>
      <c r="AC127" s="74">
        <v>0</v>
      </c>
      <c r="AD127" s="53">
        <f t="shared" si="38"/>
        <v>-1</v>
      </c>
      <c r="AE127" s="74">
        <v>0</v>
      </c>
      <c r="AF127" s="53">
        <f t="shared" ref="AF127:AF161" si="47">(AE127/V127)-1</f>
        <v>-1</v>
      </c>
      <c r="AG127" s="74">
        <v>0</v>
      </c>
      <c r="AH127" s="53">
        <f t="shared" ref="AH127:AH161" si="48">(AG127/X127)-1</f>
        <v>-1</v>
      </c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</row>
    <row r="128" spans="1:181" x14ac:dyDescent="0.25">
      <c r="A128" s="60" t="str">
        <f>+'[1]GASTOS DIC 22 ENE-NOV 23'!A87</f>
        <v>5301-17-0001</v>
      </c>
      <c r="B128" s="61" t="str">
        <f>+'[1]GASTOS DIC 22 ENE-NOV 23'!B87</f>
        <v xml:space="preserve">        BONOS EXTRAORDINARIOS AL PERSONAL</v>
      </c>
      <c r="C128" s="69">
        <f>+'[1]GASTOS DIC 22 ENE-NOV 23'!O87</f>
        <v>4480</v>
      </c>
      <c r="D128" s="69">
        <f>+C128/12</f>
        <v>373.33333333333331</v>
      </c>
      <c r="E128" s="69">
        <f>+F128*12</f>
        <v>1200</v>
      </c>
      <c r="F128" s="69">
        <v>100</v>
      </c>
      <c r="G128" s="118"/>
      <c r="H128" s="51">
        <f t="shared" si="31"/>
        <v>-1</v>
      </c>
      <c r="I128" s="114">
        <v>0</v>
      </c>
      <c r="J128" s="53">
        <f t="shared" si="32"/>
        <v>-1</v>
      </c>
      <c r="K128" s="114"/>
      <c r="L128" s="53">
        <f t="shared" si="33"/>
        <v>-1</v>
      </c>
      <c r="M128" s="64">
        <v>0</v>
      </c>
      <c r="N128" s="53">
        <f t="shared" si="34"/>
        <v>-1</v>
      </c>
      <c r="O128" s="65">
        <v>0</v>
      </c>
      <c r="P128" s="53">
        <f t="shared" si="35"/>
        <v>-1</v>
      </c>
      <c r="Q128" s="35">
        <f t="shared" si="36"/>
        <v>0</v>
      </c>
      <c r="R128" s="36">
        <f t="shared" si="37"/>
        <v>0</v>
      </c>
      <c r="S128" s="119">
        <v>0</v>
      </c>
      <c r="T128" s="53">
        <f t="shared" si="30"/>
        <v>-1</v>
      </c>
      <c r="U128" s="66">
        <v>0</v>
      </c>
      <c r="V128" s="53">
        <f t="shared" si="30"/>
        <v>-1</v>
      </c>
      <c r="W128" s="66">
        <v>0</v>
      </c>
      <c r="X128" s="53">
        <f t="shared" si="30"/>
        <v>-1</v>
      </c>
      <c r="Y128" s="66">
        <v>0</v>
      </c>
      <c r="Z128" s="53">
        <f t="shared" si="30"/>
        <v>-1</v>
      </c>
      <c r="AA128" s="66">
        <v>0</v>
      </c>
      <c r="AB128" s="53" t="e">
        <f t="shared" si="30"/>
        <v>#DIV/0!</v>
      </c>
      <c r="AC128" s="66">
        <v>0</v>
      </c>
      <c r="AD128" s="53">
        <f t="shared" si="38"/>
        <v>-1</v>
      </c>
      <c r="AE128" s="66">
        <v>0</v>
      </c>
      <c r="AF128" s="53">
        <f t="shared" si="47"/>
        <v>-1</v>
      </c>
      <c r="AG128" s="66">
        <v>0</v>
      </c>
      <c r="AH128" s="53">
        <f t="shared" si="48"/>
        <v>-1</v>
      </c>
    </row>
    <row r="129" spans="1:181" s="46" customFormat="1" x14ac:dyDescent="0.25">
      <c r="A129" s="38">
        <f>+'[1]GASTOS DIC 22 ENE-NOV 23'!A95</f>
        <v>54</v>
      </c>
      <c r="B129" s="39" t="str">
        <f>+'[1]GASTOS DIC 22 ENE-NOV 23'!B95</f>
        <v xml:space="preserve">  GASTOS FINANCIEROS</v>
      </c>
      <c r="C129" s="40">
        <f>+C130</f>
        <v>110198.70999999999</v>
      </c>
      <c r="D129" s="40">
        <f t="shared" si="39"/>
        <v>9183.225833333332</v>
      </c>
      <c r="E129" s="40">
        <f t="shared" si="22"/>
        <v>117744.47999999998</v>
      </c>
      <c r="F129" s="40">
        <f>+F130</f>
        <v>9812.0399999999991</v>
      </c>
      <c r="G129" s="40">
        <f>+G130</f>
        <v>6767.41</v>
      </c>
      <c r="H129" s="41">
        <f t="shared" si="31"/>
        <v>-0.31029531065914928</v>
      </c>
      <c r="I129" s="42">
        <f>+I136+I139</f>
        <v>1074.45</v>
      </c>
      <c r="J129" s="43">
        <f t="shared" si="32"/>
        <v>-0.89049677742854694</v>
      </c>
      <c r="K129" s="42">
        <f>+K131+K133+K136+K139</f>
        <v>1166.83</v>
      </c>
      <c r="L129" s="43">
        <f t="shared" si="33"/>
        <v>-0.88108181377165196</v>
      </c>
      <c r="M129" s="42">
        <f>+M130</f>
        <v>15871.45</v>
      </c>
      <c r="N129" s="43">
        <f t="shared" si="34"/>
        <v>0.61754844048740143</v>
      </c>
      <c r="O129" s="42">
        <f>+O130</f>
        <v>3501.94</v>
      </c>
      <c r="P129" s="43">
        <f t="shared" si="35"/>
        <v>-0.64309766368665433</v>
      </c>
      <c r="Q129" s="42">
        <f t="shared" si="36"/>
        <v>28382.080000000002</v>
      </c>
      <c r="R129" s="44">
        <f t="shared" si="37"/>
        <v>0.24104807291178326</v>
      </c>
      <c r="S129" s="42">
        <f>+S136+S139</f>
        <v>7634.2</v>
      </c>
      <c r="T129" s="43">
        <f t="shared" si="30"/>
        <v>-8573.9675766429882</v>
      </c>
      <c r="U129" s="45">
        <f>U130</f>
        <v>2198.0300000000002</v>
      </c>
      <c r="V129" s="43">
        <f t="shared" si="30"/>
        <v>-2495.6945512254765</v>
      </c>
      <c r="W129" s="45">
        <f>W130</f>
        <v>4306.1000000000004</v>
      </c>
      <c r="X129" s="43">
        <f t="shared" si="30"/>
        <v>6971.8942989498955</v>
      </c>
      <c r="Y129" s="45">
        <f>+Y130</f>
        <v>13.05</v>
      </c>
      <c r="Z129" s="43">
        <f t="shared" si="30"/>
        <v>-21.292407727294339</v>
      </c>
      <c r="AA129" s="45">
        <f>AA130</f>
        <v>26.07</v>
      </c>
      <c r="AB129" s="43">
        <f t="shared" si="30"/>
        <v>107.15270035177123</v>
      </c>
      <c r="AC129" s="45">
        <f>AC130</f>
        <v>34.75</v>
      </c>
      <c r="AD129" s="43">
        <f t="shared" si="38"/>
        <v>-1.0040529661080904</v>
      </c>
      <c r="AE129" s="45">
        <f>+AE131+AE133+AE136+AE139</f>
        <v>2275.8000000000002</v>
      </c>
      <c r="AF129" s="43">
        <f t="shared" si="47"/>
        <v>-1.9118904390292875</v>
      </c>
      <c r="AG129" s="45">
        <f>+AG131+AG133+AG136+AG139</f>
        <v>21.73</v>
      </c>
      <c r="AH129" s="43">
        <f t="shared" si="48"/>
        <v>-0.99688320002165365</v>
      </c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</row>
    <row r="130" spans="1:181" x14ac:dyDescent="0.25">
      <c r="A130" s="29">
        <f>+'[1]GASTOS DIC 22 ENE-NOV 23'!A96</f>
        <v>5401</v>
      </c>
      <c r="B130" s="30" t="str">
        <f>+'[1]GASTOS DIC 22 ENE-NOV 23'!B96</f>
        <v xml:space="preserve">    GASTOS FINANCIEROS</v>
      </c>
      <c r="C130" s="31">
        <f>+C131+C133+C136+C139+C142</f>
        <v>110198.70999999999</v>
      </c>
      <c r="D130" s="31">
        <f t="shared" si="39"/>
        <v>9183.225833333332</v>
      </c>
      <c r="E130" s="31">
        <f t="shared" ref="E130:E161" si="49">+F130*12</f>
        <v>117744.47999999998</v>
      </c>
      <c r="F130" s="31">
        <f>+F131+F133+F136+F139+F142</f>
        <v>9812.0399999999991</v>
      </c>
      <c r="G130" s="81">
        <f>+G131+G133+G136+G139+G142</f>
        <v>6767.41</v>
      </c>
      <c r="H130" s="51">
        <f t="shared" si="31"/>
        <v>-0.31029531065914928</v>
      </c>
      <c r="I130" s="64">
        <v>0</v>
      </c>
      <c r="J130" s="53">
        <f t="shared" si="32"/>
        <v>-1</v>
      </c>
      <c r="K130" s="64">
        <f>+K136</f>
        <v>1153.78</v>
      </c>
      <c r="L130" s="53">
        <f t="shared" si="33"/>
        <v>-0.88241181242636602</v>
      </c>
      <c r="M130" s="64">
        <f>+M131+M133+M136+M139+M142</f>
        <v>15871.45</v>
      </c>
      <c r="N130" s="53">
        <f t="shared" si="34"/>
        <v>0.61754844048740143</v>
      </c>
      <c r="O130" s="119">
        <f>+O131+O133+O136+O139</f>
        <v>3501.94</v>
      </c>
      <c r="P130" s="53">
        <f t="shared" si="35"/>
        <v>-0.64309766368665433</v>
      </c>
      <c r="Q130" s="35">
        <f t="shared" si="36"/>
        <v>27294.579999999998</v>
      </c>
      <c r="R130" s="36">
        <f t="shared" si="37"/>
        <v>0.23181197114293597</v>
      </c>
      <c r="S130" s="119">
        <v>0</v>
      </c>
      <c r="T130" s="53">
        <f t="shared" si="30"/>
        <v>-1</v>
      </c>
      <c r="U130" s="72">
        <f>+U136+U139</f>
        <v>2198.0300000000002</v>
      </c>
      <c r="V130" s="53">
        <f t="shared" si="30"/>
        <v>-2491.9344696509461</v>
      </c>
      <c r="W130" s="72">
        <f>W133+W136+W139</f>
        <v>4306.1000000000004</v>
      </c>
      <c r="X130" s="53">
        <f t="shared" si="30"/>
        <v>6971.8942989498955</v>
      </c>
      <c r="Y130" s="66">
        <f>SUM(Y131+Y133+Y136+Y139)</f>
        <v>13.05</v>
      </c>
      <c r="Z130" s="53">
        <f t="shared" si="30"/>
        <v>-21.292407727294339</v>
      </c>
      <c r="AA130" s="72">
        <f>AA133+AA136+AA139</f>
        <v>26.07</v>
      </c>
      <c r="AB130" s="53">
        <f t="shared" si="30"/>
        <v>111.46183651113151</v>
      </c>
      <c r="AC130" s="72">
        <f>AC133+AC136+AC139</f>
        <v>34.75</v>
      </c>
      <c r="AD130" s="53">
        <f t="shared" si="38"/>
        <v>-35.75</v>
      </c>
      <c r="AE130" s="72">
        <v>2275</v>
      </c>
      <c r="AF130" s="53">
        <f t="shared" si="47"/>
        <v>-1.9129453553883651</v>
      </c>
      <c r="AG130" s="72">
        <v>0</v>
      </c>
      <c r="AH130" s="53">
        <f t="shared" si="48"/>
        <v>-1</v>
      </c>
    </row>
    <row r="131" spans="1:181" s="58" customFormat="1" x14ac:dyDescent="0.25">
      <c r="A131" s="47" t="str">
        <f>+'[1]GASTOS DIC 22 ENE-NOV 23'!A97</f>
        <v>5401-02</v>
      </c>
      <c r="B131" s="48" t="str">
        <f>+'[1]GASTOS DIC 22 ENE-NOV 23'!B97</f>
        <v xml:space="preserve">      INTERESES SOBRE OTRAS OBLIGACIONES FINANCIERAS</v>
      </c>
      <c r="C131" s="49">
        <f>+'[1]GASTOS DIC 22 ENE-NOV 23'!O97</f>
        <v>2</v>
      </c>
      <c r="D131" s="49">
        <f t="shared" si="39"/>
        <v>0.16666666666666666</v>
      </c>
      <c r="E131" s="49">
        <f t="shared" si="49"/>
        <v>2</v>
      </c>
      <c r="F131" s="49">
        <f>+F132</f>
        <v>0.16666666666666666</v>
      </c>
      <c r="G131" s="49">
        <f>+G132</f>
        <v>0</v>
      </c>
      <c r="H131" s="51">
        <f t="shared" si="31"/>
        <v>-1</v>
      </c>
      <c r="I131" s="52">
        <f>+I132</f>
        <v>0</v>
      </c>
      <c r="J131" s="53">
        <f t="shared" si="32"/>
        <v>-1</v>
      </c>
      <c r="K131" s="52">
        <f>+K132</f>
        <v>0</v>
      </c>
      <c r="L131" s="53">
        <f t="shared" si="33"/>
        <v>-1</v>
      </c>
      <c r="M131" s="52">
        <v>0</v>
      </c>
      <c r="N131" s="53">
        <f t="shared" si="34"/>
        <v>-1</v>
      </c>
      <c r="O131" s="52">
        <f>+O132</f>
        <v>0</v>
      </c>
      <c r="P131" s="53">
        <f t="shared" si="35"/>
        <v>-1</v>
      </c>
      <c r="Q131" s="35">
        <f t="shared" si="36"/>
        <v>0</v>
      </c>
      <c r="R131" s="36">
        <f t="shared" si="37"/>
        <v>0</v>
      </c>
      <c r="S131" s="52">
        <f>+S132</f>
        <v>0</v>
      </c>
      <c r="T131" s="53">
        <f t="shared" si="30"/>
        <v>-1</v>
      </c>
      <c r="U131" s="75">
        <v>0</v>
      </c>
      <c r="V131" s="53">
        <f t="shared" si="30"/>
        <v>-1</v>
      </c>
      <c r="W131" s="74">
        <v>0</v>
      </c>
      <c r="X131" s="53">
        <f t="shared" si="30"/>
        <v>-1</v>
      </c>
      <c r="Y131" s="91">
        <v>0</v>
      </c>
      <c r="Z131" s="53">
        <f t="shared" si="30"/>
        <v>-1</v>
      </c>
      <c r="AA131" s="74">
        <v>0</v>
      </c>
      <c r="AB131" s="53" t="e">
        <f t="shared" si="30"/>
        <v>#DIV/0!</v>
      </c>
      <c r="AC131" s="74">
        <v>0</v>
      </c>
      <c r="AD131" s="53">
        <f t="shared" si="38"/>
        <v>-1</v>
      </c>
      <c r="AE131" s="74">
        <v>0</v>
      </c>
      <c r="AF131" s="53">
        <f t="shared" si="47"/>
        <v>-1</v>
      </c>
      <c r="AG131" s="74">
        <v>0</v>
      </c>
      <c r="AH131" s="53">
        <f t="shared" si="48"/>
        <v>-1</v>
      </c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</row>
    <row r="132" spans="1:181" x14ac:dyDescent="0.25">
      <c r="A132" s="60" t="str">
        <f>+'[1]GASTOS DIC 22 ENE-NOV 23'!A98</f>
        <v>5401-02-0001</v>
      </c>
      <c r="B132" s="61" t="str">
        <f>+'[1]GASTOS DIC 22 ENE-NOV 23'!B98</f>
        <v xml:space="preserve">        INTERESES SOBRE OTRAS OBLIGACIONES FINANCIERAS</v>
      </c>
      <c r="C132" s="69">
        <f>+'[1]GASTOS DIC 22 ENE-NOV 23'!O98</f>
        <v>2</v>
      </c>
      <c r="D132" s="69">
        <f t="shared" si="39"/>
        <v>0.16666666666666666</v>
      </c>
      <c r="E132" s="69">
        <f t="shared" si="49"/>
        <v>2</v>
      </c>
      <c r="F132" s="69">
        <f>+D132</f>
        <v>0.16666666666666666</v>
      </c>
      <c r="G132" s="81"/>
      <c r="H132" s="51">
        <f t="shared" si="31"/>
        <v>-1</v>
      </c>
      <c r="I132" s="64"/>
      <c r="J132" s="53">
        <f t="shared" si="32"/>
        <v>-1</v>
      </c>
      <c r="K132" s="64"/>
      <c r="L132" s="53">
        <f t="shared" si="33"/>
        <v>-1</v>
      </c>
      <c r="M132" s="64">
        <v>0</v>
      </c>
      <c r="N132" s="53">
        <f t="shared" si="34"/>
        <v>-1</v>
      </c>
      <c r="O132" s="119">
        <v>0</v>
      </c>
      <c r="P132" s="53">
        <f t="shared" si="35"/>
        <v>-1</v>
      </c>
      <c r="Q132" s="35">
        <f t="shared" si="36"/>
        <v>0</v>
      </c>
      <c r="R132" s="36">
        <f t="shared" si="37"/>
        <v>0</v>
      </c>
      <c r="S132" s="119">
        <v>0</v>
      </c>
      <c r="T132" s="53">
        <f t="shared" si="30"/>
        <v>-1</v>
      </c>
      <c r="U132" s="66">
        <v>0</v>
      </c>
      <c r="V132" s="53">
        <f t="shared" si="30"/>
        <v>-1</v>
      </c>
      <c r="W132" s="66">
        <v>0</v>
      </c>
      <c r="X132" s="53">
        <f t="shared" si="30"/>
        <v>-1</v>
      </c>
      <c r="Y132" s="66">
        <v>0</v>
      </c>
      <c r="Z132" s="53">
        <f t="shared" si="30"/>
        <v>-1</v>
      </c>
      <c r="AA132" s="66">
        <v>0</v>
      </c>
      <c r="AB132" s="53" t="e">
        <f t="shared" si="30"/>
        <v>#DIV/0!</v>
      </c>
      <c r="AC132" s="66">
        <v>0</v>
      </c>
      <c r="AD132" s="53">
        <f t="shared" si="38"/>
        <v>-1</v>
      </c>
      <c r="AE132" s="66">
        <v>0</v>
      </c>
      <c r="AF132" s="53">
        <f t="shared" si="47"/>
        <v>-1</v>
      </c>
      <c r="AG132" s="66">
        <v>0</v>
      </c>
      <c r="AH132" s="53">
        <f t="shared" si="48"/>
        <v>-1</v>
      </c>
    </row>
    <row r="133" spans="1:181" s="58" customFormat="1" x14ac:dyDescent="0.25">
      <c r="A133" s="47" t="str">
        <f>+'[1]GASTOS DIC 22 ENE-NOV 23'!A99</f>
        <v>5401-03</v>
      </c>
      <c r="B133" s="48" t="str">
        <f>+'[1]GASTOS DIC 22 ENE-NOV 23'!B99</f>
        <v xml:space="preserve">      OTROS INTERESES</v>
      </c>
      <c r="C133" s="49">
        <f>+'[1]GASTOS DIC 22 ENE-NOV 23'!O99</f>
        <v>69.58</v>
      </c>
      <c r="D133" s="49">
        <f t="shared" si="39"/>
        <v>5.7983333333333329</v>
      </c>
      <c r="E133" s="49">
        <f t="shared" si="49"/>
        <v>75.58</v>
      </c>
      <c r="F133" s="49">
        <f>+F134+F135</f>
        <v>6.2983333333333329</v>
      </c>
      <c r="G133" s="49">
        <f>+G134+G135</f>
        <v>5</v>
      </c>
      <c r="H133" s="51">
        <f t="shared" si="31"/>
        <v>-0.20613919026197403</v>
      </c>
      <c r="I133" s="52">
        <f>+I134+I135</f>
        <v>0</v>
      </c>
      <c r="J133" s="53">
        <f t="shared" si="32"/>
        <v>-1</v>
      </c>
      <c r="K133" s="52">
        <f>+K134+K135</f>
        <v>0</v>
      </c>
      <c r="L133" s="53">
        <f t="shared" si="33"/>
        <v>-1</v>
      </c>
      <c r="M133" s="52">
        <v>253</v>
      </c>
      <c r="N133" s="53">
        <f t="shared" si="34"/>
        <v>39.169356972744112</v>
      </c>
      <c r="O133" s="52">
        <f>+O134+O135</f>
        <v>0</v>
      </c>
      <c r="P133" s="53">
        <f t="shared" si="35"/>
        <v>-1</v>
      </c>
      <c r="Q133" s="35">
        <f t="shared" si="36"/>
        <v>258</v>
      </c>
      <c r="R133" s="36">
        <f t="shared" si="37"/>
        <v>3.4136014818735116</v>
      </c>
      <c r="S133" s="52">
        <f>+S134+S135</f>
        <v>0</v>
      </c>
      <c r="T133" s="53">
        <f t="shared" si="30"/>
        <v>-1</v>
      </c>
      <c r="U133" s="75">
        <v>0</v>
      </c>
      <c r="V133" s="53">
        <f t="shared" si="30"/>
        <v>-1</v>
      </c>
      <c r="W133" s="54">
        <f>W135</f>
        <v>2</v>
      </c>
      <c r="X133" s="53">
        <f t="shared" si="30"/>
        <v>-0.94893967747819563</v>
      </c>
      <c r="Y133" s="91">
        <v>0</v>
      </c>
      <c r="Z133" s="53">
        <f t="shared" si="30"/>
        <v>-1</v>
      </c>
      <c r="AA133" s="54">
        <f>AA135</f>
        <v>0</v>
      </c>
      <c r="AB133" s="53">
        <f t="shared" si="30"/>
        <v>-1</v>
      </c>
      <c r="AC133" s="54">
        <f>AC135</f>
        <v>0</v>
      </c>
      <c r="AD133" s="53">
        <f t="shared" si="38"/>
        <v>-1</v>
      </c>
      <c r="AE133" s="54">
        <f>AE135</f>
        <v>0</v>
      </c>
      <c r="AF133" s="53">
        <f t="shared" si="47"/>
        <v>-1</v>
      </c>
      <c r="AG133" s="54">
        <f>AG135</f>
        <v>0</v>
      </c>
      <c r="AH133" s="53">
        <f t="shared" si="48"/>
        <v>-1</v>
      </c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</row>
    <row r="134" spans="1:181" x14ac:dyDescent="0.25">
      <c r="A134" s="60" t="str">
        <f>+'[1]GASTOS DIC 22 ENE-NOV 23'!A100</f>
        <v>5401-03-0001</v>
      </c>
      <c r="B134" s="61" t="str">
        <f>+'[1]GASTOS DIC 22 ENE-NOV 23'!B100</f>
        <v xml:space="preserve">        OTROS INTERESES</v>
      </c>
      <c r="C134" s="69">
        <f>+'[1]GASTOS DIC 22 ENE-NOV 23'!O100</f>
        <v>69.58</v>
      </c>
      <c r="D134" s="69">
        <f t="shared" si="39"/>
        <v>5.7983333333333329</v>
      </c>
      <c r="E134" s="69">
        <f t="shared" si="49"/>
        <v>69.58</v>
      </c>
      <c r="F134" s="69">
        <f>+D134</f>
        <v>5.7983333333333329</v>
      </c>
      <c r="G134" s="81">
        <v>0.16</v>
      </c>
      <c r="H134" s="51">
        <f t="shared" si="31"/>
        <v>-0.97240586375395233</v>
      </c>
      <c r="I134" s="64"/>
      <c r="J134" s="53">
        <f t="shared" si="32"/>
        <v>-1</v>
      </c>
      <c r="K134" s="64"/>
      <c r="L134" s="53">
        <f t="shared" si="33"/>
        <v>-1</v>
      </c>
      <c r="M134" s="64">
        <v>0</v>
      </c>
      <c r="N134" s="53">
        <f t="shared" si="34"/>
        <v>-1</v>
      </c>
      <c r="O134" s="119">
        <v>0</v>
      </c>
      <c r="P134" s="53">
        <f t="shared" si="35"/>
        <v>-1</v>
      </c>
      <c r="Q134" s="35">
        <f t="shared" si="36"/>
        <v>0.16</v>
      </c>
      <c r="R134" s="36">
        <f t="shared" si="37"/>
        <v>2.2995113538373099E-3</v>
      </c>
      <c r="S134" s="119">
        <v>0</v>
      </c>
      <c r="T134" s="53">
        <f t="shared" si="30"/>
        <v>-1</v>
      </c>
      <c r="U134" s="66">
        <v>0</v>
      </c>
      <c r="V134" s="53">
        <f t="shared" si="30"/>
        <v>-1</v>
      </c>
      <c r="W134" s="66">
        <v>0</v>
      </c>
      <c r="X134" s="53">
        <f t="shared" si="30"/>
        <v>-1</v>
      </c>
      <c r="Y134" s="66">
        <v>0</v>
      </c>
      <c r="Z134" s="53">
        <f t="shared" si="30"/>
        <v>-1</v>
      </c>
      <c r="AA134" s="66">
        <v>0</v>
      </c>
      <c r="AB134" s="53">
        <f t="shared" si="30"/>
        <v>-1</v>
      </c>
      <c r="AC134" s="66">
        <v>0</v>
      </c>
      <c r="AD134" s="53">
        <f t="shared" si="38"/>
        <v>-1</v>
      </c>
      <c r="AE134" s="66">
        <v>0</v>
      </c>
      <c r="AF134" s="53">
        <f t="shared" si="47"/>
        <v>-1</v>
      </c>
      <c r="AG134" s="66">
        <v>0</v>
      </c>
      <c r="AH134" s="53">
        <f t="shared" si="48"/>
        <v>-1</v>
      </c>
    </row>
    <row r="135" spans="1:181" x14ac:dyDescent="0.25">
      <c r="A135" s="60" t="str">
        <f>+'[1]GASTOS DIC 22 ENE-NOV 23'!A101</f>
        <v>5401-03-0002</v>
      </c>
      <c r="B135" s="61" t="str">
        <f>+'[1]GASTOS DIC 22 ENE-NOV 23'!B101</f>
        <v xml:space="preserve">        INTERESES MORATORIOS</v>
      </c>
      <c r="C135" s="69">
        <f>+'[1]GASTOS DIC 22 ENE-NOV 23'!O101</f>
        <v>0</v>
      </c>
      <c r="D135" s="69">
        <f t="shared" si="39"/>
        <v>0</v>
      </c>
      <c r="E135" s="69">
        <f t="shared" si="49"/>
        <v>6</v>
      </c>
      <c r="F135" s="69">
        <v>0.5</v>
      </c>
      <c r="G135" s="81">
        <v>4.84</v>
      </c>
      <c r="H135" s="51">
        <f t="shared" si="31"/>
        <v>8.68</v>
      </c>
      <c r="I135" s="64"/>
      <c r="J135" s="53">
        <f t="shared" si="32"/>
        <v>-1</v>
      </c>
      <c r="K135" s="64"/>
      <c r="L135" s="53">
        <f t="shared" si="33"/>
        <v>-1</v>
      </c>
      <c r="M135" s="64">
        <v>253</v>
      </c>
      <c r="N135" s="53">
        <f t="shared" si="34"/>
        <v>505</v>
      </c>
      <c r="O135" s="119">
        <v>0</v>
      </c>
      <c r="P135" s="53">
        <f t="shared" si="35"/>
        <v>-1</v>
      </c>
      <c r="Q135" s="35">
        <f t="shared" si="36"/>
        <v>257.83999999999997</v>
      </c>
      <c r="R135" s="36">
        <f t="shared" si="37"/>
        <v>42.973333333333329</v>
      </c>
      <c r="S135" s="119">
        <v>0</v>
      </c>
      <c r="T135" s="53">
        <f t="shared" si="30"/>
        <v>-1</v>
      </c>
      <c r="U135" s="66">
        <v>0</v>
      </c>
      <c r="V135" s="53">
        <f t="shared" si="30"/>
        <v>-1</v>
      </c>
      <c r="W135" s="72">
        <v>2</v>
      </c>
      <c r="X135" s="53">
        <f t="shared" si="30"/>
        <v>-0.99603960396039604</v>
      </c>
      <c r="Y135" s="66">
        <v>0</v>
      </c>
      <c r="Z135" s="53">
        <f t="shared" si="30"/>
        <v>-1</v>
      </c>
      <c r="AA135" s="72">
        <v>0</v>
      </c>
      <c r="AB135" s="53">
        <f t="shared" si="30"/>
        <v>-1</v>
      </c>
      <c r="AC135" s="72">
        <v>0</v>
      </c>
      <c r="AD135" s="53">
        <f t="shared" si="38"/>
        <v>-1</v>
      </c>
      <c r="AE135" s="72">
        <v>0</v>
      </c>
      <c r="AF135" s="53">
        <f t="shared" si="47"/>
        <v>-1</v>
      </c>
      <c r="AG135" s="72">
        <v>0</v>
      </c>
      <c r="AH135" s="53">
        <f t="shared" si="48"/>
        <v>-1</v>
      </c>
    </row>
    <row r="136" spans="1:181" s="58" customFormat="1" x14ac:dyDescent="0.25">
      <c r="A136" s="47" t="str">
        <f>+'[1]GASTOS DIC 22 ENE-NOV 23'!A102</f>
        <v>5401-04</v>
      </c>
      <c r="B136" s="48" t="str">
        <f>+'[1]GASTOS DIC 22 ENE-NOV 23'!B102</f>
        <v xml:space="preserve">      COMISIONES BANCARIAS</v>
      </c>
      <c r="C136" s="49">
        <f>+'[1]GASTOS DIC 22 ENE-NOV 23'!O102</f>
        <v>10441.289999999999</v>
      </c>
      <c r="D136" s="49">
        <f t="shared" si="39"/>
        <v>870.10749999999996</v>
      </c>
      <c r="E136" s="49">
        <f t="shared" si="49"/>
        <v>18540.349999999999</v>
      </c>
      <c r="F136" s="49">
        <f>+F137+F138</f>
        <v>1545.0291666666667</v>
      </c>
      <c r="G136" s="49">
        <f>+G137+G138</f>
        <v>1940.9499999999998</v>
      </c>
      <c r="H136" s="51">
        <f t="shared" si="31"/>
        <v>0.25625460145034995</v>
      </c>
      <c r="I136" s="52">
        <f>+(I137)</f>
        <v>1061.4000000000001</v>
      </c>
      <c r="J136" s="53">
        <f t="shared" si="32"/>
        <v>-0.31302267756541813</v>
      </c>
      <c r="K136" s="52">
        <f>+K137+K138</f>
        <v>1153.78</v>
      </c>
      <c r="L136" s="53">
        <f t="shared" si="33"/>
        <v>-0.2532309260612664</v>
      </c>
      <c r="M136" s="52">
        <v>1212.78</v>
      </c>
      <c r="N136" s="53">
        <f t="shared" si="34"/>
        <v>-0.21504394469360077</v>
      </c>
      <c r="O136" s="52">
        <f>+O137+O138</f>
        <v>3488.89</v>
      </c>
      <c r="P136" s="53">
        <f t="shared" si="35"/>
        <v>1.2581386004039836</v>
      </c>
      <c r="Q136" s="35">
        <f t="shared" si="36"/>
        <v>8857.7999999999993</v>
      </c>
      <c r="R136" s="36">
        <f t="shared" si="37"/>
        <v>0.47775797112783741</v>
      </c>
      <c r="S136" s="52">
        <f>+S137+S138</f>
        <v>7621.15</v>
      </c>
      <c r="T136" s="53">
        <f t="shared" si="30"/>
        <v>-24347.958051968191</v>
      </c>
      <c r="U136" s="59">
        <f>U137</f>
        <v>2141.48</v>
      </c>
      <c r="V136" s="53">
        <f t="shared" si="30"/>
        <v>-8457.6290275378633</v>
      </c>
      <c r="W136" s="54">
        <f>W137</f>
        <v>4291.05</v>
      </c>
      <c r="X136" s="53">
        <f t="shared" si="30"/>
        <v>-19955.293556668057</v>
      </c>
      <c r="Y136" s="91">
        <v>0</v>
      </c>
      <c r="Z136" s="53">
        <f t="shared" si="30"/>
        <v>-1</v>
      </c>
      <c r="AA136" s="54">
        <f>AA137</f>
        <v>13.02</v>
      </c>
      <c r="AB136" s="53">
        <f t="shared" si="30"/>
        <v>26.252292555713606</v>
      </c>
      <c r="AC136" s="54">
        <f>AC137</f>
        <v>21.7</v>
      </c>
      <c r="AD136" s="53">
        <f t="shared" si="38"/>
        <v>-1.0008912451694587</v>
      </c>
      <c r="AE136" s="54">
        <f>AE137</f>
        <v>2262.75</v>
      </c>
      <c r="AF136" s="53">
        <f t="shared" si="47"/>
        <v>-1.2675395187744145</v>
      </c>
      <c r="AG136" s="54">
        <f>AG137</f>
        <v>8.68</v>
      </c>
      <c r="AH136" s="53">
        <f t="shared" si="48"/>
        <v>-1.0004349723032313</v>
      </c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</row>
    <row r="137" spans="1:181" x14ac:dyDescent="0.25">
      <c r="A137" s="60" t="str">
        <f>+'[1]GASTOS DIC 22 ENE-NOV 23'!A103</f>
        <v>5401-04-0001</v>
      </c>
      <c r="B137" s="61" t="str">
        <f>+'[1]GASTOS DIC 22 ENE-NOV 23'!B103</f>
        <v xml:space="preserve">        COMISIONES BANCARIAS</v>
      </c>
      <c r="C137" s="62">
        <f>+'[1]GASTOS DIC 22 ENE-NOV 23'!O103</f>
        <v>7500.9400000000005</v>
      </c>
      <c r="D137" s="62">
        <f t="shared" si="39"/>
        <v>625.07833333333338</v>
      </c>
      <c r="E137" s="62">
        <f t="shared" si="49"/>
        <v>15600</v>
      </c>
      <c r="F137" s="62">
        <v>1300</v>
      </c>
      <c r="G137" s="63">
        <v>1251.6099999999999</v>
      </c>
      <c r="H137" s="51">
        <f t="shared" si="31"/>
        <v>-3.7223076923077025E-2</v>
      </c>
      <c r="I137" s="65">
        <v>1061.4000000000001</v>
      </c>
      <c r="J137" s="53">
        <f t="shared" si="32"/>
        <v>-0.18353846153846143</v>
      </c>
      <c r="K137" s="65">
        <v>1153.78</v>
      </c>
      <c r="L137" s="53">
        <f t="shared" si="33"/>
        <v>-0.11247692307692314</v>
      </c>
      <c r="M137" s="64">
        <v>1212.78</v>
      </c>
      <c r="N137" s="53">
        <f t="shared" si="34"/>
        <v>-6.7092307692307673E-2</v>
      </c>
      <c r="O137" s="119">
        <v>3488.89</v>
      </c>
      <c r="P137" s="53">
        <f t="shared" si="35"/>
        <v>1.6837615384615385</v>
      </c>
      <c r="Q137" s="35">
        <f t="shared" si="36"/>
        <v>8168.46</v>
      </c>
      <c r="R137" s="36">
        <f t="shared" si="37"/>
        <v>0.52361923076923078</v>
      </c>
      <c r="S137" s="119">
        <v>7212.87</v>
      </c>
      <c r="T137" s="53">
        <f t="shared" si="30"/>
        <v>-39299.956412405721</v>
      </c>
      <c r="U137" s="72">
        <v>2141.48</v>
      </c>
      <c r="V137" s="53">
        <f t="shared" si="30"/>
        <v>-19040.283271782235</v>
      </c>
      <c r="W137" s="72">
        <v>4291.05</v>
      </c>
      <c r="X137" s="53">
        <f t="shared" si="30"/>
        <v>-63958.406558128889</v>
      </c>
      <c r="Y137" s="66">
        <v>0</v>
      </c>
      <c r="Z137" s="53">
        <f t="shared" si="30"/>
        <v>-1</v>
      </c>
      <c r="AA137" s="72">
        <v>13.02</v>
      </c>
      <c r="AB137" s="53">
        <f t="shared" si="30"/>
        <v>23.865396904679706</v>
      </c>
      <c r="AC137" s="72">
        <v>21.7</v>
      </c>
      <c r="AD137" s="53">
        <f t="shared" si="38"/>
        <v>-1.0005521634622767</v>
      </c>
      <c r="AE137" s="72">
        <v>2262.75</v>
      </c>
      <c r="AF137" s="53">
        <f t="shared" si="47"/>
        <v>-1.1188401436943642</v>
      </c>
      <c r="AG137" s="104">
        <v>8.68</v>
      </c>
      <c r="AH137" s="53">
        <f t="shared" si="48"/>
        <v>-1.0001357131996731</v>
      </c>
    </row>
    <row r="138" spans="1:181" x14ac:dyDescent="0.25">
      <c r="A138" s="60" t="str">
        <f>+'[1]GASTOS DIC 22 ENE-NOV 23'!A104</f>
        <v>5301-16-0004</v>
      </c>
      <c r="B138" s="61" t="str">
        <f>+'[1]GASTOS DIC 22 ENE-NOV 23'!B104</f>
        <v xml:space="preserve">        COMISIONES BOTON DE PAGO</v>
      </c>
      <c r="C138" s="62">
        <f>+'[1]GASTOS DIC 22 ENE-NOV 23'!O104</f>
        <v>2940.35</v>
      </c>
      <c r="D138" s="62">
        <f t="shared" si="39"/>
        <v>245.02916666666667</v>
      </c>
      <c r="E138" s="62">
        <f t="shared" si="49"/>
        <v>2940.35</v>
      </c>
      <c r="F138" s="62">
        <f>+D138</f>
        <v>245.02916666666667</v>
      </c>
      <c r="G138" s="63">
        <v>689.34</v>
      </c>
      <c r="H138" s="51">
        <f t="shared" si="31"/>
        <v>1.8132977366640026</v>
      </c>
      <c r="I138" s="65">
        <v>180.43</v>
      </c>
      <c r="J138" s="53">
        <f t="shared" si="32"/>
        <v>-0.26363868246977396</v>
      </c>
      <c r="K138" s="64"/>
      <c r="L138" s="53">
        <f t="shared" si="33"/>
        <v>-1</v>
      </c>
      <c r="M138" s="64">
        <v>0</v>
      </c>
      <c r="N138" s="53">
        <f t="shared" si="34"/>
        <v>-1</v>
      </c>
      <c r="O138" s="119">
        <v>0</v>
      </c>
      <c r="P138" s="53">
        <f t="shared" si="35"/>
        <v>-1</v>
      </c>
      <c r="Q138" s="35">
        <f t="shared" si="36"/>
        <v>869.77</v>
      </c>
      <c r="R138" s="36">
        <f t="shared" si="37"/>
        <v>0.2958049211828524</v>
      </c>
      <c r="S138" s="65">
        <v>408.28</v>
      </c>
      <c r="T138" s="53">
        <f t="shared" si="30"/>
        <v>-1549.6346547298083</v>
      </c>
      <c r="U138" s="66">
        <v>0</v>
      </c>
      <c r="V138" s="53">
        <f t="shared" si="30"/>
        <v>-1</v>
      </c>
      <c r="W138" s="66">
        <v>0</v>
      </c>
      <c r="X138" s="53">
        <f t="shared" si="30"/>
        <v>-1</v>
      </c>
      <c r="Y138" s="66">
        <v>0</v>
      </c>
      <c r="Z138" s="53">
        <f t="shared" si="30"/>
        <v>-1</v>
      </c>
      <c r="AA138" s="66">
        <v>0</v>
      </c>
      <c r="AB138" s="53">
        <f t="shared" si="30"/>
        <v>-1</v>
      </c>
      <c r="AC138" s="66">
        <v>0</v>
      </c>
      <c r="AD138" s="53">
        <f t="shared" si="38"/>
        <v>-1</v>
      </c>
      <c r="AE138" s="66">
        <v>0</v>
      </c>
      <c r="AF138" s="53">
        <f t="shared" si="47"/>
        <v>-1</v>
      </c>
      <c r="AG138" s="66">
        <v>0</v>
      </c>
      <c r="AH138" s="53">
        <f t="shared" si="48"/>
        <v>-1</v>
      </c>
    </row>
    <row r="139" spans="1:181" s="58" customFormat="1" x14ac:dyDescent="0.25">
      <c r="A139" s="47" t="str">
        <f>+'[1]GASTOS DIC 22 ENE-NOV 23'!A105</f>
        <v>5401-05</v>
      </c>
      <c r="B139" s="48" t="str">
        <f>+'[1]GASTOS DIC 22 ENE-NOV 23'!B105</f>
        <v xml:space="preserve">      OTROS GASTOS FINANCIEROS</v>
      </c>
      <c r="C139" s="49">
        <f>+'[1]GASTOS DIC 22 ENE-NOV 23'!O105</f>
        <v>158.55000000000001</v>
      </c>
      <c r="D139" s="49">
        <f t="shared" si="39"/>
        <v>13.2125</v>
      </c>
      <c r="E139" s="49">
        <f t="shared" si="49"/>
        <v>164.55</v>
      </c>
      <c r="F139" s="49">
        <f>+F140+F141</f>
        <v>13.7125</v>
      </c>
      <c r="G139" s="49">
        <f>+G140+G141</f>
        <v>915.18</v>
      </c>
      <c r="H139" s="51">
        <f t="shared" si="31"/>
        <v>65.740565177757517</v>
      </c>
      <c r="I139" s="52">
        <f>+I140</f>
        <v>13.05</v>
      </c>
      <c r="J139" s="53">
        <f t="shared" si="32"/>
        <v>-4.8313582497720997E-2</v>
      </c>
      <c r="K139" s="52">
        <f>+K140+K141</f>
        <v>13.05</v>
      </c>
      <c r="L139" s="53">
        <f t="shared" si="33"/>
        <v>-4.8313582497720997E-2</v>
      </c>
      <c r="M139" s="52">
        <v>13.05</v>
      </c>
      <c r="N139" s="53">
        <f t="shared" si="34"/>
        <v>-4.8313582497720997E-2</v>
      </c>
      <c r="O139" s="52">
        <f>+O140+O141</f>
        <v>13.05</v>
      </c>
      <c r="P139" s="53">
        <f t="shared" si="35"/>
        <v>-4.8313582497720997E-2</v>
      </c>
      <c r="Q139" s="35">
        <f t="shared" si="36"/>
        <v>967.38</v>
      </c>
      <c r="R139" s="36">
        <f t="shared" si="37"/>
        <v>5.8789425706472196</v>
      </c>
      <c r="S139" s="52">
        <f>+S140+S141</f>
        <v>13.05</v>
      </c>
      <c r="T139" s="53">
        <f t="shared" si="30"/>
        <v>-271.11037735849089</v>
      </c>
      <c r="U139" s="59">
        <f>U141</f>
        <v>56.55</v>
      </c>
      <c r="V139" s="53">
        <f t="shared" si="30"/>
        <v>-1171.4783018867938</v>
      </c>
      <c r="W139" s="54">
        <f>W141</f>
        <v>13.05</v>
      </c>
      <c r="X139" s="53">
        <f t="shared" si="30"/>
        <v>-271.11037735849089</v>
      </c>
      <c r="Y139" s="97">
        <f>Y141</f>
        <v>13.05</v>
      </c>
      <c r="Z139" s="53">
        <f t="shared" si="30"/>
        <v>-271.11037735849089</v>
      </c>
      <c r="AA139" s="54">
        <f>AA141</f>
        <v>13.05</v>
      </c>
      <c r="AB139" s="53">
        <f t="shared" si="30"/>
        <v>1.2197869503194196</v>
      </c>
      <c r="AC139" s="54">
        <f>AC141</f>
        <v>13.05</v>
      </c>
      <c r="AD139" s="53">
        <f t="shared" si="38"/>
        <v>-1.0481353761783301</v>
      </c>
      <c r="AE139" s="54">
        <f>+AE140+AE141</f>
        <v>13.05</v>
      </c>
      <c r="AF139" s="53">
        <f t="shared" si="47"/>
        <v>-1.0111397709876329</v>
      </c>
      <c r="AG139" s="54">
        <f>+AG140+AG141</f>
        <v>13.05</v>
      </c>
      <c r="AH139" s="53">
        <f t="shared" si="48"/>
        <v>-1.0481353761783301</v>
      </c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</row>
    <row r="140" spans="1:181" s="3" customFormat="1" x14ac:dyDescent="0.25">
      <c r="A140" s="60" t="str">
        <f>+'[1]GASTOS DIC 22 ENE-NOV 23'!A106</f>
        <v>5401-05-0001</v>
      </c>
      <c r="B140" s="61" t="str">
        <f>+'[1]GASTOS DIC 22 ENE-NOV 23'!B106</f>
        <v xml:space="preserve">        OTROS GASTOS FINANCIEROS</v>
      </c>
      <c r="C140" s="69">
        <f>+'[1]GASTOS DIC 22 ENE-NOV 23'!O106</f>
        <v>0</v>
      </c>
      <c r="D140" s="69">
        <f t="shared" si="39"/>
        <v>0</v>
      </c>
      <c r="E140" s="69">
        <f t="shared" si="49"/>
        <v>6</v>
      </c>
      <c r="F140" s="69">
        <v>0.5</v>
      </c>
      <c r="G140" s="81">
        <v>902.13</v>
      </c>
      <c r="H140" s="51">
        <f t="shared" si="31"/>
        <v>1803.26</v>
      </c>
      <c r="I140" s="65">
        <v>13.05</v>
      </c>
      <c r="J140" s="53">
        <f t="shared" si="32"/>
        <v>25.1</v>
      </c>
      <c r="K140" s="64"/>
      <c r="L140" s="53">
        <f t="shared" si="33"/>
        <v>-1</v>
      </c>
      <c r="M140" s="64">
        <v>0</v>
      </c>
      <c r="N140" s="53">
        <f t="shared" si="34"/>
        <v>-1</v>
      </c>
      <c r="O140" s="119">
        <v>0</v>
      </c>
      <c r="P140" s="53">
        <f t="shared" si="35"/>
        <v>-1</v>
      </c>
      <c r="Q140" s="35">
        <f t="shared" si="36"/>
        <v>915.18</v>
      </c>
      <c r="R140" s="36">
        <f t="shared" si="37"/>
        <v>152.53</v>
      </c>
      <c r="S140" s="119">
        <v>0</v>
      </c>
      <c r="T140" s="53">
        <f t="shared" si="30"/>
        <v>-1</v>
      </c>
      <c r="U140" s="66">
        <v>0</v>
      </c>
      <c r="V140" s="53">
        <f t="shared" si="30"/>
        <v>-1</v>
      </c>
      <c r="W140" s="66">
        <v>0</v>
      </c>
      <c r="X140" s="53">
        <f t="shared" si="30"/>
        <v>-1</v>
      </c>
      <c r="Y140" s="66">
        <v>0</v>
      </c>
      <c r="Z140" s="53">
        <f t="shared" si="30"/>
        <v>-1</v>
      </c>
      <c r="AA140" s="66">
        <v>0</v>
      </c>
      <c r="AB140" s="53">
        <f t="shared" si="30"/>
        <v>-1</v>
      </c>
      <c r="AC140" s="66">
        <v>0</v>
      </c>
      <c r="AD140" s="53">
        <f t="shared" si="38"/>
        <v>-1</v>
      </c>
      <c r="AE140" s="66">
        <v>13.05</v>
      </c>
      <c r="AF140" s="53">
        <f t="shared" si="47"/>
        <v>-14.05</v>
      </c>
      <c r="AG140" s="79">
        <v>0</v>
      </c>
      <c r="AH140" s="53">
        <f t="shared" si="48"/>
        <v>-1</v>
      </c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</row>
    <row r="141" spans="1:181" s="3" customFormat="1" x14ac:dyDescent="0.25">
      <c r="A141" s="60" t="str">
        <f>+'[1]GASTOS DIC 22 ENE-NOV 23'!A107</f>
        <v>5401-05-0002</v>
      </c>
      <c r="B141" s="61" t="str">
        <f>+'[1]GASTOS DIC 22 ENE-NOV 23'!B107</f>
        <v xml:space="preserve">        SEGUROS BANCARIOS</v>
      </c>
      <c r="C141" s="62">
        <f>+'[1]GASTOS DIC 22 ENE-NOV 23'!O107</f>
        <v>158.55000000000001</v>
      </c>
      <c r="D141" s="62">
        <f t="shared" si="39"/>
        <v>13.2125</v>
      </c>
      <c r="E141" s="62">
        <f t="shared" si="49"/>
        <v>158.55000000000001</v>
      </c>
      <c r="F141" s="62">
        <f>+D141</f>
        <v>13.2125</v>
      </c>
      <c r="G141" s="63">
        <v>13.05</v>
      </c>
      <c r="H141" s="51">
        <f t="shared" si="31"/>
        <v>-1.2298959318826852E-2</v>
      </c>
      <c r="I141" s="64">
        <v>0</v>
      </c>
      <c r="J141" s="53">
        <f t="shared" si="32"/>
        <v>-1</v>
      </c>
      <c r="K141" s="65">
        <v>13.05</v>
      </c>
      <c r="L141" s="53">
        <f t="shared" si="33"/>
        <v>-1.2298959318826852E-2</v>
      </c>
      <c r="M141" s="64">
        <v>13.05</v>
      </c>
      <c r="N141" s="53">
        <f t="shared" si="34"/>
        <v>-1.2298959318826852E-2</v>
      </c>
      <c r="O141" s="119">
        <v>13.05</v>
      </c>
      <c r="P141" s="53">
        <f t="shared" si="35"/>
        <v>-1.2298959318826852E-2</v>
      </c>
      <c r="Q141" s="35">
        <f t="shared" si="36"/>
        <v>52.2</v>
      </c>
      <c r="R141" s="36">
        <f t="shared" si="37"/>
        <v>0.32923368022705768</v>
      </c>
      <c r="S141" s="119">
        <v>13.05</v>
      </c>
      <c r="T141" s="53">
        <f t="shared" si="30"/>
        <v>-14.05</v>
      </c>
      <c r="U141" s="72">
        <v>56.55</v>
      </c>
      <c r="V141" s="53">
        <f t="shared" si="30"/>
        <v>-4598.9500000000062</v>
      </c>
      <c r="W141" s="72">
        <v>13.05</v>
      </c>
      <c r="X141" s="53">
        <f t="shared" si="30"/>
        <v>-1062.0653846153862</v>
      </c>
      <c r="Y141" s="72">
        <v>13.05</v>
      </c>
      <c r="Z141" s="53">
        <f t="shared" si="30"/>
        <v>-1062.0653846153862</v>
      </c>
      <c r="AA141" s="72">
        <v>13.05</v>
      </c>
      <c r="AB141" s="53">
        <f t="shared" si="30"/>
        <v>38.637500000000003</v>
      </c>
      <c r="AC141" s="72">
        <v>13.05</v>
      </c>
      <c r="AD141" s="53">
        <f t="shared" si="38"/>
        <v>-1.9288256227758007</v>
      </c>
      <c r="AE141" s="72">
        <v>0</v>
      </c>
      <c r="AF141" s="53">
        <f t="shared" si="47"/>
        <v>-1</v>
      </c>
      <c r="AG141" s="104">
        <v>13.05</v>
      </c>
      <c r="AH141" s="53">
        <f t="shared" si="48"/>
        <v>-1.0122873790908136</v>
      </c>
      <c r="AI141"/>
      <c r="AJ141" s="107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</row>
    <row r="142" spans="1:181" s="58" customFormat="1" x14ac:dyDescent="0.25">
      <c r="A142" s="47" t="str">
        <f>+'[1]GASTOS DIC 22 ENE-NOV 23'!A108</f>
        <v>5301-15</v>
      </c>
      <c r="B142" s="48" t="str">
        <f>+'[1]GASTOS DIC 22 ENE-NOV 23'!B108</f>
        <v xml:space="preserve">      GASTOS GENERALES</v>
      </c>
      <c r="C142" s="49">
        <f>+'[1]GASTOS DIC 22 ENE-NOV 23'!O108</f>
        <v>99527.29</v>
      </c>
      <c r="D142" s="49">
        <f t="shared" si="39"/>
        <v>8293.9408333333322</v>
      </c>
      <c r="E142" s="49">
        <f t="shared" si="49"/>
        <v>98961.999999999985</v>
      </c>
      <c r="F142" s="49">
        <f>+F143+F144+F145</f>
        <v>8246.8333333333321</v>
      </c>
      <c r="G142" s="49">
        <f>+G143+G144+G145</f>
        <v>3906.2799999999997</v>
      </c>
      <c r="H142" s="51">
        <f t="shared" si="31"/>
        <v>-0.52632970230997755</v>
      </c>
      <c r="I142" s="52">
        <f>+I143+I144+I145+I123</f>
        <v>7888.4500000000007</v>
      </c>
      <c r="J142" s="53">
        <f t="shared" si="32"/>
        <v>-4.3457084537498969E-2</v>
      </c>
      <c r="K142" s="52">
        <f>+K143+K144+K145</f>
        <v>7712.76</v>
      </c>
      <c r="L142" s="53">
        <f t="shared" si="33"/>
        <v>-6.4761019381176399E-2</v>
      </c>
      <c r="M142" s="52">
        <f>+M143+M144+M145</f>
        <v>14392.62</v>
      </c>
      <c r="N142" s="53">
        <f t="shared" si="34"/>
        <v>0.74522988621895303</v>
      </c>
      <c r="O142" s="52">
        <f>+O143+O144+O145</f>
        <v>8960.32</v>
      </c>
      <c r="P142" s="53">
        <f t="shared" si="35"/>
        <v>8.6516440653988447E-2</v>
      </c>
      <c r="Q142" s="35">
        <f t="shared" si="36"/>
        <v>42860.430000000008</v>
      </c>
      <c r="R142" s="36">
        <f t="shared" si="37"/>
        <v>0.43309987672035744</v>
      </c>
      <c r="S142" s="52">
        <f>+S143+S144+S145</f>
        <v>5966.02</v>
      </c>
      <c r="T142" s="53">
        <f t="shared" ref="T142:AD161" si="50">(S142/J142)-1</f>
        <v>-137286.32559177876</v>
      </c>
      <c r="U142" s="59">
        <f>U143</f>
        <v>10216.450000000001</v>
      </c>
      <c r="V142" s="53">
        <f t="shared" si="50"/>
        <v>-157757.16408795351</v>
      </c>
      <c r="W142" s="54">
        <f>W143+W144</f>
        <v>16233.68</v>
      </c>
      <c r="X142" s="53">
        <f t="shared" si="50"/>
        <v>21782.452730759709</v>
      </c>
      <c r="Y142" s="97">
        <f>Y143</f>
        <v>23216.17</v>
      </c>
      <c r="Z142" s="53">
        <f t="shared" si="50"/>
        <v>268343.02599674818</v>
      </c>
      <c r="AA142" s="54">
        <f>AA143+AA144</f>
        <v>14657.58</v>
      </c>
      <c r="AB142" s="53">
        <f t="shared" ref="AB142:AB158" si="51">(AA142/R142)-1</f>
        <v>33842.41762226836</v>
      </c>
      <c r="AC142" s="54">
        <f>AC143+AC144</f>
        <v>19652.439999999999</v>
      </c>
      <c r="AD142" s="53">
        <f t="shared" si="38"/>
        <v>-1.1431492897438058</v>
      </c>
      <c r="AE142" s="54">
        <f>AE143+AE144</f>
        <v>8534.44</v>
      </c>
      <c r="AF142" s="53">
        <f t="shared" si="47"/>
        <v>-1.0540985891153687</v>
      </c>
      <c r="AG142" s="45">
        <f>AG143+AG144</f>
        <v>16677.900000000001</v>
      </c>
      <c r="AH142" s="53">
        <f t="shared" si="48"/>
        <v>-0.2343424220336493</v>
      </c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</row>
    <row r="143" spans="1:181" s="3" customFormat="1" x14ac:dyDescent="0.25">
      <c r="A143" s="60" t="str">
        <f>+'[1]GASTOS DIC 22 ENE-NOV 23'!A109</f>
        <v>5301-15-0003</v>
      </c>
      <c r="B143" s="61" t="str">
        <f>+'[1]GASTOS DIC 22 ENE-NOV 23'!B109</f>
        <v xml:space="preserve">        IMPUESTO A LAS TRANSACCIONES</v>
      </c>
      <c r="C143" s="62">
        <f>+'[1]GASTOS DIC 22 ENE-NOV 23'!O109</f>
        <v>97242.67</v>
      </c>
      <c r="D143" s="62">
        <f t="shared" si="39"/>
        <v>8103.5558333333329</v>
      </c>
      <c r="E143" s="62">
        <f t="shared" si="49"/>
        <v>97242.67</v>
      </c>
      <c r="F143" s="62">
        <f>+D143</f>
        <v>8103.5558333333329</v>
      </c>
      <c r="G143" s="63">
        <v>3837.08</v>
      </c>
      <c r="H143" s="51">
        <f t="shared" si="31"/>
        <v>-0.52649428486486438</v>
      </c>
      <c r="I143" s="65">
        <v>7777.13</v>
      </c>
      <c r="J143" s="53">
        <f t="shared" si="32"/>
        <v>-4.0281802217071894E-2</v>
      </c>
      <c r="K143" s="64">
        <v>7712.76</v>
      </c>
      <c r="L143" s="53">
        <f t="shared" si="33"/>
        <v>-4.8225228698471456E-2</v>
      </c>
      <c r="M143" s="64">
        <v>14370.53</v>
      </c>
      <c r="N143" s="53">
        <f t="shared" si="34"/>
        <v>0.77336101528269441</v>
      </c>
      <c r="O143" s="119">
        <v>8960.32</v>
      </c>
      <c r="P143" s="53">
        <f t="shared" si="35"/>
        <v>0.10572694065269905</v>
      </c>
      <c r="Q143" s="35">
        <f t="shared" si="36"/>
        <v>42657.82</v>
      </c>
      <c r="R143" s="36">
        <f t="shared" si="37"/>
        <v>0.43867388667958213</v>
      </c>
      <c r="S143" s="119">
        <v>5966.02</v>
      </c>
      <c r="T143" s="53">
        <f t="shared" si="50"/>
        <v>-148108.07743040187</v>
      </c>
      <c r="U143" s="72">
        <v>10216.450000000001</v>
      </c>
      <c r="V143" s="53">
        <f t="shared" si="50"/>
        <v>-211849.65838332087</v>
      </c>
      <c r="W143" s="72">
        <v>16100.89</v>
      </c>
      <c r="X143" s="53">
        <f t="shared" si="50"/>
        <v>20818.371136925591</v>
      </c>
      <c r="Y143" s="72">
        <v>23216.17</v>
      </c>
      <c r="Z143" s="53">
        <f t="shared" si="50"/>
        <v>219585.13250961711</v>
      </c>
      <c r="AA143" s="72">
        <v>14657.58</v>
      </c>
      <c r="AB143" s="53">
        <f t="shared" si="51"/>
        <v>33412.386219422369</v>
      </c>
      <c r="AC143" s="72">
        <v>19652.439999999999</v>
      </c>
      <c r="AD143" s="53">
        <f t="shared" si="38"/>
        <v>-1.132689859600905</v>
      </c>
      <c r="AE143" s="72">
        <v>8462.41</v>
      </c>
      <c r="AF143" s="53">
        <f t="shared" si="47"/>
        <v>-1.0399453558933198</v>
      </c>
      <c r="AG143" s="104">
        <v>16677.900000000001</v>
      </c>
      <c r="AH143" s="53">
        <f t="shared" si="48"/>
        <v>-0.19888545120523993</v>
      </c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</row>
    <row r="144" spans="1:181" s="3" customFormat="1" x14ac:dyDescent="0.25">
      <c r="A144" s="120" t="str">
        <f>+'[1]GASTOS DIC 22 ENE-NOV 23'!A110</f>
        <v>5301-15-0004</v>
      </c>
      <c r="B144" s="61" t="str">
        <f>+'[1]GASTOS DIC 22 ENE-NOV 23'!B110</f>
        <v xml:space="preserve">        IMPUESTO A LAS TRANSFERENCIAS FINANCIERAS ITF</v>
      </c>
      <c r="C144" s="62">
        <f>+'[1]GASTOS DIC 22 ENE-NOV 23'!O110</f>
        <v>519.33000000000004</v>
      </c>
      <c r="D144" s="62">
        <f t="shared" si="39"/>
        <v>43.277500000000003</v>
      </c>
      <c r="E144" s="62">
        <f t="shared" si="49"/>
        <v>519.33000000000004</v>
      </c>
      <c r="F144" s="62">
        <f>+D144</f>
        <v>43.277500000000003</v>
      </c>
      <c r="G144" s="63">
        <v>32.93</v>
      </c>
      <c r="H144" s="51">
        <f t="shared" si="31"/>
        <v>-0.23909652821905159</v>
      </c>
      <c r="I144" s="65">
        <v>7.29</v>
      </c>
      <c r="J144" s="53">
        <f t="shared" si="32"/>
        <v>-0.83155219224770383</v>
      </c>
      <c r="K144" s="64">
        <v>0</v>
      </c>
      <c r="L144" s="53">
        <f t="shared" si="33"/>
        <v>-1</v>
      </c>
      <c r="M144" s="64">
        <v>0</v>
      </c>
      <c r="N144" s="53">
        <f t="shared" si="34"/>
        <v>-1</v>
      </c>
      <c r="O144" s="119">
        <v>0</v>
      </c>
      <c r="P144" s="53">
        <f t="shared" si="35"/>
        <v>-1</v>
      </c>
      <c r="Q144" s="35">
        <f t="shared" si="36"/>
        <v>40.22</v>
      </c>
      <c r="R144" s="36">
        <f t="shared" si="37"/>
        <v>7.7445939961103716E-2</v>
      </c>
      <c r="S144" s="119">
        <v>0</v>
      </c>
      <c r="T144" s="53">
        <f t="shared" si="50"/>
        <v>-1</v>
      </c>
      <c r="U144" s="66">
        <v>0</v>
      </c>
      <c r="V144" s="53">
        <f t="shared" si="50"/>
        <v>-1</v>
      </c>
      <c r="W144" s="72">
        <v>132.79</v>
      </c>
      <c r="X144" s="53">
        <f t="shared" si="50"/>
        <v>-133.79</v>
      </c>
      <c r="Y144" s="66">
        <v>0</v>
      </c>
      <c r="Z144" s="53">
        <f t="shared" si="50"/>
        <v>-1</v>
      </c>
      <c r="AA144" s="66">
        <v>0</v>
      </c>
      <c r="AB144" s="53">
        <f t="shared" si="51"/>
        <v>-1</v>
      </c>
      <c r="AC144" s="66">
        <v>0</v>
      </c>
      <c r="AD144" s="53">
        <f t="shared" si="38"/>
        <v>-1</v>
      </c>
      <c r="AE144" s="66">
        <v>72.03</v>
      </c>
      <c r="AF144" s="53">
        <f t="shared" si="47"/>
        <v>-73.03</v>
      </c>
      <c r="AG144" s="66">
        <v>0</v>
      </c>
      <c r="AH144" s="53">
        <f t="shared" si="48"/>
        <v>-1</v>
      </c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</row>
    <row r="145" spans="1:181" s="3" customFormat="1" x14ac:dyDescent="0.25">
      <c r="A145" s="60" t="str">
        <f>+'[1]GASTOS DIC 22 ENE-NOV 23'!A111</f>
        <v>5301-15-0006</v>
      </c>
      <c r="B145" s="61" t="str">
        <f>+'[1]GASTOS DIC 22 ENE-NOV 23'!B111</f>
        <v xml:space="preserve">        CREDITO FISCAL NO COMPENSADO</v>
      </c>
      <c r="C145" s="62">
        <f>+'[1]GASTOS DIC 22 ENE-NOV 23'!O111</f>
        <v>1765.29</v>
      </c>
      <c r="D145" s="62">
        <f t="shared" si="39"/>
        <v>147.10749999999999</v>
      </c>
      <c r="E145" s="62">
        <f t="shared" si="49"/>
        <v>1200</v>
      </c>
      <c r="F145" s="62">
        <v>100</v>
      </c>
      <c r="G145" s="63">
        <v>36.270000000000003</v>
      </c>
      <c r="H145" s="51">
        <f t="shared" si="31"/>
        <v>-0.63729999999999998</v>
      </c>
      <c r="I145" s="65">
        <v>62.27</v>
      </c>
      <c r="J145" s="53">
        <f t="shared" si="32"/>
        <v>-0.37729999999999997</v>
      </c>
      <c r="K145" s="64">
        <v>0</v>
      </c>
      <c r="L145" s="53">
        <f t="shared" si="33"/>
        <v>-1</v>
      </c>
      <c r="M145" s="64">
        <v>22.09</v>
      </c>
      <c r="N145" s="53">
        <f t="shared" si="34"/>
        <v>-0.77910000000000001</v>
      </c>
      <c r="O145" s="119">
        <v>0</v>
      </c>
      <c r="P145" s="53">
        <f t="shared" si="35"/>
        <v>-1</v>
      </c>
      <c r="Q145" s="35">
        <f t="shared" si="36"/>
        <v>120.63</v>
      </c>
      <c r="R145" s="36">
        <f t="shared" si="37"/>
        <v>0.10052499999999999</v>
      </c>
      <c r="S145" s="119">
        <v>0</v>
      </c>
      <c r="T145" s="53">
        <f t="shared" si="50"/>
        <v>-1</v>
      </c>
      <c r="U145" s="66">
        <v>0</v>
      </c>
      <c r="V145" s="53">
        <f t="shared" si="50"/>
        <v>-1</v>
      </c>
      <c r="W145" s="66">
        <v>0</v>
      </c>
      <c r="X145" s="53">
        <f t="shared" si="50"/>
        <v>-1</v>
      </c>
      <c r="Y145" s="66">
        <v>0</v>
      </c>
      <c r="Z145" s="53">
        <f t="shared" si="50"/>
        <v>-1</v>
      </c>
      <c r="AA145" s="66">
        <v>0</v>
      </c>
      <c r="AB145" s="53">
        <f t="shared" si="51"/>
        <v>-1</v>
      </c>
      <c r="AC145" s="66">
        <v>0</v>
      </c>
      <c r="AD145" s="53">
        <f t="shared" si="38"/>
        <v>-1</v>
      </c>
      <c r="AE145" s="66">
        <v>0</v>
      </c>
      <c r="AF145" s="53">
        <f t="shared" si="47"/>
        <v>-1</v>
      </c>
      <c r="AG145" s="66">
        <v>0</v>
      </c>
      <c r="AH145" s="53">
        <f t="shared" si="48"/>
        <v>-1</v>
      </c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</row>
    <row r="146" spans="1:181" s="46" customFormat="1" x14ac:dyDescent="0.25">
      <c r="A146" s="38">
        <f>+'[1]GASTOS DIC 22 ENE-NOV 23'!A112</f>
        <v>55</v>
      </c>
      <c r="B146" s="39" t="str">
        <f>+'[1]GASTOS DIC 22 ENE-NOV 23'!B112</f>
        <v xml:space="preserve">  OTROS GASTOS DE OPERACIÓN</v>
      </c>
      <c r="C146" s="40">
        <f>+'[1]GASTOS DIC 22 ENE-NOV 23'!O112</f>
        <v>19.7</v>
      </c>
      <c r="D146" s="40">
        <f t="shared" si="39"/>
        <v>1.6416666666666666</v>
      </c>
      <c r="E146" s="40">
        <f t="shared" si="49"/>
        <v>19.7</v>
      </c>
      <c r="F146" s="40">
        <f>+F147</f>
        <v>1.6416666666666666</v>
      </c>
      <c r="G146" s="40">
        <f>+G148</f>
        <v>0</v>
      </c>
      <c r="H146" s="41">
        <f t="shared" si="31"/>
        <v>-1</v>
      </c>
      <c r="I146" s="42">
        <f>+I148</f>
        <v>0</v>
      </c>
      <c r="J146" s="43">
        <f t="shared" si="32"/>
        <v>-1</v>
      </c>
      <c r="K146" s="42">
        <f>+K147</f>
        <v>0</v>
      </c>
      <c r="L146" s="43">
        <f t="shared" si="33"/>
        <v>-1</v>
      </c>
      <c r="M146" s="42">
        <v>0</v>
      </c>
      <c r="N146" s="43">
        <f t="shared" si="34"/>
        <v>-1</v>
      </c>
      <c r="O146" s="42">
        <f>+O148</f>
        <v>0</v>
      </c>
      <c r="P146" s="43">
        <f t="shared" si="35"/>
        <v>-1</v>
      </c>
      <c r="Q146" s="42">
        <f t="shared" si="36"/>
        <v>0</v>
      </c>
      <c r="R146" s="44">
        <f t="shared" si="37"/>
        <v>0</v>
      </c>
      <c r="S146" s="42">
        <f>+S148</f>
        <v>0</v>
      </c>
      <c r="T146" s="43">
        <f t="shared" si="50"/>
        <v>-1</v>
      </c>
      <c r="U146" s="82">
        <v>0</v>
      </c>
      <c r="V146" s="43">
        <f t="shared" si="50"/>
        <v>-1</v>
      </c>
      <c r="W146" s="82">
        <v>0</v>
      </c>
      <c r="X146" s="43">
        <f t="shared" si="50"/>
        <v>-1</v>
      </c>
      <c r="Y146" s="82">
        <v>0</v>
      </c>
      <c r="Z146" s="43">
        <f t="shared" si="50"/>
        <v>-1</v>
      </c>
      <c r="AA146" s="82">
        <v>0</v>
      </c>
      <c r="AB146" s="43" t="e">
        <f t="shared" si="51"/>
        <v>#DIV/0!</v>
      </c>
      <c r="AC146" s="82">
        <v>0</v>
      </c>
      <c r="AD146" s="43">
        <f t="shared" si="38"/>
        <v>-1</v>
      </c>
      <c r="AE146" s="82">
        <v>0</v>
      </c>
      <c r="AF146" s="43">
        <f t="shared" si="47"/>
        <v>-1</v>
      </c>
      <c r="AG146" s="82">
        <v>0</v>
      </c>
      <c r="AH146" s="43">
        <f t="shared" si="48"/>
        <v>-1</v>
      </c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</row>
    <row r="147" spans="1:181" s="3" customFormat="1" x14ac:dyDescent="0.25">
      <c r="A147" s="29">
        <f>+'[1]GASTOS DIC 22 ENE-NOV 23'!A113</f>
        <v>5501</v>
      </c>
      <c r="B147" s="30" t="str">
        <f>+'[1]GASTOS DIC 22 ENE-NOV 23'!B113</f>
        <v xml:space="preserve">    OTROS GASTOS DE OPERACIÓN</v>
      </c>
      <c r="C147" s="121">
        <f>+C148</f>
        <v>19.7</v>
      </c>
      <c r="D147" s="121">
        <f t="shared" si="39"/>
        <v>1.6416666666666666</v>
      </c>
      <c r="E147" s="121">
        <f t="shared" si="49"/>
        <v>19.7</v>
      </c>
      <c r="F147" s="121">
        <f>+D147</f>
        <v>1.6416666666666666</v>
      </c>
      <c r="G147" s="81">
        <f>+G148</f>
        <v>0</v>
      </c>
      <c r="H147" s="51">
        <f t="shared" si="31"/>
        <v>-1</v>
      </c>
      <c r="I147" s="64">
        <f>+I148</f>
        <v>0</v>
      </c>
      <c r="J147" s="53">
        <f t="shared" si="32"/>
        <v>-1</v>
      </c>
      <c r="K147" s="64">
        <f>+K148</f>
        <v>0</v>
      </c>
      <c r="L147" s="53">
        <f t="shared" si="33"/>
        <v>-1</v>
      </c>
      <c r="M147" s="64">
        <v>0</v>
      </c>
      <c r="N147" s="53">
        <f t="shared" si="34"/>
        <v>-1</v>
      </c>
      <c r="O147" s="119">
        <f>+O148+O149</f>
        <v>0</v>
      </c>
      <c r="P147" s="53">
        <f t="shared" si="35"/>
        <v>-1</v>
      </c>
      <c r="Q147" s="35">
        <f t="shared" si="36"/>
        <v>0</v>
      </c>
      <c r="R147" s="36">
        <f t="shared" si="37"/>
        <v>0</v>
      </c>
      <c r="S147" s="119">
        <f>+S148+S149</f>
        <v>0</v>
      </c>
      <c r="T147" s="53">
        <f t="shared" si="50"/>
        <v>-1</v>
      </c>
      <c r="U147" s="66">
        <v>0</v>
      </c>
      <c r="V147" s="53">
        <f t="shared" si="50"/>
        <v>-1</v>
      </c>
      <c r="W147" s="66">
        <v>0</v>
      </c>
      <c r="X147" s="53">
        <f t="shared" si="50"/>
        <v>-1</v>
      </c>
      <c r="Y147" s="66">
        <v>0</v>
      </c>
      <c r="Z147" s="53">
        <f t="shared" si="50"/>
        <v>-1</v>
      </c>
      <c r="AA147" s="66">
        <v>0</v>
      </c>
      <c r="AB147" s="53" t="e">
        <f t="shared" si="51"/>
        <v>#DIV/0!</v>
      </c>
      <c r="AC147" s="66">
        <v>0</v>
      </c>
      <c r="AD147" s="53">
        <f t="shared" si="38"/>
        <v>-1</v>
      </c>
      <c r="AE147" s="66">
        <v>0</v>
      </c>
      <c r="AF147" s="53">
        <f t="shared" si="47"/>
        <v>-1</v>
      </c>
      <c r="AG147" s="66">
        <v>0</v>
      </c>
      <c r="AH147" s="53">
        <f t="shared" si="48"/>
        <v>-1</v>
      </c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</row>
    <row r="148" spans="1:181" s="58" customFormat="1" x14ac:dyDescent="0.25">
      <c r="A148" s="47" t="str">
        <f>+'[1]GASTOS DIC 22 ENE-NOV 23'!A114</f>
        <v>5501-01</v>
      </c>
      <c r="B148" s="48" t="str">
        <f>+'[1]GASTOS DIC 22 ENE-NOV 23'!B114</f>
        <v xml:space="preserve">      OTROS GASTOS</v>
      </c>
      <c r="C148" s="49">
        <f>+'[1]GASTOS DIC 22 ENE-NOV 23'!O114</f>
        <v>19.7</v>
      </c>
      <c r="D148" s="49">
        <f t="shared" si="39"/>
        <v>1.6416666666666666</v>
      </c>
      <c r="E148" s="49">
        <f t="shared" si="49"/>
        <v>19.7</v>
      </c>
      <c r="F148" s="49">
        <f>+F149</f>
        <v>1.6416666666666666</v>
      </c>
      <c r="G148" s="49">
        <f>+G149</f>
        <v>0</v>
      </c>
      <c r="H148" s="93">
        <f t="shared" ref="H148:M148" si="52">+H149</f>
        <v>-1</v>
      </c>
      <c r="I148" s="52">
        <f t="shared" si="52"/>
        <v>0</v>
      </c>
      <c r="J148" s="117">
        <f t="shared" si="52"/>
        <v>-1</v>
      </c>
      <c r="K148" s="52">
        <f t="shared" si="52"/>
        <v>0</v>
      </c>
      <c r="L148" s="117">
        <f t="shared" si="52"/>
        <v>-1</v>
      </c>
      <c r="M148" s="52">
        <f t="shared" si="52"/>
        <v>0</v>
      </c>
      <c r="N148" s="53">
        <f t="shared" si="34"/>
        <v>-1</v>
      </c>
      <c r="O148" s="52">
        <v>0</v>
      </c>
      <c r="P148" s="53">
        <f t="shared" si="35"/>
        <v>-1</v>
      </c>
      <c r="Q148" s="35">
        <f t="shared" si="36"/>
        <v>0</v>
      </c>
      <c r="R148" s="36">
        <f t="shared" si="37"/>
        <v>0</v>
      </c>
      <c r="S148" s="52">
        <v>0</v>
      </c>
      <c r="T148" s="53">
        <f t="shared" si="50"/>
        <v>-1</v>
      </c>
      <c r="U148" s="75">
        <v>0</v>
      </c>
      <c r="V148" s="53">
        <f t="shared" si="50"/>
        <v>-1</v>
      </c>
      <c r="W148" s="74">
        <v>0</v>
      </c>
      <c r="X148" s="53">
        <f t="shared" si="50"/>
        <v>-1</v>
      </c>
      <c r="Y148" s="91">
        <v>0</v>
      </c>
      <c r="Z148" s="53">
        <f t="shared" si="50"/>
        <v>-1</v>
      </c>
      <c r="AA148" s="74">
        <v>0</v>
      </c>
      <c r="AB148" s="53" t="e">
        <f t="shared" si="51"/>
        <v>#DIV/0!</v>
      </c>
      <c r="AC148" s="74">
        <v>0</v>
      </c>
      <c r="AD148" s="53">
        <f t="shared" si="38"/>
        <v>-1</v>
      </c>
      <c r="AE148" s="74">
        <v>0</v>
      </c>
      <c r="AF148" s="53">
        <f t="shared" si="47"/>
        <v>-1</v>
      </c>
      <c r="AG148" s="74">
        <v>0</v>
      </c>
      <c r="AH148" s="53">
        <f t="shared" si="48"/>
        <v>-1</v>
      </c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</row>
    <row r="149" spans="1:181" s="3" customFormat="1" x14ac:dyDescent="0.25">
      <c r="A149" s="60" t="str">
        <f>+'[1]GASTOS DIC 22 ENE-NOV 23'!A115</f>
        <v>5501-01-0001</v>
      </c>
      <c r="B149" s="61" t="str">
        <f>+'[1]GASTOS DIC 22 ENE-NOV 23'!B115</f>
        <v xml:space="preserve">        OTRAS GASTOS</v>
      </c>
      <c r="C149" s="69">
        <f>+'[1]GASTOS DIC 22 ENE-NOV 23'!O115</f>
        <v>19.7</v>
      </c>
      <c r="D149" s="69">
        <f t="shared" si="39"/>
        <v>1.6416666666666666</v>
      </c>
      <c r="E149" s="69">
        <f t="shared" si="49"/>
        <v>19.7</v>
      </c>
      <c r="F149" s="69">
        <f>+D149</f>
        <v>1.6416666666666666</v>
      </c>
      <c r="G149" s="81">
        <v>0</v>
      </c>
      <c r="H149" s="51">
        <f t="shared" si="31"/>
        <v>-1</v>
      </c>
      <c r="I149" s="64"/>
      <c r="J149" s="53">
        <f t="shared" si="32"/>
        <v>-1</v>
      </c>
      <c r="K149" s="64">
        <v>0</v>
      </c>
      <c r="L149" s="53">
        <f t="shared" si="33"/>
        <v>-1</v>
      </c>
      <c r="M149" s="64">
        <v>0</v>
      </c>
      <c r="N149" s="53">
        <f t="shared" si="34"/>
        <v>-1</v>
      </c>
      <c r="O149" s="119">
        <v>0</v>
      </c>
      <c r="P149" s="53">
        <f t="shared" si="35"/>
        <v>-1</v>
      </c>
      <c r="Q149" s="35">
        <f t="shared" si="36"/>
        <v>0</v>
      </c>
      <c r="R149" s="36">
        <f t="shared" si="37"/>
        <v>0</v>
      </c>
      <c r="S149" s="119">
        <v>0</v>
      </c>
      <c r="T149" s="53">
        <f t="shared" si="50"/>
        <v>-1</v>
      </c>
      <c r="U149" s="66">
        <v>0</v>
      </c>
      <c r="V149" s="53">
        <f t="shared" si="50"/>
        <v>-1</v>
      </c>
      <c r="W149" s="66">
        <v>0</v>
      </c>
      <c r="X149" s="53">
        <f t="shared" si="50"/>
        <v>-1</v>
      </c>
      <c r="Y149" s="66">
        <v>0</v>
      </c>
      <c r="Z149" s="53">
        <f t="shared" si="50"/>
        <v>-1</v>
      </c>
      <c r="AA149" s="66">
        <v>0</v>
      </c>
      <c r="AB149" s="53" t="e">
        <f t="shared" si="51"/>
        <v>#DIV/0!</v>
      </c>
      <c r="AC149" s="66">
        <v>0</v>
      </c>
      <c r="AD149" s="53">
        <f t="shared" si="38"/>
        <v>-1</v>
      </c>
      <c r="AE149" s="66">
        <v>0</v>
      </c>
      <c r="AF149" s="53">
        <f t="shared" si="47"/>
        <v>-1</v>
      </c>
      <c r="AG149" s="66">
        <v>0</v>
      </c>
      <c r="AH149" s="53">
        <f t="shared" si="48"/>
        <v>-1</v>
      </c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</row>
    <row r="150" spans="1:181" s="46" customFormat="1" x14ac:dyDescent="0.25">
      <c r="A150" s="38">
        <f>+'[1]GASTOS DIC 22 ENE-NOV 23'!A116</f>
        <v>56</v>
      </c>
      <c r="B150" s="39" t="str">
        <f>+'[1]GASTOS DIC 22 ENE-NOV 23'!B116</f>
        <v xml:space="preserve">  OTROS GASTOS NO OPERATIVOS</v>
      </c>
      <c r="C150" s="40">
        <f>+C151</f>
        <v>17702.66</v>
      </c>
      <c r="D150" s="40">
        <f t="shared" si="39"/>
        <v>1475.2216666666666</v>
      </c>
      <c r="E150" s="40">
        <f t="shared" si="49"/>
        <v>12572.060000000001</v>
      </c>
      <c r="F150" s="40">
        <f>+F151</f>
        <v>1047.6716666666669</v>
      </c>
      <c r="G150" s="122">
        <f>+G151</f>
        <v>31083.980000000003</v>
      </c>
      <c r="H150" s="41">
        <f t="shared" si="31"/>
        <v>28.669581596015288</v>
      </c>
      <c r="I150" s="42">
        <f>+I156+I158</f>
        <v>212.21</v>
      </c>
      <c r="J150" s="43">
        <f t="shared" si="32"/>
        <v>-0.79744608282174922</v>
      </c>
      <c r="K150" s="42">
        <f>+K151</f>
        <v>87.539999999999992</v>
      </c>
      <c r="L150" s="43">
        <f t="shared" si="33"/>
        <v>-0.91644328773486605</v>
      </c>
      <c r="M150" s="42">
        <f>+M151</f>
        <v>1511.83</v>
      </c>
      <c r="N150" s="43">
        <f t="shared" si="34"/>
        <v>0.443037974683544</v>
      </c>
      <c r="O150" s="42">
        <f>+O151</f>
        <v>315.49</v>
      </c>
      <c r="P150" s="43">
        <f t="shared" si="35"/>
        <v>-0.6988655797061103</v>
      </c>
      <c r="Q150" s="42">
        <f t="shared" si="36"/>
        <v>33211.050000000003</v>
      </c>
      <c r="R150" s="44">
        <f t="shared" si="37"/>
        <v>2.6416553850363425</v>
      </c>
      <c r="S150" s="42">
        <f>+S151</f>
        <v>349.54</v>
      </c>
      <c r="T150" s="43">
        <f t="shared" si="50"/>
        <v>-439.3243049651191</v>
      </c>
      <c r="U150" s="82">
        <f>U151</f>
        <v>367.3</v>
      </c>
      <c r="V150" s="43">
        <f t="shared" si="50"/>
        <v>-401.7885756988191</v>
      </c>
      <c r="W150" s="45">
        <f>W156+W158</f>
        <v>635.46</v>
      </c>
      <c r="X150" s="43">
        <f t="shared" si="50"/>
        <v>1433.324000000001</v>
      </c>
      <c r="Y150" s="45">
        <f>Y156+Y158</f>
        <v>215.67</v>
      </c>
      <c r="Z150" s="43">
        <f t="shared" si="50"/>
        <v>-309.60011747995139</v>
      </c>
      <c r="AA150" s="45">
        <f>AA156+AA158</f>
        <v>96684.479999999996</v>
      </c>
      <c r="AB150" s="43">
        <f t="shared" si="51"/>
        <v>36598.959460143538</v>
      </c>
      <c r="AC150" s="45">
        <f>AC156+AC158</f>
        <v>92774.33</v>
      </c>
      <c r="AD150" s="43">
        <f t="shared" si="38"/>
        <v>-212.17504529453697</v>
      </c>
      <c r="AE150" s="45">
        <f>+AE152+AE156+AE158</f>
        <v>15668.12</v>
      </c>
      <c r="AF150" s="43">
        <f t="shared" si="47"/>
        <v>-39.995932058916551</v>
      </c>
      <c r="AG150" s="45">
        <f>+AG152+AG156+AG158</f>
        <v>78823.310000000012</v>
      </c>
      <c r="AH150" s="43">
        <f t="shared" si="48"/>
        <v>53.993365073074862</v>
      </c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</row>
    <row r="151" spans="1:181" s="3" customFormat="1" x14ac:dyDescent="0.25">
      <c r="A151" s="29">
        <f>+'[1]GASTOS DIC 22 ENE-NOV 23'!A117</f>
        <v>5601</v>
      </c>
      <c r="B151" s="30" t="str">
        <f>+'[1]GASTOS DIC 22 ENE-NOV 23'!B117</f>
        <v xml:space="preserve">    OTROS GASTOS NO OPERATIVOS</v>
      </c>
      <c r="C151" s="31">
        <f>+C152+C156+C158</f>
        <v>17702.66</v>
      </c>
      <c r="D151" s="31">
        <f t="shared" si="39"/>
        <v>1475.2216666666666</v>
      </c>
      <c r="E151" s="31">
        <f t="shared" si="49"/>
        <v>12572.060000000001</v>
      </c>
      <c r="F151" s="31">
        <f>+F152+F156+F158</f>
        <v>1047.6716666666669</v>
      </c>
      <c r="G151" s="81">
        <f>+G156+G158+G152</f>
        <v>31083.980000000003</v>
      </c>
      <c r="H151" s="51">
        <f t="shared" si="31"/>
        <v>28.669581596015288</v>
      </c>
      <c r="I151" s="64">
        <v>199.39</v>
      </c>
      <c r="J151" s="53">
        <f t="shared" si="32"/>
        <v>-0.80968274093505765</v>
      </c>
      <c r="K151" s="65">
        <f>+K156+K158+K152</f>
        <v>87.539999999999992</v>
      </c>
      <c r="L151" s="53">
        <f t="shared" si="33"/>
        <v>-0.91644328773486605</v>
      </c>
      <c r="M151" s="65">
        <f>+M156+M158+M152</f>
        <v>1511.83</v>
      </c>
      <c r="N151" s="53">
        <f t="shared" si="34"/>
        <v>0.443037974683544</v>
      </c>
      <c r="O151" s="65">
        <f>+O152+O156+O158</f>
        <v>315.49</v>
      </c>
      <c r="P151" s="53">
        <f t="shared" si="35"/>
        <v>-0.6988655797061103</v>
      </c>
      <c r="Q151" s="35">
        <f t="shared" si="36"/>
        <v>33198.230000000003</v>
      </c>
      <c r="R151" s="36">
        <f t="shared" si="37"/>
        <v>2.6406356635269002</v>
      </c>
      <c r="S151" s="65">
        <f>+S152+S156+S158</f>
        <v>349.54</v>
      </c>
      <c r="T151" s="53">
        <f t="shared" si="50"/>
        <v>-432.69995150981691</v>
      </c>
      <c r="U151" s="66">
        <f>U152+U156+U158</f>
        <v>367.3</v>
      </c>
      <c r="V151" s="53">
        <f t="shared" si="50"/>
        <v>-401.7885756988191</v>
      </c>
      <c r="W151" s="66">
        <v>0</v>
      </c>
      <c r="X151" s="53">
        <f t="shared" si="50"/>
        <v>-1</v>
      </c>
      <c r="Y151" s="66">
        <v>0</v>
      </c>
      <c r="Z151" s="53">
        <f t="shared" si="50"/>
        <v>-1</v>
      </c>
      <c r="AA151" s="66">
        <v>0</v>
      </c>
      <c r="AB151" s="53">
        <f t="shared" si="51"/>
        <v>-1</v>
      </c>
      <c r="AC151" s="66">
        <v>0</v>
      </c>
      <c r="AD151" s="53">
        <f t="shared" si="38"/>
        <v>-1</v>
      </c>
      <c r="AE151" s="66">
        <v>0</v>
      </c>
      <c r="AF151" s="53">
        <f t="shared" si="47"/>
        <v>-1</v>
      </c>
      <c r="AG151" s="66">
        <v>0</v>
      </c>
      <c r="AH151" s="53">
        <f t="shared" si="48"/>
        <v>-1</v>
      </c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</row>
    <row r="152" spans="1:181" s="58" customFormat="1" x14ac:dyDescent="0.25">
      <c r="A152" s="47" t="str">
        <f>+'[1]GASTOS DIC 22 ENE-NOV 23'!A118</f>
        <v>5601-01</v>
      </c>
      <c r="B152" s="48" t="str">
        <f>+'[1]GASTOS DIC 22 ENE-NOV 23'!B118</f>
        <v xml:space="preserve">      AJUSTE POR INFLACIÓN Y TENENCIA DE BIENES</v>
      </c>
      <c r="C152" s="49">
        <f>+'[1]GASTOS DIC 22 ENE-NOV 23'!O118</f>
        <v>11522.57</v>
      </c>
      <c r="D152" s="49">
        <f t="shared" si="39"/>
        <v>960.21416666666664</v>
      </c>
      <c r="E152" s="49">
        <f>+F152*12</f>
        <v>6330</v>
      </c>
      <c r="F152" s="49">
        <f>+F153+F154+F155</f>
        <v>527.5</v>
      </c>
      <c r="G152" s="49">
        <f>+G153+G154</f>
        <v>30763.170000000002</v>
      </c>
      <c r="H152" s="51">
        <f t="shared" si="31"/>
        <v>57.318805687203792</v>
      </c>
      <c r="I152" s="52">
        <f>+I153+I154+I155</f>
        <v>0</v>
      </c>
      <c r="J152" s="53">
        <f t="shared" si="32"/>
        <v>-1</v>
      </c>
      <c r="K152" s="52">
        <f>+K153+K154</f>
        <v>0</v>
      </c>
      <c r="L152" s="53">
        <f t="shared" si="33"/>
        <v>-1</v>
      </c>
      <c r="M152" s="52">
        <v>0</v>
      </c>
      <c r="N152" s="53">
        <f t="shared" si="34"/>
        <v>-1</v>
      </c>
      <c r="O152" s="52">
        <f>+O153+O154+O155</f>
        <v>0</v>
      </c>
      <c r="P152" s="53">
        <f t="shared" ref="P152:P161" si="53">(O152/F152)-1</f>
        <v>-1</v>
      </c>
      <c r="Q152" s="35">
        <f t="shared" si="36"/>
        <v>30763.170000000002</v>
      </c>
      <c r="R152" s="36">
        <f t="shared" si="37"/>
        <v>4.8599004739336493</v>
      </c>
      <c r="S152" s="52">
        <f>+S153+S154+S155</f>
        <v>0</v>
      </c>
      <c r="T152" s="53">
        <f t="shared" si="50"/>
        <v>-1</v>
      </c>
      <c r="U152" s="75">
        <v>0</v>
      </c>
      <c r="V152" s="53">
        <f t="shared" si="50"/>
        <v>-1</v>
      </c>
      <c r="W152" s="74">
        <v>0</v>
      </c>
      <c r="X152" s="53">
        <f t="shared" si="50"/>
        <v>-1</v>
      </c>
      <c r="Y152" s="91">
        <v>0</v>
      </c>
      <c r="Z152" s="53">
        <f t="shared" si="50"/>
        <v>-1</v>
      </c>
      <c r="AA152" s="74">
        <v>0</v>
      </c>
      <c r="AB152" s="53">
        <f t="shared" si="51"/>
        <v>-1</v>
      </c>
      <c r="AC152" s="74">
        <v>0</v>
      </c>
      <c r="AD152" s="53">
        <f t="shared" si="38"/>
        <v>-1</v>
      </c>
      <c r="AE152" s="74">
        <v>0</v>
      </c>
      <c r="AF152" s="53">
        <f t="shared" si="47"/>
        <v>-1</v>
      </c>
      <c r="AG152" s="74">
        <f>SUM(AG153+AG154+AG155)</f>
        <v>0</v>
      </c>
      <c r="AH152" s="53">
        <f t="shared" si="48"/>
        <v>-1</v>
      </c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</row>
    <row r="153" spans="1:181" s="3" customFormat="1" x14ac:dyDescent="0.25">
      <c r="A153" s="92" t="str">
        <f>+'[1]GASTOS DIC 22 ENE-NOV 23'!A119</f>
        <v>5601-01-0001</v>
      </c>
      <c r="B153" s="70" t="str">
        <f>+'[1]GASTOS DIC 22 ENE-NOV 23'!B119</f>
        <v xml:space="preserve">        AJUSTE POR INFLACIÓN Y TENENCIA DE BIENES</v>
      </c>
      <c r="C153" s="62">
        <f>+'[1]GASTOS DIC 22 ENE-NOV 23'!O119</f>
        <v>-2735</v>
      </c>
      <c r="D153" s="62">
        <f t="shared" si="39"/>
        <v>-227.91666666666666</v>
      </c>
      <c r="E153" s="62">
        <f t="shared" si="49"/>
        <v>2724</v>
      </c>
      <c r="F153" s="62">
        <v>227</v>
      </c>
      <c r="G153" s="81">
        <v>1095.99</v>
      </c>
      <c r="H153" s="51">
        <f t="shared" si="31"/>
        <v>3.8281497797356829</v>
      </c>
      <c r="I153" s="64">
        <v>0</v>
      </c>
      <c r="J153" s="53">
        <f t="shared" si="32"/>
        <v>-1</v>
      </c>
      <c r="K153" s="64">
        <v>0</v>
      </c>
      <c r="L153" s="53">
        <f t="shared" si="33"/>
        <v>-1</v>
      </c>
      <c r="M153" s="64">
        <v>0</v>
      </c>
      <c r="N153" s="53">
        <f t="shared" si="34"/>
        <v>-1</v>
      </c>
      <c r="O153" s="119">
        <v>0</v>
      </c>
      <c r="P153" s="53">
        <f t="shared" si="53"/>
        <v>-1</v>
      </c>
      <c r="Q153" s="35">
        <f t="shared" si="36"/>
        <v>1095.99</v>
      </c>
      <c r="R153" s="36">
        <f t="shared" si="37"/>
        <v>0.40234581497797356</v>
      </c>
      <c r="S153" s="119">
        <v>0</v>
      </c>
      <c r="T153" s="53">
        <f t="shared" si="50"/>
        <v>-1</v>
      </c>
      <c r="U153" s="66">
        <v>0</v>
      </c>
      <c r="V153" s="53">
        <f t="shared" si="50"/>
        <v>-1</v>
      </c>
      <c r="W153" s="66">
        <v>0</v>
      </c>
      <c r="X153" s="53">
        <f t="shared" si="50"/>
        <v>-1</v>
      </c>
      <c r="Y153" s="66">
        <v>0</v>
      </c>
      <c r="Z153" s="53">
        <f t="shared" si="50"/>
        <v>-1</v>
      </c>
      <c r="AA153" s="66">
        <v>0</v>
      </c>
      <c r="AB153" s="53">
        <f t="shared" si="51"/>
        <v>-1</v>
      </c>
      <c r="AC153" s="66">
        <v>0</v>
      </c>
      <c r="AD153" s="53">
        <f t="shared" si="38"/>
        <v>-1</v>
      </c>
      <c r="AE153" s="66">
        <v>0</v>
      </c>
      <c r="AF153" s="53">
        <f t="shared" si="47"/>
        <v>-1</v>
      </c>
      <c r="AG153" s="66">
        <v>0</v>
      </c>
      <c r="AH153" s="53">
        <f t="shared" si="48"/>
        <v>-1</v>
      </c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</row>
    <row r="154" spans="1:181" s="3" customFormat="1" x14ac:dyDescent="0.25">
      <c r="A154" s="92" t="str">
        <f>+'[1]GASTOS DIC 22 ENE-NOV 23'!A120</f>
        <v>5601-01-0002</v>
      </c>
      <c r="B154" s="70" t="str">
        <f>+'[1]GASTOS DIC 22 ENE-NOV 23'!B120</f>
        <v xml:space="preserve">        AJUSTE INTEGRAL DE CUENTAS DE EGRESO</v>
      </c>
      <c r="C154" s="69">
        <f>+'[1]GASTOS DIC 22 ENE-NOV 23'!O120</f>
        <v>14257.57</v>
      </c>
      <c r="D154" s="69">
        <f t="shared" si="39"/>
        <v>1188.1308333333334</v>
      </c>
      <c r="E154" s="69">
        <f t="shared" si="49"/>
        <v>3600</v>
      </c>
      <c r="F154" s="69">
        <v>300</v>
      </c>
      <c r="G154" s="81">
        <v>29667.18</v>
      </c>
      <c r="H154" s="51">
        <f t="shared" si="31"/>
        <v>97.890600000000006</v>
      </c>
      <c r="I154" s="64">
        <v>0</v>
      </c>
      <c r="J154" s="53">
        <f t="shared" si="32"/>
        <v>-1</v>
      </c>
      <c r="K154" s="64">
        <v>0</v>
      </c>
      <c r="L154" s="53">
        <f t="shared" si="33"/>
        <v>-1</v>
      </c>
      <c r="M154" s="64">
        <v>0</v>
      </c>
      <c r="N154" s="53">
        <f t="shared" si="34"/>
        <v>-1</v>
      </c>
      <c r="O154" s="119">
        <v>0</v>
      </c>
      <c r="P154" s="53">
        <f t="shared" si="53"/>
        <v>-1</v>
      </c>
      <c r="Q154" s="35">
        <f t="shared" si="36"/>
        <v>29667.18</v>
      </c>
      <c r="R154" s="36">
        <f t="shared" si="37"/>
        <v>8.2408833333333327</v>
      </c>
      <c r="S154" s="119">
        <v>0</v>
      </c>
      <c r="T154" s="53">
        <f t="shared" si="50"/>
        <v>-1</v>
      </c>
      <c r="U154" s="66">
        <v>0</v>
      </c>
      <c r="V154" s="53">
        <f t="shared" si="50"/>
        <v>-1</v>
      </c>
      <c r="W154" s="66">
        <v>0</v>
      </c>
      <c r="X154" s="53">
        <f t="shared" si="50"/>
        <v>-1</v>
      </c>
      <c r="Y154" s="66">
        <v>0</v>
      </c>
      <c r="Z154" s="53">
        <f t="shared" si="50"/>
        <v>-1</v>
      </c>
      <c r="AA154" s="66">
        <v>0</v>
      </c>
      <c r="AB154" s="53">
        <f t="shared" si="51"/>
        <v>-1</v>
      </c>
      <c r="AC154" s="66">
        <v>0</v>
      </c>
      <c r="AD154" s="53">
        <f t="shared" si="38"/>
        <v>-1</v>
      </c>
      <c r="AE154" s="66">
        <v>0</v>
      </c>
      <c r="AF154" s="53">
        <f t="shared" si="47"/>
        <v>-1</v>
      </c>
      <c r="AG154" s="66">
        <v>0</v>
      </c>
      <c r="AH154" s="53">
        <f t="shared" si="48"/>
        <v>-1</v>
      </c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</row>
    <row r="155" spans="1:181" s="3" customFormat="1" x14ac:dyDescent="0.25">
      <c r="A155" s="70" t="s">
        <v>83</v>
      </c>
      <c r="B155" s="70" t="s">
        <v>84</v>
      </c>
      <c r="C155" s="69">
        <v>0</v>
      </c>
      <c r="D155" s="69">
        <v>0</v>
      </c>
      <c r="E155" s="69">
        <f>+F155*12</f>
        <v>6</v>
      </c>
      <c r="F155" s="69">
        <v>0.5</v>
      </c>
      <c r="G155" s="81">
        <v>0</v>
      </c>
      <c r="H155" s="51">
        <f t="shared" si="31"/>
        <v>-1</v>
      </c>
      <c r="I155" s="64">
        <v>0</v>
      </c>
      <c r="J155" s="53">
        <f t="shared" si="32"/>
        <v>-1</v>
      </c>
      <c r="K155" s="64">
        <v>0</v>
      </c>
      <c r="L155" s="53">
        <f t="shared" si="33"/>
        <v>-1</v>
      </c>
      <c r="M155" s="64">
        <v>0</v>
      </c>
      <c r="N155" s="53">
        <f t="shared" si="34"/>
        <v>-1</v>
      </c>
      <c r="O155" s="119">
        <v>0</v>
      </c>
      <c r="P155" s="53">
        <f t="shared" si="53"/>
        <v>-1</v>
      </c>
      <c r="Q155" s="35">
        <f t="shared" si="36"/>
        <v>0</v>
      </c>
      <c r="R155" s="36">
        <f t="shared" si="37"/>
        <v>0</v>
      </c>
      <c r="S155" s="119">
        <v>0</v>
      </c>
      <c r="T155" s="53">
        <f t="shared" si="50"/>
        <v>-1</v>
      </c>
      <c r="U155" s="66">
        <v>0</v>
      </c>
      <c r="V155" s="53">
        <f t="shared" si="50"/>
        <v>-1</v>
      </c>
      <c r="W155" s="66">
        <v>0</v>
      </c>
      <c r="X155" s="53">
        <f t="shared" si="50"/>
        <v>-1</v>
      </c>
      <c r="Y155" s="66">
        <v>0</v>
      </c>
      <c r="Z155" s="53">
        <f t="shared" si="50"/>
        <v>-1</v>
      </c>
      <c r="AA155" s="66">
        <v>0</v>
      </c>
      <c r="AB155" s="53" t="e">
        <f t="shared" si="51"/>
        <v>#DIV/0!</v>
      </c>
      <c r="AC155" s="66">
        <v>0</v>
      </c>
      <c r="AD155" s="53">
        <f t="shared" si="38"/>
        <v>-1</v>
      </c>
      <c r="AE155" s="66">
        <v>0</v>
      </c>
      <c r="AF155" s="53">
        <f t="shared" si="47"/>
        <v>-1</v>
      </c>
      <c r="AG155" s="66">
        <v>0</v>
      </c>
      <c r="AH155" s="53">
        <f t="shared" si="48"/>
        <v>-1</v>
      </c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</row>
    <row r="156" spans="1:181" s="58" customFormat="1" x14ac:dyDescent="0.25">
      <c r="A156" s="47" t="str">
        <f>+'[1]GASTOS DIC 22 ENE-NOV 23'!A121</f>
        <v>5601-02</v>
      </c>
      <c r="B156" s="48" t="str">
        <f>+'[1]GASTOS DIC 22 ENE-NOV 23'!B121</f>
        <v xml:space="preserve">      DIFERENCIA DE CAMBIO</v>
      </c>
      <c r="C156" s="49">
        <f>+'[1]GASTOS DIC 22 ENE-NOV 23'!O121</f>
        <v>6030.06</v>
      </c>
      <c r="D156" s="49">
        <f t="shared" si="39"/>
        <v>502.50500000000005</v>
      </c>
      <c r="E156" s="49">
        <f t="shared" si="49"/>
        <v>6030.06</v>
      </c>
      <c r="F156" s="49">
        <f>+F157</f>
        <v>502.50500000000005</v>
      </c>
      <c r="G156" s="49">
        <f>+G157</f>
        <v>318.10000000000002</v>
      </c>
      <c r="H156" s="51">
        <f t="shared" si="31"/>
        <v>-0.36697147292066745</v>
      </c>
      <c r="I156" s="52">
        <f>+I157</f>
        <v>38.409999999999997</v>
      </c>
      <c r="J156" s="53">
        <f t="shared" si="32"/>
        <v>-0.92356294962239183</v>
      </c>
      <c r="K156" s="52">
        <f>+K157</f>
        <v>86.77</v>
      </c>
      <c r="L156" s="53">
        <f t="shared" si="33"/>
        <v>-0.8273251012427737</v>
      </c>
      <c r="M156" s="52">
        <f>+M157</f>
        <v>1363.1</v>
      </c>
      <c r="N156" s="53">
        <f t="shared" si="34"/>
        <v>1.7126098247778625</v>
      </c>
      <c r="O156" s="52">
        <f>+O157</f>
        <v>313.39</v>
      </c>
      <c r="P156" s="53">
        <f t="shared" si="53"/>
        <v>-0.37634451398493551</v>
      </c>
      <c r="Q156" s="35">
        <f t="shared" si="36"/>
        <v>2119.77</v>
      </c>
      <c r="R156" s="36">
        <f t="shared" si="37"/>
        <v>0.35153381558392449</v>
      </c>
      <c r="S156" s="52">
        <f>+S157</f>
        <v>349.55</v>
      </c>
      <c r="T156" s="53">
        <f t="shared" si="50"/>
        <v>-379.47988612245337</v>
      </c>
      <c r="U156" s="75">
        <f>U157</f>
        <v>367.3</v>
      </c>
      <c r="V156" s="53">
        <f t="shared" si="50"/>
        <v>-444.96090418175044</v>
      </c>
      <c r="W156" s="54">
        <f>W157</f>
        <v>633.46</v>
      </c>
      <c r="X156" s="53">
        <f t="shared" si="50"/>
        <v>368.87992877021139</v>
      </c>
      <c r="Y156" s="97">
        <f>Y157</f>
        <v>214.76</v>
      </c>
      <c r="Z156" s="53">
        <f t="shared" si="50"/>
        <v>-571.6473510826745</v>
      </c>
      <c r="AA156" s="54">
        <f>AA157</f>
        <v>96684.479999999996</v>
      </c>
      <c r="AB156" s="53">
        <f t="shared" si="51"/>
        <v>275035.07253088779</v>
      </c>
      <c r="AC156" s="54">
        <f>AC157</f>
        <v>92773.91</v>
      </c>
      <c r="AD156" s="53">
        <f t="shared" si="38"/>
        <v>-245.47648845889827</v>
      </c>
      <c r="AE156" s="54">
        <f>AE157</f>
        <v>15668.12</v>
      </c>
      <c r="AF156" s="53">
        <f t="shared" si="47"/>
        <v>-36.212352035315313</v>
      </c>
      <c r="AG156" s="54">
        <f>AG157</f>
        <v>78823.240000000005</v>
      </c>
      <c r="AH156" s="53">
        <f t="shared" si="48"/>
        <v>212.68264807137783</v>
      </c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</row>
    <row r="157" spans="1:181" s="3" customFormat="1" x14ac:dyDescent="0.25">
      <c r="A157" s="60" t="str">
        <f>+'[1]GASTOS DIC 22 ENE-NOV 23'!A122</f>
        <v>5601-02-0001</v>
      </c>
      <c r="B157" s="61" t="str">
        <f>+'[1]GASTOS DIC 22 ENE-NOV 23'!B122</f>
        <v xml:space="preserve">        DIFERENCIA DE CAMBIO</v>
      </c>
      <c r="C157" s="62">
        <f>+'[1]GASTOS DIC 22 ENE-NOV 23'!O122</f>
        <v>6030.06</v>
      </c>
      <c r="D157" s="62">
        <f t="shared" si="39"/>
        <v>502.50500000000005</v>
      </c>
      <c r="E157" s="62">
        <f t="shared" si="49"/>
        <v>6030.06</v>
      </c>
      <c r="F157" s="62">
        <f>+D157</f>
        <v>502.50500000000005</v>
      </c>
      <c r="G157" s="63">
        <v>318.10000000000002</v>
      </c>
      <c r="H157" s="51">
        <f t="shared" si="31"/>
        <v>-0.36697147292066745</v>
      </c>
      <c r="I157" s="65">
        <v>38.409999999999997</v>
      </c>
      <c r="J157" s="53">
        <f t="shared" si="32"/>
        <v>-0.92356294962239183</v>
      </c>
      <c r="K157" s="65">
        <v>86.77</v>
      </c>
      <c r="L157" s="53">
        <f t="shared" si="33"/>
        <v>-0.8273251012427737</v>
      </c>
      <c r="M157" s="64">
        <v>1363.1</v>
      </c>
      <c r="N157" s="53">
        <f t="shared" si="34"/>
        <v>1.7126098247778625</v>
      </c>
      <c r="O157" s="119">
        <v>313.39</v>
      </c>
      <c r="P157" s="53">
        <f t="shared" si="53"/>
        <v>-0.37634451398493551</v>
      </c>
      <c r="Q157" s="35">
        <f t="shared" si="36"/>
        <v>2119.77</v>
      </c>
      <c r="R157" s="36">
        <f t="shared" si="37"/>
        <v>0.35153381558392449</v>
      </c>
      <c r="S157" s="119">
        <v>349.55</v>
      </c>
      <c r="T157" s="53">
        <f t="shared" si="50"/>
        <v>-379.47988612245337</v>
      </c>
      <c r="U157" s="72">
        <v>367.3</v>
      </c>
      <c r="V157" s="53">
        <f t="shared" si="50"/>
        <v>-444.96090418175044</v>
      </c>
      <c r="W157" s="72">
        <v>633.46</v>
      </c>
      <c r="X157" s="53">
        <f t="shared" si="50"/>
        <v>368.87992877021139</v>
      </c>
      <c r="Y157" s="72">
        <v>214.76</v>
      </c>
      <c r="Z157" s="53">
        <f t="shared" si="50"/>
        <v>-571.6473510826745</v>
      </c>
      <c r="AA157" s="72">
        <v>96684.479999999996</v>
      </c>
      <c r="AB157" s="53">
        <f t="shared" si="51"/>
        <v>275035.07253088779</v>
      </c>
      <c r="AC157" s="95">
        <v>92773.91</v>
      </c>
      <c r="AD157" s="53">
        <f t="shared" si="38"/>
        <v>-245.47648845889827</v>
      </c>
      <c r="AE157" s="95">
        <v>15668.12</v>
      </c>
      <c r="AF157" s="53">
        <f t="shared" si="47"/>
        <v>-36.212352035315313</v>
      </c>
      <c r="AG157" s="104">
        <v>78823.240000000005</v>
      </c>
      <c r="AH157" s="53">
        <f t="shared" si="48"/>
        <v>212.68264807137783</v>
      </c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</row>
    <row r="158" spans="1:181" s="58" customFormat="1" x14ac:dyDescent="0.25">
      <c r="A158" s="47" t="str">
        <f>+'[1]GASTOS DIC 22 ENE-NOV 23'!A123</f>
        <v>5601-03</v>
      </c>
      <c r="B158" s="48" t="str">
        <f>+'[1]GASTOS DIC 22 ENE-NOV 23'!B123</f>
        <v xml:space="preserve">      OTROS GASTOS</v>
      </c>
      <c r="C158" s="49">
        <f>+'[1]GASTOS DIC 22 ENE-NOV 23'!O123</f>
        <v>150.03</v>
      </c>
      <c r="D158" s="49">
        <f t="shared" si="39"/>
        <v>12.5025</v>
      </c>
      <c r="E158" s="49">
        <f t="shared" si="49"/>
        <v>212</v>
      </c>
      <c r="F158" s="49">
        <f>+F160+F161+F159</f>
        <v>17.666666666666668</v>
      </c>
      <c r="G158" s="49">
        <f>+G160+G161</f>
        <v>2.71</v>
      </c>
      <c r="H158" s="51">
        <f t="shared" si="31"/>
        <v>-0.84660377358490568</v>
      </c>
      <c r="I158" s="52">
        <f>+I159</f>
        <v>173.8</v>
      </c>
      <c r="J158" s="53">
        <f t="shared" si="32"/>
        <v>8.8377358490566031</v>
      </c>
      <c r="K158" s="52">
        <f>+K160</f>
        <v>0.77</v>
      </c>
      <c r="L158" s="53">
        <f t="shared" si="33"/>
        <v>-0.95641509433962268</v>
      </c>
      <c r="M158" s="52">
        <f>+M160+M159+M161</f>
        <v>148.72999999999999</v>
      </c>
      <c r="N158" s="53">
        <f t="shared" si="34"/>
        <v>7.4186792452830179</v>
      </c>
      <c r="O158" s="52">
        <f>SUM(O159:O161)</f>
        <v>2.1</v>
      </c>
      <c r="P158" s="53">
        <f t="shared" si="53"/>
        <v>-0.88113207547169814</v>
      </c>
      <c r="Q158" s="35">
        <f t="shared" si="36"/>
        <v>328.10999999999996</v>
      </c>
      <c r="R158" s="36">
        <f t="shared" si="37"/>
        <v>1.5476886792452829</v>
      </c>
      <c r="S158" s="52">
        <f>SUM(S159:S161)</f>
        <v>-0.01</v>
      </c>
      <c r="T158" s="53">
        <f t="shared" si="50"/>
        <v>-1.0011315115286081</v>
      </c>
      <c r="U158" s="75">
        <f>U160</f>
        <v>0</v>
      </c>
      <c r="V158" s="53">
        <f t="shared" si="50"/>
        <v>-1</v>
      </c>
      <c r="W158" s="54">
        <f>W161</f>
        <v>2</v>
      </c>
      <c r="X158" s="53">
        <f t="shared" si="50"/>
        <v>-0.73041023423790019</v>
      </c>
      <c r="Y158" s="97">
        <f>Y160</f>
        <v>0.91</v>
      </c>
      <c r="Z158" s="53">
        <f t="shared" si="50"/>
        <v>-2.032762312633833</v>
      </c>
      <c r="AA158" s="54">
        <f>SUM(AA159:AA161)</f>
        <v>0</v>
      </c>
      <c r="AB158" s="53">
        <f t="shared" si="51"/>
        <v>-1</v>
      </c>
      <c r="AC158" s="54">
        <f>SUM(AC159:AC161)</f>
        <v>0.42</v>
      </c>
      <c r="AD158" s="53">
        <f t="shared" si="38"/>
        <v>-1.4195253022839229</v>
      </c>
      <c r="AE158" s="54">
        <f>SUM(AE159:AE161)</f>
        <v>0</v>
      </c>
      <c r="AF158" s="53">
        <f t="shared" si="47"/>
        <v>-1</v>
      </c>
      <c r="AG158" s="54">
        <f>SUM(AG159:AG161)</f>
        <v>7.0000000000000007E-2</v>
      </c>
      <c r="AH158" s="53">
        <f t="shared" si="48"/>
        <v>-1.0958365541975696</v>
      </c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</row>
    <row r="159" spans="1:181" s="3" customFormat="1" x14ac:dyDescent="0.25">
      <c r="A159" s="60" t="s">
        <v>83</v>
      </c>
      <c r="B159" s="61" t="s">
        <v>84</v>
      </c>
      <c r="C159" s="31">
        <v>0</v>
      </c>
      <c r="D159" s="31">
        <v>0</v>
      </c>
      <c r="E159" s="31">
        <f>+F159*12</f>
        <v>6</v>
      </c>
      <c r="F159" s="31">
        <v>0.5</v>
      </c>
      <c r="G159" s="63">
        <v>0</v>
      </c>
      <c r="H159" s="51">
        <f t="shared" si="31"/>
        <v>-1</v>
      </c>
      <c r="I159" s="65">
        <v>173.8</v>
      </c>
      <c r="J159" s="53">
        <f t="shared" si="32"/>
        <v>346.6</v>
      </c>
      <c r="K159" s="64">
        <v>0</v>
      </c>
      <c r="L159" s="53">
        <f t="shared" si="33"/>
        <v>-1</v>
      </c>
      <c r="M159" s="64">
        <v>0</v>
      </c>
      <c r="N159" s="53">
        <f t="shared" si="34"/>
        <v>-1</v>
      </c>
      <c r="O159" s="119">
        <v>0</v>
      </c>
      <c r="P159" s="53">
        <f t="shared" si="53"/>
        <v>-1</v>
      </c>
      <c r="Q159" s="35">
        <f t="shared" ref="Q159:Q163" si="54">+O159+M159+K159+I159+G159</f>
        <v>173.8</v>
      </c>
      <c r="R159" s="36">
        <f t="shared" ref="R159:R163" si="55">+Q159/E159</f>
        <v>28.966666666666669</v>
      </c>
      <c r="S159" s="119">
        <v>0</v>
      </c>
      <c r="T159" s="53">
        <f t="shared" si="50"/>
        <v>-1</v>
      </c>
      <c r="U159" s="66">
        <v>0</v>
      </c>
      <c r="V159" s="53">
        <f t="shared" si="50"/>
        <v>-1</v>
      </c>
      <c r="W159" s="66">
        <v>0</v>
      </c>
      <c r="X159" s="53">
        <f t="shared" si="50"/>
        <v>-1</v>
      </c>
      <c r="Y159" s="66">
        <v>0</v>
      </c>
      <c r="Z159" s="53">
        <f t="shared" si="50"/>
        <v>-1</v>
      </c>
      <c r="AA159" s="66">
        <v>0</v>
      </c>
      <c r="AB159" s="53">
        <f t="shared" si="50"/>
        <v>-1</v>
      </c>
      <c r="AC159" s="66">
        <v>0</v>
      </c>
      <c r="AD159" s="53">
        <f t="shared" si="50"/>
        <v>-1</v>
      </c>
      <c r="AE159" s="66">
        <v>0</v>
      </c>
      <c r="AF159" s="53">
        <f t="shared" si="47"/>
        <v>-1</v>
      </c>
      <c r="AG159" s="66">
        <v>0</v>
      </c>
      <c r="AH159" s="53">
        <f t="shared" si="48"/>
        <v>-1</v>
      </c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</row>
    <row r="160" spans="1:181" s="3" customFormat="1" x14ac:dyDescent="0.25">
      <c r="A160" s="60" t="str">
        <f>+'[1]GASTOS DIC 22 ENE-NOV 23'!A124</f>
        <v>5601-03-0002</v>
      </c>
      <c r="B160" s="61" t="str">
        <f>+'[1]GASTOS DIC 22 ENE-NOV 23'!B124</f>
        <v xml:space="preserve">        DIFERENCIA POR REDONDEO</v>
      </c>
      <c r="C160" s="62">
        <f>+'[1]GASTOS DIC 22 ENE-NOV 23'!O124</f>
        <v>124.03</v>
      </c>
      <c r="D160" s="62">
        <f t="shared" si="39"/>
        <v>10.335833333333333</v>
      </c>
      <c r="E160" s="62">
        <f t="shared" si="49"/>
        <v>180</v>
      </c>
      <c r="F160" s="62">
        <v>15</v>
      </c>
      <c r="G160" s="63">
        <v>0.71</v>
      </c>
      <c r="H160" s="51">
        <f t="shared" ref="H160:H163" si="56">+G160/F160-1</f>
        <v>-0.95266666666666666</v>
      </c>
      <c r="I160" s="64">
        <v>0</v>
      </c>
      <c r="J160" s="53">
        <f t="shared" ref="J160:J163" si="57">+I160/F160-1</f>
        <v>-1</v>
      </c>
      <c r="K160" s="65">
        <v>0.77</v>
      </c>
      <c r="L160" s="53">
        <f t="shared" ref="L160:L163" si="58">+K160/F160-1</f>
        <v>-0.94866666666666666</v>
      </c>
      <c r="M160" s="64">
        <v>0.73</v>
      </c>
      <c r="N160" s="53">
        <f>+M160/F160-1</f>
        <v>-0.95133333333333336</v>
      </c>
      <c r="O160" s="119">
        <v>2.1</v>
      </c>
      <c r="P160" s="53">
        <f t="shared" si="53"/>
        <v>-0.86</v>
      </c>
      <c r="Q160" s="35">
        <f t="shared" si="54"/>
        <v>4.3100000000000005</v>
      </c>
      <c r="R160" s="36">
        <f t="shared" si="55"/>
        <v>2.3944444444444449E-2</v>
      </c>
      <c r="S160" s="119">
        <v>-0.01</v>
      </c>
      <c r="T160" s="53">
        <f t="shared" si="50"/>
        <v>-0.99</v>
      </c>
      <c r="U160" s="72">
        <v>0</v>
      </c>
      <c r="V160" s="53">
        <f t="shared" si="50"/>
        <v>-1</v>
      </c>
      <c r="W160" s="66">
        <v>0</v>
      </c>
      <c r="X160" s="53">
        <f t="shared" si="50"/>
        <v>-1</v>
      </c>
      <c r="Y160" s="72">
        <v>0.91</v>
      </c>
      <c r="Z160" s="53">
        <f t="shared" si="50"/>
        <v>-2.058139534883721</v>
      </c>
      <c r="AA160" s="66">
        <v>0</v>
      </c>
      <c r="AB160" s="53">
        <f t="shared" si="50"/>
        <v>-1</v>
      </c>
      <c r="AC160" s="66">
        <v>0.42</v>
      </c>
      <c r="AD160" s="53">
        <f t="shared" si="50"/>
        <v>-1.4242424242424243</v>
      </c>
      <c r="AE160" s="66">
        <v>0</v>
      </c>
      <c r="AF160" s="53">
        <f t="shared" si="47"/>
        <v>-1</v>
      </c>
      <c r="AG160" s="79">
        <v>7.0000000000000007E-2</v>
      </c>
      <c r="AH160" s="53">
        <f t="shared" si="48"/>
        <v>-1.07</v>
      </c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</row>
    <row r="161" spans="1:181" s="3" customFormat="1" x14ac:dyDescent="0.25">
      <c r="A161" s="60" t="str">
        <f>+'[1]GASTOS DIC 22 ENE-NOV 23'!A125</f>
        <v>5601-03-0003</v>
      </c>
      <c r="B161" s="61" t="str">
        <f>+'[1]GASTOS DIC 22 ENE-NOV 23'!B125</f>
        <v xml:space="preserve">        MANTENIMIENTO DE VALOR</v>
      </c>
      <c r="C161" s="69">
        <f>+'[1]GASTOS DIC 22 ENE-NOV 23'!O125</f>
        <v>26</v>
      </c>
      <c r="D161" s="69">
        <f t="shared" si="39"/>
        <v>2.1666666666666665</v>
      </c>
      <c r="E161" s="69">
        <f t="shared" si="49"/>
        <v>26</v>
      </c>
      <c r="F161" s="69">
        <f>+D161</f>
        <v>2.1666666666666665</v>
      </c>
      <c r="G161" s="81">
        <v>2</v>
      </c>
      <c r="H161" s="51">
        <f t="shared" si="56"/>
        <v>-7.6923076923076872E-2</v>
      </c>
      <c r="I161" s="64">
        <v>0</v>
      </c>
      <c r="J161" s="53">
        <f t="shared" si="57"/>
        <v>-1</v>
      </c>
      <c r="K161" s="64">
        <v>0</v>
      </c>
      <c r="L161" s="53">
        <f t="shared" si="58"/>
        <v>-1</v>
      </c>
      <c r="M161" s="64">
        <v>148</v>
      </c>
      <c r="N161" s="53">
        <f>+M161/F161-1</f>
        <v>67.307692307692307</v>
      </c>
      <c r="O161" s="119">
        <v>0</v>
      </c>
      <c r="P161" s="53">
        <f t="shared" si="53"/>
        <v>-1</v>
      </c>
      <c r="Q161" s="35">
        <f t="shared" si="54"/>
        <v>150</v>
      </c>
      <c r="R161" s="36">
        <f t="shared" si="55"/>
        <v>5.7692307692307692</v>
      </c>
      <c r="S161" s="119">
        <v>0</v>
      </c>
      <c r="T161" s="53">
        <f t="shared" si="50"/>
        <v>-1</v>
      </c>
      <c r="U161" s="66">
        <v>0</v>
      </c>
      <c r="V161" s="53">
        <f t="shared" si="50"/>
        <v>-1</v>
      </c>
      <c r="W161" s="72">
        <v>2</v>
      </c>
      <c r="X161" s="53">
        <f t="shared" si="50"/>
        <v>-0.97028571428571431</v>
      </c>
      <c r="Y161" s="66">
        <v>0</v>
      </c>
      <c r="Z161" s="53">
        <f t="shared" si="50"/>
        <v>-1</v>
      </c>
      <c r="AA161" s="66">
        <v>0</v>
      </c>
      <c r="AB161" s="53">
        <f t="shared" si="50"/>
        <v>-1</v>
      </c>
      <c r="AC161" s="66">
        <v>0</v>
      </c>
      <c r="AD161" s="53">
        <f t="shared" si="50"/>
        <v>-1</v>
      </c>
      <c r="AE161" s="66">
        <v>0</v>
      </c>
      <c r="AF161" s="53">
        <f t="shared" si="47"/>
        <v>-1</v>
      </c>
      <c r="AG161" s="66">
        <v>0</v>
      </c>
      <c r="AH161" s="53">
        <f t="shared" si="48"/>
        <v>-1</v>
      </c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</row>
    <row r="162" spans="1:181" s="3" customFormat="1" ht="21" x14ac:dyDescent="0.35">
      <c r="A162"/>
      <c r="B162" s="84" t="s">
        <v>85</v>
      </c>
      <c r="C162" s="85">
        <f>+C65+C48</f>
        <v>1406634.3099999998</v>
      </c>
      <c r="D162" s="85">
        <f>+D65+D48</f>
        <v>117219.52583333332</v>
      </c>
      <c r="E162" s="85">
        <f>+E65+E48</f>
        <v>1344630.9</v>
      </c>
      <c r="F162" s="85">
        <f>+F65+F48</f>
        <v>112052.575</v>
      </c>
      <c r="G162" s="85">
        <f>+G65+G48</f>
        <v>129160.55999999998</v>
      </c>
      <c r="H162" s="86">
        <f t="shared" si="56"/>
        <v>0.15267819592722431</v>
      </c>
      <c r="I162" s="32">
        <f>+I6</f>
        <v>198294.11999999997</v>
      </c>
      <c r="J162" s="88">
        <f t="shared" si="57"/>
        <v>0.76965250463900503</v>
      </c>
      <c r="K162" s="32">
        <f>+K6</f>
        <v>168416.31</v>
      </c>
      <c r="L162" s="88">
        <f t="shared" si="58"/>
        <v>0.50301151044498527</v>
      </c>
      <c r="M162" s="32">
        <f>+M6</f>
        <v>313690.6100000001</v>
      </c>
      <c r="N162" s="88">
        <f t="shared" ref="N162:N163" si="59">+M162/F162-1</f>
        <v>1.7994948799704078</v>
      </c>
      <c r="O162" s="32">
        <f>+O6</f>
        <v>279882.14999999997</v>
      </c>
      <c r="P162" s="88">
        <f>+O162/F162-1</f>
        <v>1.4977752630852077</v>
      </c>
      <c r="Q162" s="35">
        <f t="shared" si="54"/>
        <v>1089443.75</v>
      </c>
      <c r="R162" s="36">
        <f t="shared" si="55"/>
        <v>0.81021769617223582</v>
      </c>
      <c r="S162" s="32">
        <f>+S6</f>
        <v>356259.07</v>
      </c>
      <c r="T162" s="88">
        <f>+S162/J162-1</f>
        <v>462882.01259683218</v>
      </c>
      <c r="U162" s="32">
        <f>+U6</f>
        <v>333398.50999999995</v>
      </c>
      <c r="V162" s="88">
        <f>+U162/L162-1</f>
        <v>662803.93204829749</v>
      </c>
      <c r="W162" s="37">
        <f>+W6</f>
        <v>599256.91999999993</v>
      </c>
      <c r="X162" s="123"/>
      <c r="Y162" s="37">
        <f>+Y6</f>
        <v>155301</v>
      </c>
      <c r="Z162" s="124"/>
      <c r="AA162" s="37">
        <f>+AA6</f>
        <v>285707.56</v>
      </c>
      <c r="AB162" s="123"/>
      <c r="AC162" s="37">
        <f>+AC6</f>
        <v>424710.29</v>
      </c>
      <c r="AD162" s="123"/>
      <c r="AE162" s="37">
        <f>+AE150+AE146+AE129+AE65+AE48+AE7</f>
        <v>300934.66000000003</v>
      </c>
      <c r="AF162" s="123"/>
      <c r="AG162" s="37">
        <f>+AG150+AG146+AG129+AG65+AG48+AG7</f>
        <v>589579.31000000006</v>
      </c>
      <c r="AH162" s="12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</row>
    <row r="163" spans="1:181" s="3" customFormat="1" x14ac:dyDescent="0.25">
      <c r="A163"/>
      <c r="B163" s="84" t="s">
        <v>86</v>
      </c>
      <c r="C163" s="85">
        <f>+C150+C146+C129</f>
        <v>127921.06999999999</v>
      </c>
      <c r="D163" s="85">
        <f t="shared" ref="D163:G163" si="60">+D150+D146+D129</f>
        <v>10660.089166666665</v>
      </c>
      <c r="E163" s="85">
        <f>+E150+E146+E129</f>
        <v>130336.23999999999</v>
      </c>
      <c r="F163" s="85">
        <f t="shared" si="60"/>
        <v>10861.353333333333</v>
      </c>
      <c r="G163" s="85">
        <f t="shared" si="60"/>
        <v>37851.39</v>
      </c>
      <c r="H163" s="86">
        <f t="shared" si="56"/>
        <v>2.4849607446094812</v>
      </c>
      <c r="I163" s="87">
        <f t="shared" ref="I163:K163" si="61">+I150+I146+I129</f>
        <v>1286.6600000000001</v>
      </c>
      <c r="J163" s="88">
        <f t="shared" si="57"/>
        <v>-0.88153778258449067</v>
      </c>
      <c r="K163" s="87">
        <f t="shared" si="61"/>
        <v>1254.3699999999999</v>
      </c>
      <c r="L163" s="88">
        <f t="shared" si="58"/>
        <v>-0.88451070861028369</v>
      </c>
      <c r="M163" s="87">
        <f t="shared" ref="M163" si="62">+M150+M146+M129</f>
        <v>17383.28</v>
      </c>
      <c r="N163" s="88">
        <f t="shared" si="59"/>
        <v>0.60047090509899625</v>
      </c>
      <c r="O163" s="87">
        <f t="shared" ref="O163" si="63">+O150+O146+O129</f>
        <v>3817.4300000000003</v>
      </c>
      <c r="P163" s="88">
        <f>+O163/F163-1</f>
        <v>-0.6485309074437009</v>
      </c>
      <c r="Q163" s="35">
        <f t="shared" si="54"/>
        <v>61593.13</v>
      </c>
      <c r="R163" s="36">
        <f t="shared" si="55"/>
        <v>0.47257102092250014</v>
      </c>
      <c r="S163" s="87">
        <f>+S150+S146+S129</f>
        <v>7983.74</v>
      </c>
      <c r="T163" s="88">
        <f>+S163/J163-1</f>
        <v>-9057.6055791656345</v>
      </c>
      <c r="U163" s="89">
        <f>U150+U146+U129</f>
        <v>2565.3300000000004</v>
      </c>
      <c r="V163" s="88">
        <f>+U163/L163-1</f>
        <v>-2901.2814494248109</v>
      </c>
      <c r="W163" s="89">
        <f>W150+W146+W129</f>
        <v>4941.5600000000004</v>
      </c>
      <c r="X163" s="123"/>
      <c r="Y163" s="90">
        <f>Y150+Y146+Y129</f>
        <v>228.72</v>
      </c>
      <c r="Z163" s="124"/>
      <c r="AA163" s="89">
        <f>AA150+AA146+AA129</f>
        <v>96710.55</v>
      </c>
      <c r="AB163" s="123"/>
      <c r="AC163" s="89">
        <f>AC150+AC146+AC129</f>
        <v>92809.08</v>
      </c>
      <c r="AD163" s="123"/>
      <c r="AE163" s="89">
        <f>AE150+AE146+AE129</f>
        <v>17943.920000000002</v>
      </c>
      <c r="AF163" s="123"/>
      <c r="AG163" s="89">
        <f>AG150+AG146+AG129</f>
        <v>78845.040000000008</v>
      </c>
      <c r="AH163" s="12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</row>
    <row r="164" spans="1:181" s="3" customFormat="1" x14ac:dyDescent="0.25">
      <c r="A164"/>
      <c r="B164" s="1"/>
      <c r="C164" s="1"/>
      <c r="D164" s="1"/>
      <c r="H164" s="1"/>
      <c r="I164"/>
      <c r="J164"/>
      <c r="K164"/>
      <c r="L164"/>
      <c r="R164" s="4"/>
      <c r="U164" s="125"/>
      <c r="V164"/>
      <c r="W164" s="1"/>
      <c r="X164"/>
      <c r="Y164" s="1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</row>
    <row r="165" spans="1:181" s="3" customFormat="1" x14ac:dyDescent="0.25">
      <c r="A165"/>
      <c r="B165" s="1"/>
      <c r="C165" s="1"/>
      <c r="D165" s="1"/>
      <c r="H165" s="1"/>
      <c r="I165"/>
      <c r="J165"/>
      <c r="K165"/>
      <c r="L165"/>
      <c r="R165" s="4"/>
      <c r="S165"/>
      <c r="T165"/>
      <c r="U165" s="1"/>
      <c r="V165"/>
      <c r="W165" s="1"/>
      <c r="X165"/>
      <c r="Y165" s="1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</row>
    <row r="166" spans="1:181" s="3" customFormat="1" x14ac:dyDescent="0.25">
      <c r="A166"/>
      <c r="B166" s="1"/>
      <c r="C166" s="1"/>
      <c r="D166" s="1"/>
      <c r="E166" s="1" t="s">
        <v>87</v>
      </c>
      <c r="G166" s="1">
        <f>+H1/12*1</f>
        <v>0</v>
      </c>
      <c r="H166" s="126"/>
      <c r="I166" s="1">
        <f>+G166</f>
        <v>0</v>
      </c>
      <c r="J166" s="126"/>
      <c r="K166" s="1">
        <f>+I166</f>
        <v>0</v>
      </c>
      <c r="L166" s="126"/>
      <c r="M166" s="1">
        <f>+K166</f>
        <v>0</v>
      </c>
      <c r="N166" s="126"/>
      <c r="O166" s="1">
        <f>+M166</f>
        <v>0</v>
      </c>
      <c r="P166" s="126"/>
      <c r="R166" s="4"/>
      <c r="S166" s="127"/>
      <c r="T166" s="128"/>
      <c r="U166" s="1"/>
      <c r="V166" s="107">
        <f>+O166+M166+K166+I166+G166</f>
        <v>0</v>
      </c>
      <c r="W166" s="1"/>
      <c r="X166"/>
      <c r="Y166" s="1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</row>
    <row r="167" spans="1:181" s="3" customFormat="1" x14ac:dyDescent="0.25">
      <c r="A167"/>
      <c r="B167" s="1"/>
      <c r="C167" s="1"/>
      <c r="D167" s="1"/>
      <c r="E167" s="1" t="s">
        <v>88</v>
      </c>
      <c r="G167" s="1">
        <f>+G162</f>
        <v>129160.55999999998</v>
      </c>
      <c r="H167" s="129" t="e">
        <f>+G167/G166-1</f>
        <v>#DIV/0!</v>
      </c>
      <c r="I167" s="1">
        <f>+I162</f>
        <v>198294.11999999997</v>
      </c>
      <c r="J167" s="129" t="e">
        <f>+I167/I166-1</f>
        <v>#DIV/0!</v>
      </c>
      <c r="K167" s="1">
        <f>+K162</f>
        <v>168416.31</v>
      </c>
      <c r="L167" s="129" t="e">
        <f>+K167/K166-1</f>
        <v>#DIV/0!</v>
      </c>
      <c r="M167" s="1">
        <f>+M162</f>
        <v>313690.6100000001</v>
      </c>
      <c r="N167" s="129" t="e">
        <f>+M167/M166-1</f>
        <v>#DIV/0!</v>
      </c>
      <c r="O167" s="1">
        <f>+O162</f>
        <v>279882.14999999997</v>
      </c>
      <c r="P167" s="129" t="e">
        <f>+O167/O166-1</f>
        <v>#DIV/0!</v>
      </c>
      <c r="R167" s="4"/>
      <c r="S167" s="127"/>
      <c r="T167" s="130"/>
      <c r="U167" s="1"/>
      <c r="V167" s="107">
        <f>+O167+M167+K167+I167+G167</f>
        <v>1089443.75</v>
      </c>
      <c r="W167" s="131" t="e">
        <f>+V167/V166-1</f>
        <v>#DIV/0!</v>
      </c>
      <c r="X167"/>
      <c r="Y167" s="1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</row>
    <row r="168" spans="1:181" s="3" customFormat="1" x14ac:dyDescent="0.25">
      <c r="A168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4"/>
      <c r="S168" s="127"/>
      <c r="T168" s="127"/>
      <c r="U168" s="1"/>
      <c r="W168" s="132"/>
      <c r="Y168" s="132"/>
    </row>
    <row r="169" spans="1:181" x14ac:dyDescent="0.25">
      <c r="E169" s="1" t="s">
        <v>89</v>
      </c>
      <c r="G169" s="1">
        <f>+F7*1</f>
        <v>91449</v>
      </c>
      <c r="H169" s="1"/>
      <c r="I169" s="1">
        <f>+G169</f>
        <v>91449</v>
      </c>
      <c r="J169" s="1"/>
      <c r="K169" s="1">
        <f>+I169</f>
        <v>91449</v>
      </c>
      <c r="L169" s="1"/>
      <c r="M169" s="1">
        <f>+K169</f>
        <v>91449</v>
      </c>
      <c r="N169" s="1"/>
      <c r="O169" s="1">
        <f>+M169</f>
        <v>91449</v>
      </c>
      <c r="P169" s="1"/>
      <c r="S169" s="127"/>
      <c r="T169" s="127"/>
      <c r="V169" s="133">
        <f>+O169+M169+K169+I169+G169</f>
        <v>457245</v>
      </c>
      <c r="W169" s="132"/>
    </row>
    <row r="170" spans="1:181" x14ac:dyDescent="0.25">
      <c r="E170" s="1" t="s">
        <v>88</v>
      </c>
      <c r="G170" s="1">
        <f>+G7</f>
        <v>96165.37</v>
      </c>
      <c r="H170" s="129">
        <f>+G170/G169-1</f>
        <v>5.1573773360014785E-2</v>
      </c>
      <c r="I170" s="1">
        <f>+I7</f>
        <v>61110.06</v>
      </c>
      <c r="J170" s="129">
        <f>+I170/I169-1</f>
        <v>-0.33175802906538077</v>
      </c>
      <c r="K170" s="1">
        <f>+K7</f>
        <v>48692.399999999994</v>
      </c>
      <c r="L170" s="129">
        <f>+K170/K169-1</f>
        <v>-0.46754584522520759</v>
      </c>
      <c r="M170" s="1">
        <f>+M7</f>
        <v>195273.22000000003</v>
      </c>
      <c r="N170" s="129">
        <f>+M170/M169-1</f>
        <v>1.1353237323535526</v>
      </c>
      <c r="O170" s="1">
        <f>+O7</f>
        <v>166235.82999999999</v>
      </c>
      <c r="P170" s="129">
        <f>+O170/O169-1</f>
        <v>0.8177982263338035</v>
      </c>
      <c r="S170" s="127"/>
      <c r="T170" s="130"/>
      <c r="V170" s="133">
        <f>+O170+M170+K170+I170+G170</f>
        <v>567476.88000000012</v>
      </c>
      <c r="W170" s="134">
        <f>+V170/V169-1</f>
        <v>0.2410783715513567</v>
      </c>
    </row>
    <row r="171" spans="1:181" x14ac:dyDescent="0.25">
      <c r="O171" s="3"/>
      <c r="S171"/>
      <c r="T171"/>
    </row>
    <row r="172" spans="1:181" x14ac:dyDescent="0.25">
      <c r="E172" s="1" t="s">
        <v>90</v>
      </c>
      <c r="G172" s="1">
        <f>+F163*1</f>
        <v>10861.353333333333</v>
      </c>
      <c r="H172" s="1"/>
      <c r="I172" s="1">
        <f>+G172</f>
        <v>10861.353333333333</v>
      </c>
      <c r="J172" s="1"/>
      <c r="K172" s="1">
        <f>+I172</f>
        <v>10861.353333333333</v>
      </c>
      <c r="L172" s="1"/>
      <c r="M172" s="1">
        <f>+K172</f>
        <v>10861.353333333333</v>
      </c>
      <c r="N172" s="1"/>
      <c r="O172" s="1">
        <f>+M172</f>
        <v>10861.353333333333</v>
      </c>
      <c r="P172" s="1"/>
      <c r="S172" s="127"/>
      <c r="T172" s="127"/>
      <c r="V172" s="133">
        <f>+O172+M172+K172+I172+G172</f>
        <v>54306.766666666663</v>
      </c>
      <c r="W172" s="132"/>
    </row>
    <row r="173" spans="1:181" x14ac:dyDescent="0.25">
      <c r="E173" s="1" t="s">
        <v>91</v>
      </c>
      <c r="G173" s="1">
        <f>+G163</f>
        <v>37851.39</v>
      </c>
      <c r="H173" s="129">
        <f>+G173/G172-1</f>
        <v>2.4849607446094812</v>
      </c>
      <c r="I173" s="1">
        <f>+I163</f>
        <v>1286.6600000000001</v>
      </c>
      <c r="J173" s="129">
        <f>+I173/I172-1</f>
        <v>-0.88153778258449067</v>
      </c>
      <c r="K173" s="1">
        <f>+K163</f>
        <v>1254.3699999999999</v>
      </c>
      <c r="L173" s="129">
        <f>+K173/K172-1</f>
        <v>-0.88451070861028369</v>
      </c>
      <c r="M173" s="1">
        <f>+M163</f>
        <v>17383.28</v>
      </c>
      <c r="N173" s="129">
        <f>+M173/M172-1</f>
        <v>0.60047090509899625</v>
      </c>
      <c r="O173" s="1">
        <f>+O163</f>
        <v>3817.4300000000003</v>
      </c>
      <c r="P173" s="129">
        <f>+O173/O172-1</f>
        <v>-0.6485309074437009</v>
      </c>
      <c r="S173" s="127"/>
      <c r="T173" s="130"/>
      <c r="V173" s="133">
        <f>+O173+M173+K173+I173+G173</f>
        <v>61593.13</v>
      </c>
      <c r="W173" s="134">
        <f>+V173/V172-1</f>
        <v>0.13417045021400043</v>
      </c>
    </row>
    <row r="174" spans="1:181" x14ac:dyDescent="0.25">
      <c r="S174" s="136"/>
      <c r="T174"/>
    </row>
    <row r="176" spans="1:181" x14ac:dyDescent="0.25">
      <c r="V176" s="107">
        <f>+V166-V167</f>
        <v>-1089443.75</v>
      </c>
    </row>
    <row r="177" spans="21:23" x14ac:dyDescent="0.25">
      <c r="U177" s="1" t="s">
        <v>92</v>
      </c>
      <c r="V177" s="107">
        <f>+V169-V170</f>
        <v>-110231.88000000012</v>
      </c>
      <c r="W177" s="1">
        <f>+V177+V176</f>
        <v>-1199675.6300000001</v>
      </c>
    </row>
    <row r="179" spans="21:23" x14ac:dyDescent="0.25">
      <c r="V179" s="107">
        <f>+V172-V173</f>
        <v>-7286.3633333333346</v>
      </c>
    </row>
    <row r="180" spans="21:23" x14ac:dyDescent="0.25">
      <c r="V180" s="107">
        <f>+V176+V177+V179</f>
        <v>-1206961.9933333334</v>
      </c>
    </row>
  </sheetData>
  <autoFilter ref="A4:AD163" xr:uid="{FF231640-EAE9-49EE-BF35-0F2678F22DAC}"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A2:N2"/>
    <mergeCell ref="A3:N3"/>
    <mergeCell ref="A4:A5"/>
    <mergeCell ref="B4:B5"/>
    <mergeCell ref="C4:C5"/>
    <mergeCell ref="D4:D5"/>
    <mergeCell ref="E4:E5"/>
    <mergeCell ref="F4:F5"/>
    <mergeCell ref="I4:N4"/>
  </mergeCells>
  <conditionalFormatting sqref="H7:H147 V7:V163">
    <cfRule type="cellIs" dxfId="58" priority="55" operator="greaterThan">
      <formula>0</formula>
    </cfRule>
  </conditionalFormatting>
  <conditionalFormatting sqref="H10:H16">
    <cfRule type="cellIs" dxfId="57" priority="59" operator="greaterThan">
      <formula>0.01</formula>
    </cfRule>
  </conditionalFormatting>
  <conditionalFormatting sqref="H149:H163">
    <cfRule type="cellIs" dxfId="56" priority="58" operator="greaterThan">
      <formula>0</formula>
    </cfRule>
  </conditionalFormatting>
  <conditionalFormatting sqref="H167">
    <cfRule type="cellIs" dxfId="55" priority="50" operator="greaterThan">
      <formula>0</formula>
    </cfRule>
    <cfRule type="cellIs" dxfId="54" priority="49" operator="lessThan">
      <formula>0</formula>
    </cfRule>
  </conditionalFormatting>
  <conditionalFormatting sqref="H170">
    <cfRule type="cellIs" dxfId="53" priority="48" operator="greaterThan">
      <formula>0</formula>
    </cfRule>
    <cfRule type="cellIs" dxfId="52" priority="47" operator="lessThan">
      <formula>0</formula>
    </cfRule>
  </conditionalFormatting>
  <conditionalFormatting sqref="H173">
    <cfRule type="cellIs" dxfId="51" priority="25" operator="lessThan">
      <formula>0</formula>
    </cfRule>
    <cfRule type="cellIs" dxfId="50" priority="26" operator="greaterThan">
      <formula>0</formula>
    </cfRule>
  </conditionalFormatting>
  <conditionalFormatting sqref="J7:J147">
    <cfRule type="cellIs" dxfId="49" priority="54" operator="greaterThan">
      <formula>0</formula>
    </cfRule>
  </conditionalFormatting>
  <conditionalFormatting sqref="J149:J163">
    <cfRule type="cellIs" dxfId="48" priority="57" operator="greaterThan">
      <formula>0</formula>
    </cfRule>
  </conditionalFormatting>
  <conditionalFormatting sqref="J167">
    <cfRule type="cellIs" dxfId="47" priority="45" operator="lessThan">
      <formula>0</formula>
    </cfRule>
    <cfRule type="cellIs" dxfId="46" priority="46" operator="greaterThan">
      <formula>0</formula>
    </cfRule>
  </conditionalFormatting>
  <conditionalFormatting sqref="J170">
    <cfRule type="cellIs" dxfId="45" priority="41" operator="lessThan">
      <formula>0</formula>
    </cfRule>
    <cfRule type="cellIs" dxfId="44" priority="42" operator="greaterThan">
      <formula>0</formula>
    </cfRule>
  </conditionalFormatting>
  <conditionalFormatting sqref="J173">
    <cfRule type="cellIs" dxfId="43" priority="23" operator="lessThan">
      <formula>0</formula>
    </cfRule>
    <cfRule type="cellIs" dxfId="42" priority="24" operator="greaterThan">
      <formula>0</formula>
    </cfRule>
  </conditionalFormatting>
  <conditionalFormatting sqref="L7:L147">
    <cfRule type="cellIs" dxfId="41" priority="53" operator="greaterThan">
      <formula>0</formula>
    </cfRule>
  </conditionalFormatting>
  <conditionalFormatting sqref="L149:L163">
    <cfRule type="cellIs" dxfId="40" priority="56" operator="greaterThan">
      <formula>0</formula>
    </cfRule>
  </conditionalFormatting>
  <conditionalFormatting sqref="L167">
    <cfRule type="cellIs" dxfId="39" priority="44" operator="greaterThan">
      <formula>0</formula>
    </cfRule>
    <cfRule type="cellIs" dxfId="38" priority="43" operator="lessThan">
      <formula>0</formula>
    </cfRule>
  </conditionalFormatting>
  <conditionalFormatting sqref="L170">
    <cfRule type="cellIs" dxfId="37" priority="40" operator="greaterThan">
      <formula>0</formula>
    </cfRule>
    <cfRule type="cellIs" dxfId="36" priority="39" operator="lessThan">
      <formula>0</formula>
    </cfRule>
  </conditionalFormatting>
  <conditionalFormatting sqref="L173">
    <cfRule type="cellIs" dxfId="35" priority="21" operator="lessThan">
      <formula>0</formula>
    </cfRule>
    <cfRule type="cellIs" dxfId="34" priority="22" operator="greaterThan">
      <formula>0</formula>
    </cfRule>
  </conditionalFormatting>
  <conditionalFormatting sqref="N7:N163">
    <cfRule type="cellIs" dxfId="33" priority="52" operator="greaterThan">
      <formula>0</formula>
    </cfRule>
  </conditionalFormatting>
  <conditionalFormatting sqref="N167">
    <cfRule type="cellIs" dxfId="32" priority="38" operator="greaterThan">
      <formula>0</formula>
    </cfRule>
    <cfRule type="cellIs" dxfId="31" priority="37" operator="lessThan">
      <formula>0</formula>
    </cfRule>
  </conditionalFormatting>
  <conditionalFormatting sqref="N170">
    <cfRule type="cellIs" dxfId="30" priority="35" operator="lessThan">
      <formula>0</formula>
    </cfRule>
    <cfRule type="cellIs" dxfId="29" priority="36" operator="greaterThan">
      <formula>0</formula>
    </cfRule>
  </conditionalFormatting>
  <conditionalFormatting sqref="N173">
    <cfRule type="cellIs" dxfId="28" priority="20" operator="greaterThan">
      <formula>0</formula>
    </cfRule>
    <cfRule type="cellIs" dxfId="27" priority="19" operator="lessThan">
      <formula>0</formula>
    </cfRule>
  </conditionalFormatting>
  <conditionalFormatting sqref="P7:P163">
    <cfRule type="cellIs" dxfId="26" priority="8" operator="greaterThan">
      <formula>0</formula>
    </cfRule>
  </conditionalFormatting>
  <conditionalFormatting sqref="P167">
    <cfRule type="cellIs" dxfId="25" priority="33" operator="lessThan">
      <formula>0</formula>
    </cfRule>
    <cfRule type="cellIs" dxfId="24" priority="34" operator="greaterThan">
      <formula>0</formula>
    </cfRule>
  </conditionalFormatting>
  <conditionalFormatting sqref="P170">
    <cfRule type="cellIs" dxfId="23" priority="32" operator="greaterThan">
      <formula>0</formula>
    </cfRule>
    <cfRule type="cellIs" dxfId="22" priority="31" operator="lessThan">
      <formula>0</formula>
    </cfRule>
  </conditionalFormatting>
  <conditionalFormatting sqref="P173">
    <cfRule type="cellIs" dxfId="21" priority="18" operator="greaterThan">
      <formula>0</formula>
    </cfRule>
    <cfRule type="cellIs" dxfId="20" priority="17" operator="lessThan">
      <formula>0</formula>
    </cfRule>
  </conditionalFormatting>
  <conditionalFormatting sqref="R6:R163">
    <cfRule type="cellIs" dxfId="19" priority="51" operator="greaterThan">
      <formula>1</formula>
    </cfRule>
  </conditionalFormatting>
  <conditionalFormatting sqref="T7:T163">
    <cfRule type="cellIs" dxfId="18" priority="7" operator="greaterThan">
      <formula>0</formula>
    </cfRule>
  </conditionalFormatting>
  <conditionalFormatting sqref="T167">
    <cfRule type="cellIs" dxfId="17" priority="14" operator="greaterThan">
      <formula>0</formula>
    </cfRule>
    <cfRule type="cellIs" dxfId="16" priority="13" operator="lessThan">
      <formula>0</formula>
    </cfRule>
  </conditionalFormatting>
  <conditionalFormatting sqref="T170">
    <cfRule type="cellIs" dxfId="15" priority="12" operator="greaterThan">
      <formula>0</formula>
    </cfRule>
    <cfRule type="cellIs" dxfId="14" priority="11" operator="lessThan">
      <formula>0</formula>
    </cfRule>
  </conditionalFormatting>
  <conditionalFormatting sqref="T173">
    <cfRule type="cellIs" dxfId="13" priority="10" operator="greaterThan">
      <formula>0</formula>
    </cfRule>
    <cfRule type="cellIs" dxfId="12" priority="9" operator="lessThan">
      <formula>0</formula>
    </cfRule>
  </conditionalFormatting>
  <conditionalFormatting sqref="W167">
    <cfRule type="cellIs" dxfId="11" priority="30" operator="greaterThan">
      <formula>0</formula>
    </cfRule>
    <cfRule type="cellIs" dxfId="10" priority="29" operator="lessThan">
      <formula>0</formula>
    </cfRule>
  </conditionalFormatting>
  <conditionalFormatting sqref="W170">
    <cfRule type="cellIs" dxfId="9" priority="28" operator="greaterThan">
      <formula>0</formula>
    </cfRule>
    <cfRule type="cellIs" dxfId="8" priority="27" operator="lessThan">
      <formula>0</formula>
    </cfRule>
  </conditionalFormatting>
  <conditionalFormatting sqref="W173">
    <cfRule type="cellIs" dxfId="7" priority="16" operator="greaterThan">
      <formula>0</formula>
    </cfRule>
    <cfRule type="cellIs" dxfId="6" priority="15" operator="lessThan">
      <formula>0</formula>
    </cfRule>
  </conditionalFormatting>
  <conditionalFormatting sqref="X7:X161">
    <cfRule type="cellIs" dxfId="5" priority="6" operator="greaterThan">
      <formula>0</formula>
    </cfRule>
  </conditionalFormatting>
  <conditionalFormatting sqref="Z7:Z161">
    <cfRule type="cellIs" dxfId="4" priority="5" operator="greaterThan">
      <formula>0</formula>
    </cfRule>
  </conditionalFormatting>
  <conditionalFormatting sqref="AB7:AB161">
    <cfRule type="cellIs" dxfId="3" priority="4" operator="greaterThan">
      <formula>0</formula>
    </cfRule>
  </conditionalFormatting>
  <conditionalFormatting sqref="AD7:AD161">
    <cfRule type="cellIs" dxfId="2" priority="3" operator="greaterThan">
      <formula>0</formula>
    </cfRule>
  </conditionalFormatting>
  <conditionalFormatting sqref="AF7:AF161">
    <cfRule type="cellIs" dxfId="1" priority="2" operator="greaterThan">
      <formula>0</formula>
    </cfRule>
  </conditionalFormatting>
  <conditionalFormatting sqref="AH7:AH16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38EB-E7D9-4465-BC9D-8368DEC6E071}">
  <dimension ref="A1:J130"/>
  <sheetViews>
    <sheetView tabSelected="1" topLeftCell="A68" workbookViewId="0">
      <selection activeCell="I19" sqref="I19"/>
    </sheetView>
  </sheetViews>
  <sheetFormatPr baseColWidth="10" defaultRowHeight="15" x14ac:dyDescent="0.25"/>
  <cols>
    <col min="1" max="1" width="18.42578125" customWidth="1"/>
    <col min="2" max="2" width="51.28515625" customWidth="1"/>
    <col min="3" max="3" width="18" customWidth="1"/>
  </cols>
  <sheetData>
    <row r="1" spans="1:10" ht="21" x14ac:dyDescent="0.35">
      <c r="A1" s="149" t="s">
        <v>300</v>
      </c>
      <c r="B1" s="149"/>
      <c r="C1" s="149"/>
      <c r="D1" s="149"/>
      <c r="E1" s="149"/>
      <c r="F1" s="149"/>
      <c r="G1" s="149"/>
    </row>
    <row r="2" spans="1:10" x14ac:dyDescent="0.25">
      <c r="C2" s="137">
        <v>2024</v>
      </c>
      <c r="E2" s="137">
        <v>2024</v>
      </c>
      <c r="F2" s="148">
        <v>2025</v>
      </c>
      <c r="G2" s="148">
        <v>2025</v>
      </c>
    </row>
    <row r="3" spans="1:10" x14ac:dyDescent="0.25">
      <c r="A3" s="162"/>
      <c r="B3" s="162"/>
      <c r="C3" s="137" t="s">
        <v>94</v>
      </c>
      <c r="D3" s="137" t="s">
        <v>95</v>
      </c>
      <c r="E3" s="137" t="s">
        <v>6</v>
      </c>
      <c r="F3" s="163" t="s">
        <v>8</v>
      </c>
      <c r="G3" s="163" t="s">
        <v>9</v>
      </c>
    </row>
    <row r="4" spans="1:10" x14ac:dyDescent="0.25">
      <c r="A4" s="3" t="s">
        <v>96</v>
      </c>
      <c r="B4" s="3" t="s">
        <v>97</v>
      </c>
      <c r="C4" s="138">
        <f>+C5+C39+C55+C111+C120</f>
        <v>4796698.2599999988</v>
      </c>
      <c r="D4" s="138">
        <f>+D5+D39+D55+D111+D120</f>
        <v>399724.85499999998</v>
      </c>
      <c r="E4" s="138">
        <f>+E5+E39+E55+E111+E120</f>
        <v>589579.31000000006</v>
      </c>
      <c r="F4" s="138">
        <f>+F5+F39+F55+F111+F120</f>
        <v>527200.34</v>
      </c>
      <c r="G4" s="138">
        <f>+G5+G39+G55+G111+G120</f>
        <v>232487.26000000004</v>
      </c>
      <c r="I4" s="2"/>
      <c r="J4" s="2"/>
    </row>
    <row r="5" spans="1:10" x14ac:dyDescent="0.25">
      <c r="A5" s="139" t="s">
        <v>98</v>
      </c>
      <c r="B5" s="139" t="s">
        <v>99</v>
      </c>
      <c r="C5" s="140">
        <f>+C6</f>
        <v>2472437.9799999995</v>
      </c>
      <c r="D5" s="140">
        <f>+D6</f>
        <v>206036.49833333335</v>
      </c>
      <c r="E5" s="140">
        <f>+E6</f>
        <v>167619.84</v>
      </c>
      <c r="F5" s="140">
        <f>+F6</f>
        <v>223417.36</v>
      </c>
      <c r="G5" s="140">
        <f>+G6</f>
        <v>136210.29</v>
      </c>
    </row>
    <row r="6" spans="1:10" x14ac:dyDescent="0.25">
      <c r="A6" s="58" t="s">
        <v>100</v>
      </c>
      <c r="B6" s="58" t="s">
        <v>101</v>
      </c>
      <c r="C6" s="141">
        <f>+C7+C12</f>
        <v>2472437.9799999995</v>
      </c>
      <c r="D6" s="141">
        <f>+D7+D12</f>
        <v>206036.49833333335</v>
      </c>
      <c r="E6" s="141">
        <f>+E7+E12</f>
        <v>167619.84</v>
      </c>
      <c r="F6" s="141">
        <f>+F7+F12</f>
        <v>223417.36</v>
      </c>
      <c r="G6" s="141">
        <f>+G7+G12</f>
        <v>136210.29</v>
      </c>
    </row>
    <row r="7" spans="1:10" x14ac:dyDescent="0.25">
      <c r="A7" s="142" t="s">
        <v>102</v>
      </c>
      <c r="B7" s="142" t="s">
        <v>103</v>
      </c>
      <c r="C7" s="143">
        <f>+SUM(C8:C11)</f>
        <v>257299.15000000002</v>
      </c>
      <c r="D7" s="143">
        <f>+SUM(D8:D11)</f>
        <v>21441.595833333333</v>
      </c>
      <c r="E7" s="143">
        <f>+E8+E9+E10+E11</f>
        <v>59573.259999999995</v>
      </c>
      <c r="F7" s="143">
        <f>+F8+F9+F10+F11</f>
        <v>20126.09</v>
      </c>
      <c r="G7" s="143">
        <f>+G8+G9+G10+G11</f>
        <v>57797.63</v>
      </c>
    </row>
    <row r="8" spans="1:10" x14ac:dyDescent="0.25">
      <c r="A8" t="s">
        <v>104</v>
      </c>
      <c r="B8" t="s">
        <v>105</v>
      </c>
      <c r="C8" s="2">
        <v>16998.48</v>
      </c>
      <c r="D8" s="2">
        <f>+C8/12</f>
        <v>1416.54</v>
      </c>
      <c r="E8" s="2">
        <v>0</v>
      </c>
      <c r="F8" s="2">
        <v>0</v>
      </c>
      <c r="G8" s="2">
        <v>0</v>
      </c>
    </row>
    <row r="9" spans="1:10" x14ac:dyDescent="0.25">
      <c r="A9" t="s">
        <v>21</v>
      </c>
      <c r="B9" t="s">
        <v>106</v>
      </c>
      <c r="C9" s="2">
        <v>204687.92</v>
      </c>
      <c r="D9" s="2">
        <f t="shared" ref="D9:D11" si="0">+C9/12</f>
        <v>17057.326666666668</v>
      </c>
      <c r="E9" s="2">
        <v>48904.78</v>
      </c>
      <c r="F9" s="2">
        <v>0</v>
      </c>
      <c r="G9" s="2">
        <v>57797.63</v>
      </c>
    </row>
    <row r="10" spans="1:10" x14ac:dyDescent="0.25">
      <c r="A10" t="s">
        <v>23</v>
      </c>
      <c r="B10" t="s">
        <v>107</v>
      </c>
      <c r="C10" s="2">
        <v>476.19</v>
      </c>
      <c r="D10" s="2">
        <f t="shared" si="0"/>
        <v>39.682499999999997</v>
      </c>
      <c r="E10" s="2">
        <v>10668.48</v>
      </c>
      <c r="F10" s="2">
        <v>0</v>
      </c>
      <c r="G10" s="2">
        <v>0</v>
      </c>
    </row>
    <row r="11" spans="1:10" x14ac:dyDescent="0.25">
      <c r="A11" t="s">
        <v>25</v>
      </c>
      <c r="B11" t="s">
        <v>108</v>
      </c>
      <c r="C11" s="2">
        <v>35136.559999999998</v>
      </c>
      <c r="D11" s="2">
        <f t="shared" si="0"/>
        <v>2928.0466666666666</v>
      </c>
      <c r="E11" s="2">
        <v>0</v>
      </c>
      <c r="F11" s="2">
        <v>20126.09</v>
      </c>
      <c r="G11" s="2">
        <v>0</v>
      </c>
    </row>
    <row r="12" spans="1:10" x14ac:dyDescent="0.25">
      <c r="A12" s="142" t="s">
        <v>109</v>
      </c>
      <c r="B12" s="142" t="s">
        <v>110</v>
      </c>
      <c r="C12" s="143">
        <f>+SUM(C13:C37)</f>
        <v>2215138.8299999996</v>
      </c>
      <c r="D12" s="143">
        <f>+SUM(D13:D37)</f>
        <v>184594.90250000003</v>
      </c>
      <c r="E12" s="143">
        <f>+SUM(E13:E37)</f>
        <v>108046.58</v>
      </c>
      <c r="F12" s="143">
        <f>+SUM(F13:F38)</f>
        <v>203291.27</v>
      </c>
      <c r="G12" s="143">
        <f>+SUM(G13:G37)</f>
        <v>78412.66</v>
      </c>
    </row>
    <row r="13" spans="1:10" x14ac:dyDescent="0.25">
      <c r="A13" s="3" t="s">
        <v>111</v>
      </c>
      <c r="B13" s="3" t="s">
        <v>112</v>
      </c>
      <c r="C13" s="144">
        <v>29211.119999999999</v>
      </c>
      <c r="D13" s="2">
        <f>+C13/12</f>
        <v>2434.2599999999998</v>
      </c>
      <c r="E13" s="2">
        <v>8472.06</v>
      </c>
      <c r="F13" s="2">
        <v>2349.96</v>
      </c>
      <c r="G13" s="2">
        <v>845.64</v>
      </c>
    </row>
    <row r="14" spans="1:10" x14ac:dyDescent="0.25">
      <c r="A14" s="3" t="s">
        <v>113</v>
      </c>
      <c r="B14" s="3" t="s">
        <v>114</v>
      </c>
      <c r="C14" s="144">
        <v>265273.77</v>
      </c>
      <c r="D14" s="2">
        <f t="shared" ref="D14:D37" si="1">+C14/12</f>
        <v>22106.147500000003</v>
      </c>
      <c r="E14" s="2">
        <v>0</v>
      </c>
      <c r="F14" s="2">
        <v>0</v>
      </c>
      <c r="G14" s="2">
        <v>0</v>
      </c>
    </row>
    <row r="15" spans="1:10" x14ac:dyDescent="0.25">
      <c r="A15" s="3" t="s">
        <v>115</v>
      </c>
      <c r="B15" s="3" t="s">
        <v>116</v>
      </c>
      <c r="C15" s="144">
        <v>9033.2999999999993</v>
      </c>
      <c r="D15" s="2">
        <f t="shared" si="1"/>
        <v>752.77499999999998</v>
      </c>
      <c r="E15" s="2">
        <v>0</v>
      </c>
      <c r="F15" s="2">
        <v>0</v>
      </c>
      <c r="G15" s="2">
        <v>0</v>
      </c>
    </row>
    <row r="16" spans="1:10" x14ac:dyDescent="0.25">
      <c r="A16" s="3" t="s">
        <v>117</v>
      </c>
      <c r="B16" s="3" t="s">
        <v>118</v>
      </c>
      <c r="C16" s="144">
        <v>3709.3</v>
      </c>
      <c r="D16" s="2">
        <f t="shared" si="1"/>
        <v>309.10833333333335</v>
      </c>
      <c r="E16" s="2">
        <v>0</v>
      </c>
      <c r="F16" s="2">
        <v>0</v>
      </c>
      <c r="G16" s="2">
        <v>0</v>
      </c>
    </row>
    <row r="17" spans="1:7" x14ac:dyDescent="0.25">
      <c r="A17" s="3" t="s">
        <v>31</v>
      </c>
      <c r="B17" s="3" t="s">
        <v>32</v>
      </c>
      <c r="C17" s="144">
        <v>33378.699999999997</v>
      </c>
      <c r="D17" s="2">
        <f t="shared" si="1"/>
        <v>2781.5583333333329</v>
      </c>
      <c r="E17" s="2">
        <v>0</v>
      </c>
      <c r="F17" s="2">
        <v>0</v>
      </c>
      <c r="G17" s="2">
        <v>0</v>
      </c>
    </row>
    <row r="18" spans="1:7" x14ac:dyDescent="0.25">
      <c r="A18" s="3" t="s">
        <v>119</v>
      </c>
      <c r="B18" s="3" t="s">
        <v>120</v>
      </c>
      <c r="C18" s="144">
        <v>54446.36</v>
      </c>
      <c r="D18" s="2">
        <f t="shared" si="1"/>
        <v>4537.1966666666667</v>
      </c>
      <c r="E18" s="2">
        <v>4582.1000000000004</v>
      </c>
      <c r="F18" s="2">
        <v>5934.39</v>
      </c>
      <c r="G18" s="2">
        <v>5934.39</v>
      </c>
    </row>
    <row r="19" spans="1:7" x14ac:dyDescent="0.25">
      <c r="A19" s="3" t="s">
        <v>121</v>
      </c>
      <c r="B19" s="3" t="s">
        <v>122</v>
      </c>
      <c r="C19" s="144">
        <v>3007.61</v>
      </c>
      <c r="D19" s="2">
        <f t="shared" si="1"/>
        <v>250.63416666666669</v>
      </c>
      <c r="E19" s="2">
        <v>81.34</v>
      </c>
      <c r="F19" s="2">
        <v>81.34</v>
      </c>
      <c r="G19" s="2">
        <v>81.34</v>
      </c>
    </row>
    <row r="20" spans="1:7" x14ac:dyDescent="0.25">
      <c r="A20" s="3" t="s">
        <v>123</v>
      </c>
      <c r="B20" s="3" t="s">
        <v>124</v>
      </c>
      <c r="C20" s="144">
        <v>54954.400000000001</v>
      </c>
      <c r="D20" s="2">
        <f t="shared" si="1"/>
        <v>4579.5333333333338</v>
      </c>
      <c r="E20" s="2">
        <v>0</v>
      </c>
      <c r="F20" s="2">
        <v>7373.34</v>
      </c>
      <c r="G20" s="2">
        <v>3244.26</v>
      </c>
    </row>
    <row r="21" spans="1:7" x14ac:dyDescent="0.25">
      <c r="A21" s="3" t="s">
        <v>125</v>
      </c>
      <c r="B21" s="3" t="s">
        <v>126</v>
      </c>
      <c r="C21" s="144">
        <v>4092.48</v>
      </c>
      <c r="D21" s="2">
        <f t="shared" si="1"/>
        <v>341.04</v>
      </c>
      <c r="E21" s="2">
        <v>0</v>
      </c>
      <c r="F21" s="2">
        <v>0</v>
      </c>
      <c r="G21" s="2">
        <v>0</v>
      </c>
    </row>
    <row r="22" spans="1:7" x14ac:dyDescent="0.25">
      <c r="A22" s="3" t="s">
        <v>127</v>
      </c>
      <c r="B22" s="3" t="s">
        <v>128</v>
      </c>
      <c r="C22" s="144">
        <v>1746.96</v>
      </c>
      <c r="D22" s="2">
        <f t="shared" si="1"/>
        <v>145.58000000000001</v>
      </c>
      <c r="E22" s="2">
        <v>0</v>
      </c>
      <c r="F22" s="2">
        <v>0</v>
      </c>
      <c r="G22" s="2">
        <v>0</v>
      </c>
    </row>
    <row r="23" spans="1:7" x14ac:dyDescent="0.25">
      <c r="A23" s="3" t="s">
        <v>129</v>
      </c>
      <c r="B23" s="3" t="s">
        <v>130</v>
      </c>
      <c r="C23" s="144">
        <v>6445.65</v>
      </c>
      <c r="D23" s="2">
        <f t="shared" si="1"/>
        <v>537.13749999999993</v>
      </c>
      <c r="E23" s="2">
        <v>0</v>
      </c>
      <c r="F23" s="2">
        <v>0</v>
      </c>
      <c r="G23" s="2">
        <v>0</v>
      </c>
    </row>
    <row r="24" spans="1:7" x14ac:dyDescent="0.25">
      <c r="A24" s="3" t="s">
        <v>131</v>
      </c>
      <c r="B24" s="3" t="s">
        <v>132</v>
      </c>
      <c r="C24" s="144">
        <v>3016.46</v>
      </c>
      <c r="D24" s="2">
        <f t="shared" si="1"/>
        <v>251.37166666666667</v>
      </c>
      <c r="E24" s="2">
        <v>0</v>
      </c>
      <c r="F24" s="2">
        <v>0</v>
      </c>
      <c r="G24" s="2">
        <v>0</v>
      </c>
    </row>
    <row r="25" spans="1:7" x14ac:dyDescent="0.25">
      <c r="A25" s="3" t="s">
        <v>133</v>
      </c>
      <c r="B25" s="3" t="s">
        <v>134</v>
      </c>
      <c r="C25" s="144">
        <v>4229.4799999999996</v>
      </c>
      <c r="D25" s="2">
        <f t="shared" si="1"/>
        <v>352.45666666666665</v>
      </c>
      <c r="E25" s="2">
        <v>0</v>
      </c>
      <c r="F25" s="2">
        <v>522</v>
      </c>
      <c r="G25" s="2">
        <v>522</v>
      </c>
    </row>
    <row r="26" spans="1:7" x14ac:dyDescent="0.25">
      <c r="A26" s="3" t="s">
        <v>135</v>
      </c>
      <c r="B26" s="3" t="s">
        <v>136</v>
      </c>
      <c r="C26" s="144">
        <v>13572</v>
      </c>
      <c r="D26" s="2">
        <f t="shared" si="1"/>
        <v>1131</v>
      </c>
      <c r="E26" s="2">
        <v>0</v>
      </c>
      <c r="F26" s="2">
        <v>2784</v>
      </c>
      <c r="G26" s="2">
        <v>0</v>
      </c>
    </row>
    <row r="27" spans="1:7" x14ac:dyDescent="0.25">
      <c r="A27" s="3" t="s">
        <v>137</v>
      </c>
      <c r="B27" s="3" t="s">
        <v>138</v>
      </c>
      <c r="C27" s="144">
        <v>2756.16</v>
      </c>
      <c r="D27" s="2">
        <f t="shared" si="1"/>
        <v>229.67999999999998</v>
      </c>
      <c r="E27" s="2">
        <v>522</v>
      </c>
      <c r="F27" s="2">
        <v>0</v>
      </c>
      <c r="G27" s="2">
        <v>0</v>
      </c>
    </row>
    <row r="28" spans="1:7" x14ac:dyDescent="0.25">
      <c r="A28" s="3" t="s">
        <v>139</v>
      </c>
      <c r="B28" s="3" t="s">
        <v>140</v>
      </c>
      <c r="C28" s="144">
        <v>278.39999999999998</v>
      </c>
      <c r="D28" s="2">
        <f t="shared" si="1"/>
        <v>23.2</v>
      </c>
      <c r="E28" s="2">
        <v>0</v>
      </c>
      <c r="F28" s="2">
        <v>0</v>
      </c>
      <c r="G28" s="2">
        <v>0</v>
      </c>
    </row>
    <row r="29" spans="1:7" x14ac:dyDescent="0.25">
      <c r="A29" s="3" t="s">
        <v>34</v>
      </c>
      <c r="B29" s="3" t="s">
        <v>35</v>
      </c>
      <c r="C29" s="144">
        <v>1297552.5900000001</v>
      </c>
      <c r="D29" s="2">
        <f t="shared" si="1"/>
        <v>108129.38250000001</v>
      </c>
      <c r="E29" s="2">
        <v>1033.56</v>
      </c>
      <c r="F29" s="2">
        <v>112275.8</v>
      </c>
      <c r="G29" s="2">
        <v>52797.86</v>
      </c>
    </row>
    <row r="30" spans="1:7" x14ac:dyDescent="0.25">
      <c r="A30" s="3" t="s">
        <v>141</v>
      </c>
      <c r="B30" s="3" t="s">
        <v>142</v>
      </c>
      <c r="C30" s="144">
        <v>417194.97</v>
      </c>
      <c r="D30" s="2">
        <f t="shared" si="1"/>
        <v>34766.247499999998</v>
      </c>
      <c r="E30" s="2">
        <v>0</v>
      </c>
      <c r="F30" s="2">
        <v>63081.27</v>
      </c>
      <c r="G30" s="2">
        <v>14157.68</v>
      </c>
    </row>
    <row r="31" spans="1:7" x14ac:dyDescent="0.25">
      <c r="A31" s="3" t="s">
        <v>143</v>
      </c>
      <c r="B31" s="3" t="s">
        <v>144</v>
      </c>
      <c r="C31" s="144">
        <v>248.82</v>
      </c>
      <c r="D31" s="2">
        <f t="shared" si="1"/>
        <v>20.734999999999999</v>
      </c>
      <c r="E31" s="2">
        <v>0</v>
      </c>
      <c r="F31" s="2">
        <v>0</v>
      </c>
      <c r="G31" s="2">
        <v>0</v>
      </c>
    </row>
    <row r="32" spans="1:7" x14ac:dyDescent="0.25">
      <c r="A32" s="3" t="s">
        <v>36</v>
      </c>
      <c r="B32" s="3" t="s">
        <v>37</v>
      </c>
      <c r="C32" s="144">
        <v>6904.3</v>
      </c>
      <c r="D32" s="2">
        <f t="shared" si="1"/>
        <v>575.35833333333335</v>
      </c>
      <c r="E32" s="2">
        <v>3303.63</v>
      </c>
      <c r="F32" s="2">
        <v>690.43</v>
      </c>
      <c r="G32" s="2">
        <v>690.43</v>
      </c>
    </row>
    <row r="33" spans="1:7" x14ac:dyDescent="0.25">
      <c r="A33" s="3" t="s">
        <v>38</v>
      </c>
      <c r="B33" s="3" t="s">
        <v>39</v>
      </c>
      <c r="C33" s="144">
        <v>139.06</v>
      </c>
      <c r="D33" s="2">
        <f t="shared" si="1"/>
        <v>11.588333333333333</v>
      </c>
      <c r="E33" s="2">
        <v>89361.46</v>
      </c>
      <c r="F33" s="2">
        <v>139.06</v>
      </c>
      <c r="G33" s="2">
        <v>139.06</v>
      </c>
    </row>
    <row r="34" spans="1:7" x14ac:dyDescent="0.25">
      <c r="A34" s="3" t="s">
        <v>40</v>
      </c>
      <c r="B34" s="3" t="s">
        <v>41</v>
      </c>
      <c r="C34" s="144">
        <v>689.04</v>
      </c>
      <c r="D34" s="2">
        <f t="shared" si="1"/>
        <v>57.419999999999995</v>
      </c>
      <c r="E34" s="2">
        <v>690.43</v>
      </c>
      <c r="F34" s="2">
        <v>0</v>
      </c>
      <c r="G34" s="2">
        <v>0</v>
      </c>
    </row>
    <row r="35" spans="1:7" x14ac:dyDescent="0.25">
      <c r="A35" s="3" t="s">
        <v>42</v>
      </c>
      <c r="B35" s="3" t="s">
        <v>43</v>
      </c>
      <c r="C35" s="144">
        <v>689.04</v>
      </c>
      <c r="D35" s="2">
        <f t="shared" si="1"/>
        <v>57.419999999999995</v>
      </c>
      <c r="E35" s="2">
        <v>0</v>
      </c>
      <c r="F35" s="2">
        <v>1378.08</v>
      </c>
      <c r="G35" s="2">
        <v>0</v>
      </c>
    </row>
    <row r="36" spans="1:7" x14ac:dyDescent="0.25">
      <c r="A36" s="3" t="s">
        <v>44</v>
      </c>
      <c r="B36" s="3" t="s">
        <v>45</v>
      </c>
      <c r="C36" s="144">
        <v>2324.15</v>
      </c>
      <c r="D36" s="2">
        <f t="shared" si="1"/>
        <v>193.67916666666667</v>
      </c>
      <c r="E36" s="2">
        <v>0</v>
      </c>
      <c r="F36" s="2">
        <v>0</v>
      </c>
      <c r="G36" s="2">
        <v>0</v>
      </c>
    </row>
    <row r="37" spans="1:7" x14ac:dyDescent="0.25">
      <c r="A37" s="3" t="s">
        <v>46</v>
      </c>
      <c r="B37" s="3" t="s">
        <v>145</v>
      </c>
      <c r="C37" s="144">
        <v>244.71</v>
      </c>
      <c r="D37" s="2">
        <f t="shared" si="1"/>
        <v>20.392500000000002</v>
      </c>
      <c r="E37" s="2">
        <v>0</v>
      </c>
      <c r="F37" s="2">
        <v>0</v>
      </c>
      <c r="G37" s="2">
        <v>0</v>
      </c>
    </row>
    <row r="38" spans="1:7" x14ac:dyDescent="0.25">
      <c r="A38" s="3" t="s">
        <v>296</v>
      </c>
      <c r="B38" s="3" t="s">
        <v>297</v>
      </c>
      <c r="C38" s="144">
        <v>0</v>
      </c>
      <c r="D38" s="2">
        <v>0</v>
      </c>
      <c r="E38" s="2">
        <v>0</v>
      </c>
      <c r="F38" s="2">
        <v>6681.6</v>
      </c>
      <c r="G38" s="2">
        <v>0</v>
      </c>
    </row>
    <row r="39" spans="1:7" x14ac:dyDescent="0.25">
      <c r="A39" s="139" t="s">
        <v>146</v>
      </c>
      <c r="B39" s="139" t="s">
        <v>147</v>
      </c>
      <c r="C39" s="140">
        <f>+C40</f>
        <v>105230.23</v>
      </c>
      <c r="D39" s="140">
        <f>+D40</f>
        <v>8769.185833333333</v>
      </c>
      <c r="E39" s="140">
        <f>+E40</f>
        <v>3949.89</v>
      </c>
      <c r="F39" s="140">
        <f>+F40</f>
        <v>38082.65</v>
      </c>
      <c r="G39" s="140">
        <f>+G40</f>
        <v>3138.08</v>
      </c>
    </row>
    <row r="40" spans="1:7" ht="16.5" customHeight="1" x14ac:dyDescent="0.25">
      <c r="A40" s="58" t="s">
        <v>148</v>
      </c>
      <c r="B40" s="58" t="s">
        <v>149</v>
      </c>
      <c r="C40" s="141">
        <f>+C46+C49+C51</f>
        <v>105230.23</v>
      </c>
      <c r="D40" s="141">
        <f>+D46+D49+D51</f>
        <v>8769.185833333333</v>
      </c>
      <c r="E40" s="141">
        <f>+E41+E46+E49+E51</f>
        <v>3949.89</v>
      </c>
      <c r="F40" s="141">
        <f>+F41+F46+F49+F51+F44</f>
        <v>38082.65</v>
      </c>
      <c r="G40" s="141">
        <f>+G41+G46+G49+G51+G44</f>
        <v>3138.08</v>
      </c>
    </row>
    <row r="41" spans="1:7" ht="16.5" customHeight="1" x14ac:dyDescent="0.25">
      <c r="A41" s="146" t="s">
        <v>294</v>
      </c>
      <c r="B41" s="147" t="s">
        <v>170</v>
      </c>
      <c r="C41" s="143">
        <f>+C42+C43</f>
        <v>0</v>
      </c>
      <c r="D41" s="143">
        <f>+D42+D43</f>
        <v>0</v>
      </c>
      <c r="E41" s="143">
        <f>+E42+E43</f>
        <v>2580.62</v>
      </c>
      <c r="F41" s="143">
        <f>+F42+F43</f>
        <v>0</v>
      </c>
      <c r="G41" s="143">
        <f>+G42+G43</f>
        <v>0</v>
      </c>
    </row>
    <row r="42" spans="1:7" ht="16.5" customHeight="1" x14ac:dyDescent="0.25">
      <c r="A42" s="145" t="s">
        <v>295</v>
      </c>
      <c r="B42" t="s">
        <v>176</v>
      </c>
      <c r="C42" s="144">
        <v>0</v>
      </c>
      <c r="D42" s="144">
        <f>+C42/12</f>
        <v>0</v>
      </c>
      <c r="E42" s="144">
        <v>0</v>
      </c>
      <c r="F42" s="2">
        <v>0</v>
      </c>
      <c r="G42" s="144">
        <v>0</v>
      </c>
    </row>
    <row r="43" spans="1:7" ht="16.5" customHeight="1" x14ac:dyDescent="0.25">
      <c r="A43" s="145" t="s">
        <v>48</v>
      </c>
      <c r="B43" t="s">
        <v>49</v>
      </c>
      <c r="C43" s="144">
        <v>0</v>
      </c>
      <c r="D43" s="144">
        <f>+C43/12</f>
        <v>0</v>
      </c>
      <c r="E43" s="144">
        <v>2580.62</v>
      </c>
      <c r="F43" s="2">
        <v>0</v>
      </c>
      <c r="G43" s="144">
        <v>0</v>
      </c>
    </row>
    <row r="44" spans="1:7" ht="16.5" customHeight="1" x14ac:dyDescent="0.25">
      <c r="A44" s="145" t="s">
        <v>56</v>
      </c>
      <c r="B44" s="147" t="s">
        <v>298</v>
      </c>
      <c r="C44" s="143">
        <f>+C45</f>
        <v>0</v>
      </c>
      <c r="D44" s="143">
        <f>+D45</f>
        <v>0</v>
      </c>
      <c r="E44" s="143">
        <f>+E45</f>
        <v>0</v>
      </c>
      <c r="F44" s="143">
        <f>+F45</f>
        <v>2229.0700000000002</v>
      </c>
      <c r="G44" s="143">
        <f>+G45</f>
        <v>0</v>
      </c>
    </row>
    <row r="45" spans="1:7" ht="16.5" customHeight="1" x14ac:dyDescent="0.25">
      <c r="A45" s="145" t="s">
        <v>58</v>
      </c>
      <c r="B45" t="s">
        <v>299</v>
      </c>
      <c r="C45" s="144">
        <v>0</v>
      </c>
      <c r="D45" s="144">
        <v>0</v>
      </c>
      <c r="E45" s="144">
        <v>0</v>
      </c>
      <c r="F45" s="2">
        <v>2229.0700000000002</v>
      </c>
      <c r="G45" s="144">
        <v>0</v>
      </c>
    </row>
    <row r="46" spans="1:7" ht="16.5" customHeight="1" x14ac:dyDescent="0.25">
      <c r="A46" s="142" t="s">
        <v>150</v>
      </c>
      <c r="B46" s="142" t="s">
        <v>151</v>
      </c>
      <c r="C46" s="143">
        <f>+C47+C48</f>
        <v>52372.17</v>
      </c>
      <c r="D46" s="143">
        <f>+D47+D48</f>
        <v>4364.3474999999999</v>
      </c>
      <c r="E46" s="143">
        <f>+E47+E48</f>
        <v>0</v>
      </c>
      <c r="F46" s="143">
        <f>+F47+F48</f>
        <v>0</v>
      </c>
      <c r="G46" s="143">
        <f>+G47+G48</f>
        <v>0</v>
      </c>
    </row>
    <row r="47" spans="1:7" ht="16.5" customHeight="1" x14ac:dyDescent="0.25">
      <c r="A47" t="s">
        <v>50</v>
      </c>
      <c r="B47" t="s">
        <v>152</v>
      </c>
      <c r="C47" s="2">
        <v>47222.17</v>
      </c>
      <c r="D47" s="2">
        <f>+C47/12</f>
        <v>3935.1808333333333</v>
      </c>
      <c r="E47" s="2">
        <v>0</v>
      </c>
      <c r="F47" s="2">
        <v>0</v>
      </c>
      <c r="G47" s="2">
        <v>0</v>
      </c>
    </row>
    <row r="48" spans="1:7" ht="16.5" customHeight="1" x14ac:dyDescent="0.25">
      <c r="A48" t="s">
        <v>153</v>
      </c>
      <c r="B48" t="s">
        <v>154</v>
      </c>
      <c r="C48" s="2">
        <v>5150</v>
      </c>
      <c r="D48" s="2">
        <f>+C48/12</f>
        <v>429.16666666666669</v>
      </c>
      <c r="E48" s="2">
        <v>0</v>
      </c>
      <c r="F48" s="2">
        <v>0</v>
      </c>
      <c r="G48" s="2">
        <v>0</v>
      </c>
    </row>
    <row r="49" spans="1:7" ht="16.5" customHeight="1" x14ac:dyDescent="0.25">
      <c r="A49" s="142" t="s">
        <v>155</v>
      </c>
      <c r="B49" s="142" t="s">
        <v>156</v>
      </c>
      <c r="C49" s="143">
        <f>+C50</f>
        <v>36220.26</v>
      </c>
      <c r="D49" s="143">
        <f>+D50</f>
        <v>3018.355</v>
      </c>
      <c r="E49" s="143">
        <f>+E50</f>
        <v>828.56</v>
      </c>
      <c r="F49" s="143">
        <f>+F50</f>
        <v>0</v>
      </c>
      <c r="G49" s="143">
        <f>+G50</f>
        <v>0</v>
      </c>
    </row>
    <row r="50" spans="1:7" ht="16.5" customHeight="1" x14ac:dyDescent="0.25">
      <c r="A50" t="s">
        <v>157</v>
      </c>
      <c r="B50" t="s">
        <v>158</v>
      </c>
      <c r="C50" s="2">
        <v>36220.26</v>
      </c>
      <c r="D50" s="2">
        <f>+C50/12</f>
        <v>3018.355</v>
      </c>
      <c r="E50" s="2">
        <v>828.56</v>
      </c>
      <c r="F50" s="2">
        <v>0</v>
      </c>
      <c r="G50" s="2">
        <v>0</v>
      </c>
    </row>
    <row r="51" spans="1:7" x14ac:dyDescent="0.25">
      <c r="A51" s="142" t="s">
        <v>159</v>
      </c>
      <c r="B51" s="142" t="s">
        <v>160</v>
      </c>
      <c r="C51" s="143">
        <f>+C52+C53+C54</f>
        <v>16637.8</v>
      </c>
      <c r="D51" s="143">
        <f>+D52+D53+D54</f>
        <v>1386.4833333333333</v>
      </c>
      <c r="E51" s="143">
        <f>+E52+E53+E54</f>
        <v>540.71</v>
      </c>
      <c r="F51" s="143">
        <f>+F52+F53+F54</f>
        <v>35853.58</v>
      </c>
      <c r="G51" s="143">
        <f>+G52+G53+G54</f>
        <v>3138.08</v>
      </c>
    </row>
    <row r="52" spans="1:7" x14ac:dyDescent="0.25">
      <c r="A52" t="s">
        <v>52</v>
      </c>
      <c r="B52" t="s">
        <v>161</v>
      </c>
      <c r="C52" s="2">
        <v>487.2</v>
      </c>
      <c r="D52" s="2">
        <f>+C52/12</f>
        <v>40.6</v>
      </c>
      <c r="E52" s="2">
        <v>0</v>
      </c>
      <c r="F52" s="2">
        <v>0</v>
      </c>
      <c r="G52" s="2">
        <v>0</v>
      </c>
    </row>
    <row r="53" spans="1:7" x14ac:dyDescent="0.25">
      <c r="A53" t="s">
        <v>162</v>
      </c>
      <c r="B53" t="s">
        <v>163</v>
      </c>
      <c r="C53" s="2">
        <v>2440.7199999999998</v>
      </c>
      <c r="D53" s="2">
        <f t="shared" ref="D53:D54" si="2">+C53/12</f>
        <v>203.39333333333332</v>
      </c>
      <c r="E53" s="2">
        <v>540.71</v>
      </c>
      <c r="F53" s="2">
        <v>35853.58</v>
      </c>
      <c r="G53" s="143">
        <v>93.08</v>
      </c>
    </row>
    <row r="54" spans="1:7" x14ac:dyDescent="0.25">
      <c r="A54" t="s">
        <v>54</v>
      </c>
      <c r="B54" t="s">
        <v>164</v>
      </c>
      <c r="C54" s="2">
        <v>13709.88</v>
      </c>
      <c r="D54" s="2">
        <f t="shared" si="2"/>
        <v>1142.49</v>
      </c>
      <c r="E54" s="2">
        <v>0</v>
      </c>
      <c r="F54" s="2">
        <v>0</v>
      </c>
      <c r="G54" s="2">
        <v>3045</v>
      </c>
    </row>
    <row r="55" spans="1:7" x14ac:dyDescent="0.25">
      <c r="A55" s="139" t="s">
        <v>165</v>
      </c>
      <c r="B55" s="139" t="s">
        <v>166</v>
      </c>
      <c r="C55" s="140">
        <f>+C56</f>
        <v>1807802.7499999995</v>
      </c>
      <c r="D55" s="140">
        <f>+D56</f>
        <v>150650.22916666666</v>
      </c>
      <c r="E55" s="140">
        <f>+E56</f>
        <v>339164.54000000004</v>
      </c>
      <c r="F55" s="140">
        <f>+F56</f>
        <v>91282.239999999991</v>
      </c>
      <c r="G55" s="140">
        <f>+G56</f>
        <v>98598.46</v>
      </c>
    </row>
    <row r="56" spans="1:7" x14ac:dyDescent="0.25">
      <c r="A56" s="58" t="s">
        <v>167</v>
      </c>
      <c r="B56" s="58" t="s">
        <v>168</v>
      </c>
      <c r="C56" s="141">
        <f>+C57+C63+C68+C70+C72+C76+C79+C87+C95+C98+C101+C106</f>
        <v>1807802.7499999995</v>
      </c>
      <c r="D56" s="141">
        <f>+D57+D63+D68+D70+D72+D76+D79+D87+D95+D98+D101+D106</f>
        <v>150650.22916666666</v>
      </c>
      <c r="E56" s="141">
        <f>+E57+E63+E68+E70+E72+E76+E79+E87+E95+E98+E101+E106</f>
        <v>339164.54000000004</v>
      </c>
      <c r="F56" s="141">
        <f>+F57+F63+F68+F70+F72+F76+F79+F87+F95+F98+F101+F106</f>
        <v>91282.239999999991</v>
      </c>
      <c r="G56" s="141">
        <f>+G57+G63+G68+G70+G72+G76+G79+G87+G95+G98+G101+G106</f>
        <v>98598.46</v>
      </c>
    </row>
    <row r="57" spans="1:7" x14ac:dyDescent="0.25">
      <c r="A57" s="142" t="s">
        <v>169</v>
      </c>
      <c r="B57" s="142" t="s">
        <v>170</v>
      </c>
      <c r="C57" s="143">
        <f>+C58+C59+C60+C61+C62</f>
        <v>1177576.3199999998</v>
      </c>
      <c r="D57" s="143">
        <f>+D58+D59+D60+D61+D62</f>
        <v>98131.36</v>
      </c>
      <c r="E57" s="143">
        <f>+E58+E59+E60+E61+E62</f>
        <v>293299.86</v>
      </c>
      <c r="F57" s="143">
        <f>+F58+F59+F60+F61+F62</f>
        <v>51769.859999999993</v>
      </c>
      <c r="G57" s="143">
        <f>+G58+G59+G60+G61+G62</f>
        <v>47517.479999999996</v>
      </c>
    </row>
    <row r="58" spans="1:7" x14ac:dyDescent="0.25">
      <c r="A58" t="s">
        <v>171</v>
      </c>
      <c r="B58" t="s">
        <v>172</v>
      </c>
      <c r="C58" s="2">
        <v>484473.7</v>
      </c>
      <c r="D58" s="2">
        <f>+C58/12</f>
        <v>40372.808333333334</v>
      </c>
      <c r="E58" s="2">
        <v>30967.48</v>
      </c>
      <c r="F58" s="2">
        <v>30967.48</v>
      </c>
      <c r="G58" s="2">
        <v>30967.48</v>
      </c>
    </row>
    <row r="59" spans="1:7" x14ac:dyDescent="0.25">
      <c r="A59" t="s">
        <v>173</v>
      </c>
      <c r="B59" t="s">
        <v>174</v>
      </c>
      <c r="C59" s="2">
        <v>63945</v>
      </c>
      <c r="D59" s="2">
        <f t="shared" ref="D59:D62" si="3">+C59/12</f>
        <v>5328.75</v>
      </c>
      <c r="E59" s="2">
        <v>4350</v>
      </c>
      <c r="F59" s="2">
        <v>4350</v>
      </c>
      <c r="G59" s="2">
        <v>13050</v>
      </c>
    </row>
    <row r="60" spans="1:7" x14ac:dyDescent="0.25">
      <c r="A60" t="s">
        <v>175</v>
      </c>
      <c r="B60" t="s">
        <v>176</v>
      </c>
      <c r="C60" s="2">
        <v>143580</v>
      </c>
      <c r="D60" s="2">
        <f t="shared" si="3"/>
        <v>11965</v>
      </c>
      <c r="E60" s="2">
        <v>10500</v>
      </c>
      <c r="F60" s="2">
        <v>10500</v>
      </c>
      <c r="G60" s="2">
        <v>3500</v>
      </c>
    </row>
    <row r="61" spans="1:7" x14ac:dyDescent="0.25">
      <c r="A61" t="s">
        <v>177</v>
      </c>
      <c r="B61" t="s">
        <v>178</v>
      </c>
      <c r="C61" s="2">
        <v>3434.76</v>
      </c>
      <c r="D61" s="2">
        <f t="shared" si="3"/>
        <v>286.23</v>
      </c>
      <c r="E61" s="2">
        <v>3434.76</v>
      </c>
      <c r="F61" s="2">
        <v>0</v>
      </c>
      <c r="G61" s="2">
        <v>0</v>
      </c>
    </row>
    <row r="62" spans="1:7" x14ac:dyDescent="0.25">
      <c r="A62" t="s">
        <v>59</v>
      </c>
      <c r="B62" t="s">
        <v>179</v>
      </c>
      <c r="C62" s="2">
        <v>482142.86</v>
      </c>
      <c r="D62" s="2">
        <f t="shared" si="3"/>
        <v>40178.571666666663</v>
      </c>
      <c r="E62" s="2">
        <v>244047.62</v>
      </c>
      <c r="F62" s="2">
        <v>5952.38</v>
      </c>
      <c r="G62" s="2">
        <v>0</v>
      </c>
    </row>
    <row r="63" spans="1:7" x14ac:dyDescent="0.25">
      <c r="A63" s="142" t="s">
        <v>180</v>
      </c>
      <c r="B63" s="142" t="s">
        <v>181</v>
      </c>
      <c r="C63" s="143">
        <f>+C64+C65+C66+C67</f>
        <v>132474.48000000001</v>
      </c>
      <c r="D63" s="143">
        <f>+D64+D65+D66+D67</f>
        <v>11039.54</v>
      </c>
      <c r="E63" s="143">
        <f>+E64+E65+E66+E67</f>
        <v>5329.51</v>
      </c>
      <c r="F63" s="143">
        <f>+F64+F65+F66+F67</f>
        <v>5329.51</v>
      </c>
      <c r="G63" s="143">
        <f>+G64+G65+G66+G67</f>
        <v>5329.51</v>
      </c>
    </row>
    <row r="64" spans="1:7" x14ac:dyDescent="0.25">
      <c r="A64" t="s">
        <v>182</v>
      </c>
      <c r="B64" t="s">
        <v>183</v>
      </c>
      <c r="C64" s="2">
        <v>48054.54</v>
      </c>
      <c r="D64" s="2">
        <f>+C64/12</f>
        <v>4004.5450000000001</v>
      </c>
      <c r="E64" s="2">
        <v>3096.75</v>
      </c>
      <c r="F64" s="2">
        <v>3096.75</v>
      </c>
      <c r="G64" s="2">
        <v>3096.75</v>
      </c>
    </row>
    <row r="65" spans="1:8" x14ac:dyDescent="0.25">
      <c r="A65" t="s">
        <v>184</v>
      </c>
      <c r="B65" t="s">
        <v>185</v>
      </c>
      <c r="C65" s="2">
        <v>32736.45</v>
      </c>
      <c r="D65" s="2">
        <f t="shared" ref="D65:D67" si="4">+C65/12</f>
        <v>2728.0374999999999</v>
      </c>
      <c r="E65" s="2">
        <v>2232.7600000000002</v>
      </c>
      <c r="F65" s="2">
        <v>2232.7600000000002</v>
      </c>
      <c r="G65" s="2">
        <v>2232.7600000000002</v>
      </c>
    </row>
    <row r="66" spans="1:8" x14ac:dyDescent="0.25">
      <c r="A66" t="s">
        <v>186</v>
      </c>
      <c r="B66" t="s">
        <v>187</v>
      </c>
      <c r="C66" s="2">
        <v>6262.95</v>
      </c>
      <c r="D66" s="2">
        <f t="shared" si="4"/>
        <v>521.91250000000002</v>
      </c>
      <c r="E66" s="2">
        <v>0</v>
      </c>
      <c r="F66" s="2">
        <v>0</v>
      </c>
      <c r="G66" s="2">
        <v>0</v>
      </c>
    </row>
    <row r="67" spans="1:8" x14ac:dyDescent="0.25">
      <c r="A67" t="s">
        <v>61</v>
      </c>
      <c r="B67" t="s">
        <v>62</v>
      </c>
      <c r="C67" s="2">
        <v>45420.54</v>
      </c>
      <c r="D67" s="2">
        <f t="shared" si="4"/>
        <v>3785.0450000000001</v>
      </c>
      <c r="E67" s="2">
        <v>0</v>
      </c>
      <c r="F67" s="2">
        <v>0</v>
      </c>
      <c r="G67" s="2">
        <v>0</v>
      </c>
    </row>
    <row r="68" spans="1:8" x14ac:dyDescent="0.25">
      <c r="A68" s="142" t="s">
        <v>188</v>
      </c>
      <c r="B68" s="142" t="s">
        <v>189</v>
      </c>
      <c r="C68" s="143">
        <f>+C69</f>
        <v>40045.440000000002</v>
      </c>
      <c r="D68" s="143">
        <f>+D69</f>
        <v>3337.1200000000003</v>
      </c>
      <c r="E68" s="143">
        <f>+E69</f>
        <v>0</v>
      </c>
      <c r="F68" s="143">
        <f>+F69</f>
        <v>2580.62</v>
      </c>
      <c r="G68" s="143">
        <f>+G69</f>
        <v>2580.62</v>
      </c>
    </row>
    <row r="69" spans="1:8" x14ac:dyDescent="0.25">
      <c r="A69" t="s">
        <v>190</v>
      </c>
      <c r="B69" t="s">
        <v>191</v>
      </c>
      <c r="C69" s="2">
        <v>40045.440000000002</v>
      </c>
      <c r="D69" s="2">
        <f>+C69/12</f>
        <v>3337.1200000000003</v>
      </c>
      <c r="E69" s="2">
        <v>0</v>
      </c>
      <c r="F69" s="2">
        <v>2580.62</v>
      </c>
      <c r="G69" s="2">
        <v>2580.62</v>
      </c>
      <c r="H69">
        <v>0</v>
      </c>
    </row>
    <row r="70" spans="1:8" x14ac:dyDescent="0.25">
      <c r="A70" s="142" t="s">
        <v>192</v>
      </c>
      <c r="B70" s="142" t="s">
        <v>193</v>
      </c>
      <c r="C70" s="143">
        <f>+C71</f>
        <v>43229.35</v>
      </c>
      <c r="D70" s="143">
        <f>+D71</f>
        <v>3602.4458333333332</v>
      </c>
      <c r="E70" s="143">
        <f>+E71</f>
        <v>2580.62</v>
      </c>
      <c r="F70" s="143">
        <f>+F71</f>
        <v>2580.62</v>
      </c>
      <c r="G70" s="143">
        <f>+G71</f>
        <v>2580.62</v>
      </c>
    </row>
    <row r="71" spans="1:8" x14ac:dyDescent="0.25">
      <c r="A71" t="s">
        <v>194</v>
      </c>
      <c r="B71" t="s">
        <v>195</v>
      </c>
      <c r="C71" s="2">
        <v>43229.35</v>
      </c>
      <c r="D71" s="2">
        <f>+C71/12</f>
        <v>3602.4458333333332</v>
      </c>
      <c r="E71" s="2">
        <v>2580.62</v>
      </c>
      <c r="F71" s="2">
        <v>2580.62</v>
      </c>
      <c r="G71" s="2">
        <v>2580.62</v>
      </c>
    </row>
    <row r="72" spans="1:8" x14ac:dyDescent="0.25">
      <c r="A72" s="142" t="s">
        <v>196</v>
      </c>
      <c r="B72" s="142" t="s">
        <v>156</v>
      </c>
      <c r="C72" s="143">
        <f>+C73+C74+C75</f>
        <v>13253.51</v>
      </c>
      <c r="D72" s="143">
        <f>+D73+D74+D75</f>
        <v>1104.4591666666665</v>
      </c>
      <c r="E72" s="143">
        <f>+E73+E74+E75</f>
        <v>2619.0500000000002</v>
      </c>
      <c r="F72" s="143">
        <f>+F73+F74+F75</f>
        <v>348</v>
      </c>
      <c r="G72" s="143">
        <f>+G73+G74+G75</f>
        <v>0</v>
      </c>
    </row>
    <row r="73" spans="1:8" x14ac:dyDescent="0.25">
      <c r="A73" t="s">
        <v>197</v>
      </c>
      <c r="B73" t="s">
        <v>198</v>
      </c>
      <c r="C73" s="2">
        <v>1988</v>
      </c>
      <c r="D73" s="2">
        <f>+C73/12</f>
        <v>165.66666666666666</v>
      </c>
      <c r="E73" s="2">
        <v>0</v>
      </c>
      <c r="F73" s="2">
        <v>348</v>
      </c>
      <c r="G73" s="2">
        <v>0</v>
      </c>
    </row>
    <row r="74" spans="1:8" x14ac:dyDescent="0.25">
      <c r="A74" t="s">
        <v>199</v>
      </c>
      <c r="B74" t="s">
        <v>200</v>
      </c>
      <c r="C74" s="2">
        <v>1329.01</v>
      </c>
      <c r="D74" s="2">
        <f t="shared" ref="D74:D75" si="5">+C74/12</f>
        <v>110.75083333333333</v>
      </c>
      <c r="E74" s="2">
        <v>0</v>
      </c>
      <c r="F74" s="2">
        <v>0</v>
      </c>
      <c r="G74" s="143">
        <v>0</v>
      </c>
    </row>
    <row r="75" spans="1:8" x14ac:dyDescent="0.25">
      <c r="A75" t="s">
        <v>201</v>
      </c>
      <c r="B75" t="s">
        <v>202</v>
      </c>
      <c r="C75" s="2">
        <v>9936.5</v>
      </c>
      <c r="D75" s="2">
        <f t="shared" si="5"/>
        <v>828.04166666666663</v>
      </c>
      <c r="E75" s="2">
        <v>2619.0500000000002</v>
      </c>
      <c r="F75" s="2">
        <v>0</v>
      </c>
      <c r="G75" s="2">
        <v>0</v>
      </c>
    </row>
    <row r="76" spans="1:8" x14ac:dyDescent="0.25">
      <c r="A76" s="142" t="s">
        <v>203</v>
      </c>
      <c r="B76" s="142" t="s">
        <v>160</v>
      </c>
      <c r="C76" s="143">
        <f>+C77+C78</f>
        <v>15064.05</v>
      </c>
      <c r="D76" s="143">
        <f>+D77+D78</f>
        <v>1255.3375000000001</v>
      </c>
      <c r="E76" s="143">
        <f>+E77+E78</f>
        <v>4236.84</v>
      </c>
      <c r="F76" s="143">
        <f>+F77+F78</f>
        <v>2099.2800000000002</v>
      </c>
      <c r="G76" s="143">
        <f>+G77+G78</f>
        <v>0</v>
      </c>
    </row>
    <row r="77" spans="1:8" x14ac:dyDescent="0.25">
      <c r="A77" t="s">
        <v>204</v>
      </c>
      <c r="B77" t="s">
        <v>205</v>
      </c>
      <c r="C77" s="2">
        <v>12605.43</v>
      </c>
      <c r="D77" s="2">
        <f>+C77/12</f>
        <v>1050.4525000000001</v>
      </c>
      <c r="E77" s="2">
        <v>4236.84</v>
      </c>
      <c r="F77" s="2">
        <v>2099.2800000000002</v>
      </c>
      <c r="G77" s="2">
        <v>0</v>
      </c>
    </row>
    <row r="78" spans="1:8" x14ac:dyDescent="0.25">
      <c r="A78" t="s">
        <v>206</v>
      </c>
      <c r="B78" t="s">
        <v>207</v>
      </c>
      <c r="C78" s="2">
        <v>2458.62</v>
      </c>
      <c r="D78" s="2">
        <f>+C78/12</f>
        <v>204.88499999999999</v>
      </c>
      <c r="E78" s="2">
        <v>0</v>
      </c>
      <c r="F78" s="2">
        <v>0</v>
      </c>
      <c r="G78" s="2">
        <v>0</v>
      </c>
    </row>
    <row r="79" spans="1:8" x14ac:dyDescent="0.25">
      <c r="A79" s="142" t="s">
        <v>208</v>
      </c>
      <c r="B79" s="142" t="s">
        <v>209</v>
      </c>
      <c r="C79" s="143">
        <f>+C80+C81+C82+C83+C84+C85+C86</f>
        <v>113464.14</v>
      </c>
      <c r="D79" s="143">
        <f>+D80+D81+D82+D83+D84+D85+D86</f>
        <v>9455.3450000000012</v>
      </c>
      <c r="E79" s="143">
        <f>+E80+E81+E82+E83+E84+E85+E86</f>
        <v>6115.3600000000006</v>
      </c>
      <c r="F79" s="143">
        <f t="shared" ref="F79:G79" si="6">+F80+F81+F82+F83+F84+F85+F86</f>
        <v>4973.0300000000007</v>
      </c>
      <c r="G79" s="143">
        <f t="shared" si="6"/>
        <v>6453.59</v>
      </c>
    </row>
    <row r="80" spans="1:8" x14ac:dyDescent="0.25">
      <c r="A80" t="s">
        <v>210</v>
      </c>
      <c r="B80" t="s">
        <v>211</v>
      </c>
      <c r="C80" s="2">
        <v>19682.54</v>
      </c>
      <c r="D80" s="2">
        <f>+C80/12</f>
        <v>1640.2116666666668</v>
      </c>
      <c r="E80" s="2">
        <v>1760.47</v>
      </c>
      <c r="F80" s="2">
        <v>1829.08</v>
      </c>
      <c r="G80" s="2">
        <v>2022.87</v>
      </c>
    </row>
    <row r="81" spans="1:7" x14ac:dyDescent="0.25">
      <c r="A81" t="s">
        <v>212</v>
      </c>
      <c r="B81" t="s">
        <v>213</v>
      </c>
      <c r="C81" s="2">
        <v>12863.38</v>
      </c>
      <c r="D81" s="2">
        <f t="shared" ref="D81:D86" si="7">+C81/12</f>
        <v>1071.9483333333333</v>
      </c>
      <c r="E81" s="2">
        <v>1044</v>
      </c>
      <c r="F81" s="2">
        <v>1157.93</v>
      </c>
      <c r="G81" s="2">
        <v>952.65</v>
      </c>
    </row>
    <row r="82" spans="1:7" x14ac:dyDescent="0.25">
      <c r="A82" t="s">
        <v>214</v>
      </c>
      <c r="B82" t="s">
        <v>215</v>
      </c>
      <c r="C82" s="2">
        <v>2139.33</v>
      </c>
      <c r="D82" s="2">
        <f t="shared" si="7"/>
        <v>178.2775</v>
      </c>
      <c r="E82" s="2">
        <v>914.37</v>
      </c>
      <c r="F82" s="2">
        <v>87</v>
      </c>
      <c r="G82" s="2">
        <v>205.32</v>
      </c>
    </row>
    <row r="83" spans="1:7" x14ac:dyDescent="0.25">
      <c r="A83" t="s">
        <v>216</v>
      </c>
      <c r="B83" t="s">
        <v>217</v>
      </c>
      <c r="C83" s="2">
        <v>9743.77</v>
      </c>
      <c r="D83" s="2">
        <f t="shared" si="7"/>
        <v>811.98083333333341</v>
      </c>
      <c r="E83" s="2">
        <v>1055.17</v>
      </c>
      <c r="F83" s="2">
        <v>514.16999999999996</v>
      </c>
      <c r="G83" s="2">
        <v>514.16999999999996</v>
      </c>
    </row>
    <row r="84" spans="1:7" x14ac:dyDescent="0.25">
      <c r="A84" t="s">
        <v>218</v>
      </c>
      <c r="B84" t="s">
        <v>219</v>
      </c>
      <c r="C84" s="2">
        <v>11593.45</v>
      </c>
      <c r="D84" s="2">
        <f t="shared" si="7"/>
        <v>966.12083333333339</v>
      </c>
      <c r="E84" s="2">
        <v>1258.02</v>
      </c>
      <c r="F84" s="2">
        <v>1301.52</v>
      </c>
      <c r="G84" s="2">
        <v>1322.4</v>
      </c>
    </row>
    <row r="85" spans="1:7" x14ac:dyDescent="0.25">
      <c r="A85" t="s">
        <v>220</v>
      </c>
      <c r="B85" t="s">
        <v>221</v>
      </c>
      <c r="C85" s="2">
        <v>416.65</v>
      </c>
      <c r="D85" s="2">
        <f t="shared" si="7"/>
        <v>34.720833333333331</v>
      </c>
      <c r="E85" s="2">
        <v>83.33</v>
      </c>
      <c r="F85" s="2">
        <v>83.33</v>
      </c>
      <c r="G85" s="2">
        <v>83.33</v>
      </c>
    </row>
    <row r="86" spans="1:7" x14ac:dyDescent="0.25">
      <c r="A86" t="s">
        <v>63</v>
      </c>
      <c r="B86" t="s">
        <v>64</v>
      </c>
      <c r="C86" s="2">
        <v>57025.02</v>
      </c>
      <c r="D86" s="2">
        <f t="shared" si="7"/>
        <v>4752.085</v>
      </c>
      <c r="E86" s="2">
        <v>0</v>
      </c>
      <c r="F86" s="2">
        <v>0</v>
      </c>
      <c r="G86" s="2">
        <v>1352.85</v>
      </c>
    </row>
    <row r="87" spans="1:7" x14ac:dyDescent="0.25">
      <c r="A87" s="142" t="s">
        <v>222</v>
      </c>
      <c r="B87" s="142" t="s">
        <v>223</v>
      </c>
      <c r="C87" s="143">
        <f>+C88+C89+C90+C91+C92+C93+C94</f>
        <v>19451.89</v>
      </c>
      <c r="D87" s="143">
        <f>+D88+D89+D90+D91+D92+D93+D94</f>
        <v>1620.9908333333333</v>
      </c>
      <c r="E87" s="143">
        <f>+E88+E89+E90+E91+E92+E93+E94</f>
        <v>578.58999999999992</v>
      </c>
      <c r="F87" s="143">
        <f>+F88+F89+F90+F91+F92+F93+F94</f>
        <v>775.63</v>
      </c>
      <c r="G87" s="143">
        <f>+G88+G89+G90+G91+G92+G93+G94</f>
        <v>44</v>
      </c>
    </row>
    <row r="88" spans="1:7" x14ac:dyDescent="0.25">
      <c r="A88" t="s">
        <v>224</v>
      </c>
      <c r="B88" t="s">
        <v>225</v>
      </c>
      <c r="C88" s="2">
        <v>2448.9</v>
      </c>
      <c r="D88" s="2">
        <f>+C88/12</f>
        <v>204.07500000000002</v>
      </c>
      <c r="E88" s="2">
        <v>91.35</v>
      </c>
      <c r="F88" s="2">
        <v>22.18</v>
      </c>
      <c r="G88" s="2">
        <v>0</v>
      </c>
    </row>
    <row r="89" spans="1:7" x14ac:dyDescent="0.25">
      <c r="A89" t="s">
        <v>226</v>
      </c>
      <c r="B89" t="s">
        <v>227</v>
      </c>
      <c r="C89" s="2">
        <v>627.76</v>
      </c>
      <c r="D89" s="2">
        <f t="shared" ref="D89:D94" si="8">+C89/12</f>
        <v>52.313333333333333</v>
      </c>
      <c r="E89" s="2">
        <v>5</v>
      </c>
      <c r="F89" s="2">
        <v>17</v>
      </c>
      <c r="G89" s="2">
        <v>44</v>
      </c>
    </row>
    <row r="90" spans="1:7" x14ac:dyDescent="0.25">
      <c r="A90" t="s">
        <v>65</v>
      </c>
      <c r="B90" t="s">
        <v>228</v>
      </c>
      <c r="C90" s="2">
        <v>2596.9499999999998</v>
      </c>
      <c r="D90" s="2">
        <f t="shared" si="8"/>
        <v>216.41249999999999</v>
      </c>
      <c r="E90" s="2">
        <v>0</v>
      </c>
      <c r="F90" s="2">
        <v>0</v>
      </c>
      <c r="G90" s="2">
        <v>0</v>
      </c>
    </row>
    <row r="91" spans="1:7" x14ac:dyDescent="0.25">
      <c r="A91" t="s">
        <v>229</v>
      </c>
      <c r="B91" t="s">
        <v>230</v>
      </c>
      <c r="C91" s="2">
        <v>370.01</v>
      </c>
      <c r="D91" s="2">
        <f t="shared" si="8"/>
        <v>30.834166666666665</v>
      </c>
      <c r="E91" s="2">
        <v>68.290000000000006</v>
      </c>
      <c r="F91" s="2">
        <v>49.15</v>
      </c>
      <c r="G91" s="2">
        <v>0</v>
      </c>
    </row>
    <row r="92" spans="1:7" x14ac:dyDescent="0.25">
      <c r="A92" t="s">
        <v>231</v>
      </c>
      <c r="B92" t="s">
        <v>232</v>
      </c>
      <c r="C92" s="2">
        <v>11552.73</v>
      </c>
      <c r="D92" s="2">
        <f t="shared" si="8"/>
        <v>962.72749999999996</v>
      </c>
      <c r="E92" s="2">
        <v>124.41</v>
      </c>
      <c r="F92" s="2">
        <v>687.3</v>
      </c>
      <c r="G92" s="2">
        <v>0</v>
      </c>
    </row>
    <row r="93" spans="1:7" x14ac:dyDescent="0.25">
      <c r="A93" t="s">
        <v>67</v>
      </c>
      <c r="B93" t="s">
        <v>68</v>
      </c>
      <c r="C93" s="2">
        <v>1566</v>
      </c>
      <c r="D93" s="2">
        <f t="shared" si="8"/>
        <v>130.5</v>
      </c>
      <c r="E93" s="2">
        <v>0</v>
      </c>
      <c r="F93" s="2">
        <v>0</v>
      </c>
      <c r="G93" s="2">
        <v>0</v>
      </c>
    </row>
    <row r="94" spans="1:7" x14ac:dyDescent="0.25">
      <c r="A94" t="s">
        <v>69</v>
      </c>
      <c r="B94" t="s">
        <v>70</v>
      </c>
      <c r="C94" s="2">
        <v>289.54000000000002</v>
      </c>
      <c r="D94" s="2">
        <f t="shared" si="8"/>
        <v>24.128333333333334</v>
      </c>
      <c r="E94" s="2">
        <v>289.54000000000002</v>
      </c>
      <c r="F94" s="2">
        <v>0</v>
      </c>
      <c r="G94" s="2">
        <v>0</v>
      </c>
    </row>
    <row r="95" spans="1:7" x14ac:dyDescent="0.25">
      <c r="A95" s="142" t="s">
        <v>71</v>
      </c>
      <c r="B95" s="142" t="s">
        <v>72</v>
      </c>
      <c r="C95" s="143">
        <f>+C96+C97</f>
        <v>1749.5500000000002</v>
      </c>
      <c r="D95" s="143">
        <f>+D96+D97</f>
        <v>145.79583333333335</v>
      </c>
      <c r="E95" s="143">
        <f>+E96+E97</f>
        <v>130.5</v>
      </c>
      <c r="F95" s="143">
        <f>+F96+F97</f>
        <v>0</v>
      </c>
      <c r="G95" s="143">
        <f>+G96+G97</f>
        <v>0</v>
      </c>
    </row>
    <row r="96" spans="1:7" x14ac:dyDescent="0.25">
      <c r="A96" t="s">
        <v>73</v>
      </c>
      <c r="B96" t="s">
        <v>74</v>
      </c>
      <c r="C96" s="2">
        <v>1166.67</v>
      </c>
      <c r="D96" s="2">
        <f>+C96/12</f>
        <v>97.222500000000011</v>
      </c>
      <c r="E96" s="2">
        <v>0</v>
      </c>
      <c r="F96" s="2">
        <v>0</v>
      </c>
      <c r="G96" s="2">
        <v>0</v>
      </c>
    </row>
    <row r="97" spans="1:7" x14ac:dyDescent="0.25">
      <c r="A97" t="s">
        <v>75</v>
      </c>
      <c r="B97" t="s">
        <v>76</v>
      </c>
      <c r="C97" s="2">
        <v>582.88</v>
      </c>
      <c r="D97" s="2">
        <f>+C97/12</f>
        <v>48.573333333333331</v>
      </c>
      <c r="E97" s="2">
        <v>130.5</v>
      </c>
      <c r="F97" s="2">
        <v>0</v>
      </c>
      <c r="G97" s="2">
        <v>0</v>
      </c>
    </row>
    <row r="98" spans="1:7" x14ac:dyDescent="0.25">
      <c r="A98" s="142" t="s">
        <v>233</v>
      </c>
      <c r="B98" s="142" t="s">
        <v>234</v>
      </c>
      <c r="C98" s="143">
        <f>+C99+C100</f>
        <v>50205.96</v>
      </c>
      <c r="D98" s="143">
        <f>+D99+D100</f>
        <v>4183.83</v>
      </c>
      <c r="E98" s="143">
        <f>+E99+E100</f>
        <v>4019.4</v>
      </c>
      <c r="F98" s="143">
        <f>+F99+F100</f>
        <v>4019.4</v>
      </c>
      <c r="G98" s="143">
        <f>+G99+G100</f>
        <v>4019.4</v>
      </c>
    </row>
    <row r="99" spans="1:7" x14ac:dyDescent="0.25">
      <c r="A99" t="s">
        <v>235</v>
      </c>
      <c r="B99" t="s">
        <v>236</v>
      </c>
      <c r="C99" s="2">
        <v>49788.36</v>
      </c>
      <c r="D99" s="2">
        <f>+C99/12</f>
        <v>4149.03</v>
      </c>
      <c r="E99" s="2">
        <v>4019.4</v>
      </c>
      <c r="F99" s="2">
        <v>4019.4</v>
      </c>
      <c r="G99" s="2">
        <v>4019.4</v>
      </c>
    </row>
    <row r="100" spans="1:7" x14ac:dyDescent="0.25">
      <c r="A100" t="s">
        <v>77</v>
      </c>
      <c r="B100" t="s">
        <v>78</v>
      </c>
      <c r="C100" s="2">
        <v>417.6</v>
      </c>
      <c r="D100" s="2">
        <f>+C100/12</f>
        <v>34.800000000000004</v>
      </c>
      <c r="E100" s="2">
        <v>0</v>
      </c>
      <c r="F100" s="2">
        <v>0</v>
      </c>
      <c r="G100" s="2">
        <v>0</v>
      </c>
    </row>
    <row r="101" spans="1:7" x14ac:dyDescent="0.25">
      <c r="A101" s="142" t="s">
        <v>237</v>
      </c>
      <c r="B101" s="142" t="s">
        <v>238</v>
      </c>
      <c r="C101" s="143">
        <f>+C102+C103+C104+C105</f>
        <v>157778.14000000001</v>
      </c>
      <c r="D101" s="143">
        <f>+D102+D103+D104+D105</f>
        <v>13148.178333333333</v>
      </c>
      <c r="E101" s="143">
        <f>+E102+E103+E104+E105</f>
        <v>17505.100000000002</v>
      </c>
      <c r="F101" s="143">
        <f>+F102+F103+F104+F105</f>
        <v>14816.57</v>
      </c>
      <c r="G101" s="143">
        <f>+G102+G103+G104+G105</f>
        <v>30046.240000000002</v>
      </c>
    </row>
    <row r="102" spans="1:7" x14ac:dyDescent="0.25">
      <c r="A102" t="s">
        <v>239</v>
      </c>
      <c r="B102" t="s">
        <v>240</v>
      </c>
      <c r="C102" s="2">
        <v>153770.6</v>
      </c>
      <c r="D102" s="2">
        <f>+C102/12</f>
        <v>12814.216666666667</v>
      </c>
      <c r="E102" s="2">
        <v>16677.900000000001</v>
      </c>
      <c r="F102" s="2">
        <v>14036.01</v>
      </c>
      <c r="G102" s="2">
        <v>29528.240000000002</v>
      </c>
    </row>
    <row r="103" spans="1:7" x14ac:dyDescent="0.25">
      <c r="A103" t="s">
        <v>241</v>
      </c>
      <c r="B103" t="s">
        <v>242</v>
      </c>
      <c r="C103" s="2">
        <v>212.11</v>
      </c>
      <c r="D103" s="2">
        <f t="shared" ref="D103:D105" si="9">+C103/12</f>
        <v>17.675833333333333</v>
      </c>
      <c r="E103" s="2">
        <v>0</v>
      </c>
      <c r="F103" s="2">
        <v>0</v>
      </c>
      <c r="G103" s="2">
        <v>0</v>
      </c>
    </row>
    <row r="104" spans="1:7" x14ac:dyDescent="0.25">
      <c r="A104" t="s">
        <v>243</v>
      </c>
      <c r="B104" t="s">
        <v>244</v>
      </c>
      <c r="C104" s="2">
        <v>3488.64</v>
      </c>
      <c r="D104" s="2">
        <f t="shared" si="9"/>
        <v>290.71999999999997</v>
      </c>
      <c r="E104" s="2">
        <v>827.2</v>
      </c>
      <c r="F104" s="2">
        <v>780.56</v>
      </c>
      <c r="G104" s="2">
        <v>518</v>
      </c>
    </row>
    <row r="105" spans="1:7" x14ac:dyDescent="0.25">
      <c r="A105" t="s">
        <v>245</v>
      </c>
      <c r="B105" t="s">
        <v>246</v>
      </c>
      <c r="C105" s="2">
        <v>306.79000000000002</v>
      </c>
      <c r="D105" s="2">
        <f t="shared" si="9"/>
        <v>25.565833333333334</v>
      </c>
      <c r="E105" s="2">
        <v>0</v>
      </c>
      <c r="F105" s="2">
        <v>0</v>
      </c>
      <c r="G105" s="2">
        <v>0</v>
      </c>
    </row>
    <row r="106" spans="1:7" x14ac:dyDescent="0.25">
      <c r="A106" s="142" t="s">
        <v>247</v>
      </c>
      <c r="B106" s="142" t="s">
        <v>248</v>
      </c>
      <c r="C106" s="143">
        <f>+C110+C109+C108+C107</f>
        <v>43509.919999999998</v>
      </c>
      <c r="D106" s="143">
        <f>+D110+D109+D108+D107</f>
        <v>3625.8266666666668</v>
      </c>
      <c r="E106" s="143">
        <f>+E107+E108+E109+E110</f>
        <v>2749.71</v>
      </c>
      <c r="F106" s="143">
        <f>+F107+F108+F109+F110</f>
        <v>1989.72</v>
      </c>
      <c r="G106" s="143">
        <f>+G107+G108+G109+G110</f>
        <v>27</v>
      </c>
    </row>
    <row r="107" spans="1:7" x14ac:dyDescent="0.25">
      <c r="A107" t="s">
        <v>249</v>
      </c>
      <c r="B107" t="s">
        <v>250</v>
      </c>
      <c r="C107" s="2">
        <v>14974.22</v>
      </c>
      <c r="D107" s="2">
        <f>+C107/12</f>
        <v>1247.8516666666667</v>
      </c>
      <c r="E107" s="2">
        <v>800.91</v>
      </c>
      <c r="F107" s="2">
        <v>27</v>
      </c>
      <c r="G107" s="2">
        <v>27</v>
      </c>
    </row>
    <row r="108" spans="1:7" x14ac:dyDescent="0.25">
      <c r="A108" t="s">
        <v>251</v>
      </c>
      <c r="B108" t="s">
        <v>252</v>
      </c>
      <c r="C108" s="2">
        <v>7650</v>
      </c>
      <c r="D108" s="2">
        <f t="shared" ref="D108:D110" si="10">+C108/12</f>
        <v>637.5</v>
      </c>
      <c r="E108" s="2">
        <v>0</v>
      </c>
      <c r="F108" s="2">
        <v>0</v>
      </c>
      <c r="G108" s="2">
        <v>0</v>
      </c>
    </row>
    <row r="109" spans="1:7" x14ac:dyDescent="0.25">
      <c r="A109" t="s">
        <v>253</v>
      </c>
      <c r="B109" t="s">
        <v>254</v>
      </c>
      <c r="C109" s="2">
        <v>608.23</v>
      </c>
      <c r="D109" s="2">
        <f t="shared" si="10"/>
        <v>50.685833333333335</v>
      </c>
      <c r="E109" s="2">
        <v>0</v>
      </c>
      <c r="F109" s="2">
        <v>0</v>
      </c>
      <c r="G109" s="2">
        <v>0</v>
      </c>
    </row>
    <row r="110" spans="1:7" x14ac:dyDescent="0.25">
      <c r="A110" t="s">
        <v>81</v>
      </c>
      <c r="B110" t="s">
        <v>255</v>
      </c>
      <c r="C110" s="2">
        <v>20277.47</v>
      </c>
      <c r="D110" s="2">
        <f t="shared" si="10"/>
        <v>1689.7891666666667</v>
      </c>
      <c r="E110" s="2">
        <v>1948.8</v>
      </c>
      <c r="F110" s="2">
        <v>1962.72</v>
      </c>
      <c r="G110" s="2">
        <v>0</v>
      </c>
    </row>
    <row r="111" spans="1:7" x14ac:dyDescent="0.25">
      <c r="A111" s="139" t="s">
        <v>256</v>
      </c>
      <c r="B111" s="139" t="s">
        <v>257</v>
      </c>
      <c r="C111" s="140">
        <f>+C112</f>
        <v>14771.24</v>
      </c>
      <c r="D111" s="140">
        <f>+D112</f>
        <v>1230.9366666666665</v>
      </c>
      <c r="E111" s="140">
        <f>+E112</f>
        <v>21.73</v>
      </c>
      <c r="F111" s="140">
        <f>+F112</f>
        <v>416.26</v>
      </c>
      <c r="G111" s="140">
        <f>+G112</f>
        <v>17.39</v>
      </c>
    </row>
    <row r="112" spans="1:7" x14ac:dyDescent="0.25">
      <c r="A112" s="58" t="s">
        <v>258</v>
      </c>
      <c r="B112" s="58" t="s">
        <v>259</v>
      </c>
      <c r="C112" s="141">
        <f>+C113+C115+C117</f>
        <v>14771.24</v>
      </c>
      <c r="D112" s="141">
        <f>+D113+D115+D117</f>
        <v>1230.9366666666665</v>
      </c>
      <c r="E112" s="141">
        <f>+E113+E115+E117</f>
        <v>21.73</v>
      </c>
      <c r="F112" s="141">
        <f>+F113+F115+F117</f>
        <v>416.26</v>
      </c>
      <c r="G112" s="141">
        <f>+G113+G115+G117</f>
        <v>17.39</v>
      </c>
    </row>
    <row r="113" spans="1:7" x14ac:dyDescent="0.25">
      <c r="A113" s="142" t="s">
        <v>260</v>
      </c>
      <c r="B113" s="142" t="s">
        <v>261</v>
      </c>
      <c r="C113" s="143">
        <f>+C114</f>
        <v>255</v>
      </c>
      <c r="D113" s="143">
        <f>+D114</f>
        <v>21.25</v>
      </c>
      <c r="E113" s="143">
        <f>+E114</f>
        <v>0</v>
      </c>
      <c r="F113" s="143">
        <f>+F114</f>
        <v>1</v>
      </c>
      <c r="G113" s="143">
        <f>+G114</f>
        <v>0</v>
      </c>
    </row>
    <row r="114" spans="1:7" x14ac:dyDescent="0.25">
      <c r="A114" t="s">
        <v>262</v>
      </c>
      <c r="B114" t="s">
        <v>263</v>
      </c>
      <c r="C114" s="2">
        <v>255</v>
      </c>
      <c r="D114" s="2">
        <f>+C114/12</f>
        <v>21.25</v>
      </c>
      <c r="E114" s="2">
        <v>0</v>
      </c>
      <c r="F114" s="2">
        <v>1</v>
      </c>
      <c r="G114" s="2">
        <v>0</v>
      </c>
    </row>
    <row r="115" spans="1:7" x14ac:dyDescent="0.25">
      <c r="A115" s="142" t="s">
        <v>264</v>
      </c>
      <c r="B115" s="142" t="s">
        <v>265</v>
      </c>
      <c r="C115" s="143">
        <f>+C116</f>
        <v>14316.14</v>
      </c>
      <c r="D115" s="143">
        <f>+D116</f>
        <v>1193.0116666666665</v>
      </c>
      <c r="E115" s="143">
        <f>+E116</f>
        <v>8.68</v>
      </c>
      <c r="F115" s="143">
        <f>+F116</f>
        <v>402.21</v>
      </c>
      <c r="G115" s="143">
        <f>+G116</f>
        <v>4.34</v>
      </c>
    </row>
    <row r="116" spans="1:7" x14ac:dyDescent="0.25">
      <c r="A116" t="s">
        <v>266</v>
      </c>
      <c r="B116" t="s">
        <v>267</v>
      </c>
      <c r="C116" s="2">
        <v>14316.14</v>
      </c>
      <c r="D116" s="2">
        <f>+C116/12</f>
        <v>1193.0116666666665</v>
      </c>
      <c r="E116" s="2">
        <v>8.68</v>
      </c>
      <c r="F116" s="2">
        <v>402.21</v>
      </c>
      <c r="G116" s="2">
        <v>4.34</v>
      </c>
    </row>
    <row r="117" spans="1:7" x14ac:dyDescent="0.25">
      <c r="A117" s="142" t="s">
        <v>268</v>
      </c>
      <c r="B117" s="142" t="s">
        <v>269</v>
      </c>
      <c r="C117" s="143">
        <f>+C118+C119</f>
        <v>200.10000000000002</v>
      </c>
      <c r="D117" s="143">
        <f>+D118+D119</f>
        <v>16.675000000000001</v>
      </c>
      <c r="E117" s="143">
        <f>+E118+E119</f>
        <v>13.05</v>
      </c>
      <c r="F117" s="143">
        <f t="shared" ref="F117:G117" si="11">+F118+F119</f>
        <v>13.05</v>
      </c>
      <c r="G117" s="143">
        <f t="shared" si="11"/>
        <v>13.05</v>
      </c>
    </row>
    <row r="118" spans="1:7" x14ac:dyDescent="0.25">
      <c r="A118" t="s">
        <v>270</v>
      </c>
      <c r="B118" t="s">
        <v>271</v>
      </c>
      <c r="C118" s="2">
        <v>13.05</v>
      </c>
      <c r="D118" s="2">
        <f>+C118/12</f>
        <v>1.0875000000000001</v>
      </c>
      <c r="E118" s="2">
        <v>0</v>
      </c>
      <c r="F118" s="2">
        <v>0</v>
      </c>
      <c r="G118" s="2">
        <v>0</v>
      </c>
    </row>
    <row r="119" spans="1:7" x14ac:dyDescent="0.25">
      <c r="A119" t="s">
        <v>272</v>
      </c>
      <c r="B119" t="s">
        <v>273</v>
      </c>
      <c r="C119" s="2">
        <v>187.05</v>
      </c>
      <c r="D119" s="2">
        <f>+C119/12</f>
        <v>15.5875</v>
      </c>
      <c r="E119" s="2">
        <v>13.05</v>
      </c>
      <c r="F119" s="2">
        <v>13.05</v>
      </c>
      <c r="G119" s="143">
        <v>13.05</v>
      </c>
    </row>
    <row r="120" spans="1:7" x14ac:dyDescent="0.25">
      <c r="A120" s="139" t="s">
        <v>274</v>
      </c>
      <c r="B120" s="139" t="s">
        <v>275</v>
      </c>
      <c r="C120" s="140">
        <f>+C121</f>
        <v>396456.06</v>
      </c>
      <c r="D120" s="140">
        <f>+D121</f>
        <v>33038.004999999997</v>
      </c>
      <c r="E120" s="140">
        <f>+E121</f>
        <v>78823.310000000012</v>
      </c>
      <c r="F120" s="140">
        <f>+F121</f>
        <v>174001.83</v>
      </c>
      <c r="G120" s="140">
        <f>+G121</f>
        <v>-5476.96</v>
      </c>
    </row>
    <row r="121" spans="1:7" x14ac:dyDescent="0.25">
      <c r="A121" s="58" t="s">
        <v>276</v>
      </c>
      <c r="B121" s="58" t="s">
        <v>277</v>
      </c>
      <c r="C121" s="141">
        <f>+C122+C125+C127</f>
        <v>396456.06</v>
      </c>
      <c r="D121" s="141">
        <f>+D122+D125+D127</f>
        <v>33038.004999999997</v>
      </c>
      <c r="E121" s="141">
        <f>+E122+E125+E127</f>
        <v>78823.310000000012</v>
      </c>
      <c r="F121" s="141">
        <f>+F122+F125+F127</f>
        <v>174001.83</v>
      </c>
      <c r="G121" s="141">
        <f>+G122+G125+G127</f>
        <v>-5476.96</v>
      </c>
    </row>
    <row r="122" spans="1:7" x14ac:dyDescent="0.25">
      <c r="A122" s="142" t="s">
        <v>278</v>
      </c>
      <c r="B122" s="142" t="s">
        <v>279</v>
      </c>
      <c r="C122" s="143">
        <f>+C123+C124</f>
        <v>110621.13</v>
      </c>
      <c r="D122" s="143">
        <f>+D123+D124</f>
        <v>9218.4274999999998</v>
      </c>
      <c r="E122" s="143">
        <f>+E123+E124</f>
        <v>0</v>
      </c>
      <c r="F122" s="143">
        <f>+F123+F124</f>
        <v>0</v>
      </c>
      <c r="G122" s="143">
        <f>+G123+G124</f>
        <v>0</v>
      </c>
    </row>
    <row r="123" spans="1:7" x14ac:dyDescent="0.25">
      <c r="A123" t="s">
        <v>280</v>
      </c>
      <c r="B123" t="s">
        <v>281</v>
      </c>
      <c r="C123" s="2">
        <v>7900.92</v>
      </c>
      <c r="D123" s="2">
        <f>+C123/12</f>
        <v>658.41</v>
      </c>
      <c r="E123" s="2">
        <v>0</v>
      </c>
      <c r="F123" s="2">
        <v>0</v>
      </c>
      <c r="G123" s="2">
        <v>0</v>
      </c>
    </row>
    <row r="124" spans="1:7" x14ac:dyDescent="0.25">
      <c r="A124" t="s">
        <v>282</v>
      </c>
      <c r="B124" t="s">
        <v>283</v>
      </c>
      <c r="C124" s="2">
        <v>102720.21</v>
      </c>
      <c r="D124" s="2">
        <f>+C124/12</f>
        <v>8560.0174999999999</v>
      </c>
      <c r="E124" s="2">
        <v>0</v>
      </c>
      <c r="F124" s="2">
        <v>0</v>
      </c>
      <c r="G124" s="2">
        <v>0</v>
      </c>
    </row>
    <row r="125" spans="1:7" x14ac:dyDescent="0.25">
      <c r="A125" s="142" t="s">
        <v>284</v>
      </c>
      <c r="B125" s="142" t="s">
        <v>285</v>
      </c>
      <c r="C125" s="143">
        <f>+C126</f>
        <v>285423.7</v>
      </c>
      <c r="D125" s="143">
        <f>+D126</f>
        <v>23785.308333333334</v>
      </c>
      <c r="E125" s="143">
        <f>+E126</f>
        <v>78823.240000000005</v>
      </c>
      <c r="F125" s="143">
        <f>+F126</f>
        <v>173999.47</v>
      </c>
      <c r="G125" s="143">
        <f>+G126</f>
        <v>-5477.39</v>
      </c>
    </row>
    <row r="126" spans="1:7" x14ac:dyDescent="0.25">
      <c r="A126" t="s">
        <v>286</v>
      </c>
      <c r="B126" t="s">
        <v>287</v>
      </c>
      <c r="C126" s="2">
        <v>285423.7</v>
      </c>
      <c r="D126" s="2">
        <f>+C126/12</f>
        <v>23785.308333333334</v>
      </c>
      <c r="E126" s="2">
        <v>78823.240000000005</v>
      </c>
      <c r="F126" s="2">
        <v>173999.47</v>
      </c>
      <c r="G126" s="2">
        <v>-5477.39</v>
      </c>
    </row>
    <row r="127" spans="1:7" x14ac:dyDescent="0.25">
      <c r="A127" s="142" t="s">
        <v>288</v>
      </c>
      <c r="B127" s="142" t="s">
        <v>289</v>
      </c>
      <c r="C127" s="143">
        <f>+C128+C129+C130</f>
        <v>411.23</v>
      </c>
      <c r="D127" s="143">
        <f>+D128+D129+D130</f>
        <v>34.269166666666663</v>
      </c>
      <c r="E127" s="143">
        <f>+E128+E129+E130</f>
        <v>7.0000000000000007E-2</v>
      </c>
      <c r="F127" s="143">
        <f>+F128+F129+F130</f>
        <v>2.3600000000000003</v>
      </c>
      <c r="G127" s="143">
        <f>+G128+G129+G130</f>
        <v>0.43</v>
      </c>
    </row>
    <row r="128" spans="1:7" x14ac:dyDescent="0.25">
      <c r="A128" t="s">
        <v>83</v>
      </c>
      <c r="B128" t="s">
        <v>84</v>
      </c>
      <c r="C128" s="2">
        <v>174</v>
      </c>
      <c r="D128" s="2">
        <f>+C128/12</f>
        <v>14.5</v>
      </c>
      <c r="E128" s="2">
        <v>0</v>
      </c>
      <c r="F128" s="2">
        <v>0</v>
      </c>
      <c r="G128" s="2">
        <v>0</v>
      </c>
    </row>
    <row r="129" spans="1:8" x14ac:dyDescent="0.25">
      <c r="A129" t="s">
        <v>290</v>
      </c>
      <c r="B129" t="s">
        <v>291</v>
      </c>
      <c r="C129" s="2">
        <v>87.23</v>
      </c>
      <c r="D129" s="2">
        <f>+C129/12</f>
        <v>7.269166666666667</v>
      </c>
      <c r="E129" s="2">
        <v>7.0000000000000007E-2</v>
      </c>
      <c r="F129" s="2">
        <v>1.36</v>
      </c>
      <c r="G129" s="144">
        <v>0.43</v>
      </c>
      <c r="H129" s="3"/>
    </row>
    <row r="130" spans="1:8" x14ac:dyDescent="0.25">
      <c r="A130" t="s">
        <v>292</v>
      </c>
      <c r="B130" t="s">
        <v>293</v>
      </c>
      <c r="C130" s="2">
        <v>150</v>
      </c>
      <c r="D130" s="2">
        <f>+C130/12</f>
        <v>12.5</v>
      </c>
      <c r="E130" s="2">
        <v>0</v>
      </c>
      <c r="F130" s="2">
        <v>1</v>
      </c>
      <c r="G130" s="2">
        <v>0</v>
      </c>
    </row>
  </sheetData>
  <mergeCells count="2">
    <mergeCell ref="A3:B3"/>
    <mergeCell ref="A1:G1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 31 DE DICIEMBRE-2024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 Lpz</dc:creator>
  <cp:lastModifiedBy>Consultor Lpz</cp:lastModifiedBy>
  <dcterms:created xsi:type="dcterms:W3CDTF">2025-03-20T17:01:17Z</dcterms:created>
  <dcterms:modified xsi:type="dcterms:W3CDTF">2025-03-20T23:06:09Z</dcterms:modified>
</cp:coreProperties>
</file>