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PERSONAL\Desktop\EMPRESAS -2025\C01.BRIDGE4 DIGITAL-2025\B4D-2025\GESTION 2025\EEFF-2025\ENERO\"/>
    </mc:Choice>
  </mc:AlternateContent>
  <xr:revisionPtr revIDLastSave="0" documentId="13_ncr:1_{2897FD46-136A-47E9-96C6-6D4DCCEFE714}" xr6:coauthVersionLast="47" xr6:coauthVersionMax="47" xr10:uidLastSave="{00000000-0000-0000-0000-000000000000}"/>
  <bookViews>
    <workbookView xWindow="28680" yWindow="-120" windowWidth="20640" windowHeight="11160" tabRatio="599" xr2:uid="{9768EEB1-0AEA-4E81-877C-5E6DCEC2FDD2}"/>
  </bookViews>
  <sheets>
    <sheet name="EERR" sheetId="1" r:id="rId1"/>
  </sheets>
  <externalReferences>
    <externalReference r:id="rId2"/>
    <externalReference r:id="rId3"/>
  </externalReferences>
  <definedNames>
    <definedName name="_xlnm._FilterDatabase" localSheetId="0" hidden="1">EERR!$A$4:$N$48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I40" i="1"/>
  <c r="H40" i="1"/>
  <c r="G40" i="1"/>
  <c r="Z48" i="1" l="1"/>
  <c r="K118" i="1"/>
  <c r="G115" i="1"/>
  <c r="I109" i="1"/>
  <c r="M85" i="1"/>
  <c r="M78" i="1" s="1"/>
  <c r="K85" i="1"/>
  <c r="K78" i="1" s="1"/>
  <c r="K84" i="1"/>
  <c r="K77" i="1" s="1"/>
  <c r="E82" i="1"/>
  <c r="E81" i="1"/>
  <c r="M76" i="1"/>
  <c r="K76" i="1"/>
  <c r="K82" i="1" s="1"/>
  <c r="E71" i="1"/>
  <c r="E70" i="1"/>
  <c r="O70" i="1" s="1"/>
  <c r="E69" i="1"/>
  <c r="O69" i="1" s="1"/>
  <c r="E68" i="1"/>
  <c r="O68" i="1" s="1"/>
  <c r="E67" i="1"/>
  <c r="O67" i="1" s="1"/>
  <c r="E66" i="1"/>
  <c r="O66" i="1" s="1"/>
  <c r="E65" i="1"/>
  <c r="O65" i="1" s="1"/>
  <c r="N61" i="1"/>
  <c r="M61" i="1"/>
  <c r="L61" i="1"/>
  <c r="K61" i="1"/>
  <c r="I61" i="1"/>
  <c r="G61" i="1"/>
  <c r="N53" i="1"/>
  <c r="M53" i="1"/>
  <c r="K53" i="1"/>
  <c r="I53" i="1"/>
  <c r="N52" i="1"/>
  <c r="M52" i="1"/>
  <c r="L52" i="1"/>
  <c r="K52" i="1"/>
  <c r="I52" i="1"/>
  <c r="G52" i="1"/>
  <c r="E47" i="1"/>
  <c r="N47" i="1" s="1"/>
  <c r="E46" i="1"/>
  <c r="E45" i="1"/>
  <c r="E44" i="1"/>
  <c r="F23" i="1"/>
  <c r="G22" i="1"/>
  <c r="F21" i="1"/>
  <c r="L53" i="1" l="1"/>
  <c r="L54" i="1" s="1"/>
  <c r="L74" i="1" s="1"/>
  <c r="L75" i="1" s="1"/>
  <c r="L76" i="1" s="1"/>
  <c r="L77" i="1" s="1"/>
  <c r="L78" i="1" s="1"/>
  <c r="M82" i="1"/>
  <c r="K54" i="1"/>
  <c r="G45" i="1"/>
  <c r="I46" i="1"/>
  <c r="I54" i="1"/>
  <c r="N54" i="1"/>
  <c r="N74" i="1" s="1"/>
  <c r="N75" i="1" s="1"/>
  <c r="K70" i="1"/>
  <c r="K47" i="1"/>
  <c r="E60" i="1"/>
  <c r="M54" i="1"/>
  <c r="K75" i="1"/>
  <c r="G53" i="1"/>
  <c r="E58" i="1"/>
  <c r="K65" i="1"/>
  <c r="M66" i="1"/>
  <c r="K69" i="1"/>
  <c r="L47" i="1"/>
  <c r="M65" i="1"/>
  <c r="N68" i="1"/>
  <c r="K68" i="1"/>
  <c r="M69" i="1"/>
  <c r="N65" i="1"/>
  <c r="N69" i="1"/>
  <c r="M70" i="1"/>
  <c r="E59" i="1"/>
  <c r="G44" i="1"/>
  <c r="I45" i="1"/>
  <c r="G47" i="1"/>
  <c r="N67" i="1"/>
  <c r="K67" i="1"/>
  <c r="M68" i="1"/>
  <c r="I44" i="1"/>
  <c r="M47" i="1"/>
  <c r="I47" i="1"/>
  <c r="N66" i="1"/>
  <c r="K66" i="1"/>
  <c r="M67" i="1"/>
  <c r="N70" i="1"/>
  <c r="G46" i="1"/>
  <c r="G65" i="1"/>
  <c r="L65" i="1"/>
  <c r="G66" i="1"/>
  <c r="L66" i="1"/>
  <c r="G67" i="1"/>
  <c r="L67" i="1"/>
  <c r="G68" i="1"/>
  <c r="L68" i="1"/>
  <c r="G69" i="1"/>
  <c r="L69" i="1"/>
  <c r="G70" i="1"/>
  <c r="L70" i="1"/>
  <c r="M84" i="1"/>
  <c r="M77" i="1" s="1"/>
  <c r="I65" i="1"/>
  <c r="I66" i="1"/>
  <c r="I67" i="1"/>
  <c r="I68" i="1"/>
  <c r="I69" i="1"/>
  <c r="I70" i="1"/>
  <c r="K115" i="1" l="1"/>
  <c r="N48" i="1"/>
  <c r="O56" i="1"/>
  <c r="I48" i="1"/>
  <c r="T70" i="1"/>
  <c r="M48" i="1"/>
  <c r="T47" i="1"/>
  <c r="P69" i="1"/>
  <c r="P66" i="1"/>
  <c r="V69" i="1"/>
  <c r="R69" i="1"/>
  <c r="V67" i="1"/>
  <c r="R67" i="1"/>
  <c r="V65" i="1"/>
  <c r="R65" i="1"/>
  <c r="L71" i="1"/>
  <c r="P67" i="1"/>
  <c r="P68" i="1"/>
  <c r="N71" i="1"/>
  <c r="T68" i="1"/>
  <c r="M71" i="1"/>
  <c r="M74" i="1" s="1"/>
  <c r="N76" i="1"/>
  <c r="L48" i="1"/>
  <c r="I71" i="1"/>
  <c r="I74" i="1" s="1"/>
  <c r="G71" i="1"/>
  <c r="G74" i="1" s="1"/>
  <c r="T66" i="1"/>
  <c r="P47" i="1"/>
  <c r="T67" i="1"/>
  <c r="P65" i="1"/>
  <c r="P70" i="1"/>
  <c r="T65" i="1"/>
  <c r="K71" i="1"/>
  <c r="K74" i="1" s="1"/>
  <c r="K81" i="1"/>
  <c r="M75" i="1"/>
  <c r="M81" i="1" s="1"/>
  <c r="K48" i="1"/>
  <c r="V70" i="1"/>
  <c r="R70" i="1"/>
  <c r="V68" i="1"/>
  <c r="R68" i="1"/>
  <c r="V66" i="1"/>
  <c r="R66" i="1"/>
  <c r="G48" i="1"/>
  <c r="V47" i="1"/>
  <c r="R47" i="1"/>
  <c r="T69" i="1"/>
  <c r="G54" i="1"/>
  <c r="G105" i="1" l="1"/>
  <c r="P48" i="1"/>
  <c r="M83" i="1"/>
  <c r="T71" i="1"/>
  <c r="U70" i="1" s="1"/>
  <c r="I75" i="1"/>
  <c r="N81" i="1"/>
  <c r="L81" i="1"/>
  <c r="K83" i="1"/>
  <c r="V48" i="1"/>
  <c r="N77" i="1"/>
  <c r="P71" i="1"/>
  <c r="Q65" i="1" s="1"/>
  <c r="I81" i="1"/>
  <c r="G81" i="1"/>
  <c r="G75" i="1"/>
  <c r="R48" i="1"/>
  <c r="S47" i="1" s="1"/>
  <c r="T48" i="1"/>
  <c r="R71" i="1"/>
  <c r="S71" i="1" s="1"/>
  <c r="V71" i="1"/>
  <c r="W70" i="1" s="1"/>
  <c r="Q47" i="1" l="1"/>
  <c r="I107" i="1"/>
  <c r="G106" i="1"/>
  <c r="S65" i="1"/>
  <c r="Q66" i="1"/>
  <c r="Q68" i="1"/>
  <c r="S70" i="1"/>
  <c r="Q70" i="1"/>
  <c r="W65" i="1"/>
  <c r="S69" i="1"/>
  <c r="S68" i="1"/>
  <c r="S67" i="1"/>
  <c r="G111" i="1"/>
  <c r="G112" i="1"/>
  <c r="W68" i="1"/>
  <c r="W66" i="1"/>
  <c r="U69" i="1"/>
  <c r="W48" i="1"/>
  <c r="W47" i="1"/>
  <c r="S66" i="1"/>
  <c r="N78" i="1"/>
  <c r="L82" i="1"/>
  <c r="G110" i="1"/>
  <c r="I76" i="1"/>
  <c r="N82" i="1"/>
  <c r="G76" i="1"/>
  <c r="I82" i="1"/>
  <c r="G82" i="1"/>
  <c r="U47" i="1"/>
  <c r="W67" i="1"/>
  <c r="W69" i="1"/>
  <c r="U67" i="1"/>
  <c r="Q71" i="1"/>
  <c r="Q69" i="1"/>
  <c r="U68" i="1"/>
  <c r="U66" i="1"/>
  <c r="Q67" i="1"/>
  <c r="U65" i="1"/>
  <c r="Q48" i="1" l="1"/>
  <c r="U48" i="1"/>
  <c r="W71" i="1"/>
  <c r="I83" i="1"/>
  <c r="G83" i="1"/>
  <c r="G77" i="1"/>
  <c r="I77" i="1"/>
  <c r="N83" i="1"/>
  <c r="L83" i="1"/>
  <c r="U71" i="1"/>
  <c r="S48" i="1"/>
  <c r="G114" i="1"/>
  <c r="I113" i="1" l="1"/>
  <c r="I114" i="1" s="1"/>
  <c r="G84" i="1"/>
  <c r="I84" i="1"/>
  <c r="G78" i="1"/>
  <c r="L84" i="1"/>
  <c r="I78" i="1"/>
  <c r="N84" i="1"/>
  <c r="K113" i="1" l="1"/>
  <c r="K114" i="1" s="1"/>
  <c r="K117" i="1" s="1"/>
  <c r="K119" i="1" s="1"/>
  <c r="K120" i="1" s="1"/>
  <c r="L85" i="1"/>
  <c r="N85" i="1"/>
  <c r="G85" i="1"/>
  <c r="I85" i="1"/>
  <c r="L1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tc={1CC688E4-2B36-4FF9-A3FB-CD25CC17C769}</author>
  </authors>
  <commentList>
    <comment ref="P18" authorId="0" shapeId="0" xr:uid="{1CC688E4-2B36-4FF9-A3FB-CD25CC17C7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 23 01/04/2024</t>
      </text>
    </comment>
  </commentList>
</comments>
</file>

<file path=xl/sharedStrings.xml><?xml version="1.0" encoding="utf-8"?>
<sst xmlns="http://schemas.openxmlformats.org/spreadsheetml/2006/main" count="220" uniqueCount="102">
  <si>
    <t>(Expresado en Bolivianos)</t>
  </si>
  <si>
    <t>CODIGO</t>
  </si>
  <si>
    <t>CLIENTE</t>
  </si>
  <si>
    <t>EJECUTIVO</t>
  </si>
  <si>
    <t>Venta</t>
  </si>
  <si>
    <t>SERVICIO</t>
  </si>
  <si>
    <t>TIPO DE VENTA</t>
  </si>
  <si>
    <t>ENERO</t>
  </si>
  <si>
    <t>FEBRERO</t>
  </si>
  <si>
    <t>AIDISA - BOLIVIA S.A.</t>
  </si>
  <si>
    <t>PASADA</t>
  </si>
  <si>
    <t>MRC</t>
  </si>
  <si>
    <t>ARRENDAMIENTOS BELEN S.A.</t>
  </si>
  <si>
    <t>NUEVA</t>
  </si>
  <si>
    <t>SMART WIFI  CLOUD4WI</t>
  </si>
  <si>
    <t>CERVEYA S.R.L.</t>
  </si>
  <si>
    <t>BRIDGE360 OMNICANALIDAD</t>
  </si>
  <si>
    <t>OTC</t>
  </si>
  <si>
    <t>GRANJA AVICOLA INTEGRAL SOFIA LTDA</t>
  </si>
  <si>
    <t>BRIDGE</t>
  </si>
  <si>
    <t>BRIDGE 360 ADVANCE OMNICANALIDAD S1</t>
  </si>
  <si>
    <t>CASOS GESTIONADOS</t>
  </si>
  <si>
    <t>MRC CG</t>
  </si>
  <si>
    <t>META</t>
  </si>
  <si>
    <t>TRX META</t>
  </si>
  <si>
    <t>CARRITO</t>
  </si>
  <si>
    <t>MRC CARRITO</t>
  </si>
  <si>
    <t>HAKATECHNOLOGIES S.A.</t>
  </si>
  <si>
    <t>CAMARA 4K</t>
  </si>
  <si>
    <t>BRIDGE SECURITY 8 CANALES DIGIFORT</t>
  </si>
  <si>
    <t>SERVICIO MANZANA 4A</t>
  </si>
  <si>
    <t>SMARTWIFI</t>
  </si>
  <si>
    <t>KETAL S.A.</t>
  </si>
  <si>
    <t>BRIDGE SECURITY</t>
  </si>
  <si>
    <t>LA PROMOTORA ENTIDAD FINANCIERA DE VIVIENDA</t>
  </si>
  <si>
    <t>PIL ANDINA S.A.</t>
  </si>
  <si>
    <t>CAMPAÑAS KOKO</t>
  </si>
  <si>
    <t>TRX CAMPAÑAS</t>
  </si>
  <si>
    <t>TELEFONICA CELULAR DE BOLIVIA S.A.</t>
  </si>
  <si>
    <t>SAC TIGO SMART WIFI - WEBFILTERING</t>
  </si>
  <si>
    <t>SAC TIGO SERVICIO QR</t>
  </si>
  <si>
    <r>
      <t>BRIDGE WS - FIJO</t>
    </r>
    <r>
      <rPr>
        <b/>
        <sz val="11"/>
        <color rgb="FFFF0000"/>
        <rFont val="Aptos Narrow"/>
        <family val="2"/>
        <scheme val="minor"/>
      </rPr>
      <t>-53503</t>
    </r>
  </si>
  <si>
    <r>
      <t>BRIDGE WS - VARIABLE-</t>
    </r>
    <r>
      <rPr>
        <b/>
        <sz val="11"/>
        <color rgb="FFFF0000"/>
        <rFont val="Aptos Narrow"/>
        <family val="2"/>
        <scheme val="minor"/>
      </rPr>
      <t>53505</t>
    </r>
  </si>
  <si>
    <t>MARKETING TIGO</t>
  </si>
  <si>
    <t>TIGO BUSINESS SERVICIO SMART WIFI</t>
  </si>
  <si>
    <t>TERMINAL DE BUSES COCHABAMBA S.A.</t>
  </si>
  <si>
    <t>TRIPLEX LTDA.</t>
  </si>
  <si>
    <t>SOCIAL WIFI LICENCIA TANA</t>
  </si>
  <si>
    <t>TERBOL S.A.</t>
  </si>
  <si>
    <t>LICENCIA S1 AGENTE HUMANO</t>
  </si>
  <si>
    <t xml:space="preserve">IMPLEMENTACION CANAL CONVERSASIONAL BOT S1                                              </t>
  </si>
  <si>
    <t>MRC BRIDGE OMNICANALIDAD LICENCIA S1 CANAL</t>
  </si>
  <si>
    <t>TOTALES</t>
  </si>
  <si>
    <t>VENTA TOTAL X EJECUTIVO</t>
  </si>
  <si>
    <t>Pasado Año 5 Meses</t>
  </si>
  <si>
    <t>Nuevo Año 5 Meses</t>
  </si>
  <si>
    <t>%</t>
  </si>
  <si>
    <t>Pasado Año 4 Meses</t>
  </si>
  <si>
    <t>Nuevo Año 4 Meses</t>
  </si>
  <si>
    <t>TOTAL VENTA</t>
  </si>
  <si>
    <t>VENTA NUEVA VS VENTA PASADA</t>
  </si>
  <si>
    <t>TOTA VENTA</t>
  </si>
  <si>
    <t>VENTA NUEVA X EJECUTIVO</t>
  </si>
  <si>
    <t>TIPO DE VENTA TOTAL X EJECUTIVO</t>
  </si>
  <si>
    <t>SOBRE PRESUPUESTOS</t>
  </si>
  <si>
    <t>Venta Facturada</t>
  </si>
  <si>
    <t>Presupuesto Lineal Directorio</t>
  </si>
  <si>
    <t>Presupuesto Snowball Directorio</t>
  </si>
  <si>
    <t>Presupuesto Linea Go Big</t>
  </si>
  <si>
    <t>Presupuesto Snowball Go Big</t>
  </si>
  <si>
    <t>5 MESES INCLUIDO DICIEMBRE 2023</t>
  </si>
  <si>
    <t>BU</t>
  </si>
  <si>
    <t xml:space="preserve">Facturado </t>
  </si>
  <si>
    <t>FUNNEL POR EJECUTIVO</t>
  </si>
  <si>
    <t>Fase</t>
  </si>
  <si>
    <t>Prospeccion</t>
  </si>
  <si>
    <t>Propuesta</t>
  </si>
  <si>
    <t>Negocacion</t>
  </si>
  <si>
    <t>Cierre</t>
  </si>
  <si>
    <t>Funnel Activo</t>
  </si>
  <si>
    <t>Objetivo MRC</t>
  </si>
  <si>
    <t xml:space="preserve">Objetivo Trimestral </t>
  </si>
  <si>
    <t>TOTAL</t>
  </si>
  <si>
    <t>X EJECUTIVO</t>
  </si>
  <si>
    <t>FUERZA VENTA</t>
  </si>
  <si>
    <t>MES 4</t>
  </si>
  <si>
    <t>OJO SE TOMA EN CUENTA 3 EJECUTIVOS POR QUE NO PODEMOS BAJAR EL BU</t>
  </si>
  <si>
    <t>TOTAL REVENUE INCLUYE NUEVOS NEGOC 2024</t>
  </si>
  <si>
    <t>ACTUAL A FAVOR</t>
  </si>
  <si>
    <t xml:space="preserve">CHURN </t>
  </si>
  <si>
    <t>ACTUAL CHURN</t>
  </si>
  <si>
    <t xml:space="preserve">OJO CON CATCH UP PLAN </t>
  </si>
  <si>
    <t>SEPARAR OTC MRC PARA SNOWBALL</t>
  </si>
  <si>
    <t>ESTADO DE RESULTADOS AL 01/11/2024 SEGÚN REGISTROS CONTABLES</t>
  </si>
  <si>
    <t xml:space="preserve">EMPRESA DE TRANSPORTE DE VALORES ETV                   </t>
  </si>
  <si>
    <t xml:space="preserve">NUEVO </t>
  </si>
  <si>
    <t>RP</t>
  </si>
  <si>
    <t>LS</t>
  </si>
  <si>
    <t>YV</t>
  </si>
  <si>
    <t>KV</t>
  </si>
  <si>
    <t>MA</t>
  </si>
  <si>
    <t xml:space="preserve">MRC INGRESO BRIDGE LOGISTICS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</si>
</sst>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.00\ _€_-;\-* #,##0.00\ _€_-;_-* &quot;-&quot;??\ _€_-;_-@_-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6"/>
      <name val="Aptos Narrow"/>
      <family val="2"/>
      <scheme val="minor"/>
    </font>
    <font>
      <b/>
      <sz val="16"/>
      <color theme="3"/>
      <name val="Aptos Narrow"/>
      <family val="2"/>
      <scheme val="minor"/>
    </font>
    <font>
      <b/>
      <sz val="16"/>
      <color rgb="FFFF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4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0" fillId="2" borderId="1" xfId="0" applyFill="1" applyBorder="1"/>
    <xf numFmtId="0" fontId="5" fillId="3" borderId="1" xfId="0" applyFont="1" applyFill="1" applyBorder="1" applyAlignment="1">
      <alignment horizontal="left"/>
    </xf>
    <xf numFmtId="0" fontId="0" fillId="3" borderId="1" xfId="0" applyFill="1" applyBorder="1"/>
    <xf numFmtId="0" fontId="5" fillId="3" borderId="1" xfId="0" applyFont="1" applyFill="1" applyBorder="1" applyAlignment="1">
      <alignment horizontal="left" wrapText="1"/>
    </xf>
    <xf numFmtId="17" fontId="2" fillId="2" borderId="2" xfId="0" applyNumberFormat="1" applyFont="1" applyFill="1" applyBorder="1" applyAlignment="1">
      <alignment horizontal="center" vertical="center" wrapText="1"/>
    </xf>
    <xf numFmtId="17" fontId="2" fillId="4" borderId="2" xfId="0" applyNumberFormat="1" applyFont="1" applyFill="1" applyBorder="1" applyAlignment="1">
      <alignment horizontal="center" vertical="center" wrapText="1"/>
    </xf>
    <xf numFmtId="17" fontId="2" fillId="5" borderId="2" xfId="0" applyNumberFormat="1" applyFont="1" applyFill="1" applyBorder="1" applyAlignment="1">
      <alignment horizontal="center" vertical="center" wrapText="1"/>
    </xf>
    <xf numFmtId="17" fontId="2" fillId="0" borderId="2" xfId="0" applyNumberFormat="1" applyFont="1" applyBorder="1" applyAlignment="1">
      <alignment horizontal="center" vertical="center" wrapText="1"/>
    </xf>
    <xf numFmtId="17" fontId="2" fillId="5" borderId="3" xfId="0" applyNumberFormat="1" applyFont="1" applyFill="1" applyBorder="1" applyAlignment="1">
      <alignment horizontal="center" vertical="center" wrapText="1"/>
    </xf>
    <xf numFmtId="17" fontId="2" fillId="5" borderId="0" xfId="0" applyNumberFormat="1" applyFont="1" applyFill="1" applyAlignment="1">
      <alignment horizontal="center" vertical="center"/>
    </xf>
    <xf numFmtId="17" fontId="2" fillId="4" borderId="0" xfId="0" applyNumberFormat="1" applyFont="1" applyFill="1" applyAlignment="1">
      <alignment horizontal="center" vertical="center"/>
    </xf>
    <xf numFmtId="0" fontId="0" fillId="3" borderId="0" xfId="0" applyFill="1"/>
    <xf numFmtId="4" fontId="0" fillId="0" borderId="2" xfId="0" applyNumberFormat="1" applyBorder="1" applyAlignment="1">
      <alignment horizontal="right" vertical="center"/>
    </xf>
    <xf numFmtId="1" fontId="0" fillId="0" borderId="2" xfId="0" applyNumberFormat="1" applyBorder="1"/>
    <xf numFmtId="0" fontId="7" fillId="0" borderId="2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4" fontId="0" fillId="0" borderId="2" xfId="0" applyNumberFormat="1" applyBorder="1" applyAlignment="1">
      <alignment vertical="center"/>
    </xf>
    <xf numFmtId="4" fontId="0" fillId="0" borderId="3" xfId="0" applyNumberFormat="1" applyBorder="1" applyAlignment="1">
      <alignment horizontal="right" vertical="center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4" fontId="0" fillId="0" borderId="2" xfId="1" applyNumberFormat="1" applyFont="1" applyFill="1" applyBorder="1" applyAlignment="1">
      <alignment horizontal="right"/>
    </xf>
    <xf numFmtId="2" fontId="0" fillId="0" borderId="2" xfId="1" applyNumberFormat="1" applyFont="1" applyFill="1" applyBorder="1"/>
    <xf numFmtId="4" fontId="0" fillId="0" borderId="2" xfId="1" applyNumberFormat="1" applyFont="1" applyFill="1" applyBorder="1"/>
    <xf numFmtId="0" fontId="0" fillId="0" borderId="2" xfId="0" applyBorder="1"/>
    <xf numFmtId="2" fontId="0" fillId="0" borderId="2" xfId="0" applyNumberFormat="1" applyBorder="1"/>
    <xf numFmtId="0" fontId="7" fillId="0" borderId="2" xfId="0" applyFont="1" applyBorder="1" applyAlignment="1">
      <alignment horizontal="left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4" fontId="0" fillId="0" borderId="1" xfId="0" applyNumberFormat="1" applyBorder="1" applyAlignment="1">
      <alignment vertical="center"/>
    </xf>
    <xf numFmtId="43" fontId="0" fillId="0" borderId="2" xfId="1" applyFont="1" applyFill="1" applyBorder="1" applyAlignment="1">
      <alignment horizontal="right"/>
    </xf>
    <xf numFmtId="4" fontId="5" fillId="0" borderId="2" xfId="0" applyNumberFormat="1" applyFont="1" applyBorder="1"/>
    <xf numFmtId="43" fontId="0" fillId="0" borderId="2" xfId="1" applyFont="1" applyFill="1" applyBorder="1"/>
    <xf numFmtId="0" fontId="5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wrapText="1"/>
    </xf>
    <xf numFmtId="0" fontId="5" fillId="0" borderId="2" xfId="0" applyFont="1" applyBorder="1"/>
    <xf numFmtId="4" fontId="5" fillId="0" borderId="3" xfId="0" applyNumberFormat="1" applyFont="1" applyBorder="1" applyAlignment="1">
      <alignment horizontal="right" vertical="center"/>
    </xf>
    <xf numFmtId="0" fontId="5" fillId="0" borderId="6" xfId="0" applyFont="1" applyBorder="1"/>
    <xf numFmtId="0" fontId="5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4" fontId="8" fillId="2" borderId="2" xfId="0" applyNumberFormat="1" applyFont="1" applyFill="1" applyBorder="1" applyAlignment="1">
      <alignment horizontal="right" vertical="center"/>
    </xf>
    <xf numFmtId="4" fontId="10" fillId="4" borderId="2" xfId="0" applyNumberFormat="1" applyFont="1" applyFill="1" applyBorder="1" applyAlignment="1">
      <alignment horizontal="right" vertical="center"/>
    </xf>
    <xf numFmtId="4" fontId="2" fillId="2" borderId="2" xfId="0" applyNumberFormat="1" applyFont="1" applyFill="1" applyBorder="1"/>
    <xf numFmtId="43" fontId="6" fillId="4" borderId="2" xfId="0" applyNumberFormat="1" applyFont="1" applyFill="1" applyBorder="1"/>
    <xf numFmtId="4" fontId="0" fillId="0" borderId="0" xfId="0" applyNumberFormat="1" applyAlignment="1">
      <alignment horizontal="right" vertical="center"/>
    </xf>
    <xf numFmtId="0" fontId="5" fillId="2" borderId="0" xfId="0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 vertical="center" wrapText="1"/>
    </xf>
    <xf numFmtId="43" fontId="1" fillId="0" borderId="0" xfId="1" applyFont="1" applyAlignment="1">
      <alignment horizontal="right" vertical="center"/>
    </xf>
    <xf numFmtId="43" fontId="0" fillId="0" borderId="0" xfId="0" applyNumberFormat="1"/>
    <xf numFmtId="164" fontId="0" fillId="0" borderId="0" xfId="2" applyNumberFormat="1" applyFont="1"/>
    <xf numFmtId="43" fontId="1" fillId="2" borderId="0" xfId="1" applyFont="1" applyFill="1" applyAlignment="1">
      <alignment horizontal="right" vertical="center"/>
    </xf>
    <xf numFmtId="43" fontId="0" fillId="2" borderId="0" xfId="0" applyNumberFormat="1" applyFill="1"/>
    <xf numFmtId="164" fontId="0" fillId="2" borderId="0" xfId="0" applyNumberFormat="1" applyFill="1"/>
    <xf numFmtId="164" fontId="0" fillId="2" borderId="0" xfId="2" applyNumberFormat="1" applyFont="1" applyFill="1"/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43" fontId="1" fillId="0" borderId="0" xfId="1" applyFont="1"/>
    <xf numFmtId="43" fontId="1" fillId="2" borderId="0" xfId="1" applyFont="1" applyFill="1"/>
    <xf numFmtId="0" fontId="0" fillId="2" borderId="2" xfId="0" applyFill="1" applyBorder="1"/>
    <xf numFmtId="164" fontId="0" fillId="6" borderId="0" xfId="2" applyNumberFormat="1" applyFont="1" applyFill="1"/>
    <xf numFmtId="0" fontId="5" fillId="2" borderId="0" xfId="0" applyFont="1" applyFill="1"/>
    <xf numFmtId="0" fontId="0" fillId="7" borderId="0" xfId="0" applyFill="1"/>
    <xf numFmtId="43" fontId="1" fillId="7" borderId="0" xfId="1" applyFont="1" applyFill="1"/>
    <xf numFmtId="0" fontId="0" fillId="8" borderId="0" xfId="0" applyFill="1" applyAlignment="1">
      <alignment horizontal="left"/>
    </xf>
    <xf numFmtId="0" fontId="0" fillId="8" borderId="0" xfId="0" applyFill="1"/>
    <xf numFmtId="0" fontId="0" fillId="6" borderId="0" xfId="0" applyFill="1"/>
    <xf numFmtId="43" fontId="1" fillId="6" borderId="0" xfId="1" applyFont="1" applyFill="1"/>
    <xf numFmtId="4" fontId="0" fillId="8" borderId="0" xfId="0" applyNumberFormat="1" applyFill="1"/>
    <xf numFmtId="43" fontId="1" fillId="8" borderId="0" xfId="1" applyFont="1" applyFill="1"/>
    <xf numFmtId="43" fontId="0" fillId="8" borderId="0" xfId="0" applyNumberFormat="1" applyFill="1"/>
    <xf numFmtId="43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center"/>
    </xf>
    <xf numFmtId="164" fontId="3" fillId="9" borderId="0" xfId="2" applyNumberFormat="1" applyFont="1" applyFill="1"/>
    <xf numFmtId="43" fontId="0" fillId="0" borderId="0" xfId="1" applyFont="1"/>
    <xf numFmtId="43" fontId="5" fillId="2" borderId="0" xfId="1" applyFont="1" applyFill="1" applyAlignment="1">
      <alignment horizontal="center"/>
    </xf>
    <xf numFmtId="43" fontId="3" fillId="10" borderId="0" xfId="1" applyFont="1" applyFill="1" applyAlignment="1">
      <alignment horizontal="center"/>
    </xf>
    <xf numFmtId="43" fontId="3" fillId="11" borderId="0" xfId="1" applyFont="1" applyFill="1" applyAlignment="1">
      <alignment horizontal="center"/>
    </xf>
    <xf numFmtId="43" fontId="3" fillId="10" borderId="0" xfId="1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164" fontId="3" fillId="12" borderId="0" xfId="2" applyNumberFormat="1" applyFont="1" applyFill="1" applyAlignment="1">
      <alignment horizontal="right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43" fontId="0" fillId="0" borderId="0" xfId="1" applyFont="1" applyAlignment="1">
      <alignment horizontal="right" vertical="center"/>
    </xf>
    <xf numFmtId="0" fontId="11" fillId="0" borderId="0" xfId="0" applyFont="1" applyAlignment="1">
      <alignment horizontal="center"/>
    </xf>
    <xf numFmtId="165" fontId="0" fillId="0" borderId="0" xfId="0" applyNumberFormat="1"/>
    <xf numFmtId="4" fontId="0" fillId="8" borderId="2" xfId="0" applyNumberFormat="1" applyFill="1" applyBorder="1" applyAlignment="1">
      <alignment horizontal="right" vertical="center"/>
    </xf>
    <xf numFmtId="4" fontId="0" fillId="8" borderId="2" xfId="1" applyNumberFormat="1" applyFont="1" applyFill="1" applyBorder="1"/>
    <xf numFmtId="4" fontId="0" fillId="8" borderId="2" xfId="0" applyNumberFormat="1" applyFill="1" applyBorder="1"/>
    <xf numFmtId="0" fontId="0" fillId="2" borderId="0" xfId="0" applyFill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17" fontId="2" fillId="13" borderId="2" xfId="0" applyNumberFormat="1" applyFont="1" applyFill="1" applyBorder="1" applyAlignment="1">
      <alignment horizontal="center" vertical="center" wrapText="1"/>
    </xf>
    <xf numFmtId="1" fontId="0" fillId="0" borderId="2" xfId="0" applyNumberFormat="1" applyFill="1" applyBorder="1"/>
    <xf numFmtId="1" fontId="5" fillId="0" borderId="2" xfId="0" applyNumberFormat="1" applyFont="1" applyFill="1" applyBorder="1"/>
    <xf numFmtId="1" fontId="5" fillId="0" borderId="2" xfId="0" applyNumberFormat="1" applyFont="1" applyBorder="1"/>
    <xf numFmtId="4" fontId="10" fillId="13" borderId="2" xfId="0" applyNumberFormat="1" applyFont="1" applyFill="1" applyBorder="1" applyAlignment="1">
      <alignment horizontal="right" vertical="center"/>
    </xf>
    <xf numFmtId="0" fontId="12" fillId="2" borderId="0" xfId="0" applyFont="1" applyFill="1" applyAlignment="1">
      <alignment horizontal="center" vertical="center"/>
    </xf>
    <xf numFmtId="1" fontId="5" fillId="0" borderId="6" xfId="0" applyNumberFormat="1" applyFont="1" applyBorder="1"/>
  </cellXfs>
  <cellStyles count="3">
    <cellStyle name="Millares" xfId="1" builtinId="3"/>
    <cellStyle name="Normal" xfId="0" builtinId="0"/>
    <cellStyle name="Porcentaje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PERSONAL\Desktop\FACTURAS%20EMPRESAS-2023\FACTURACION%20BRIDGE4%20DIGITAL-2023\B4D%202024\EEFF-2024\11%20NOVIEMBRE\V-1%20B4D%20EERR%2010-2024.xlsx" TargetMode="External"/><Relationship Id="rId1" Type="http://schemas.openxmlformats.org/officeDocument/2006/relationships/externalLinkPath" Target="/Users/PCPERSONAL/Desktop/FACTURAS%20EMPRESAS-2023/FACTURACION%20BRIDGE4%20DIGITAL-2023/B4D%202024/EEFF-2024/11%20NOVIEMBRE/V-1%20B4D%20EERR%2010-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RGIO\Desktop\DIRECTORIO%202023%202024\PRESUPUESTO%202023%20y%202024.xlsx" TargetMode="External"/><Relationship Id="rId1" Type="http://schemas.openxmlformats.org/officeDocument/2006/relationships/externalLinkPath" Target="https://d.docs.live.net/f1d402f0cd6adcf2/Desktop/19-6-24/PRESUPUESTO%202023%20y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TB"/>
      <sheetName val="EERR S FACTURACION MENSUAL"/>
      <sheetName val="Hoja4"/>
      <sheetName val="PRESUPUESTO DIRECTORIO"/>
      <sheetName val="PRESUPUESTO GO BIG"/>
      <sheetName val="CONSOLIDADO (2)"/>
      <sheetName val="EERR DEV. 09-2024"/>
      <sheetName val="Hoja2"/>
    </sheetNames>
    <sheetDataSet>
      <sheetData sheetId="0"/>
      <sheetData sheetId="1"/>
      <sheetData sheetId="2"/>
      <sheetData sheetId="3"/>
      <sheetData sheetId="4">
        <row r="13">
          <cell r="U13">
            <v>91000</v>
          </cell>
        </row>
        <row r="122">
          <cell r="E122">
            <v>228634.23999999999</v>
          </cell>
        </row>
      </sheetData>
      <sheetData sheetId="5">
        <row r="118">
          <cell r="B118">
            <v>301778.272</v>
          </cell>
        </row>
        <row r="122">
          <cell r="B122">
            <v>187213.88800000001</v>
          </cell>
          <cell r="C122">
            <v>208043.77600000001</v>
          </cell>
          <cell r="D122">
            <v>228873.66399999999</v>
          </cell>
          <cell r="E122">
            <v>249703.552</v>
          </cell>
          <cell r="F122">
            <v>270533.44</v>
          </cell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"/>
      <sheetName val="2024"/>
      <sheetName val=" A"/>
      <sheetName val="A DI"/>
      <sheetName val=" B"/>
      <sheetName val="B DI"/>
      <sheetName val="C"/>
      <sheetName val="C DI"/>
      <sheetName val="D"/>
      <sheetName val="D DI"/>
      <sheetName val="E"/>
      <sheetName val="E DI"/>
      <sheetName val="targuet"/>
      <sheetName val="BO"/>
      <sheetName val="ESV"/>
      <sheetName val="FUNNEL ACTIVO"/>
      <sheetName val="NO APROBADO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200</v>
          </cell>
        </row>
      </sheetData>
      <sheetData sheetId="6"/>
      <sheetData sheetId="7">
        <row r="69">
          <cell r="A69">
            <v>282.49</v>
          </cell>
        </row>
      </sheetData>
      <sheetData sheetId="8"/>
      <sheetData sheetId="9"/>
      <sheetData sheetId="10"/>
      <sheetData sheetId="11"/>
      <sheetData sheetId="12">
        <row r="122">
          <cell r="B122">
            <v>181946.56</v>
          </cell>
          <cell r="D122">
            <v>213071.68</v>
          </cell>
        </row>
      </sheetData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elly Mery Villagomez" id="{15BEDEDC-14DC-4EF9-9C32-7A95FBC778E4}" userId="S::k.villagomez@bridge4digital.com::0f511301-d191-40d5-a0bc-3c3c9834ccb2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8" dT="2024-05-16T15:37:24.48" personId="{15BEDEDC-14DC-4EF9-9C32-7A95FBC778E4}" id="{1CC688E4-2B36-4FF9-A3FB-CD25CC17C769}">
    <text>FACT 23 01/04/2024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A5EA-505D-40BB-9586-233525CA977B}">
  <sheetPr>
    <tabColor rgb="FFFF0000"/>
  </sheetPr>
  <dimension ref="A1:DY121"/>
  <sheetViews>
    <sheetView tabSelected="1" zoomScale="84" zoomScaleNormal="84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0" sqref="B20:B24"/>
    </sheetView>
  </sheetViews>
  <sheetFormatPr baseColWidth="10" defaultColWidth="16.7109375" defaultRowHeight="15" x14ac:dyDescent="0.25"/>
  <cols>
    <col min="2" max="2" width="40.5703125" customWidth="1"/>
    <col min="3" max="3" width="5.7109375" style="7" customWidth="1"/>
    <col min="4" max="4" width="8.7109375" style="8" customWidth="1"/>
    <col min="5" max="5" width="37" customWidth="1"/>
    <col min="6" max="6" width="20.28515625" customWidth="1"/>
    <col min="7" max="12" width="20.7109375" style="71" customWidth="1"/>
    <col min="13" max="14" width="20.7109375" customWidth="1"/>
    <col min="15" max="15" width="20.7109375" style="2" customWidth="1"/>
    <col min="16" max="24" width="20.7109375" customWidth="1"/>
    <col min="26" max="26" width="20.5703125" customWidth="1"/>
    <col min="28" max="28" width="19.5703125" customWidth="1"/>
  </cols>
  <sheetData>
    <row r="1" spans="1:129" ht="21" x14ac:dyDescent="0.35">
      <c r="A1" s="100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9" ht="21" x14ac:dyDescent="0.35">
      <c r="A2" s="3"/>
      <c r="C2" s="4"/>
      <c r="D2" s="1"/>
      <c r="E2" s="5" t="s">
        <v>0</v>
      </c>
      <c r="F2" s="5"/>
      <c r="G2" s="5"/>
      <c r="H2" s="5"/>
      <c r="I2" s="5"/>
      <c r="J2" s="5"/>
      <c r="K2" s="5"/>
      <c r="L2" s="5"/>
    </row>
    <row r="3" spans="1:129" ht="21" x14ac:dyDescent="0.25">
      <c r="A3" s="6"/>
      <c r="B3" s="6"/>
      <c r="G3" s="9">
        <v>2024</v>
      </c>
      <c r="H3" s="120">
        <v>2025</v>
      </c>
      <c r="I3" s="9">
        <v>2024</v>
      </c>
      <c r="J3" s="120">
        <v>2025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129" s="21" customFormat="1" x14ac:dyDescent="0.25">
      <c r="A4" s="10" t="s">
        <v>1</v>
      </c>
      <c r="B4" s="10" t="s">
        <v>2</v>
      </c>
      <c r="C4" s="11" t="s">
        <v>3</v>
      </c>
      <c r="D4" s="11" t="s">
        <v>4</v>
      </c>
      <c r="E4" s="12" t="s">
        <v>5</v>
      </c>
      <c r="F4" s="13" t="s">
        <v>6</v>
      </c>
      <c r="G4" s="15" t="s">
        <v>7</v>
      </c>
      <c r="H4" s="115" t="s">
        <v>7</v>
      </c>
      <c r="I4" s="15" t="s">
        <v>8</v>
      </c>
      <c r="J4" s="115" t="s">
        <v>8</v>
      </c>
      <c r="K4" s="17"/>
      <c r="L4" s="15"/>
      <c r="M4" s="16"/>
      <c r="N4" s="15"/>
      <c r="O4" s="18"/>
      <c r="P4" s="15"/>
      <c r="Q4" s="18"/>
      <c r="R4" s="15"/>
      <c r="S4" s="19"/>
      <c r="T4" s="20"/>
      <c r="U4" s="19"/>
      <c r="V4" s="20"/>
      <c r="W4" s="19"/>
      <c r="X4" s="20"/>
      <c r="Y4" s="19"/>
      <c r="Z4" s="20"/>
      <c r="AA4" s="19"/>
      <c r="AB4" s="20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</row>
    <row r="5" spans="1:129" ht="15.75" x14ac:dyDescent="0.25">
      <c r="A5" s="23">
        <v>4102070002</v>
      </c>
      <c r="B5" s="24" t="s">
        <v>9</v>
      </c>
      <c r="C5" s="25" t="s">
        <v>97</v>
      </c>
      <c r="D5" s="25" t="s">
        <v>10</v>
      </c>
      <c r="E5" s="23" t="s">
        <v>14</v>
      </c>
      <c r="F5" s="25" t="s">
        <v>11</v>
      </c>
      <c r="G5" s="22">
        <v>3480</v>
      </c>
      <c r="H5" s="22">
        <v>4122.0600000000004</v>
      </c>
      <c r="I5" s="22">
        <v>3480</v>
      </c>
      <c r="J5" s="22">
        <v>0</v>
      </c>
      <c r="K5" s="22"/>
      <c r="L5" s="22"/>
      <c r="M5" s="22"/>
      <c r="N5" s="22"/>
      <c r="O5" s="27"/>
      <c r="P5" s="22"/>
      <c r="Q5" s="28"/>
      <c r="R5" s="29"/>
      <c r="S5" s="28"/>
      <c r="T5" s="30"/>
      <c r="U5" s="28"/>
      <c r="V5" s="31"/>
      <c r="W5" s="28"/>
      <c r="X5" s="32"/>
      <c r="Y5" s="28"/>
      <c r="Z5" s="103"/>
      <c r="AA5" s="28"/>
      <c r="AB5" s="103"/>
    </row>
    <row r="6" spans="1:129" ht="15.75" x14ac:dyDescent="0.25">
      <c r="A6" s="33">
        <v>4102010002</v>
      </c>
      <c r="B6" s="24" t="s">
        <v>12</v>
      </c>
      <c r="C6" s="25" t="s">
        <v>97</v>
      </c>
      <c r="D6" s="25" t="s">
        <v>13</v>
      </c>
      <c r="E6" s="23" t="s">
        <v>14</v>
      </c>
      <c r="F6" s="25" t="s">
        <v>11</v>
      </c>
      <c r="G6" s="22">
        <v>1577.14</v>
      </c>
      <c r="H6" s="22">
        <v>0</v>
      </c>
      <c r="I6" s="22">
        <v>1577.14</v>
      </c>
      <c r="J6" s="22">
        <v>0</v>
      </c>
      <c r="K6" s="22"/>
      <c r="L6" s="22"/>
      <c r="M6" s="22"/>
      <c r="N6" s="22"/>
      <c r="O6" s="27"/>
      <c r="P6" s="22"/>
      <c r="Q6" s="28"/>
      <c r="R6" s="22"/>
      <c r="S6" s="28"/>
      <c r="T6" s="30"/>
      <c r="U6" s="28"/>
      <c r="V6" s="31"/>
      <c r="W6" s="28"/>
      <c r="X6" s="32"/>
      <c r="Y6" s="28"/>
      <c r="Z6" s="103"/>
      <c r="AA6" s="28"/>
      <c r="AB6" s="103"/>
    </row>
    <row r="7" spans="1:129" ht="15.75" x14ac:dyDescent="0.25">
      <c r="A7" s="23">
        <v>4102070002</v>
      </c>
      <c r="B7" s="24" t="s">
        <v>15</v>
      </c>
      <c r="C7" s="25" t="s">
        <v>97</v>
      </c>
      <c r="D7" s="25" t="s">
        <v>10</v>
      </c>
      <c r="E7" s="23" t="s">
        <v>16</v>
      </c>
      <c r="F7" s="25" t="s">
        <v>11</v>
      </c>
      <c r="G7" s="22">
        <v>1827</v>
      </c>
      <c r="H7" s="22">
        <v>2001</v>
      </c>
      <c r="I7" s="22">
        <v>1827</v>
      </c>
      <c r="J7" s="22">
        <v>2001</v>
      </c>
      <c r="K7" s="22"/>
      <c r="L7" s="22"/>
      <c r="M7" s="22"/>
      <c r="N7" s="22"/>
      <c r="O7" s="27"/>
      <c r="P7" s="22"/>
      <c r="Q7" s="28"/>
      <c r="R7" s="22"/>
      <c r="S7" s="34"/>
      <c r="T7" s="30"/>
      <c r="U7" s="34"/>
      <c r="V7" s="31"/>
      <c r="W7" s="34"/>
      <c r="X7" s="32"/>
      <c r="Y7" s="28"/>
      <c r="Z7" s="103"/>
      <c r="AA7" s="28"/>
      <c r="AB7" s="103"/>
    </row>
    <row r="8" spans="1:129" ht="15.75" customHeight="1" x14ac:dyDescent="0.25">
      <c r="A8" s="33">
        <v>4102060001</v>
      </c>
      <c r="B8" s="112" t="s">
        <v>18</v>
      </c>
      <c r="C8" s="25" t="s">
        <v>97</v>
      </c>
      <c r="D8" s="37" t="s">
        <v>13</v>
      </c>
      <c r="E8" s="116" t="s">
        <v>19</v>
      </c>
      <c r="F8" s="25" t="s">
        <v>17</v>
      </c>
      <c r="G8" s="26">
        <v>0</v>
      </c>
      <c r="H8" s="26">
        <v>0</v>
      </c>
      <c r="I8" s="28">
        <v>0</v>
      </c>
      <c r="J8" s="28">
        <v>0</v>
      </c>
      <c r="K8" s="26"/>
      <c r="L8" s="28"/>
      <c r="M8" s="38"/>
      <c r="N8" s="28"/>
      <c r="O8" s="27"/>
      <c r="P8" s="22"/>
      <c r="Q8" s="28"/>
      <c r="R8" s="29"/>
      <c r="S8" s="34"/>
      <c r="T8" s="30"/>
      <c r="U8" s="34"/>
      <c r="V8" s="31"/>
      <c r="W8" s="34"/>
      <c r="X8" s="32"/>
      <c r="Y8" s="28"/>
      <c r="Z8" s="103"/>
      <c r="AA8" s="28"/>
      <c r="AB8" s="103"/>
    </row>
    <row r="9" spans="1:129" ht="15.75" customHeight="1" x14ac:dyDescent="0.25">
      <c r="A9" s="33">
        <v>4102070008</v>
      </c>
      <c r="B9" s="113"/>
      <c r="C9" s="25" t="s">
        <v>97</v>
      </c>
      <c r="D9" s="37" t="s">
        <v>13</v>
      </c>
      <c r="E9" s="116" t="s">
        <v>20</v>
      </c>
      <c r="F9" s="37" t="s">
        <v>11</v>
      </c>
      <c r="G9" s="26">
        <v>7919.21</v>
      </c>
      <c r="H9" s="26">
        <v>17140.810000000001</v>
      </c>
      <c r="I9" s="28">
        <v>0</v>
      </c>
      <c r="J9" s="28">
        <v>17035.189999999999</v>
      </c>
      <c r="K9" s="26"/>
      <c r="L9" s="28"/>
      <c r="M9" s="38"/>
      <c r="N9" s="28"/>
      <c r="O9" s="27"/>
      <c r="P9" s="22"/>
      <c r="Q9" s="28"/>
      <c r="R9" s="29"/>
      <c r="S9" s="34"/>
      <c r="T9" s="30"/>
      <c r="U9" s="34"/>
      <c r="V9" s="30"/>
      <c r="W9" s="34"/>
      <c r="X9" s="32"/>
      <c r="Y9" s="28"/>
      <c r="Z9" s="103"/>
      <c r="AA9" s="28"/>
      <c r="AB9" s="103"/>
    </row>
    <row r="10" spans="1:129" ht="15.75" customHeight="1" x14ac:dyDescent="0.25">
      <c r="A10" s="33">
        <v>4102120002</v>
      </c>
      <c r="B10" s="113"/>
      <c r="C10" s="25" t="s">
        <v>97</v>
      </c>
      <c r="D10" s="37" t="s">
        <v>13</v>
      </c>
      <c r="E10" s="117" t="s">
        <v>21</v>
      </c>
      <c r="F10" s="37" t="s">
        <v>22</v>
      </c>
      <c r="G10" s="26">
        <v>0</v>
      </c>
      <c r="H10" s="26">
        <v>43827.9</v>
      </c>
      <c r="I10" s="28">
        <v>0</v>
      </c>
      <c r="J10" s="28">
        <v>41489.78</v>
      </c>
      <c r="K10" s="26"/>
      <c r="L10" s="28"/>
      <c r="M10" s="38"/>
      <c r="N10" s="28"/>
      <c r="O10" s="27"/>
      <c r="P10" s="22"/>
      <c r="Q10" s="28"/>
      <c r="R10" s="29"/>
      <c r="S10" s="34"/>
      <c r="T10" s="30"/>
      <c r="U10" s="34"/>
      <c r="V10" s="30"/>
      <c r="W10" s="34"/>
      <c r="X10" s="32"/>
      <c r="Y10" s="28"/>
      <c r="Z10" s="103"/>
      <c r="AA10" s="28"/>
      <c r="AB10" s="103"/>
    </row>
    <row r="11" spans="1:129" ht="15.75" customHeight="1" x14ac:dyDescent="0.25">
      <c r="A11" s="33">
        <v>4102120004</v>
      </c>
      <c r="B11" s="111"/>
      <c r="C11" s="25" t="s">
        <v>97</v>
      </c>
      <c r="D11" s="37" t="s">
        <v>13</v>
      </c>
      <c r="E11" s="117" t="s">
        <v>23</v>
      </c>
      <c r="F11" s="37" t="s">
        <v>24</v>
      </c>
      <c r="G11" s="26">
        <v>0</v>
      </c>
      <c r="H11" s="26">
        <v>16978.38</v>
      </c>
      <c r="I11" s="28">
        <v>0</v>
      </c>
      <c r="J11" s="28">
        <v>16024.03</v>
      </c>
      <c r="K11" s="26"/>
      <c r="L11" s="28"/>
      <c r="M11" s="38"/>
      <c r="N11" s="28"/>
      <c r="O11" s="27"/>
      <c r="P11" s="22"/>
      <c r="Q11" s="28"/>
      <c r="R11" s="29"/>
      <c r="S11" s="34"/>
      <c r="T11" s="30"/>
      <c r="U11" s="34"/>
      <c r="V11" s="39"/>
      <c r="W11" s="34"/>
      <c r="X11" s="32"/>
      <c r="Y11" s="28"/>
      <c r="Z11" s="103"/>
      <c r="AA11" s="28"/>
      <c r="AB11" s="103"/>
    </row>
    <row r="12" spans="1:129" ht="15.75" customHeight="1" x14ac:dyDescent="0.25">
      <c r="A12" s="33">
        <v>4102120003</v>
      </c>
      <c r="B12" s="114"/>
      <c r="C12" s="25" t="s">
        <v>97</v>
      </c>
      <c r="D12" s="37" t="s">
        <v>13</v>
      </c>
      <c r="E12" s="117" t="s">
        <v>25</v>
      </c>
      <c r="F12" s="37" t="s">
        <v>26</v>
      </c>
      <c r="G12" s="26">
        <v>0</v>
      </c>
      <c r="H12" s="26">
        <v>1479</v>
      </c>
      <c r="I12" s="28">
        <v>0</v>
      </c>
      <c r="J12" s="28">
        <v>1479</v>
      </c>
      <c r="K12" s="26"/>
      <c r="L12" s="40"/>
      <c r="M12" s="38"/>
      <c r="N12" s="28"/>
      <c r="O12" s="27"/>
      <c r="P12" s="22"/>
      <c r="Q12" s="28"/>
      <c r="R12" s="29"/>
      <c r="S12" s="34"/>
      <c r="T12" s="30"/>
      <c r="U12" s="34"/>
      <c r="V12" s="39"/>
      <c r="W12" s="34"/>
      <c r="X12" s="32"/>
      <c r="Y12" s="28"/>
      <c r="Z12" s="103"/>
      <c r="AA12" s="28"/>
      <c r="AB12" s="103"/>
    </row>
    <row r="13" spans="1:129" ht="15.75" customHeight="1" x14ac:dyDescent="0.25">
      <c r="A13" s="33">
        <v>4102070010</v>
      </c>
      <c r="B13" s="112" t="s">
        <v>27</v>
      </c>
      <c r="C13" s="25" t="s">
        <v>97</v>
      </c>
      <c r="D13" s="25" t="s">
        <v>13</v>
      </c>
      <c r="E13" s="117" t="s">
        <v>28</v>
      </c>
      <c r="F13" s="42" t="s">
        <v>11</v>
      </c>
      <c r="G13" s="26">
        <v>0</v>
      </c>
      <c r="H13" s="26">
        <v>461.1</v>
      </c>
      <c r="I13" s="28">
        <v>0</v>
      </c>
      <c r="J13" s="28">
        <v>0</v>
      </c>
      <c r="K13" s="26"/>
      <c r="L13" s="40"/>
      <c r="M13" s="38"/>
      <c r="N13" s="28"/>
      <c r="O13" s="27"/>
      <c r="P13" s="22"/>
      <c r="Q13" s="28"/>
      <c r="R13" s="28"/>
      <c r="S13" s="34"/>
      <c r="T13" s="30"/>
      <c r="U13" s="34"/>
      <c r="V13" s="34"/>
      <c r="W13" s="34"/>
      <c r="X13" s="28"/>
      <c r="Y13" s="28"/>
      <c r="Z13" s="104"/>
      <c r="AA13" s="28"/>
      <c r="AB13" s="104"/>
    </row>
    <row r="14" spans="1:129" ht="15.75" customHeight="1" x14ac:dyDescent="0.25">
      <c r="A14" s="33">
        <v>4102090001</v>
      </c>
      <c r="B14" s="113"/>
      <c r="C14" s="25" t="s">
        <v>97</v>
      </c>
      <c r="D14" s="25" t="s">
        <v>13</v>
      </c>
      <c r="E14" s="117" t="s">
        <v>29</v>
      </c>
      <c r="F14" s="25" t="s">
        <v>11</v>
      </c>
      <c r="G14" s="22">
        <v>10731.74</v>
      </c>
      <c r="H14" s="22">
        <v>0</v>
      </c>
      <c r="I14" s="22">
        <v>10731.74</v>
      </c>
      <c r="J14" s="22">
        <v>0</v>
      </c>
      <c r="K14" s="22"/>
      <c r="L14" s="22"/>
      <c r="M14" s="22"/>
      <c r="N14" s="22"/>
      <c r="O14" s="27"/>
      <c r="P14" s="22"/>
      <c r="Q14" s="28"/>
      <c r="R14" s="29"/>
      <c r="S14" s="34"/>
      <c r="T14" s="30"/>
      <c r="U14" s="34"/>
      <c r="V14" s="34"/>
      <c r="W14" s="34"/>
      <c r="X14" s="28"/>
      <c r="Y14" s="28"/>
      <c r="Z14" s="104"/>
      <c r="AA14" s="28"/>
      <c r="AB14" s="104"/>
    </row>
    <row r="15" spans="1:129" ht="15.75" customHeight="1" x14ac:dyDescent="0.25">
      <c r="A15" s="33">
        <v>4102090006</v>
      </c>
      <c r="B15" s="113"/>
      <c r="C15" s="25" t="s">
        <v>97</v>
      </c>
      <c r="D15" s="25" t="s">
        <v>13</v>
      </c>
      <c r="E15" s="117" t="s">
        <v>30</v>
      </c>
      <c r="F15" t="s">
        <v>11</v>
      </c>
      <c r="G15" s="22">
        <v>0</v>
      </c>
      <c r="H15" s="22">
        <v>5652.98</v>
      </c>
      <c r="I15" s="22">
        <v>0</v>
      </c>
      <c r="J15" s="22">
        <v>0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41"/>
      <c r="W15" s="22"/>
      <c r="X15" s="32"/>
      <c r="Y15" s="22"/>
      <c r="Z15" s="103"/>
      <c r="AA15" s="22"/>
      <c r="AB15" s="103"/>
    </row>
    <row r="16" spans="1:129" ht="15.75" customHeight="1" x14ac:dyDescent="0.25">
      <c r="A16" s="33">
        <v>4102010008</v>
      </c>
      <c r="B16" s="114"/>
      <c r="C16" s="25" t="s">
        <v>97</v>
      </c>
      <c r="D16" s="25" t="s">
        <v>13</v>
      </c>
      <c r="E16" s="117" t="s">
        <v>31</v>
      </c>
      <c r="F16" t="s">
        <v>11</v>
      </c>
      <c r="G16" s="22">
        <v>0</v>
      </c>
      <c r="H16" s="22">
        <v>2414.25</v>
      </c>
      <c r="I16" s="22">
        <v>0</v>
      </c>
      <c r="J16" s="22">
        <v>0</v>
      </c>
      <c r="K16" s="22"/>
      <c r="L16" s="22"/>
      <c r="M16" s="22"/>
      <c r="N16" s="22"/>
      <c r="O16" s="27"/>
      <c r="P16" s="22"/>
      <c r="Q16" s="22"/>
      <c r="R16" s="22"/>
      <c r="S16" s="22"/>
      <c r="T16" s="22"/>
      <c r="U16" s="22"/>
      <c r="V16" s="22"/>
      <c r="W16" s="22"/>
      <c r="X16" s="32"/>
      <c r="Y16" s="22"/>
      <c r="Z16" s="103"/>
      <c r="AA16" s="22"/>
      <c r="AB16" s="103"/>
    </row>
    <row r="17" spans="1:28" ht="15.75" customHeight="1" x14ac:dyDescent="0.25">
      <c r="A17" s="33">
        <v>4102090001</v>
      </c>
      <c r="B17" s="112" t="s">
        <v>32</v>
      </c>
      <c r="C17" s="44" t="s">
        <v>100</v>
      </c>
      <c r="D17" s="45" t="s">
        <v>13</v>
      </c>
      <c r="E17" s="118" t="s">
        <v>29</v>
      </c>
      <c r="F17" s="45" t="s">
        <v>11</v>
      </c>
      <c r="G17" s="26">
        <v>3785.69</v>
      </c>
      <c r="H17" s="26">
        <v>0</v>
      </c>
      <c r="I17" s="26">
        <v>3785.69</v>
      </c>
      <c r="J17" s="26">
        <v>0</v>
      </c>
      <c r="K17" s="26"/>
      <c r="L17" s="26"/>
      <c r="M17" s="26"/>
      <c r="N17" s="26"/>
      <c r="O17" s="27"/>
      <c r="P17" s="22"/>
      <c r="Q17" s="28"/>
      <c r="R17" s="29"/>
      <c r="S17" s="34"/>
      <c r="T17" s="30"/>
      <c r="U17" s="34"/>
      <c r="V17" s="31"/>
      <c r="W17" s="34"/>
      <c r="X17" s="32"/>
      <c r="Y17" s="28"/>
      <c r="Z17" s="103"/>
      <c r="AA17" s="28"/>
      <c r="AB17" s="103"/>
    </row>
    <row r="18" spans="1:28" ht="15.75" customHeight="1" x14ac:dyDescent="0.25">
      <c r="A18" s="33">
        <v>4102090004</v>
      </c>
      <c r="B18" s="114"/>
      <c r="C18" s="44" t="s">
        <v>100</v>
      </c>
      <c r="D18" s="45" t="s">
        <v>13</v>
      </c>
      <c r="E18" s="118" t="s">
        <v>33</v>
      </c>
      <c r="F18" s="45" t="s">
        <v>17</v>
      </c>
      <c r="G18" s="26">
        <v>0</v>
      </c>
      <c r="H18" s="26">
        <v>0</v>
      </c>
      <c r="I18" s="26">
        <v>0</v>
      </c>
      <c r="J18" s="26">
        <v>0</v>
      </c>
      <c r="K18" s="26"/>
      <c r="L18" s="26"/>
      <c r="M18" s="26"/>
      <c r="N18" s="26"/>
      <c r="O18" s="27"/>
      <c r="P18" s="22"/>
      <c r="Q18" s="28"/>
      <c r="R18" s="29"/>
      <c r="S18" s="34"/>
      <c r="T18" s="30"/>
      <c r="U18" s="34"/>
      <c r="V18" s="31"/>
      <c r="W18" s="34"/>
      <c r="X18" s="32"/>
      <c r="Y18" s="28"/>
      <c r="Z18" s="103"/>
      <c r="AA18" s="28"/>
      <c r="AB18" s="103"/>
    </row>
    <row r="19" spans="1:28" ht="18" customHeight="1" x14ac:dyDescent="0.25">
      <c r="A19" s="33">
        <v>4102070005</v>
      </c>
      <c r="B19" s="107" t="s">
        <v>34</v>
      </c>
      <c r="C19" s="36" t="s">
        <v>97</v>
      </c>
      <c r="D19" s="46" t="s">
        <v>10</v>
      </c>
      <c r="E19" s="118" t="s">
        <v>20</v>
      </c>
      <c r="F19" s="46" t="s">
        <v>11</v>
      </c>
      <c r="G19" s="26">
        <v>3952.84</v>
      </c>
      <c r="H19" s="26">
        <v>3896.04</v>
      </c>
      <c r="I19" s="26">
        <v>3952.84</v>
      </c>
      <c r="J19" s="26">
        <v>3896.04</v>
      </c>
      <c r="K19" s="26"/>
      <c r="L19" s="26"/>
      <c r="M19" s="26"/>
      <c r="N19" s="26"/>
      <c r="O19" s="27"/>
      <c r="P19" s="22"/>
      <c r="Q19" s="28"/>
      <c r="R19" s="22"/>
      <c r="S19" s="34"/>
      <c r="T19" s="30"/>
      <c r="U19" s="34"/>
      <c r="V19" s="41"/>
      <c r="W19" s="34"/>
      <c r="X19" s="32"/>
      <c r="Y19" s="28"/>
      <c r="Z19" s="103"/>
      <c r="AA19" s="28"/>
      <c r="AB19" s="103"/>
    </row>
    <row r="20" spans="1:28" ht="15.75" customHeight="1" x14ac:dyDescent="0.25">
      <c r="A20" s="33">
        <v>4102070008</v>
      </c>
      <c r="B20" s="112" t="s">
        <v>35</v>
      </c>
      <c r="C20" s="44" t="s">
        <v>96</v>
      </c>
      <c r="D20" s="45" t="s">
        <v>13</v>
      </c>
      <c r="E20" s="118" t="s">
        <v>20</v>
      </c>
      <c r="F20" s="45" t="s">
        <v>11</v>
      </c>
      <c r="G20" s="26">
        <v>53760.84</v>
      </c>
      <c r="H20" s="26">
        <v>4533.2700000000004</v>
      </c>
      <c r="I20" s="26">
        <v>0</v>
      </c>
      <c r="J20" s="26">
        <v>0</v>
      </c>
      <c r="K20" s="26"/>
      <c r="L20" s="28"/>
      <c r="M20" s="26"/>
      <c r="N20" s="28"/>
      <c r="O20" s="27"/>
      <c r="P20" s="22"/>
      <c r="Q20" s="28"/>
      <c r="R20" s="29"/>
      <c r="S20" s="34"/>
      <c r="T20" s="29"/>
      <c r="U20" s="34"/>
      <c r="V20" s="28"/>
      <c r="W20" s="34"/>
      <c r="X20" s="28"/>
      <c r="Y20" s="28"/>
      <c r="Z20" s="104"/>
      <c r="AA20" s="28"/>
      <c r="AB20" s="104"/>
    </row>
    <row r="21" spans="1:28" ht="15.75" customHeight="1" x14ac:dyDescent="0.25">
      <c r="A21" s="33">
        <v>4102120002</v>
      </c>
      <c r="B21" s="113"/>
      <c r="C21" s="44" t="s">
        <v>96</v>
      </c>
      <c r="D21" s="45" t="s">
        <v>13</v>
      </c>
      <c r="E21" s="118" t="s">
        <v>21</v>
      </c>
      <c r="F21" s="45" t="str">
        <f>+F10</f>
        <v>MRC CG</v>
      </c>
      <c r="G21" s="26">
        <v>9387.83</v>
      </c>
      <c r="H21" s="26">
        <v>5517.17</v>
      </c>
      <c r="I21" s="26">
        <v>0</v>
      </c>
      <c r="J21" s="26">
        <v>0</v>
      </c>
      <c r="K21" s="26"/>
      <c r="L21" s="26"/>
      <c r="M21" s="26"/>
      <c r="N21" s="26"/>
      <c r="O21" s="27"/>
      <c r="P21" s="22"/>
      <c r="Q21" s="28"/>
      <c r="R21" s="29"/>
      <c r="S21" s="34"/>
      <c r="T21" s="29"/>
      <c r="U21" s="34"/>
      <c r="V21" s="28"/>
      <c r="W21" s="34"/>
      <c r="X21" s="28"/>
      <c r="Y21" s="28"/>
      <c r="Z21" s="104"/>
      <c r="AA21" s="28"/>
      <c r="AB21" s="104"/>
    </row>
    <row r="22" spans="1:28" ht="15.75" customHeight="1" x14ac:dyDescent="0.25">
      <c r="A22" s="33">
        <v>4102120004</v>
      </c>
      <c r="B22" s="111"/>
      <c r="C22" s="44" t="s">
        <v>96</v>
      </c>
      <c r="D22" s="45" t="s">
        <v>13</v>
      </c>
      <c r="E22" s="118" t="s">
        <v>23</v>
      </c>
      <c r="F22" s="45" t="s">
        <v>24</v>
      </c>
      <c r="G22" s="26">
        <f>51.03+7359.42+1883.5</f>
        <v>9293.9500000000007</v>
      </c>
      <c r="H22" s="26">
        <v>1053.9100000000001</v>
      </c>
      <c r="I22" s="26">
        <v>0</v>
      </c>
      <c r="J22" s="26">
        <v>0</v>
      </c>
      <c r="K22" s="26"/>
      <c r="L22" s="26"/>
      <c r="M22" s="26"/>
      <c r="N22" s="26"/>
      <c r="O22" s="27"/>
      <c r="P22" s="22"/>
      <c r="Q22" s="28"/>
      <c r="R22" s="29"/>
      <c r="S22" s="34"/>
      <c r="T22" s="29"/>
      <c r="U22" s="34"/>
      <c r="V22" s="34"/>
      <c r="W22" s="34"/>
      <c r="X22" s="28"/>
      <c r="Y22" s="28"/>
      <c r="Z22" s="104"/>
      <c r="AA22" s="28"/>
      <c r="AB22" s="104"/>
    </row>
    <row r="23" spans="1:28" ht="15.75" customHeight="1" x14ac:dyDescent="0.25">
      <c r="A23" s="33">
        <v>4102120003</v>
      </c>
      <c r="B23" s="113"/>
      <c r="C23" s="44" t="s">
        <v>96</v>
      </c>
      <c r="D23" s="45" t="s">
        <v>13</v>
      </c>
      <c r="E23" s="118" t="s">
        <v>25</v>
      </c>
      <c r="F23" s="45" t="str">
        <f>+F12</f>
        <v>MRC CARRITO</v>
      </c>
      <c r="G23" s="26">
        <v>791.7</v>
      </c>
      <c r="H23" s="26">
        <v>1479</v>
      </c>
      <c r="I23" s="26">
        <v>0</v>
      </c>
      <c r="J23" s="26">
        <v>0</v>
      </c>
      <c r="K23" s="26"/>
      <c r="L23" s="26"/>
      <c r="M23" s="26"/>
      <c r="N23" s="26"/>
      <c r="O23" s="27"/>
      <c r="P23" s="22"/>
      <c r="Q23" s="28"/>
      <c r="R23" s="29"/>
      <c r="S23" s="34"/>
      <c r="T23" s="29"/>
      <c r="U23" s="34"/>
      <c r="V23" s="34"/>
      <c r="W23" s="34"/>
      <c r="X23" s="28"/>
      <c r="Y23" s="28"/>
      <c r="Z23" s="104"/>
      <c r="AA23" s="28"/>
      <c r="AB23" s="104"/>
    </row>
    <row r="24" spans="1:28" ht="15.75" customHeight="1" x14ac:dyDescent="0.25">
      <c r="A24" s="33">
        <v>4102120001</v>
      </c>
      <c r="B24" s="114"/>
      <c r="C24" s="44" t="s">
        <v>96</v>
      </c>
      <c r="D24" s="45" t="s">
        <v>13</v>
      </c>
      <c r="E24" s="118" t="s">
        <v>36</v>
      </c>
      <c r="F24" s="45" t="s">
        <v>37</v>
      </c>
      <c r="G24" s="26">
        <v>23532.3</v>
      </c>
      <c r="H24" s="26">
        <v>0</v>
      </c>
      <c r="I24" s="26">
        <v>7954.11</v>
      </c>
      <c r="J24" s="26">
        <v>0</v>
      </c>
      <c r="K24" s="26"/>
      <c r="L24" s="28"/>
      <c r="M24" s="26"/>
      <c r="N24" s="28"/>
      <c r="O24" s="27"/>
      <c r="P24" s="22"/>
      <c r="Q24" s="28"/>
      <c r="R24" s="29"/>
      <c r="S24" s="34"/>
      <c r="T24" s="29"/>
      <c r="U24" s="34"/>
      <c r="V24" s="34"/>
      <c r="W24" s="34"/>
      <c r="X24" s="28"/>
      <c r="Y24" s="28"/>
      <c r="Z24" s="104"/>
      <c r="AA24" s="28"/>
      <c r="AB24" s="104"/>
    </row>
    <row r="25" spans="1:28" ht="15.75" customHeight="1" x14ac:dyDescent="0.25">
      <c r="A25" s="23">
        <v>4102030001</v>
      </c>
      <c r="B25" s="112" t="s">
        <v>38</v>
      </c>
      <c r="C25" s="36" t="s">
        <v>99</v>
      </c>
      <c r="D25" s="37" t="s">
        <v>10</v>
      </c>
      <c r="E25" s="23" t="s">
        <v>39</v>
      </c>
      <c r="F25" s="37" t="s">
        <v>11</v>
      </c>
      <c r="G25" s="26">
        <v>7501.14</v>
      </c>
      <c r="H25" s="26">
        <v>6805.14</v>
      </c>
      <c r="I25" s="26">
        <v>7501.14</v>
      </c>
      <c r="J25" s="26">
        <v>0</v>
      </c>
      <c r="K25" s="26"/>
      <c r="L25" s="26"/>
      <c r="M25" s="26"/>
      <c r="N25" s="26"/>
      <c r="O25" s="27"/>
      <c r="P25" s="29"/>
      <c r="Q25" s="28"/>
      <c r="R25" s="29"/>
      <c r="S25" s="28"/>
      <c r="T25" s="29"/>
      <c r="U25" s="28"/>
      <c r="V25" s="34"/>
      <c r="W25" s="28"/>
      <c r="X25" s="28"/>
      <c r="Y25" s="28"/>
      <c r="Z25" s="104"/>
      <c r="AA25" s="28"/>
      <c r="AB25" s="104"/>
    </row>
    <row r="26" spans="1:28" ht="15.75" customHeight="1" x14ac:dyDescent="0.25">
      <c r="A26" s="23">
        <v>4102030004</v>
      </c>
      <c r="B26" s="113"/>
      <c r="C26" s="36" t="s">
        <v>97</v>
      </c>
      <c r="D26" s="37" t="s">
        <v>10</v>
      </c>
      <c r="E26" s="23" t="s">
        <v>40</v>
      </c>
      <c r="F26" s="37" t="s">
        <v>11</v>
      </c>
      <c r="G26" s="26">
        <v>4872</v>
      </c>
      <c r="H26" s="26">
        <v>0</v>
      </c>
      <c r="I26" s="26">
        <v>4872</v>
      </c>
      <c r="J26" s="26">
        <v>0</v>
      </c>
      <c r="K26" s="26"/>
      <c r="L26" s="26"/>
      <c r="M26" s="26"/>
      <c r="N26" s="26"/>
      <c r="O26" s="27"/>
      <c r="P26" s="29"/>
      <c r="Q26" s="28"/>
      <c r="R26" s="29"/>
      <c r="S26" s="28"/>
      <c r="T26" s="29"/>
      <c r="U26" s="28"/>
      <c r="V26" s="34"/>
      <c r="W26" s="28"/>
      <c r="X26" s="28"/>
      <c r="Y26" s="28"/>
      <c r="Z26" s="104"/>
      <c r="AA26" s="28"/>
      <c r="AB26" s="104"/>
    </row>
    <row r="27" spans="1:28" ht="15.75" customHeight="1" x14ac:dyDescent="0.25">
      <c r="A27" s="23">
        <v>4102050004</v>
      </c>
      <c r="B27" s="113"/>
      <c r="C27" s="44" t="s">
        <v>97</v>
      </c>
      <c r="D27" s="37" t="s">
        <v>10</v>
      </c>
      <c r="E27" s="23" t="s">
        <v>41</v>
      </c>
      <c r="F27" s="37" t="s">
        <v>11</v>
      </c>
      <c r="G27" s="26">
        <v>6525</v>
      </c>
      <c r="H27" s="26">
        <v>36727.86</v>
      </c>
      <c r="I27" s="26">
        <v>6525</v>
      </c>
      <c r="J27" s="26">
        <v>0</v>
      </c>
      <c r="K27" s="26"/>
      <c r="L27" s="26"/>
      <c r="M27" s="26"/>
      <c r="N27" s="26"/>
      <c r="O27" s="48"/>
      <c r="P27" s="22"/>
      <c r="Q27" s="28"/>
      <c r="R27" s="29"/>
      <c r="S27" s="28"/>
      <c r="T27" s="29"/>
      <c r="U27" s="28"/>
      <c r="V27" s="28"/>
      <c r="W27" s="28"/>
      <c r="X27" s="28"/>
      <c r="Y27" s="28"/>
      <c r="Z27" s="104"/>
      <c r="AA27" s="28"/>
      <c r="AB27" s="104"/>
    </row>
    <row r="28" spans="1:28" ht="15.75" customHeight="1" x14ac:dyDescent="0.25">
      <c r="A28" s="23">
        <v>4102050005</v>
      </c>
      <c r="B28" s="113"/>
      <c r="C28" s="36" t="s">
        <v>97</v>
      </c>
      <c r="D28" s="37" t="s">
        <v>10</v>
      </c>
      <c r="E28" s="23" t="s">
        <v>42</v>
      </c>
      <c r="F28" s="37" t="s">
        <v>24</v>
      </c>
      <c r="G28" s="26">
        <v>2201.61</v>
      </c>
      <c r="H28" s="26">
        <v>342617.21</v>
      </c>
      <c r="I28" s="26">
        <v>89380.82</v>
      </c>
      <c r="J28" s="26">
        <v>0</v>
      </c>
      <c r="K28" s="26"/>
      <c r="L28" s="26"/>
      <c r="M28" s="26"/>
      <c r="N28" s="26"/>
      <c r="O28" s="48"/>
      <c r="P28" s="22"/>
      <c r="Q28" s="28"/>
      <c r="R28" s="29"/>
      <c r="S28" s="28"/>
      <c r="T28" s="29"/>
      <c r="U28" s="28"/>
      <c r="V28" s="28"/>
      <c r="W28" s="28"/>
      <c r="X28" s="28"/>
      <c r="Y28" s="28"/>
      <c r="Z28" s="104"/>
      <c r="AA28" s="28"/>
      <c r="AB28" s="104"/>
    </row>
    <row r="29" spans="1:28" ht="15.75" customHeight="1" x14ac:dyDescent="0.25">
      <c r="A29" s="23">
        <v>4102100001</v>
      </c>
      <c r="B29" s="113"/>
      <c r="C29" s="36" t="s">
        <v>97</v>
      </c>
      <c r="D29" s="37" t="s">
        <v>10</v>
      </c>
      <c r="E29" s="23" t="s">
        <v>43</v>
      </c>
      <c r="F29" s="37" t="s">
        <v>11</v>
      </c>
      <c r="G29" s="26">
        <v>11417.01</v>
      </c>
      <c r="H29" s="26">
        <v>12243.51</v>
      </c>
      <c r="I29" s="26">
        <v>11417.01</v>
      </c>
      <c r="J29" s="26">
        <v>0</v>
      </c>
      <c r="K29" s="26"/>
      <c r="L29" s="26"/>
      <c r="M29" s="26"/>
      <c r="N29" s="26"/>
      <c r="O29" s="27"/>
      <c r="P29" s="22"/>
      <c r="Q29" s="26"/>
      <c r="R29" s="29"/>
      <c r="S29" s="28"/>
      <c r="T29" s="30"/>
      <c r="U29" s="28"/>
      <c r="V29" s="32"/>
      <c r="W29" s="28"/>
      <c r="X29" s="32"/>
      <c r="Y29" s="28"/>
      <c r="Z29" s="103"/>
      <c r="AA29" s="28"/>
      <c r="AB29" s="103"/>
    </row>
    <row r="30" spans="1:28" ht="15.75" customHeight="1" x14ac:dyDescent="0.25">
      <c r="A30" s="23">
        <v>4102010004</v>
      </c>
      <c r="B30" s="113"/>
      <c r="C30" s="36" t="s">
        <v>98</v>
      </c>
      <c r="D30" s="37" t="s">
        <v>10</v>
      </c>
      <c r="E30" s="23" t="s">
        <v>44</v>
      </c>
      <c r="F30" s="37" t="s">
        <v>11</v>
      </c>
      <c r="G30" s="26">
        <v>90603.91</v>
      </c>
      <c r="H30" s="26">
        <v>0</v>
      </c>
      <c r="I30" s="26">
        <v>87882.15</v>
      </c>
      <c r="J30" s="26">
        <v>0</v>
      </c>
      <c r="K30" s="26"/>
      <c r="L30" s="26"/>
      <c r="M30" s="26"/>
      <c r="N30" s="26"/>
      <c r="O30" s="27"/>
      <c r="P30" s="22"/>
      <c r="Q30" s="28"/>
      <c r="R30" s="29"/>
      <c r="S30" s="28"/>
      <c r="T30" s="30"/>
      <c r="U30" s="28"/>
      <c r="V30" s="31"/>
      <c r="W30" s="28"/>
      <c r="X30" s="32"/>
      <c r="Y30" s="28"/>
      <c r="Z30" s="103"/>
      <c r="AA30" s="28"/>
      <c r="AB30" s="103"/>
    </row>
    <row r="31" spans="1:28" ht="15.75" x14ac:dyDescent="0.25">
      <c r="A31" s="23">
        <v>4102010002</v>
      </c>
      <c r="B31" s="35" t="s">
        <v>45</v>
      </c>
      <c r="C31" s="47" t="s">
        <v>96</v>
      </c>
      <c r="D31" s="37" t="s">
        <v>10</v>
      </c>
      <c r="E31" s="23" t="s">
        <v>14</v>
      </c>
      <c r="F31" s="25" t="s">
        <v>11</v>
      </c>
      <c r="G31" s="22">
        <v>665.55</v>
      </c>
      <c r="H31" s="102">
        <v>665.55</v>
      </c>
      <c r="I31" s="22">
        <v>665.55</v>
      </c>
      <c r="J31" s="22">
        <v>665.55</v>
      </c>
      <c r="K31" s="22"/>
      <c r="L31" s="22"/>
      <c r="M31" s="22"/>
      <c r="N31" s="22"/>
      <c r="O31" s="27"/>
      <c r="P31" s="22"/>
      <c r="Q31" s="28"/>
      <c r="R31" s="22"/>
      <c r="S31" s="33"/>
      <c r="T31" s="30"/>
      <c r="U31" s="33"/>
      <c r="V31" s="41"/>
      <c r="W31" s="33"/>
      <c r="X31" s="32"/>
      <c r="Y31" s="28"/>
      <c r="Z31" s="103"/>
      <c r="AA31" s="28"/>
      <c r="AB31" s="103"/>
    </row>
    <row r="32" spans="1:28" ht="15.75" customHeight="1" x14ac:dyDescent="0.25">
      <c r="A32" s="23">
        <v>4102020002</v>
      </c>
      <c r="B32" s="43" t="s">
        <v>46</v>
      </c>
      <c r="C32" s="44" t="s">
        <v>97</v>
      </c>
      <c r="D32" s="37" t="s">
        <v>10</v>
      </c>
      <c r="E32" s="23" t="s">
        <v>47</v>
      </c>
      <c r="F32" s="45" t="s">
        <v>11</v>
      </c>
      <c r="G32" s="26">
        <v>1351.28</v>
      </c>
      <c r="H32" s="26">
        <v>1228.44</v>
      </c>
      <c r="I32" s="26">
        <v>1351.28</v>
      </c>
      <c r="J32" s="26">
        <v>1228.44</v>
      </c>
      <c r="K32" s="26"/>
      <c r="L32" s="26"/>
      <c r="M32" s="26"/>
      <c r="N32" s="26"/>
      <c r="O32" s="27"/>
      <c r="P32" s="22"/>
      <c r="Q32" s="28"/>
      <c r="R32" s="22"/>
      <c r="S32" s="28"/>
      <c r="T32" s="30"/>
      <c r="U32" s="28"/>
      <c r="V32" s="41"/>
      <c r="W32" s="28"/>
      <c r="X32" s="32"/>
      <c r="Y32" s="28"/>
      <c r="Z32" s="103"/>
      <c r="AA32" s="28"/>
      <c r="AB32" s="103"/>
    </row>
    <row r="33" spans="1:28" ht="15.75" customHeight="1" x14ac:dyDescent="0.25">
      <c r="A33" s="23">
        <v>4102060006</v>
      </c>
      <c r="B33" s="112" t="s">
        <v>48</v>
      </c>
      <c r="C33" s="49" t="s">
        <v>97</v>
      </c>
      <c r="D33" s="50" t="s">
        <v>13</v>
      </c>
      <c r="E33" s="23" t="s">
        <v>49</v>
      </c>
      <c r="F33" s="25" t="s">
        <v>11</v>
      </c>
      <c r="G33" s="22">
        <v>0</v>
      </c>
      <c r="H33" s="22">
        <v>0</v>
      </c>
      <c r="I33" s="22">
        <v>0</v>
      </c>
      <c r="J33" s="22">
        <v>0</v>
      </c>
      <c r="K33" s="22"/>
      <c r="L33" s="22"/>
      <c r="M33" s="22"/>
      <c r="N33" s="22"/>
      <c r="O33" s="27"/>
      <c r="P33" s="22"/>
      <c r="Q33" s="28"/>
      <c r="R33" s="29"/>
      <c r="S33" s="34"/>
      <c r="T33" s="30"/>
      <c r="U33" s="34"/>
      <c r="V33" s="31"/>
      <c r="W33" s="34"/>
      <c r="X33" s="32"/>
      <c r="Y33" s="28"/>
      <c r="Z33" s="103"/>
      <c r="AA33" s="28"/>
      <c r="AB33" s="103"/>
    </row>
    <row r="34" spans="1:28" ht="15.75" customHeight="1" x14ac:dyDescent="0.25">
      <c r="A34" s="33">
        <v>4102070009</v>
      </c>
      <c r="B34" s="113"/>
      <c r="C34" s="49" t="s">
        <v>97</v>
      </c>
      <c r="D34" s="50" t="s">
        <v>13</v>
      </c>
      <c r="E34" s="33" t="s">
        <v>50</v>
      </c>
      <c r="F34" s="25" t="s">
        <v>11</v>
      </c>
      <c r="G34" s="22">
        <v>0</v>
      </c>
      <c r="H34" s="22">
        <v>0</v>
      </c>
      <c r="I34" s="22">
        <v>0</v>
      </c>
      <c r="J34" s="22">
        <v>0</v>
      </c>
      <c r="K34" s="22"/>
      <c r="L34" s="22"/>
      <c r="M34" s="22"/>
      <c r="N34" s="22"/>
      <c r="O34" s="27"/>
      <c r="P34" s="27"/>
      <c r="Q34" s="27"/>
      <c r="R34" s="27"/>
      <c r="S34" s="27"/>
      <c r="T34" s="27"/>
      <c r="U34" s="27"/>
      <c r="V34" s="27"/>
      <c r="W34" s="27"/>
      <c r="X34" s="28"/>
      <c r="Y34" s="27"/>
      <c r="Z34" s="104"/>
      <c r="AA34" s="27"/>
      <c r="AB34" s="104"/>
    </row>
    <row r="35" spans="1:28" ht="15.75" customHeight="1" x14ac:dyDescent="0.25">
      <c r="A35" s="33">
        <v>4102070008</v>
      </c>
      <c r="B35" s="113"/>
      <c r="C35" s="49" t="s">
        <v>97</v>
      </c>
      <c r="D35" s="50" t="s">
        <v>13</v>
      </c>
      <c r="E35" s="33" t="s">
        <v>51</v>
      </c>
      <c r="F35" s="25" t="s">
        <v>11</v>
      </c>
      <c r="G35" s="22">
        <v>0</v>
      </c>
      <c r="H35" s="22">
        <v>4382</v>
      </c>
      <c r="I35" s="22">
        <v>0</v>
      </c>
      <c r="J35" s="22">
        <v>0</v>
      </c>
      <c r="K35" s="22"/>
      <c r="L35" s="22"/>
      <c r="M35" s="22"/>
      <c r="N35" s="22"/>
      <c r="O35" s="27"/>
      <c r="P35" s="27"/>
      <c r="Q35" s="27"/>
      <c r="R35" s="27"/>
      <c r="S35" s="27"/>
      <c r="T35" s="27"/>
      <c r="U35" s="27"/>
      <c r="V35" s="27"/>
      <c r="W35" s="27"/>
      <c r="X35" s="28"/>
      <c r="Y35" s="27"/>
      <c r="Z35" s="104"/>
      <c r="AA35" s="27"/>
      <c r="AB35" s="104"/>
    </row>
    <row r="36" spans="1:28" ht="15.75" customHeight="1" x14ac:dyDescent="0.25">
      <c r="A36" s="33">
        <v>4102120002</v>
      </c>
      <c r="B36" s="113"/>
      <c r="C36" s="49" t="s">
        <v>97</v>
      </c>
      <c r="D36" s="50" t="s">
        <v>13</v>
      </c>
      <c r="E36" s="118" t="s">
        <v>21</v>
      </c>
      <c r="F36" s="25" t="s">
        <v>11</v>
      </c>
      <c r="G36" s="22">
        <v>0</v>
      </c>
      <c r="H36" s="22">
        <v>5464.3</v>
      </c>
      <c r="I36" s="22">
        <v>0</v>
      </c>
      <c r="J36" s="22">
        <v>0</v>
      </c>
      <c r="K36" s="22"/>
      <c r="L36" s="22"/>
      <c r="M36" s="22"/>
      <c r="N36" s="22"/>
      <c r="O36" s="27"/>
      <c r="P36" s="27"/>
      <c r="Q36" s="27"/>
      <c r="R36" s="27"/>
      <c r="S36" s="27"/>
      <c r="T36" s="27"/>
      <c r="U36" s="27"/>
      <c r="V36" s="27"/>
      <c r="W36" s="27"/>
      <c r="X36" s="28"/>
      <c r="Y36" s="27"/>
      <c r="Z36" s="104"/>
      <c r="AA36" s="27"/>
      <c r="AB36" s="104"/>
    </row>
    <row r="37" spans="1:28" ht="15.75" customHeight="1" x14ac:dyDescent="0.25">
      <c r="A37" s="33">
        <v>4102120004</v>
      </c>
      <c r="B37" s="113"/>
      <c r="C37" s="49" t="s">
        <v>97</v>
      </c>
      <c r="D37" s="50" t="s">
        <v>13</v>
      </c>
      <c r="E37" s="118" t="s">
        <v>23</v>
      </c>
      <c r="F37" s="25" t="s">
        <v>11</v>
      </c>
      <c r="G37" s="22">
        <v>0</v>
      </c>
      <c r="H37" s="22">
        <v>301.95999999999998</v>
      </c>
      <c r="I37" s="22">
        <v>0</v>
      </c>
      <c r="J37" s="22">
        <v>0</v>
      </c>
      <c r="K37" s="22"/>
      <c r="L37" s="22"/>
      <c r="M37" s="22"/>
      <c r="N37" s="22"/>
      <c r="O37" s="27"/>
      <c r="P37" s="27"/>
      <c r="Q37" s="27"/>
      <c r="R37" s="27"/>
      <c r="S37" s="27"/>
      <c r="T37" s="27"/>
      <c r="U37" s="27"/>
      <c r="V37" s="27"/>
      <c r="W37" s="27"/>
      <c r="X37" s="28"/>
      <c r="Y37" s="27"/>
      <c r="Z37" s="104"/>
      <c r="AA37" s="27"/>
      <c r="AB37" s="104"/>
    </row>
    <row r="38" spans="1:28" ht="15.75" customHeight="1" x14ac:dyDescent="0.25">
      <c r="A38" s="33">
        <v>4102120003</v>
      </c>
      <c r="B38" s="114"/>
      <c r="C38" s="49" t="s">
        <v>97</v>
      </c>
      <c r="D38" s="50" t="s">
        <v>13</v>
      </c>
      <c r="E38" s="118" t="s">
        <v>25</v>
      </c>
      <c r="F38" s="25" t="s">
        <v>11</v>
      </c>
      <c r="G38" s="22">
        <v>0</v>
      </c>
      <c r="H38" s="22">
        <v>1479</v>
      </c>
      <c r="I38" s="22">
        <v>0</v>
      </c>
      <c r="J38" s="22">
        <v>0</v>
      </c>
      <c r="K38" s="22"/>
      <c r="L38" s="22"/>
      <c r="M38" s="22"/>
      <c r="N38" s="22"/>
      <c r="O38" s="27"/>
      <c r="P38" s="27"/>
      <c r="Q38" s="27"/>
      <c r="R38" s="27"/>
      <c r="S38" s="27"/>
      <c r="T38" s="27"/>
      <c r="U38" s="27"/>
      <c r="V38" s="27"/>
      <c r="W38" s="27"/>
      <c r="X38" s="28"/>
      <c r="Y38" s="27"/>
      <c r="Z38" s="104"/>
      <c r="AA38" s="27"/>
      <c r="AB38" s="104"/>
    </row>
    <row r="39" spans="1:28" ht="15.75" customHeight="1" x14ac:dyDescent="0.25">
      <c r="A39" s="33">
        <v>4102090005</v>
      </c>
      <c r="B39" s="106" t="s">
        <v>94</v>
      </c>
      <c r="C39" s="47" t="s">
        <v>96</v>
      </c>
      <c r="D39" s="50" t="s">
        <v>95</v>
      </c>
      <c r="E39" s="121" t="s">
        <v>101</v>
      </c>
      <c r="F39" s="25" t="s">
        <v>11</v>
      </c>
      <c r="G39" s="22">
        <v>0</v>
      </c>
      <c r="H39" s="22">
        <v>0</v>
      </c>
      <c r="I39" s="22">
        <v>0</v>
      </c>
      <c r="J39" s="22">
        <v>4089</v>
      </c>
      <c r="K39" s="22"/>
      <c r="L39" s="22"/>
      <c r="M39" s="22"/>
      <c r="N39" s="22"/>
      <c r="O39" s="27"/>
      <c r="P39" s="27"/>
      <c r="Q39" s="27"/>
      <c r="R39" s="27"/>
      <c r="S39" s="27"/>
      <c r="T39" s="27"/>
      <c r="U39" s="27"/>
      <c r="V39" s="27"/>
      <c r="W39" s="27"/>
      <c r="X39" s="28"/>
      <c r="Y39" s="27"/>
      <c r="Z39" s="104"/>
      <c r="AA39" s="27"/>
      <c r="AB39" s="104"/>
    </row>
    <row r="40" spans="1:28" ht="21" x14ac:dyDescent="0.35">
      <c r="A40" s="51" t="s">
        <v>52</v>
      </c>
      <c r="B40" s="52"/>
      <c r="C40" s="53"/>
      <c r="D40" s="54"/>
      <c r="E40" s="55"/>
      <c r="F40" s="53"/>
      <c r="G40" s="57">
        <f>SUM(G5:G39)</f>
        <v>255177.74</v>
      </c>
      <c r="H40" s="119">
        <f>SUM(H5:H39)</f>
        <v>522471.84</v>
      </c>
      <c r="I40" s="57">
        <f>SUM(I5:I39)</f>
        <v>242903.47</v>
      </c>
      <c r="J40" s="119">
        <f>SUM(J5:J39)</f>
        <v>87908.03</v>
      </c>
      <c r="K40" s="56"/>
      <c r="L40" s="57"/>
      <c r="M40" s="56"/>
      <c r="N40" s="57"/>
      <c r="O40" s="56"/>
      <c r="P40" s="57"/>
      <c r="Q40" s="56"/>
      <c r="R40" s="57"/>
      <c r="S40" s="58"/>
      <c r="T40" s="59"/>
      <c r="U40" s="58"/>
      <c r="V40" s="59"/>
      <c r="W40" s="58"/>
      <c r="X40" s="59"/>
      <c r="Y40" s="58"/>
      <c r="Z40" s="59"/>
      <c r="AA40" s="58"/>
      <c r="AB40" s="59"/>
    </row>
    <row r="41" spans="1:28" x14ac:dyDescent="0.25">
      <c r="A41" s="3"/>
      <c r="E41" s="3"/>
      <c r="F41" s="7"/>
      <c r="G41" s="60"/>
      <c r="H41" s="60"/>
      <c r="I41" s="60"/>
      <c r="J41" s="60"/>
      <c r="K41" s="60"/>
      <c r="L41" s="60"/>
      <c r="P41" s="33"/>
    </row>
    <row r="42" spans="1:28" x14ac:dyDescent="0.25">
      <c r="A42" s="3"/>
      <c r="E42" s="6" t="s">
        <v>53</v>
      </c>
      <c r="F42" s="7"/>
      <c r="G42" s="14">
        <v>45292</v>
      </c>
      <c r="H42" s="14"/>
      <c r="I42" s="14">
        <v>45323</v>
      </c>
      <c r="J42" s="14"/>
      <c r="K42" s="14"/>
      <c r="L42" s="14"/>
      <c r="M42" s="14"/>
      <c r="N42" s="14"/>
      <c r="P42" s="61"/>
      <c r="Q42" s="62"/>
      <c r="R42" s="61"/>
      <c r="S42" s="61"/>
      <c r="T42" s="61"/>
      <c r="U42" s="61"/>
      <c r="V42" s="61"/>
      <c r="W42" s="61"/>
    </row>
    <row r="43" spans="1:28" x14ac:dyDescent="0.25">
      <c r="A43" s="3"/>
      <c r="E43" s="6"/>
      <c r="F43" s="7"/>
      <c r="G43" s="63"/>
      <c r="H43" s="63"/>
      <c r="I43" s="63"/>
      <c r="J43" s="63"/>
      <c r="K43" s="63"/>
      <c r="L43" s="63"/>
      <c r="M43" s="6"/>
      <c r="N43" s="63"/>
      <c r="P43" s="61"/>
      <c r="Q43" s="62"/>
      <c r="R43" s="61"/>
      <c r="S43" s="61"/>
      <c r="T43" s="61"/>
      <c r="U43" s="61"/>
      <c r="V43" s="61"/>
      <c r="W43" s="61"/>
    </row>
    <row r="44" spans="1:28" x14ac:dyDescent="0.25">
      <c r="E44" t="str">
        <f>+C27</f>
        <v>LS</v>
      </c>
      <c r="F44" s="7"/>
      <c r="G44" s="64">
        <f>+SUMIF($C$5:$C$32,$E$44,G5:G32)</f>
        <v>55854.83</v>
      </c>
      <c r="H44" s="64"/>
      <c r="I44" s="64">
        <f>+SUMIF($C$5:$C$32,$E$44,I5:I32)</f>
        <v>135114.83000000002</v>
      </c>
      <c r="J44" s="64"/>
      <c r="K44" s="64"/>
      <c r="L44" s="64"/>
      <c r="M44" s="64"/>
      <c r="N44" s="64"/>
      <c r="P44" s="65"/>
      <c r="Q44" s="66"/>
      <c r="R44" s="65"/>
      <c r="S44" s="66"/>
      <c r="T44" s="65"/>
      <c r="U44" s="66"/>
      <c r="V44" s="65"/>
      <c r="W44" s="66"/>
      <c r="AA44" s="2"/>
    </row>
    <row r="45" spans="1:28" x14ac:dyDescent="0.25">
      <c r="E45" t="str">
        <f>+C31</f>
        <v>RP</v>
      </c>
      <c r="F45" s="7"/>
      <c r="G45" s="64">
        <f>+SUMIF($C$5:$C$32,$E$45,G5:G32)</f>
        <v>97432.17</v>
      </c>
      <c r="H45" s="64"/>
      <c r="I45" s="64">
        <f>+SUMIF($C$5:$C$32,$E$45,I5:I32)</f>
        <v>8619.66</v>
      </c>
      <c r="J45" s="64"/>
      <c r="K45" s="64"/>
      <c r="L45" s="64"/>
      <c r="M45" s="64"/>
      <c r="N45" s="64"/>
      <c r="P45" s="65"/>
      <c r="Q45" s="66"/>
      <c r="R45" s="65"/>
      <c r="S45" s="66"/>
      <c r="T45" s="65"/>
      <c r="U45" s="66"/>
      <c r="V45" s="65"/>
      <c r="W45" s="66"/>
    </row>
    <row r="46" spans="1:28" x14ac:dyDescent="0.25">
      <c r="E46" t="e">
        <f>+#REF!</f>
        <v>#REF!</v>
      </c>
      <c r="F46" s="7"/>
      <c r="G46" s="64">
        <f>+SUMIF($C$5:$C$32,$E$46,G5:G32)</f>
        <v>0</v>
      </c>
      <c r="H46" s="64"/>
      <c r="I46" s="64">
        <f>+SUMIF($C$5:$C$32,$E$46,I5:I32)</f>
        <v>0</v>
      </c>
      <c r="J46" s="64"/>
      <c r="K46" s="64"/>
      <c r="L46" s="64"/>
      <c r="M46" s="64"/>
      <c r="N46" s="64"/>
      <c r="P46" s="65"/>
      <c r="Q46" s="66"/>
      <c r="R46" s="65"/>
      <c r="S46" s="66"/>
      <c r="T46" s="65"/>
      <c r="U46" s="66"/>
      <c r="V46" s="65"/>
      <c r="W46" s="66"/>
    </row>
    <row r="47" spans="1:28" x14ac:dyDescent="0.25">
      <c r="E47" t="str">
        <f>+C25</f>
        <v>KV</v>
      </c>
      <c r="F47" s="7"/>
      <c r="G47" s="64">
        <f>+SUMIF($C$5:$C$32,$E$47,G5:G32)</f>
        <v>7501.14</v>
      </c>
      <c r="H47" s="64"/>
      <c r="I47" s="64">
        <f>+SUMIF($C$5:$C$32,$E$47,I5:I32)</f>
        <v>7501.14</v>
      </c>
      <c r="J47" s="64"/>
      <c r="K47" s="64">
        <f>+SUMIF($C$5:$C$32,$E$47,K5:K32)</f>
        <v>0</v>
      </c>
      <c r="L47" s="64">
        <f>+SUMIF($C$5:$C$32,$E$47,L5:L32)</f>
        <v>0</v>
      </c>
      <c r="M47" s="64">
        <f>+SUMIF($C$5:$C$32,$E$47,M5:M32)</f>
        <v>0</v>
      </c>
      <c r="N47" s="64">
        <f>+SUMIF($C$5:$C$32,$E$47,N5:N32)</f>
        <v>0</v>
      </c>
      <c r="P47" s="65" t="e">
        <f>+#REF!+#REF!+#REF!+K47+M47</f>
        <v>#REF!</v>
      </c>
      <c r="Q47" s="66" t="e">
        <f>+P47/$P$48</f>
        <v>#REF!</v>
      </c>
      <c r="R47" s="65" t="e">
        <f>+L47+I47+G47+#REF!+N47</f>
        <v>#REF!</v>
      </c>
      <c r="S47" s="66" t="e">
        <f>+R47/$R$48</f>
        <v>#REF!</v>
      </c>
      <c r="T47" s="65" t="e">
        <f>+K47+#REF!+#REF!+M47</f>
        <v>#REF!</v>
      </c>
      <c r="U47" s="66" t="e">
        <f>+T47/$T$48</f>
        <v>#REF!</v>
      </c>
      <c r="V47" s="65">
        <f>+L47+I47+G47+N47</f>
        <v>15002.28</v>
      </c>
      <c r="W47" s="66">
        <f>+V47/$V$48</f>
        <v>1</v>
      </c>
    </row>
    <row r="48" spans="1:28" x14ac:dyDescent="0.25">
      <c r="E48" s="6" t="s">
        <v>59</v>
      </c>
      <c r="F48" s="7"/>
      <c r="G48" s="67">
        <f t="shared" ref="G48" si="0">SUM(G44:G47)</f>
        <v>160788.14000000001</v>
      </c>
      <c r="H48" s="67"/>
      <c r="I48" s="67">
        <f>SUM(I44:I47)</f>
        <v>151235.63000000003</v>
      </c>
      <c r="J48" s="67"/>
      <c r="K48" s="67">
        <f>SUM(K44:K47)</f>
        <v>0</v>
      </c>
      <c r="L48" s="67">
        <f>SUM(L44:L47)</f>
        <v>0</v>
      </c>
      <c r="M48" s="67">
        <f t="shared" ref="M48:N48" si="1">SUM(M44:M47)</f>
        <v>0</v>
      </c>
      <c r="N48" s="67">
        <f t="shared" si="1"/>
        <v>0</v>
      </c>
      <c r="P48" s="68" t="e">
        <f>SUM(P44:P47)</f>
        <v>#REF!</v>
      </c>
      <c r="Q48" s="69" t="e">
        <f>SUM(Q44:Q47)</f>
        <v>#REF!</v>
      </c>
      <c r="R48" s="68" t="e">
        <f>SUM(R44:R47)</f>
        <v>#REF!</v>
      </c>
      <c r="S48" s="69" t="e">
        <f>SUM(S44:S47)</f>
        <v>#REF!</v>
      </c>
      <c r="T48" s="68" t="e">
        <f t="shared" ref="T48" si="2">SUM(T44:T47)</f>
        <v>#REF!</v>
      </c>
      <c r="U48" s="69" t="e">
        <f>SUM(U44:U47)</f>
        <v>#REF!</v>
      </c>
      <c r="V48" s="68">
        <f t="shared" ref="V48" si="3">SUM(V44:V47)</f>
        <v>15002.28</v>
      </c>
      <c r="W48" s="70">
        <f>+V48/$V$48</f>
        <v>1</v>
      </c>
      <c r="Z48" s="101">
        <f>+Z46-Z40</f>
        <v>0</v>
      </c>
    </row>
    <row r="49" spans="4:23" x14ac:dyDescent="0.25">
      <c r="F49" s="7"/>
    </row>
    <row r="50" spans="4:23" x14ac:dyDescent="0.25">
      <c r="E50" s="6" t="s">
        <v>60</v>
      </c>
      <c r="F50" s="7"/>
      <c r="G50" s="14">
        <v>45292</v>
      </c>
      <c r="H50" s="14"/>
      <c r="I50" s="14">
        <v>45323</v>
      </c>
      <c r="J50" s="14"/>
      <c r="K50" s="14">
        <v>44986</v>
      </c>
      <c r="L50" s="14">
        <v>45352</v>
      </c>
      <c r="M50" s="14">
        <v>45017</v>
      </c>
      <c r="N50" s="14">
        <v>45383</v>
      </c>
    </row>
    <row r="51" spans="4:23" x14ac:dyDescent="0.25">
      <c r="E51" s="6"/>
      <c r="F51" s="7"/>
      <c r="G51" s="72"/>
      <c r="H51" s="72"/>
      <c r="I51" s="72"/>
      <c r="J51" s="72"/>
      <c r="K51" s="72"/>
      <c r="L51" s="72"/>
      <c r="M51" s="72"/>
      <c r="N51" s="72"/>
    </row>
    <row r="52" spans="4:23" x14ac:dyDescent="0.25">
      <c r="D52"/>
      <c r="E52" t="s">
        <v>10</v>
      </c>
      <c r="F52" s="7"/>
      <c r="G52" s="73">
        <f>+SUMIF($D$5:$D$32,$E$52,G5:G32)</f>
        <v>134397.34</v>
      </c>
      <c r="H52" s="73"/>
      <c r="I52" s="73">
        <f>+SUMIF($D$5:$D$32,$E$52,I5:I32)</f>
        <v>218854.78999999998</v>
      </c>
      <c r="J52" s="73"/>
      <c r="K52" s="73">
        <f>+SUMIF($D$5:$D$32,$E$52,K5:K32)</f>
        <v>0</v>
      </c>
      <c r="L52" s="73">
        <f>+SUMIF($D$5:$D$32,$E$52,L5:L32)</f>
        <v>0</v>
      </c>
      <c r="M52" s="73">
        <f>+SUMIF($D$5:$D$32,$E$52,M5:M32)</f>
        <v>0</v>
      </c>
      <c r="N52" s="73">
        <f>+SUMIF($D$5:$D$32,$E$52,N5:N32)</f>
        <v>0</v>
      </c>
    </row>
    <row r="53" spans="4:23" x14ac:dyDescent="0.25">
      <c r="D53"/>
      <c r="E53" t="s">
        <v>13</v>
      </c>
      <c r="F53" s="7"/>
      <c r="G53" s="73">
        <f>SUMIF($D$5:$D$32,$E$53,G5:G32)</f>
        <v>120780.4</v>
      </c>
      <c r="H53" s="73"/>
      <c r="I53" s="73">
        <f>SUMIF($D$5:$D$32,$E$53,I5:I32)</f>
        <v>24048.68</v>
      </c>
      <c r="J53" s="73"/>
      <c r="K53" s="73">
        <f>SUMIF($D$5:$D$32,$E$53,K5:K32)</f>
        <v>0</v>
      </c>
      <c r="L53" s="73">
        <f>SUMIF($D$5:$D$32,$E$53,L5:L32)</f>
        <v>0</v>
      </c>
      <c r="M53" s="73">
        <f>SUMIF($D$5:$D$32,$E$53,M5:M32)</f>
        <v>0</v>
      </c>
      <c r="N53" s="73">
        <f>SUMIF($D$5:$D$32,$E$53,N5:N32)</f>
        <v>0</v>
      </c>
    </row>
    <row r="54" spans="4:23" x14ac:dyDescent="0.25">
      <c r="D54"/>
      <c r="E54" s="6" t="s">
        <v>61</v>
      </c>
      <c r="F54" s="6"/>
      <c r="G54" s="74">
        <f t="shared" ref="G54:N54" si="4">+G52+G53</f>
        <v>255177.74</v>
      </c>
      <c r="H54" s="74"/>
      <c r="I54" s="74">
        <f t="shared" si="4"/>
        <v>242903.46999999997</v>
      </c>
      <c r="J54" s="74"/>
      <c r="K54" s="74">
        <f t="shared" si="4"/>
        <v>0</v>
      </c>
      <c r="L54" s="74">
        <f t="shared" si="4"/>
        <v>0</v>
      </c>
      <c r="M54" s="74">
        <f t="shared" si="4"/>
        <v>0</v>
      </c>
      <c r="N54" s="74">
        <f t="shared" si="4"/>
        <v>0</v>
      </c>
    </row>
    <row r="55" spans="4:23" x14ac:dyDescent="0.25">
      <c r="D55"/>
      <c r="G55" s="73"/>
      <c r="H55" s="73"/>
      <c r="I55" s="73"/>
      <c r="J55" s="73"/>
      <c r="K55"/>
      <c r="L55" s="65"/>
    </row>
    <row r="56" spans="4:23" x14ac:dyDescent="0.25">
      <c r="D56"/>
      <c r="E56" s="75" t="s">
        <v>62</v>
      </c>
      <c r="F56" s="75"/>
      <c r="G56" s="14">
        <v>45292</v>
      </c>
      <c r="H56" s="14"/>
      <c r="I56" s="14">
        <v>45323</v>
      </c>
      <c r="J56" s="14"/>
      <c r="K56" s="14">
        <v>44986</v>
      </c>
      <c r="L56" s="14">
        <v>45352</v>
      </c>
      <c r="M56" s="14">
        <v>45017</v>
      </c>
      <c r="N56" s="14">
        <v>45383</v>
      </c>
      <c r="O56" s="2">
        <f>N40-N54</f>
        <v>0</v>
      </c>
    </row>
    <row r="57" spans="4:23" x14ac:dyDescent="0.25">
      <c r="D57"/>
      <c r="E57" s="6"/>
      <c r="F57" s="6"/>
      <c r="G57" s="63"/>
      <c r="H57" s="63"/>
      <c r="I57" s="63"/>
      <c r="J57" s="63"/>
      <c r="K57" s="63"/>
      <c r="L57" s="63"/>
      <c r="M57" s="72"/>
      <c r="N57" s="72"/>
    </row>
    <row r="58" spans="4:23" x14ac:dyDescent="0.25">
      <c r="D58"/>
      <c r="E58" t="str">
        <f>+E44</f>
        <v>LS</v>
      </c>
      <c r="G58" s="64">
        <v>22263.58</v>
      </c>
      <c r="H58" s="64"/>
      <c r="I58" s="64">
        <v>35366.089999999997</v>
      </c>
      <c r="J58" s="64"/>
      <c r="L58" s="64">
        <v>43881.149999999994</v>
      </c>
      <c r="N58" s="64">
        <v>13905.51</v>
      </c>
    </row>
    <row r="59" spans="4:23" x14ac:dyDescent="0.25">
      <c r="D59"/>
      <c r="E59" t="str">
        <f>+E45</f>
        <v>RP</v>
      </c>
      <c r="G59" s="64">
        <v>38622.839999999997</v>
      </c>
      <c r="H59" s="64"/>
      <c r="I59" s="64">
        <v>50959.89</v>
      </c>
      <c r="J59" s="64"/>
      <c r="L59" s="64">
        <v>42684.93</v>
      </c>
      <c r="N59" s="64">
        <v>76384.639999999999</v>
      </c>
    </row>
    <row r="60" spans="4:23" x14ac:dyDescent="0.25">
      <c r="D60"/>
      <c r="E60" t="e">
        <f>+E46</f>
        <v>#REF!</v>
      </c>
      <c r="G60" s="64">
        <v>3785.69</v>
      </c>
      <c r="H60" s="64"/>
      <c r="I60" s="64">
        <v>3785.69</v>
      </c>
      <c r="J60" s="64"/>
      <c r="K60" s="64"/>
      <c r="L60" s="64"/>
      <c r="N60" s="64">
        <v>7917.98</v>
      </c>
    </row>
    <row r="61" spans="4:23" x14ac:dyDescent="0.25">
      <c r="D61"/>
      <c r="E61" s="6" t="s">
        <v>59</v>
      </c>
      <c r="F61" s="6"/>
      <c r="G61" s="67">
        <f t="shared" ref="G61:M61" si="5">SUM(G58:G60)</f>
        <v>64672.11</v>
      </c>
      <c r="H61" s="67"/>
      <c r="I61" s="67">
        <f t="shared" si="5"/>
        <v>90111.67</v>
      </c>
      <c r="J61" s="67"/>
      <c r="K61" s="67">
        <f t="shared" si="5"/>
        <v>0</v>
      </c>
      <c r="L61" s="67">
        <f t="shared" si="5"/>
        <v>86566.079999999987</v>
      </c>
      <c r="M61" s="67">
        <f t="shared" si="5"/>
        <v>0</v>
      </c>
      <c r="N61" s="67">
        <f>SUM(N58:N60)</f>
        <v>98208.12999999999</v>
      </c>
    </row>
    <row r="62" spans="4:23" x14ac:dyDescent="0.25">
      <c r="D62"/>
      <c r="G62" s="73"/>
      <c r="H62" s="73"/>
      <c r="I62" s="73"/>
      <c r="J62" s="73"/>
      <c r="K62"/>
      <c r="L62" s="65"/>
    </row>
    <row r="63" spans="4:23" x14ac:dyDescent="0.25">
      <c r="D63"/>
      <c r="E63" s="75" t="s">
        <v>63</v>
      </c>
      <c r="F63" s="75"/>
      <c r="G63" s="14">
        <v>45292</v>
      </c>
      <c r="H63" s="14"/>
      <c r="I63" s="14">
        <v>45323</v>
      </c>
      <c r="J63" s="14"/>
      <c r="K63" s="14">
        <v>44986</v>
      </c>
      <c r="L63" s="14">
        <v>45352</v>
      </c>
      <c r="M63" s="14">
        <v>45017</v>
      </c>
      <c r="N63" s="14">
        <v>45383</v>
      </c>
      <c r="O63" s="6" t="s">
        <v>6</v>
      </c>
      <c r="P63" s="61" t="s">
        <v>54</v>
      </c>
      <c r="Q63" s="62" t="s">
        <v>56</v>
      </c>
      <c r="R63" s="61" t="s">
        <v>55</v>
      </c>
      <c r="S63" s="61" t="s">
        <v>56</v>
      </c>
      <c r="T63" s="61" t="s">
        <v>57</v>
      </c>
      <c r="U63" s="61" t="s">
        <v>56</v>
      </c>
      <c r="V63" s="61" t="s">
        <v>58</v>
      </c>
      <c r="W63" s="61" t="s">
        <v>56</v>
      </c>
    </row>
    <row r="64" spans="4:23" x14ac:dyDescent="0.25">
      <c r="D64"/>
      <c r="E64" s="6"/>
      <c r="F64" s="6"/>
      <c r="G64" s="72"/>
      <c r="H64" s="72"/>
      <c r="I64" s="72"/>
      <c r="J64" s="72"/>
      <c r="K64" s="72"/>
      <c r="L64" s="72"/>
      <c r="M64" s="72"/>
      <c r="N64" s="72"/>
      <c r="O64" s="6"/>
      <c r="P64" s="61"/>
      <c r="Q64" s="62"/>
      <c r="R64" s="61"/>
      <c r="S64" s="61"/>
      <c r="T64" s="61"/>
      <c r="U64" s="61"/>
      <c r="V64" s="61"/>
      <c r="W64" s="61"/>
    </row>
    <row r="65" spans="3:23" x14ac:dyDescent="0.25">
      <c r="D65"/>
      <c r="E65" t="e">
        <f>+#REF!</f>
        <v>#REF!</v>
      </c>
      <c r="G65" s="73">
        <f>+SUMIF($F$5:$F$32,$E$65,G5:G32)</f>
        <v>0</v>
      </c>
      <c r="H65" s="73"/>
      <c r="I65" s="73">
        <f>+SUMIF($F$5:$F$32,$E$65,I5:I32)</f>
        <v>0</v>
      </c>
      <c r="J65" s="73"/>
      <c r="K65" s="73">
        <f>+SUMIF($F$5:$F$32,$E$65,K5:K32)</f>
        <v>0</v>
      </c>
      <c r="L65" s="73">
        <f>+SUMIF($F$5:$F$32,$E$65,L5:L32)</f>
        <v>0</v>
      </c>
      <c r="M65" s="73">
        <f>+SUMIF($F$5:$F$32,$E$65,M5:M32)</f>
        <v>0</v>
      </c>
      <c r="N65" s="73">
        <f>+SUMIF($F$5:$F$32,$E$65,N5:N32)</f>
        <v>0</v>
      </c>
      <c r="O65" s="73" t="e">
        <f>+E65</f>
        <v>#REF!</v>
      </c>
      <c r="P65" s="65" t="e">
        <f>+#REF!+#REF!+#REF!+K65+M65</f>
        <v>#REF!</v>
      </c>
      <c r="Q65" s="66" t="e">
        <f t="shared" ref="Q65:Q71" si="6">+P65/$P$71</f>
        <v>#REF!</v>
      </c>
      <c r="R65" s="65" t="e">
        <f>+L65+I65+G65+#REF!+N65</f>
        <v>#REF!</v>
      </c>
      <c r="S65" s="66" t="e">
        <f t="shared" ref="S65:S71" si="7">+R65/$R$71</f>
        <v>#REF!</v>
      </c>
      <c r="T65" s="65" t="e">
        <f>+K65+#REF!+#REF!+M65</f>
        <v>#REF!</v>
      </c>
      <c r="U65" s="66" t="e">
        <f t="shared" ref="U65:U70" si="8">+T65/$T$71</f>
        <v>#REF!</v>
      </c>
      <c r="V65" s="65">
        <f>+L65+I65+G65+N65</f>
        <v>0</v>
      </c>
      <c r="W65" s="66">
        <f t="shared" ref="W65:W70" ca="1" si="9">+V65/$V$71</f>
        <v>0</v>
      </c>
    </row>
    <row r="66" spans="3:23" x14ac:dyDescent="0.25">
      <c r="D66"/>
      <c r="E66" t="str">
        <f>+F30</f>
        <v>MRC</v>
      </c>
      <c r="G66" s="73">
        <f>+SUMIF($F$5:$F$32,$E$66,G5:G32)</f>
        <v>209970.34999999998</v>
      </c>
      <c r="H66" s="73"/>
      <c r="I66" s="73">
        <f>+SUMIF($F$5:$F$32,$E$66,I5:I32)</f>
        <v>145568.53999999998</v>
      </c>
      <c r="J66" s="73"/>
      <c r="K66" s="73">
        <f>+SUMIF($F$5:$F$32,$E$66,K5:K32)</f>
        <v>0</v>
      </c>
      <c r="L66" s="73">
        <f>+SUMIF($F$5:$F$32,$E$66,L5:L32)</f>
        <v>0</v>
      </c>
      <c r="M66" s="73">
        <f>+SUMIF($F$5:$F$32,$E$66,M5:M32)</f>
        <v>0</v>
      </c>
      <c r="N66" s="73">
        <f>+SUMIF($F$5:$F$32,$E$66,N5:N32)</f>
        <v>0</v>
      </c>
      <c r="O66" s="73" t="str">
        <f>+E66</f>
        <v>MRC</v>
      </c>
      <c r="P66" s="65" t="e">
        <f>+#REF!+#REF!+#REF!+K66+M66</f>
        <v>#REF!</v>
      </c>
      <c r="Q66" s="66" t="e">
        <f t="shared" si="6"/>
        <v>#REF!</v>
      </c>
      <c r="R66" s="65" t="e">
        <f>+L66+I66+G66+#REF!+N66</f>
        <v>#REF!</v>
      </c>
      <c r="S66" s="76" t="e">
        <f t="shared" si="7"/>
        <v>#REF!</v>
      </c>
      <c r="T66" s="65" t="e">
        <f>+K66+#REF!+#REF!+M66</f>
        <v>#REF!</v>
      </c>
      <c r="U66" s="66" t="e">
        <f t="shared" si="8"/>
        <v>#REF!</v>
      </c>
      <c r="V66" s="65">
        <f>+L66+I66+G66+N66</f>
        <v>355538.88999999996</v>
      </c>
      <c r="W66" s="76">
        <f t="shared" ca="1" si="9"/>
        <v>0.71381711026601458</v>
      </c>
    </row>
    <row r="67" spans="3:23" x14ac:dyDescent="0.25">
      <c r="D67"/>
      <c r="E67" t="str">
        <f>+F10</f>
        <v>MRC CG</v>
      </c>
      <c r="G67" s="73">
        <f>+SUMIF($F$5:$F$32,$E$67,G5:G32)</f>
        <v>9387.83</v>
      </c>
      <c r="H67" s="73"/>
      <c r="I67" s="73">
        <f>+SUMIF($F$5:$F$32,$E$67,I5:I32)</f>
        <v>0</v>
      </c>
      <c r="J67" s="73"/>
      <c r="K67" s="73">
        <f>+SUMIF($F$5:$F$32,$E$67,K5:K32)</f>
        <v>0</v>
      </c>
      <c r="L67" s="73">
        <f>+SUMIF($F$5:$F$32,$E$67,L5:L32)</f>
        <v>0</v>
      </c>
      <c r="M67" s="73">
        <f>+SUMIF($F$5:$F$32,$E$67,M5:M32)</f>
        <v>0</v>
      </c>
      <c r="N67" s="73">
        <f>+SUMIF($F$5:$F$32,$E$67,N5:N32)</f>
        <v>0</v>
      </c>
      <c r="O67" s="73" t="str">
        <f>+E67</f>
        <v>MRC CG</v>
      </c>
      <c r="P67" s="65" t="e">
        <f>+#REF!+#REF!+#REF!+K67+M67</f>
        <v>#REF!</v>
      </c>
      <c r="Q67" s="66" t="e">
        <f t="shared" si="6"/>
        <v>#REF!</v>
      </c>
      <c r="R67" s="65" t="e">
        <f>+L67+I67+G67+#REF!+N67</f>
        <v>#REF!</v>
      </c>
      <c r="S67" s="76" t="e">
        <f t="shared" si="7"/>
        <v>#REF!</v>
      </c>
      <c r="T67" s="65" t="e">
        <f>+K67+#REF!+#REF!+M67</f>
        <v>#REF!</v>
      </c>
      <c r="U67" s="66" t="e">
        <f t="shared" si="8"/>
        <v>#REF!</v>
      </c>
      <c r="V67" s="65">
        <f>+L67+I67+G67+N67</f>
        <v>9387.83</v>
      </c>
      <c r="W67" s="76">
        <f t="shared" ca="1" si="9"/>
        <v>1.8847990672043222E-2</v>
      </c>
    </row>
    <row r="68" spans="3:23" x14ac:dyDescent="0.25">
      <c r="D68"/>
      <c r="E68" t="str">
        <f>+F11</f>
        <v>TRX META</v>
      </c>
      <c r="G68" s="73">
        <f>+SUMIF($F$5:$F$32,$E$68,G5:G32)</f>
        <v>11495.560000000001</v>
      </c>
      <c r="H68" s="73"/>
      <c r="I68" s="73">
        <f>+SUMIF($F$5:$F$32,$E$68,I5:I32)</f>
        <v>89380.82</v>
      </c>
      <c r="J68" s="73"/>
      <c r="K68" s="73">
        <f>+SUMIF($F$5:$F$32,$E$68,K5:K32)</f>
        <v>0</v>
      </c>
      <c r="L68" s="73">
        <f>+SUMIF($F$5:$F$32,$E$68,L5:L32)</f>
        <v>0</v>
      </c>
      <c r="M68" s="73">
        <f>+SUMIF($F$5:$F$32,$E$68,M5:M32)</f>
        <v>0</v>
      </c>
      <c r="N68" s="73">
        <f>+SUMIF($F$5:$F$32,$E$68,N5:N32)</f>
        <v>0</v>
      </c>
      <c r="O68" s="73" t="str">
        <f>+E68</f>
        <v>TRX META</v>
      </c>
      <c r="P68" s="65" t="e">
        <f>+#REF!+#REF!+#REF!+K68+M68</f>
        <v>#REF!</v>
      </c>
      <c r="Q68" s="66" t="e">
        <f t="shared" si="6"/>
        <v>#REF!</v>
      </c>
      <c r="R68" s="65" t="e">
        <f>+L68+I68+G68+#REF!+N68</f>
        <v>#REF!</v>
      </c>
      <c r="S68" s="66" t="e">
        <f t="shared" si="7"/>
        <v>#REF!</v>
      </c>
      <c r="T68" s="65" t="e">
        <f>+K68+#REF!+#REF!+M68</f>
        <v>#REF!</v>
      </c>
      <c r="U68" s="66" t="e">
        <f t="shared" si="8"/>
        <v>#REF!</v>
      </c>
      <c r="V68" s="65">
        <f>+L68+I68+G68+N68</f>
        <v>100876.38</v>
      </c>
      <c r="W68" s="66">
        <f t="shared" ca="1" si="9"/>
        <v>0.20252998501991273</v>
      </c>
    </row>
    <row r="69" spans="3:23" x14ac:dyDescent="0.25">
      <c r="D69"/>
      <c r="E69" t="str">
        <f>+F12</f>
        <v>MRC CARRITO</v>
      </c>
      <c r="G69" s="73">
        <f ca="1">+SUMIF($F$5:$F$40,$E$69,G5:G32)</f>
        <v>791.7</v>
      </c>
      <c r="H69" s="73"/>
      <c r="I69" s="73">
        <f ca="1">+SUMIF($F$5:$F$40,$E$69,I5:I32)</f>
        <v>0</v>
      </c>
      <c r="J69" s="73"/>
      <c r="K69" s="73">
        <f ca="1">+SUMIF($F$5:$F$40,$E$69,K5:K32)</f>
        <v>0</v>
      </c>
      <c r="L69" s="73">
        <f ca="1">+SUMIF($F$5:$F$40,$E$69,L5:L32)</f>
        <v>0</v>
      </c>
      <c r="M69" s="73">
        <f ca="1">+SUMIF($F$5:$F$40,$E$69,M5:M32)</f>
        <v>0</v>
      </c>
      <c r="N69" s="73">
        <f ca="1">+SUMIF($F$5:$F$40,$E$69,N5:N32)</f>
        <v>0</v>
      </c>
      <c r="O69" s="73" t="str">
        <f>+E69</f>
        <v>MRC CARRITO</v>
      </c>
      <c r="P69" s="65" t="e">
        <f ca="1">+#REF!+#REF!+#REF!+K69+M69</f>
        <v>#REF!</v>
      </c>
      <c r="Q69" s="66" t="e">
        <f t="shared" ca="1" si="6"/>
        <v>#REF!</v>
      </c>
      <c r="R69" s="65" t="e">
        <f ca="1">+L69+I69+G69+#REF!+N69</f>
        <v>#REF!</v>
      </c>
      <c r="S69" s="76" t="e">
        <f t="shared" ca="1" si="7"/>
        <v>#REF!</v>
      </c>
      <c r="T69" s="65" t="e">
        <f ca="1">+K69+#REF!+#REF!+M69</f>
        <v>#REF!</v>
      </c>
      <c r="U69" s="66" t="e">
        <f t="shared" ca="1" si="8"/>
        <v>#REF!</v>
      </c>
      <c r="V69" s="65">
        <f ca="1">+L69+I69+G69+N69</f>
        <v>791.7</v>
      </c>
      <c r="W69" s="76">
        <f t="shared" ca="1" si="9"/>
        <v>1.5894998327682349E-3</v>
      </c>
    </row>
    <row r="70" spans="3:23" x14ac:dyDescent="0.25">
      <c r="D70"/>
      <c r="E70" t="str">
        <f>+F24</f>
        <v>TRX CAMPAÑAS</v>
      </c>
      <c r="G70" s="73">
        <f>+SUMIF($F$5:$F$32,$E$70,G5:G32)</f>
        <v>23532.3</v>
      </c>
      <c r="H70" s="73"/>
      <c r="I70" s="73">
        <f>+SUMIF($F$5:$F$32,$E$70,I5:I32)</f>
        <v>7954.11</v>
      </c>
      <c r="J70" s="73"/>
      <c r="K70" s="73">
        <f>+SUMIF($F$5:$F$32,$E$70,K5:K32)</f>
        <v>0</v>
      </c>
      <c r="L70" s="73">
        <f>+SUMIF($F$5:$F$32,$E$70,L5:L32)</f>
        <v>0</v>
      </c>
      <c r="M70" s="73">
        <f>+SUMIF($F$5:$F$32,$E$70,M5:M32)</f>
        <v>0</v>
      </c>
      <c r="N70" s="73">
        <f>+SUMIF($F$5:$F$32,$E$70,N5:N32)</f>
        <v>0</v>
      </c>
      <c r="O70" s="73" t="str">
        <f>+E70</f>
        <v>TRX CAMPAÑAS</v>
      </c>
      <c r="P70" s="65" t="e">
        <f>+#REF!+#REF!+#REF!+K70+M70</f>
        <v>#REF!</v>
      </c>
      <c r="Q70" s="66" t="e">
        <f t="shared" si="6"/>
        <v>#REF!</v>
      </c>
      <c r="R70" s="65" t="e">
        <f>+L70+I70+G70+#REF!+N70</f>
        <v>#REF!</v>
      </c>
      <c r="S70" s="66" t="e">
        <f t="shared" si="7"/>
        <v>#REF!</v>
      </c>
      <c r="T70" s="65" t="e">
        <f>+K70+#REF!+#REF!+M70</f>
        <v>#REF!</v>
      </c>
      <c r="U70" s="66" t="e">
        <f t="shared" si="8"/>
        <v>#REF!</v>
      </c>
      <c r="V70" s="65">
        <f>+L70+I70+G70+N70</f>
        <v>31486.41</v>
      </c>
      <c r="W70" s="76">
        <f t="shared" ca="1" si="9"/>
        <v>6.3215414209261175E-2</v>
      </c>
    </row>
    <row r="71" spans="3:23" x14ac:dyDescent="0.25">
      <c r="D71"/>
      <c r="E71" s="6" t="str">
        <f>+E54</f>
        <v>TOTA VENTA</v>
      </c>
      <c r="F71" s="6"/>
      <c r="G71" s="74">
        <f t="shared" ref="G71:M71" ca="1" si="10">+SUM(G65:G70)</f>
        <v>255177.73999999996</v>
      </c>
      <c r="H71" s="74"/>
      <c r="I71" s="74">
        <f t="shared" ca="1" si="10"/>
        <v>242903.46999999997</v>
      </c>
      <c r="J71" s="74"/>
      <c r="K71" s="74">
        <f t="shared" ca="1" si="10"/>
        <v>0</v>
      </c>
      <c r="L71" s="74">
        <f t="shared" ca="1" si="10"/>
        <v>0</v>
      </c>
      <c r="M71" s="74">
        <f t="shared" ca="1" si="10"/>
        <v>0</v>
      </c>
      <c r="N71" s="74">
        <f ca="1">+SUM(N65:N70)</f>
        <v>0</v>
      </c>
      <c r="O71" s="6" t="s">
        <v>59</v>
      </c>
      <c r="P71" s="68" t="e">
        <f>SUM(P65:P70)</f>
        <v>#REF!</v>
      </c>
      <c r="Q71" s="69" t="e">
        <f t="shared" si="6"/>
        <v>#REF!</v>
      </c>
      <c r="R71" s="68" t="e">
        <f t="shared" ref="R71" si="11">SUM(R65:R70)</f>
        <v>#REF!</v>
      </c>
      <c r="S71" s="70" t="e">
        <f t="shared" si="7"/>
        <v>#REF!</v>
      </c>
      <c r="T71" s="68" t="e">
        <f>SUM(T65:T70)</f>
        <v>#REF!</v>
      </c>
      <c r="U71" s="70" t="e">
        <f>SUM(U65:U70)</f>
        <v>#REF!</v>
      </c>
      <c r="V71" s="68">
        <f t="shared" ref="V71" ca="1" si="12">SUM(V65:V70)</f>
        <v>498081.20999999996</v>
      </c>
      <c r="W71" s="70">
        <f ca="1">SUM(W65:W70)</f>
        <v>0.99999999999999989</v>
      </c>
    </row>
    <row r="72" spans="3:23" x14ac:dyDescent="0.25">
      <c r="D72"/>
      <c r="G72"/>
      <c r="H72"/>
      <c r="I72"/>
      <c r="J72"/>
      <c r="K72"/>
      <c r="L72"/>
    </row>
    <row r="73" spans="3:23" x14ac:dyDescent="0.25">
      <c r="D73"/>
      <c r="E73" s="77" t="s">
        <v>64</v>
      </c>
      <c r="F73" s="77"/>
      <c r="G73" s="14">
        <v>45292</v>
      </c>
      <c r="H73" s="14"/>
      <c r="I73" s="14">
        <v>45323</v>
      </c>
      <c r="J73" s="14"/>
      <c r="K73" s="14">
        <v>44986</v>
      </c>
      <c r="L73" s="14">
        <v>45352</v>
      </c>
      <c r="M73" s="14">
        <v>45017</v>
      </c>
      <c r="N73" s="14">
        <v>45383</v>
      </c>
    </row>
    <row r="74" spans="3:23" x14ac:dyDescent="0.25">
      <c r="D74"/>
      <c r="E74" t="s">
        <v>65</v>
      </c>
      <c r="G74" s="73">
        <f t="shared" ref="G74:K74" ca="1" si="13">+G71</f>
        <v>255177.73999999996</v>
      </c>
      <c r="H74" s="73"/>
      <c r="I74" s="73">
        <f t="shared" ca="1" si="13"/>
        <v>242903.46999999997</v>
      </c>
      <c r="J74" s="73"/>
      <c r="K74" s="73">
        <f t="shared" ca="1" si="13"/>
        <v>0</v>
      </c>
      <c r="L74" s="73">
        <f>+L54</f>
        <v>0</v>
      </c>
      <c r="M74" s="73">
        <f ca="1">+M71</f>
        <v>0</v>
      </c>
      <c r="N74" s="73">
        <f>+N54</f>
        <v>0</v>
      </c>
    </row>
    <row r="75" spans="3:23" x14ac:dyDescent="0.25">
      <c r="D75"/>
      <c r="E75" s="78" t="s">
        <v>66</v>
      </c>
      <c r="F75" s="78"/>
      <c r="G75" s="73">
        <f ca="1">+G74</f>
        <v>255177.73999999996</v>
      </c>
      <c r="H75" s="73"/>
      <c r="I75" s="73">
        <f ca="1">+I74</f>
        <v>242903.46999999997</v>
      </c>
      <c r="J75" s="73"/>
      <c r="K75" s="79" t="e">
        <f>+#REF!</f>
        <v>#REF!</v>
      </c>
      <c r="L75" s="73">
        <f>+L74</f>
        <v>0</v>
      </c>
      <c r="M75" s="79" t="e">
        <f>+K75</f>
        <v>#REF!</v>
      </c>
      <c r="N75" s="65">
        <f>+N74</f>
        <v>0</v>
      </c>
    </row>
    <row r="76" spans="3:23" s="81" customFormat="1" x14ac:dyDescent="0.25">
      <c r="C76" s="80"/>
      <c r="E76" s="82" t="s">
        <v>67</v>
      </c>
      <c r="F76" s="82"/>
      <c r="G76" s="65">
        <f ca="1">+G75</f>
        <v>255177.73999999996</v>
      </c>
      <c r="H76" s="65"/>
      <c r="I76" s="65">
        <f ca="1">+I75</f>
        <v>242903.46999999997</v>
      </c>
      <c r="J76" s="65"/>
      <c r="K76" s="83">
        <f>+[2]targuet!$D$122</f>
        <v>213071.68</v>
      </c>
      <c r="L76" s="65">
        <f>+L75</f>
        <v>0</v>
      </c>
      <c r="M76" s="83">
        <f>+'[1]PRESUPUESTO DIRECTORIO'!E122</f>
        <v>228634.23999999999</v>
      </c>
      <c r="N76" s="65">
        <f>+N75</f>
        <v>0</v>
      </c>
      <c r="O76" s="84"/>
    </row>
    <row r="77" spans="3:23" x14ac:dyDescent="0.25">
      <c r="D77"/>
      <c r="E77" t="s">
        <v>68</v>
      </c>
      <c r="G77" s="86">
        <f ca="1">+G76</f>
        <v>255177.73999999996</v>
      </c>
      <c r="H77" s="86"/>
      <c r="I77" s="86">
        <f ca="1">+I76</f>
        <v>242903.46999999997</v>
      </c>
      <c r="J77" s="86"/>
      <c r="K77" s="85" t="e">
        <f>+K84</f>
        <v>#REF!</v>
      </c>
      <c r="L77" s="86">
        <f>+L76</f>
        <v>0</v>
      </c>
      <c r="M77" s="65" t="e">
        <f>+M84</f>
        <v>#REF!</v>
      </c>
      <c r="N77" s="65">
        <f>+N76</f>
        <v>0</v>
      </c>
    </row>
    <row r="78" spans="3:23" x14ac:dyDescent="0.25">
      <c r="D78"/>
      <c r="E78" t="s">
        <v>69</v>
      </c>
      <c r="G78" s="65">
        <f ca="1">+G77</f>
        <v>255177.73999999996</v>
      </c>
      <c r="H78" s="65"/>
      <c r="I78" s="65">
        <f ca="1">+I77</f>
        <v>242903.46999999997</v>
      </c>
      <c r="J78" s="65"/>
      <c r="K78" s="65">
        <f>+K85</f>
        <v>873834.88</v>
      </c>
      <c r="L78" s="65">
        <f>+L77</f>
        <v>0</v>
      </c>
      <c r="M78" s="65">
        <f>+M85</f>
        <v>1144368.32</v>
      </c>
      <c r="N78" s="65">
        <f>+N77</f>
        <v>0</v>
      </c>
    </row>
    <row r="79" spans="3:23" x14ac:dyDescent="0.25">
      <c r="D79"/>
      <c r="G79" s="65"/>
      <c r="H79" s="65"/>
      <c r="I79" s="65"/>
      <c r="J79" s="65"/>
      <c r="K79" s="65"/>
      <c r="L79" s="65"/>
      <c r="M79" s="65"/>
      <c r="N79" s="65"/>
    </row>
    <row r="80" spans="3:23" x14ac:dyDescent="0.25">
      <c r="D80"/>
      <c r="E80" s="88" t="s">
        <v>70</v>
      </c>
      <c r="F80" s="88"/>
      <c r="G80" s="88" t="s">
        <v>56</v>
      </c>
      <c r="H80" s="88"/>
      <c r="I80" s="88" t="s">
        <v>56</v>
      </c>
      <c r="J80" s="88"/>
      <c r="K80" s="88" t="s">
        <v>71</v>
      </c>
      <c r="L80" s="88" t="s">
        <v>56</v>
      </c>
      <c r="M80" s="88" t="s">
        <v>71</v>
      </c>
      <c r="N80" s="88" t="s">
        <v>56</v>
      </c>
    </row>
    <row r="81" spans="4:14" hidden="1" x14ac:dyDescent="0.25">
      <c r="D81"/>
      <c r="E81" t="str">
        <f>+E75</f>
        <v>Presupuesto Lineal Directorio</v>
      </c>
      <c r="G81" s="89" t="e">
        <f ca="1">+(G74+#REF!)/#REF!-1</f>
        <v>#REF!</v>
      </c>
      <c r="H81" s="89"/>
      <c r="I81" s="89" t="e">
        <f ca="1">+(G74+I74+#REF!)/#REF!-1</f>
        <v>#REF!</v>
      </c>
      <c r="J81" s="89"/>
      <c r="K81" s="73" t="e">
        <f>+K75*4</f>
        <v>#REF!</v>
      </c>
      <c r="L81" s="89" t="e">
        <f ca="1">+(#REF!+G74+I74+L74)/K81-1</f>
        <v>#REF!</v>
      </c>
      <c r="M81" s="73" t="e">
        <f>+M75*5</f>
        <v>#REF!</v>
      </c>
      <c r="N81" s="89" t="e">
        <f ca="1">+(N74+L74+I74+G74+#REF!)/M81-1</f>
        <v>#REF!</v>
      </c>
    </row>
    <row r="82" spans="4:14" x14ac:dyDescent="0.25">
      <c r="D82"/>
      <c r="E82" t="str">
        <f>+E76</f>
        <v>Presupuesto Snowball Directorio</v>
      </c>
      <c r="G82" s="89" t="e">
        <f ca="1">+(G75+#REF!)/#REF!-1</f>
        <v>#REF!</v>
      </c>
      <c r="H82" s="89"/>
      <c r="I82" s="89" t="e">
        <f ca="1">+(G75+I75+#REF!)/#REF!-1</f>
        <v>#REF!</v>
      </c>
      <c r="J82" s="89"/>
      <c r="K82" s="73" t="e">
        <f>+#REF!+#REF!+#REF!+K76</f>
        <v>#REF!</v>
      </c>
      <c r="L82" s="89" t="e">
        <f ca="1">+(#REF!+G75+I75+L75)/K82-1</f>
        <v>#REF!</v>
      </c>
      <c r="M82" s="73" t="e">
        <f>+M76+K76+#REF!+#REF!+#REF!</f>
        <v>#REF!</v>
      </c>
      <c r="N82" s="89" t="e">
        <f ca="1">+(N75+L75+I75+G75+#REF!)/M82-1</f>
        <v>#REF!</v>
      </c>
    </row>
    <row r="83" spans="4:14" x14ac:dyDescent="0.25">
      <c r="D83"/>
      <c r="E83" t="s">
        <v>72</v>
      </c>
      <c r="G83" s="89" t="e">
        <f ca="1">+(G76+#REF!)/#REF!-1</f>
        <v>#REF!</v>
      </c>
      <c r="H83" s="89"/>
      <c r="I83" s="89" t="e">
        <f ca="1">+(G76+I76+#REF!)/#REF!-1</f>
        <v>#REF!</v>
      </c>
      <c r="J83" s="89"/>
      <c r="K83" s="73" t="e">
        <f ca="1">+#REF!+#REF!+#REF!+K74</f>
        <v>#REF!</v>
      </c>
      <c r="L83" s="89" t="e">
        <f ca="1">+(#REF!+G76+I76+L76)/K83-1</f>
        <v>#REF!</v>
      </c>
      <c r="M83" s="73" t="e">
        <f ca="1">+M74+K74+#REF!+#REF!+#REF!</f>
        <v>#REF!</v>
      </c>
      <c r="N83" s="89" t="e">
        <f ca="1">+(N76+L76+I76+G76+#REF!)/M83-1</f>
        <v>#REF!</v>
      </c>
    </row>
    <row r="84" spans="4:14" hidden="1" x14ac:dyDescent="0.25">
      <c r="D84"/>
      <c r="E84" t="s">
        <v>68</v>
      </c>
      <c r="G84" s="89" t="e">
        <f ca="1">+(G77+#REF!)/#REF!-1</f>
        <v>#REF!</v>
      </c>
      <c r="H84" s="89"/>
      <c r="I84" s="89" t="e">
        <f ca="1">+(G77+I77+#REF!)/#REF!-1</f>
        <v>#REF!</v>
      </c>
      <c r="J84" s="89"/>
      <c r="K84" s="73" t="e">
        <f>+#REF!*4</f>
        <v>#REF!</v>
      </c>
      <c r="L84" s="89" t="e">
        <f ca="1">+(#REF!+G77+I77+L77)/K84-1</f>
        <v>#REF!</v>
      </c>
      <c r="M84" s="90" t="e">
        <f>+#REF!*5</f>
        <v>#REF!</v>
      </c>
      <c r="N84" s="89" t="e">
        <f ca="1">+(N77+L77+I77+G77+#REF!)/M84-1</f>
        <v>#REF!</v>
      </c>
    </row>
    <row r="85" spans="4:14" x14ac:dyDescent="0.25">
      <c r="D85"/>
      <c r="E85" t="s">
        <v>69</v>
      </c>
      <c r="G85" s="89" t="e">
        <f ca="1">+(G78+#REF!)/#REF!-1</f>
        <v>#REF!</v>
      </c>
      <c r="H85" s="89"/>
      <c r="I85" s="89" t="e">
        <f ca="1">+(G78+I78+#REF!)/#REF!-1</f>
        <v>#REF!</v>
      </c>
      <c r="J85" s="89"/>
      <c r="K85" s="65">
        <f>+'[1]PRESUPUESTO GO BIG'!B122+'[1]PRESUPUESTO GO BIG'!C122+'[1]PRESUPUESTO GO BIG'!D122+'[1]PRESUPUESTO GO BIG'!E122</f>
        <v>873834.88</v>
      </c>
      <c r="L85" s="89" t="e">
        <f ca="1">+(#REF!+G78+I78+L78)/K85-1</f>
        <v>#REF!</v>
      </c>
      <c r="M85" s="65">
        <f>+'[1]PRESUPUESTO GO BIG'!B122+'[1]PRESUPUESTO GO BIG'!C122+'[1]PRESUPUESTO GO BIG'!D122+'[1]PRESUPUESTO GO BIG'!E122+'[1]PRESUPUESTO GO BIG'!F122</f>
        <v>1144368.32</v>
      </c>
      <c r="N85" s="89" t="e">
        <f ca="1">+(N78+L78+I78+G78+#REF!)/M85-1</f>
        <v>#REF!</v>
      </c>
    </row>
    <row r="86" spans="4:14" x14ac:dyDescent="0.25">
      <c r="D86"/>
      <c r="G86"/>
      <c r="H86"/>
      <c r="I86"/>
      <c r="J86"/>
      <c r="K86"/>
      <c r="L86"/>
    </row>
    <row r="89" spans="4:14" x14ac:dyDescent="0.25">
      <c r="E89" s="61" t="s">
        <v>73</v>
      </c>
      <c r="F89" s="61"/>
    </row>
    <row r="90" spans="4:14" x14ac:dyDescent="0.25">
      <c r="E90" s="61" t="s">
        <v>74</v>
      </c>
      <c r="F90" s="61"/>
    </row>
    <row r="91" spans="4:14" x14ac:dyDescent="0.25">
      <c r="E91" t="s">
        <v>75</v>
      </c>
    </row>
    <row r="92" spans="4:14" x14ac:dyDescent="0.25">
      <c r="E92" t="s">
        <v>76</v>
      </c>
    </row>
    <row r="93" spans="4:14" x14ac:dyDescent="0.25">
      <c r="E93" t="s">
        <v>77</v>
      </c>
    </row>
    <row r="94" spans="4:14" x14ac:dyDescent="0.25">
      <c r="E94" t="s">
        <v>78</v>
      </c>
    </row>
    <row r="95" spans="4:14" x14ac:dyDescent="0.25">
      <c r="E95" s="61" t="s">
        <v>79</v>
      </c>
      <c r="F95" s="61"/>
    </row>
    <row r="97" spans="5:13" x14ac:dyDescent="0.25">
      <c r="E97" s="61" t="s">
        <v>80</v>
      </c>
      <c r="F97" s="61"/>
    </row>
    <row r="98" spans="5:13" x14ac:dyDescent="0.25">
      <c r="E98" s="61" t="s">
        <v>81</v>
      </c>
      <c r="F98" s="61"/>
    </row>
    <row r="100" spans="5:13" hidden="1" x14ac:dyDescent="0.25">
      <c r="E100" s="73"/>
      <c r="F100" s="73"/>
      <c r="G100" s="91"/>
      <c r="H100" s="91"/>
    </row>
    <row r="101" spans="5:13" hidden="1" x14ac:dyDescent="0.25">
      <c r="G101" s="93" t="s">
        <v>82</v>
      </c>
      <c r="H101" s="93"/>
    </row>
    <row r="102" spans="5:13" hidden="1" x14ac:dyDescent="0.25">
      <c r="G102" s="73"/>
      <c r="H102" s="73"/>
    </row>
    <row r="103" spans="5:13" hidden="1" x14ac:dyDescent="0.25">
      <c r="G103" s="73"/>
      <c r="H103" s="73"/>
    </row>
    <row r="104" spans="5:13" hidden="1" x14ac:dyDescent="0.25">
      <c r="G104" s="73" t="s">
        <v>83</v>
      </c>
      <c r="H104" s="73"/>
    </row>
    <row r="105" spans="5:13" hidden="1" x14ac:dyDescent="0.25">
      <c r="G105" s="92" t="e">
        <f>+#REF!+#REF!+#REF!</f>
        <v>#REF!</v>
      </c>
      <c r="H105" s="92"/>
    </row>
    <row r="106" spans="5:13" hidden="1" x14ac:dyDescent="0.25">
      <c r="G106" s="64" t="e">
        <f>+G105*6.96</f>
        <v>#REF!</v>
      </c>
      <c r="H106" s="64"/>
    </row>
    <row r="107" spans="5:13" hidden="1" x14ac:dyDescent="0.25">
      <c r="G107" s="95"/>
      <c r="H107" s="95"/>
      <c r="I107" s="96" t="e">
        <f>+#REF!/#REF!-1</f>
        <v>#REF!</v>
      </c>
      <c r="J107" s="96"/>
    </row>
    <row r="108" spans="5:13" x14ac:dyDescent="0.25">
      <c r="G108" s="109"/>
      <c r="H108" s="109"/>
      <c r="I108" s="109"/>
      <c r="J108" s="105"/>
    </row>
    <row r="109" spans="5:13" x14ac:dyDescent="0.25">
      <c r="G109" s="93" t="s">
        <v>85</v>
      </c>
      <c r="H109" s="93"/>
      <c r="I109" s="93" t="str">
        <f>+G101</f>
        <v>TOTAL</v>
      </c>
      <c r="J109" s="93"/>
      <c r="K109" s="93"/>
    </row>
    <row r="110" spans="5:13" x14ac:dyDescent="0.25">
      <c r="G110" s="73" t="e">
        <f>+#REF!</f>
        <v>#REF!</v>
      </c>
      <c r="H110" s="73"/>
    </row>
    <row r="111" spans="5:13" x14ac:dyDescent="0.25">
      <c r="G111" s="73" t="e">
        <f>+#REF!</f>
        <v>#REF!</v>
      </c>
      <c r="H111" s="73"/>
    </row>
    <row r="112" spans="5:13" x14ac:dyDescent="0.25">
      <c r="G112" s="87" t="e">
        <f>+#REF!</f>
        <v>#REF!</v>
      </c>
      <c r="H112" s="87"/>
      <c r="I112" s="73" t="s">
        <v>83</v>
      </c>
      <c r="J112" s="73"/>
      <c r="K112" s="71" t="s">
        <v>84</v>
      </c>
      <c r="L112" s="108" t="s">
        <v>86</v>
      </c>
      <c r="M112" s="108"/>
    </row>
    <row r="113" spans="5:13" x14ac:dyDescent="0.25">
      <c r="I113" s="92" t="e">
        <f>+#REF!+#REF!+#REF!+G114+#REF!</f>
        <v>#REF!</v>
      </c>
      <c r="J113" s="92"/>
      <c r="K113" s="94" t="e">
        <f>+I113*3</f>
        <v>#REF!</v>
      </c>
      <c r="L113" s="108"/>
      <c r="M113" s="108"/>
    </row>
    <row r="114" spans="5:13" x14ac:dyDescent="0.25">
      <c r="G114" s="73" t="e">
        <f t="shared" ref="G114" si="14">SUM(G110:G113)</f>
        <v>#REF!</v>
      </c>
      <c r="H114" s="73"/>
      <c r="I114" s="64" t="e">
        <f>+I113*6.96</f>
        <v>#REF!</v>
      </c>
      <c r="J114" s="64"/>
      <c r="K114" s="64" t="e">
        <f>+K113*6.96</f>
        <v>#REF!</v>
      </c>
    </row>
    <row r="115" spans="5:13" x14ac:dyDescent="0.25">
      <c r="G115" s="109" t="e">
        <f>+#REF!</f>
        <v>#REF!</v>
      </c>
      <c r="H115" s="109"/>
      <c r="I115" s="109"/>
      <c r="J115" s="105"/>
      <c r="K115" s="87" t="e">
        <f>+#REF!+G53+I53+L53+N53</f>
        <v>#REF!</v>
      </c>
      <c r="L115" s="89" t="e">
        <f>+K115/K114-1</f>
        <v>#REF!</v>
      </c>
    </row>
    <row r="117" spans="5:13" x14ac:dyDescent="0.25">
      <c r="E117" s="97" t="s">
        <v>87</v>
      </c>
      <c r="F117" s="97"/>
      <c r="K117" s="87" t="e">
        <f>+K115-K114</f>
        <v>#REF!</v>
      </c>
      <c r="L117" s="98" t="s">
        <v>88</v>
      </c>
      <c r="M117" s="7"/>
    </row>
    <row r="118" spans="5:13" x14ac:dyDescent="0.25">
      <c r="I118" s="71" t="s">
        <v>89</v>
      </c>
      <c r="K118" s="87" t="e">
        <f>+#REF!</f>
        <v>#REF!</v>
      </c>
      <c r="L118" s="98" t="s">
        <v>90</v>
      </c>
      <c r="M118" s="7"/>
    </row>
    <row r="119" spans="5:13" x14ac:dyDescent="0.25">
      <c r="K119" s="87" t="e">
        <f>+K117-K118</f>
        <v>#REF!</v>
      </c>
      <c r="L119" s="110" t="s">
        <v>91</v>
      </c>
      <c r="M119" s="110"/>
    </row>
    <row r="120" spans="5:13" x14ac:dyDescent="0.25">
      <c r="K120" s="99" t="e">
        <f>+K119/7</f>
        <v>#REF!</v>
      </c>
    </row>
    <row r="121" spans="5:13" x14ac:dyDescent="0.25">
      <c r="E121" t="s">
        <v>92</v>
      </c>
    </row>
  </sheetData>
  <autoFilter ref="A4:N48" xr:uid="{554C5C47-C708-48C5-B28C-78ACC780ADF3}"/>
  <mergeCells count="10">
    <mergeCell ref="L112:M113"/>
    <mergeCell ref="G115:I115"/>
    <mergeCell ref="L119:M119"/>
    <mergeCell ref="B8:B12"/>
    <mergeCell ref="B20:B24"/>
    <mergeCell ref="G108:I108"/>
    <mergeCell ref="B13:B16"/>
    <mergeCell ref="B17:B18"/>
    <mergeCell ref="B25:B30"/>
    <mergeCell ref="B33:B38"/>
  </mergeCells>
  <conditionalFormatting sqref="G81:H85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I81:J8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L81:L8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115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N81:N85">
    <cfRule type="cellIs" dxfId="1" priority="3" operator="greaterThan">
      <formula>0</formula>
    </cfRule>
    <cfRule type="cellIs" dxfId="0" priority="4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EERR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 Lpz</dc:creator>
  <cp:lastModifiedBy>Consultor Lpz</cp:lastModifiedBy>
  <dcterms:created xsi:type="dcterms:W3CDTF">2024-11-07T23:21:02Z</dcterms:created>
  <dcterms:modified xsi:type="dcterms:W3CDTF">2025-03-20T17:00:47Z</dcterms:modified>
</cp:coreProperties>
</file>