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Seminarii XPS\Achizitii\2024-2025\"/>
    </mc:Choice>
  </mc:AlternateContent>
  <xr:revisionPtr revIDLastSave="0" documentId="8_{4BB5C330-BE8A-4083-A1B3-126743F452AA}" xr6:coauthVersionLast="36" xr6:coauthVersionMax="36" xr10:uidLastSave="{00000000-0000-0000-0000-000000000000}"/>
  <bookViews>
    <workbookView xWindow="0" yWindow="0" windowWidth="23040" windowHeight="10296" xr2:uid="{70685536-C2D7-4A5C-B434-269B12048DF3}"/>
  </bookViews>
  <sheets>
    <sheet name="cv" sheetId="1" r:id="rId1"/>
    <sheet name="CF" sheetId="2" r:id="rId2"/>
    <sheet name="Qcr" sheetId="3" r:id="rId3"/>
    <sheet name="BVC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R32" i="1"/>
  <c r="S32" i="1"/>
  <c r="C10" i="2" l="1"/>
  <c r="G14" i="2"/>
  <c r="C30" i="1"/>
  <c r="E30" i="1"/>
  <c r="G30" i="1"/>
  <c r="H30" i="1"/>
  <c r="E2" i="3"/>
  <c r="B2" i="3" s="1"/>
  <c r="C17" i="2"/>
  <c r="F14" i="2"/>
  <c r="E14" i="2"/>
  <c r="D14" i="2"/>
  <c r="C14" i="2"/>
  <c r="F12" i="2"/>
  <c r="E12" i="2"/>
  <c r="D12" i="2"/>
  <c r="C12" i="2"/>
  <c r="F11" i="2"/>
  <c r="D11" i="2"/>
  <c r="C11" i="2"/>
  <c r="B10" i="2"/>
  <c r="D10" i="2"/>
  <c r="H32" i="1"/>
  <c r="H29" i="1"/>
  <c r="H28" i="1"/>
  <c r="G22" i="1"/>
  <c r="D22" i="1"/>
  <c r="D21" i="1"/>
  <c r="D20" i="1"/>
  <c r="D19" i="1"/>
  <c r="D18" i="1"/>
  <c r="D17" i="1"/>
  <c r="G12" i="1"/>
  <c r="G4" i="1"/>
  <c r="G5" i="1"/>
  <c r="G6" i="1"/>
  <c r="G7" i="1"/>
  <c r="G8" i="1"/>
  <c r="G10" i="1"/>
  <c r="G11" i="1"/>
  <c r="G3" i="1"/>
  <c r="G2" i="1"/>
  <c r="F12" i="1"/>
  <c r="F4" i="1"/>
  <c r="F5" i="1"/>
  <c r="F6" i="1"/>
  <c r="F7" i="1"/>
  <c r="F8" i="1"/>
  <c r="F9" i="1"/>
  <c r="G9" i="1" s="1"/>
  <c r="F10" i="1"/>
  <c r="F11" i="1"/>
  <c r="F3" i="1"/>
  <c r="F2" i="1"/>
  <c r="G13" i="1" l="1"/>
  <c r="L32" i="1"/>
  <c r="B3" i="3" s="1"/>
  <c r="B17" i="2"/>
  <c r="B14" i="2"/>
  <c r="B19" i="2" s="1"/>
  <c r="B4" i="3" s="1"/>
  <c r="B12" i="2"/>
  <c r="B11" i="2"/>
  <c r="D29" i="1"/>
  <c r="E29" i="1" s="1"/>
  <c r="D28" i="1"/>
  <c r="E28" i="1" s="1"/>
  <c r="B7" i="3" l="1"/>
  <c r="C7" i="3" s="1"/>
  <c r="G28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Alexandru M</author>
  </authors>
  <commentList>
    <comment ref="C10" authorId="0" shapeId="0" xr:uid="{634AE8CC-2FAA-4B0A-9D98-4EAFA98935DD}">
      <text>
        <r>
          <rPr>
            <b/>
            <sz val="9"/>
            <color indexed="81"/>
            <rFont val="Tahoma"/>
            <family val="2"/>
          </rPr>
          <t>Administrator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 xr:uid="{087230BC-3424-427A-AEB2-ED7838912797}">
      <text>
        <r>
          <rPr>
            <b/>
            <sz val="9"/>
            <color indexed="81"/>
            <rFont val="Tahoma"/>
            <family val="2"/>
          </rPr>
          <t>C.O. direct productivi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0CB574A-7B02-4F18-BBE1-68510CD04E0B}">
      <text>
        <r>
          <rPr>
            <b/>
            <sz val="9"/>
            <color indexed="81"/>
            <rFont val="Tahoma"/>
            <family val="2"/>
          </rPr>
          <t>Cuptor</t>
        </r>
        <r>
          <rPr>
            <sz val="9"/>
            <color indexed="81"/>
            <rFont val="Tahoma"/>
            <family val="2"/>
          </rPr>
          <t xml:space="preserve">
50.000 lei</t>
        </r>
      </text>
    </comment>
    <comment ref="D11" authorId="0" shapeId="0" xr:uid="{1DFB8588-1790-491A-8CF4-279A9CDAE91E}">
      <text>
        <r>
          <rPr>
            <b/>
            <sz val="9"/>
            <color indexed="81"/>
            <rFont val="Tahoma"/>
            <family val="2"/>
          </rPr>
          <t>Malaxor</t>
        </r>
        <r>
          <rPr>
            <sz val="9"/>
            <color indexed="81"/>
            <rFont val="Tahoma"/>
            <family val="2"/>
          </rPr>
          <t xml:space="preserve">
30.000 lei</t>
        </r>
      </text>
    </comment>
    <comment ref="E11" authorId="0" shapeId="0" xr:uid="{4B119B7B-5F65-4080-AF2A-ED24A5ECE458}">
      <text>
        <r>
          <rPr>
            <b/>
            <sz val="9"/>
            <color indexed="81"/>
            <rFont val="Tahoma"/>
            <family val="2"/>
          </rPr>
          <t>Celula dospire</t>
        </r>
        <r>
          <rPr>
            <sz val="9"/>
            <color indexed="81"/>
            <rFont val="Tahoma"/>
            <family val="2"/>
          </rPr>
          <t xml:space="preserve">
15000 lei</t>
        </r>
      </text>
    </comment>
    <comment ref="F11" authorId="0" shapeId="0" xr:uid="{9280D5FC-5F01-47EC-A051-504A8DC03871}">
      <text>
        <r>
          <rPr>
            <b/>
            <sz val="9"/>
            <color indexed="81"/>
            <rFont val="Tahoma"/>
            <family val="2"/>
          </rPr>
          <t>Sistem scuritate</t>
        </r>
        <r>
          <rPr>
            <sz val="9"/>
            <color indexed="81"/>
            <rFont val="Tahoma"/>
            <family val="2"/>
          </rPr>
          <t xml:space="preserve">
21.000 lei</t>
        </r>
      </text>
    </comment>
    <comment ref="C12" authorId="0" shapeId="0" xr:uid="{DDB8DD9A-A44D-4790-9651-D275D1696053}">
      <text>
        <r>
          <rPr>
            <b/>
            <sz val="9"/>
            <color indexed="81"/>
            <rFont val="Tahoma"/>
            <family val="2"/>
          </rPr>
          <t>Contabilitate+HR</t>
        </r>
        <r>
          <rPr>
            <sz val="9"/>
            <color indexed="81"/>
            <rFont val="Tahoma"/>
            <family val="2"/>
          </rPr>
          <t xml:space="preserve">
500 lei / luna</t>
        </r>
      </text>
    </comment>
    <comment ref="D12" authorId="0" shapeId="0" xr:uid="{C80AB798-69AE-4D49-937E-AD54E2AF3104}">
      <text>
        <r>
          <rPr>
            <b/>
            <sz val="9"/>
            <color indexed="81"/>
            <rFont val="Tahoma"/>
            <family val="2"/>
          </rPr>
          <t>Paza</t>
        </r>
        <r>
          <rPr>
            <sz val="9"/>
            <color indexed="81"/>
            <rFont val="Tahoma"/>
            <family val="2"/>
          </rPr>
          <t xml:space="preserve">
350 lei/luna</t>
        </r>
      </text>
    </comment>
    <comment ref="E12" authorId="0" shapeId="0" xr:uid="{CAE85CD3-ED5E-4CD3-845D-41DB2854EC45}">
      <text>
        <r>
          <rPr>
            <b/>
            <sz val="9"/>
            <color indexed="81"/>
            <rFont val="Tahoma"/>
            <family val="2"/>
          </rPr>
          <t>Curatenie</t>
        </r>
        <r>
          <rPr>
            <sz val="9"/>
            <color indexed="81"/>
            <rFont val="Tahoma"/>
            <family val="2"/>
          </rPr>
          <t xml:space="preserve">
2600 lei/luna</t>
        </r>
      </text>
    </comment>
    <comment ref="F12" authorId="0" shapeId="0" xr:uid="{B1495BA3-B098-4EFB-858D-773387A96532}">
      <text>
        <r>
          <rPr>
            <b/>
            <sz val="9"/>
            <color indexed="81"/>
            <rFont val="Tahoma"/>
            <family val="2"/>
          </rPr>
          <t xml:space="preserve">Transport
</t>
        </r>
        <r>
          <rPr>
            <sz val="9"/>
            <color indexed="81"/>
            <rFont val="Tahoma"/>
            <family val="2"/>
          </rPr>
          <t>280 lei/zi</t>
        </r>
      </text>
    </comment>
    <comment ref="C14" authorId="0" shapeId="0" xr:uid="{3AD024FE-7148-4ACA-AE27-2F86B6E2C8FC}">
      <text>
        <r>
          <rPr>
            <b/>
            <sz val="9"/>
            <color indexed="81"/>
            <rFont val="Tahoma"/>
            <family val="2"/>
          </rPr>
          <t xml:space="preserve">Sampling 
</t>
        </r>
        <r>
          <rPr>
            <sz val="9"/>
            <color indexed="81"/>
            <rFont val="Tahoma"/>
            <family val="2"/>
          </rPr>
          <t>10 zile, 3 locatii, 
2 campanii/an
180 lei/zi personal
5000 lei materiale</t>
        </r>
      </text>
    </comment>
    <comment ref="D14" authorId="0" shapeId="0" xr:uid="{3CE8BACC-317F-4B03-ABDA-3AFA323BD21D}">
      <text>
        <r>
          <rPr>
            <b/>
            <sz val="9"/>
            <color indexed="81"/>
            <rFont val="Tahoma"/>
            <family val="2"/>
          </rPr>
          <t xml:space="preserve">Reclama radio local </t>
        </r>
        <r>
          <rPr>
            <sz val="9"/>
            <color indexed="81"/>
            <rFont val="Tahoma"/>
            <family val="2"/>
          </rPr>
          <t>Inregistrare 17.000 lei
Difuzare 15.000 lei</t>
        </r>
      </text>
    </comment>
    <comment ref="E14" authorId="0" shapeId="0" xr:uid="{D830B29A-CC1B-444E-989C-81A1D4E5CB32}">
      <text>
        <r>
          <rPr>
            <b/>
            <sz val="9"/>
            <color indexed="81"/>
            <rFont val="Tahoma"/>
            <family val="2"/>
          </rPr>
          <t xml:space="preserve">Publicitate online
</t>
        </r>
        <r>
          <rPr>
            <sz val="9"/>
            <color indexed="81"/>
            <rFont val="Tahoma"/>
            <family val="2"/>
          </rPr>
          <t>300 lei/luna</t>
        </r>
      </text>
    </comment>
    <comment ref="F14" authorId="0" shapeId="0" xr:uid="{CBDE952B-40B4-436D-A90B-266D5A8B5C61}">
      <text>
        <r>
          <rPr>
            <b/>
            <sz val="9"/>
            <color indexed="81"/>
            <rFont val="Tahoma"/>
            <family val="2"/>
          </rPr>
          <t>Bannere + flyere</t>
        </r>
        <r>
          <rPr>
            <sz val="9"/>
            <color indexed="81"/>
            <rFont val="Tahoma"/>
            <family val="2"/>
          </rPr>
          <t xml:space="preserve">
10.000 lei + 2.000 lei</t>
        </r>
      </text>
    </comment>
    <comment ref="G14" authorId="0" shapeId="0" xr:uid="{11327D8B-E0D6-45A6-B085-57AC9E392CC7}">
      <text>
        <r>
          <rPr>
            <sz val="9"/>
            <color indexed="81"/>
            <rFont val="Tahoma"/>
            <family val="2"/>
          </rPr>
          <t xml:space="preserve">Other
</t>
        </r>
      </text>
    </comment>
    <comment ref="C17" authorId="0" shapeId="0" xr:uid="{739A370E-CF28-43B5-85B7-2BBE6FBA76B2}">
      <text>
        <r>
          <rPr>
            <b/>
            <sz val="9"/>
            <color indexed="81"/>
            <rFont val="Tahoma"/>
            <family val="2"/>
          </rPr>
          <t>Chirie 7 EUR/mp - 400 mp</t>
        </r>
      </text>
    </comment>
  </commentList>
</comments>
</file>

<file path=xl/sharedStrings.xml><?xml version="1.0" encoding="utf-8"?>
<sst xmlns="http://schemas.openxmlformats.org/spreadsheetml/2006/main" count="132" uniqueCount="113">
  <si>
    <t>350 de grame de faina integrala de secara</t>
  </si>
  <si>
    <t>480 de ml. de apa calda (40 de grade Celsius)</t>
  </si>
  <si>
    <t>15 de grame de drojdie proaspata sau 4 grame de drojdie uscata</t>
  </si>
  <si>
    <t>2 linguri rase cu zahar brun</t>
  </si>
  <si>
    <t>2 linguri de otet balsamic</t>
  </si>
  <si>
    <t>1 lingura rasa de sare grunjoasa</t>
  </si>
  <si>
    <t>5 linguri de ulei de masline extravirgin</t>
  </si>
  <si>
    <t>1 lingura rasa de chimen pudra</t>
  </si>
  <si>
    <t>cs</t>
  </si>
  <si>
    <t>u.m.</t>
  </si>
  <si>
    <t>cantitate</t>
  </si>
  <si>
    <t>lei</t>
  </si>
  <si>
    <t>lei/u.m.</t>
  </si>
  <si>
    <t>lei/buc.</t>
  </si>
  <si>
    <t>Faina integrala de secara</t>
  </si>
  <si>
    <t>Zahar brun</t>
  </si>
  <si>
    <t>Sare grunjoasa</t>
  </si>
  <si>
    <t>Chimen pudra</t>
  </si>
  <si>
    <t>ml</t>
  </si>
  <si>
    <t>gr</t>
  </si>
  <si>
    <t>Drojdie uscata</t>
  </si>
  <si>
    <t>Otet balsamic</t>
  </si>
  <si>
    <t>Ulei masline extravirgin</t>
  </si>
  <si>
    <t>Seminte in</t>
  </si>
  <si>
    <t>Apa</t>
  </si>
  <si>
    <t>kWh</t>
  </si>
  <si>
    <t>Boiler 100 litri</t>
  </si>
  <si>
    <t>nt (h/buc)</t>
  </si>
  <si>
    <t>Malaxor 80 kg</t>
  </si>
  <si>
    <t>Cuptor</t>
  </si>
  <si>
    <t>Celula dospire</t>
  </si>
  <si>
    <t>nt</t>
  </si>
  <si>
    <t>Putere (W)</t>
  </si>
  <si>
    <t>Consum (Wh/buc)</t>
  </si>
  <si>
    <t>Amestec + Formare</t>
  </si>
  <si>
    <t>Dospire + Coacere</t>
  </si>
  <si>
    <t>Ambalare</t>
  </si>
  <si>
    <t>Punga ambalare</t>
  </si>
  <si>
    <t>buc</t>
  </si>
  <si>
    <t>Salariu net pe luna</t>
  </si>
  <si>
    <t>Salariu brut pe luna</t>
  </si>
  <si>
    <t>Chelt. salariale pe luna</t>
  </si>
  <si>
    <t>Timp de lucru pe luna (h)</t>
  </si>
  <si>
    <t>Cost pe h</t>
  </si>
  <si>
    <t>Cost/buc</t>
  </si>
  <si>
    <t>1. Materiale auxiliare</t>
  </si>
  <si>
    <t>2. Uzură materiale de protecţie</t>
  </si>
  <si>
    <t>3. Uzură obiecte de inventar</t>
  </si>
  <si>
    <t>4. Combustibil, apă</t>
  </si>
  <si>
    <t>5. Energie electrică</t>
  </si>
  <si>
    <t>6. Piese de schimb</t>
  </si>
  <si>
    <t>7. Alte cheltuieli materiale</t>
  </si>
  <si>
    <t>8. Salarii indirecte, inclusiv asigurari</t>
  </si>
  <si>
    <t>9. Amortizări şi provizioane</t>
  </si>
  <si>
    <t>10. Lucrări şi servicii executate de terţi</t>
  </si>
  <si>
    <t>11. Impozite, taxe şi vărsăminte asimilate</t>
  </si>
  <si>
    <t>12. Publicitate şi protocol</t>
  </si>
  <si>
    <t>13. Deplasări, detaşări, transferări</t>
  </si>
  <si>
    <t>14. Reparaţii</t>
  </si>
  <si>
    <t>15. Alte cheltuieli de exploatare</t>
  </si>
  <si>
    <t>Categorii</t>
  </si>
  <si>
    <t>Detaliere</t>
  </si>
  <si>
    <t>Materii prime</t>
  </si>
  <si>
    <t>lei/kWh</t>
  </si>
  <si>
    <t>Wh</t>
  </si>
  <si>
    <t>c.v.</t>
  </si>
  <si>
    <t>lei/buc</t>
  </si>
  <si>
    <t>Energie electrica</t>
  </si>
  <si>
    <t>Personal</t>
  </si>
  <si>
    <t>lei/an</t>
  </si>
  <si>
    <t>450 de grame de faina alba pentru paine (tip 650)</t>
  </si>
  <si>
    <t>Faina alba 650</t>
  </si>
  <si>
    <t>optional: seminte dupa placul fiecaruia ... 2 linguri de seminte de in</t>
  </si>
  <si>
    <t>2 linguri de faina de secara pentru presarat</t>
  </si>
  <si>
    <t>P (fara TVA)</t>
  </si>
  <si>
    <t>P (raft retailer)</t>
  </si>
  <si>
    <t>P (fara TVA) producator</t>
  </si>
  <si>
    <t>cv</t>
  </si>
  <si>
    <t>CF</t>
  </si>
  <si>
    <t>pe an</t>
  </si>
  <si>
    <t>pe zi</t>
  </si>
  <si>
    <t>Q min</t>
  </si>
  <si>
    <t>buc.</t>
  </si>
  <si>
    <t>Q min  =  CF / (P - cv)</t>
  </si>
  <si>
    <t>Nd 2025</t>
  </si>
  <si>
    <t>Nd 2026</t>
  </si>
  <si>
    <t>Chelt. Salariale d. 2025</t>
  </si>
  <si>
    <t>Chelt. Salariale d. 2026</t>
  </si>
  <si>
    <t>Nd 2027</t>
  </si>
  <si>
    <t>Chelt. Salariale d. 2027</t>
  </si>
  <si>
    <t>Valoare 2025</t>
  </si>
  <si>
    <t>CF 2025</t>
  </si>
  <si>
    <t>a</t>
  </si>
  <si>
    <t>Q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</si>
  <si>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</si>
  <si>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</si>
  <si>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</si>
  <si>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</si>
  <si>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</si>
  <si>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</si>
  <si>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</si>
  <si>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</si>
  <si>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</si>
  <si>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</t>
  </si>
  <si>
    <t>B</t>
  </si>
  <si>
    <t>Rezultat brut</t>
  </si>
  <si>
    <t xml:space="preserve">Rentabilitate </t>
  </si>
  <si>
    <t>Descriere produs</t>
  </si>
  <si>
    <t>Previziune vanzari</t>
  </si>
  <si>
    <t>Utilaje - proces fabricare</t>
  </si>
  <si>
    <t>Cost variabil + Cost fix</t>
  </si>
  <si>
    <t>Situatie financiara</t>
  </si>
  <si>
    <t>Concluzii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</si>
</sst>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3" x14ac:knownFonts="1">
    <font>
      <sz val="11"/>
      <color theme="1"/>
      <name val="Calibri"/>
      <family val="2"/>
      <charset val="238"/>
      <scheme val="minor"/>
    </font>
    <font>
      <sz val="12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i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justify" vertical="center" wrapText="1"/>
    </xf>
    <xf numFmtId="2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2" fillId="0" borderId="5" xfId="0" applyNumberFormat="1" applyFont="1" applyBorder="1"/>
    <xf numFmtId="2" fontId="2" fillId="0" borderId="8" xfId="0" applyNumberFormat="1" applyFont="1" applyBorder="1"/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/>
    <xf numFmtId="0" fontId="0" fillId="0" borderId="6" xfId="0" applyFill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5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12" xfId="0" applyBorder="1"/>
    <xf numFmtId="2" fontId="0" fillId="0" borderId="0" xfId="0" applyNumberFormat="1" applyBorder="1"/>
    <xf numFmtId="2" fontId="0" fillId="0" borderId="7" xfId="0" applyNumberFormat="1" applyBorder="1"/>
    <xf numFmtId="0" fontId="5" fillId="0" borderId="9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9" xfId="0" applyFont="1" applyBorder="1"/>
    <xf numFmtId="0" fontId="2" fillId="0" borderId="3" xfId="0" applyFont="1" applyBorder="1" applyAlignment="1">
      <alignment horizontal="center" vertical="center"/>
    </xf>
    <xf numFmtId="0" fontId="2" fillId="2" borderId="9" xfId="0" applyFont="1" applyFill="1" applyBorder="1"/>
    <xf numFmtId="2" fontId="2" fillId="2" borderId="10" xfId="0" applyNumberFormat="1" applyFont="1" applyFill="1" applyBorder="1"/>
    <xf numFmtId="0" fontId="2" fillId="2" borderId="11" xfId="0" applyFont="1" applyFill="1" applyBorder="1"/>
    <xf numFmtId="3" fontId="2" fillId="2" borderId="11" xfId="0" applyNumberFormat="1" applyFont="1" applyFill="1" applyBorder="1"/>
    <xf numFmtId="3" fontId="2" fillId="0" borderId="0" xfId="0" applyNumberFormat="1" applyFont="1"/>
    <xf numFmtId="2" fontId="2" fillId="2" borderId="9" xfId="0" applyNumberFormat="1" applyFont="1" applyFill="1" applyBorder="1"/>
    <xf numFmtId="0" fontId="0" fillId="2" borderId="11" xfId="0" applyFill="1" applyBorder="1"/>
    <xf numFmtId="3" fontId="2" fillId="2" borderId="10" xfId="0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2" xfId="0" applyFill="1" applyBorder="1"/>
    <xf numFmtId="0" fontId="2" fillId="0" borderId="0" xfId="0" applyFont="1" applyFill="1"/>
    <xf numFmtId="0" fontId="0" fillId="0" borderId="5" xfId="0" applyFill="1" applyBorder="1"/>
    <xf numFmtId="3" fontId="0" fillId="0" borderId="5" xfId="0" applyNumberFormat="1" applyFill="1" applyBorder="1"/>
    <xf numFmtId="3" fontId="0" fillId="0" borderId="4" xfId="0" applyNumberFormat="1" applyFill="1" applyBorder="1"/>
    <xf numFmtId="3" fontId="0" fillId="0" borderId="0" xfId="0" applyNumberFormat="1" applyFill="1" applyBorder="1"/>
    <xf numFmtId="0" fontId="2" fillId="0" borderId="4" xfId="0" applyFont="1" applyFill="1" applyBorder="1"/>
    <xf numFmtId="3" fontId="2" fillId="0" borderId="5" xfId="0" applyNumberFormat="1" applyFont="1" applyFill="1" applyBorder="1"/>
    <xf numFmtId="0" fontId="2" fillId="0" borderId="6" xfId="0" applyFont="1" applyFill="1" applyBorder="1"/>
    <xf numFmtId="3" fontId="2" fillId="0" borderId="8" xfId="0" applyNumberFormat="1" applyFont="1" applyFill="1" applyBorder="1"/>
    <xf numFmtId="3" fontId="0" fillId="0" borderId="6" xfId="0" applyNumberFormat="1" applyFill="1" applyBorder="1"/>
    <xf numFmtId="3" fontId="0" fillId="0" borderId="7" xfId="0" applyNumberFormat="1" applyFill="1" applyBorder="1"/>
    <xf numFmtId="0" fontId="0" fillId="0" borderId="8" xfId="0" applyFill="1" applyBorder="1"/>
    <xf numFmtId="3" fontId="0" fillId="0" borderId="0" xfId="0" applyNumberFormat="1" applyFill="1"/>
    <xf numFmtId="1" fontId="0" fillId="0" borderId="0" xfId="0" applyNumberFormat="1" applyBorder="1"/>
    <xf numFmtId="1" fontId="0" fillId="0" borderId="7" xfId="0" applyNumberFormat="1" applyBorder="1"/>
    <xf numFmtId="0" fontId="0" fillId="0" borderId="1" xfId="0" applyFill="1" applyBorder="1"/>
    <xf numFmtId="3" fontId="0" fillId="0" borderId="3" xfId="0" applyNumberFormat="1" applyFill="1" applyBorder="1"/>
    <xf numFmtId="3" fontId="0" fillId="0" borderId="1" xfId="0" applyNumberFormat="1" applyFill="1" applyBorder="1"/>
    <xf numFmtId="3" fontId="0" fillId="0" borderId="2" xfId="0" applyNumberFormat="1" applyFill="1" applyBorder="1"/>
    <xf numFmtId="0" fontId="0" fillId="0" borderId="0" xfId="0" applyAlignment="1">
      <alignment horizontal="right"/>
    </xf>
    <xf numFmtId="3" fontId="6" fillId="0" borderId="0" xfId="0" applyNumberFormat="1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10" fillId="0" borderId="0" xfId="0" applyNumberFormat="1" applyFont="1"/>
    <xf numFmtId="0" fontId="0" fillId="3" borderId="0" xfId="0" applyFill="1"/>
    <xf numFmtId="0" fontId="11" fillId="3" borderId="0" xfId="0" applyFont="1" applyFill="1"/>
    <xf numFmtId="165" fontId="12" fillId="0" borderId="0" xfId="1" applyNumberFormat="1" applyFont="1" applyFill="1"/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8615-54CB-46E5-9611-EA638546CE67}">
  <dimension ref="A1:U39"/>
  <sheetViews>
    <sheetView tabSelected="1" topLeftCell="C1" zoomScale="115" zoomScaleNormal="115" workbookViewId="0">
      <selection activeCell="O22" sqref="O22"/>
    </sheetView>
  </sheetViews>
  <sheetFormatPr defaultRowHeight="14.4" x14ac:dyDescent="0.55000000000000004"/>
  <cols>
    <col min="1" max="1" width="23.1015625" bestFit="1" customWidth="1"/>
    <col min="2" max="2" width="10" customWidth="1"/>
    <col min="3" max="3" width="11.1015625" customWidth="1"/>
    <col min="4" max="4" width="12.68359375" customWidth="1"/>
    <col min="5" max="5" width="10" customWidth="1"/>
    <col min="6" max="6" width="11.578125" customWidth="1"/>
    <col min="11" max="11" width="7.578125" customWidth="1"/>
    <col min="13" max="13" width="6.3671875" customWidth="1"/>
    <col min="14" max="14" width="6.68359375" customWidth="1"/>
    <col min="15" max="15" width="7.3125" bestFit="1" customWidth="1"/>
    <col min="18" max="18" width="7.7890625" customWidth="1"/>
    <col min="21" max="21" width="107.7890625" customWidth="1"/>
  </cols>
  <sheetData>
    <row r="1" spans="1:21" x14ac:dyDescent="0.55000000000000004">
      <c r="A1" s="30" t="s">
        <v>62</v>
      </c>
      <c r="B1" s="43" t="s">
        <v>8</v>
      </c>
      <c r="C1" s="44" t="s">
        <v>9</v>
      </c>
      <c r="D1" s="43" t="s">
        <v>10</v>
      </c>
      <c r="E1" s="43" t="s">
        <v>11</v>
      </c>
      <c r="F1" s="43" t="s">
        <v>12</v>
      </c>
      <c r="G1" s="44" t="s">
        <v>13</v>
      </c>
    </row>
    <row r="2" spans="1:21" ht="15" x14ac:dyDescent="0.55000000000000004">
      <c r="A2" s="6" t="s">
        <v>14</v>
      </c>
      <c r="B2" s="7">
        <v>190</v>
      </c>
      <c r="C2" s="8" t="s">
        <v>19</v>
      </c>
      <c r="D2" s="7">
        <v>10000</v>
      </c>
      <c r="E2" s="7">
        <v>80</v>
      </c>
      <c r="F2" s="7">
        <f>E2/D2</f>
        <v>8.0000000000000002E-3</v>
      </c>
      <c r="G2" s="12">
        <f>B2*F2</f>
        <v>1.52</v>
      </c>
      <c r="U2" s="1" t="s">
        <v>0</v>
      </c>
    </row>
    <row r="3" spans="1:21" ht="15" x14ac:dyDescent="0.55000000000000004">
      <c r="A3" s="6" t="s">
        <v>71</v>
      </c>
      <c r="B3" s="7">
        <v>225</v>
      </c>
      <c r="C3" s="8" t="s">
        <v>19</v>
      </c>
      <c r="D3" s="7">
        <v>50000</v>
      </c>
      <c r="E3" s="7">
        <v>160</v>
      </c>
      <c r="F3" s="7">
        <f>E3/D3</f>
        <v>3.2000000000000002E-3</v>
      </c>
      <c r="G3" s="12">
        <f>B3*F3</f>
        <v>0.72000000000000008</v>
      </c>
      <c r="U3" s="1" t="s">
        <v>70</v>
      </c>
    </row>
    <row r="4" spans="1:21" ht="15" x14ac:dyDescent="0.55000000000000004">
      <c r="A4" s="6" t="s">
        <v>24</v>
      </c>
      <c r="B4" s="7">
        <v>240</v>
      </c>
      <c r="C4" s="8" t="s">
        <v>18</v>
      </c>
      <c r="D4" s="7">
        <v>1000000</v>
      </c>
      <c r="E4" s="7">
        <v>11</v>
      </c>
      <c r="F4" s="7">
        <f t="shared" ref="F4:F12" si="0">E4/D4</f>
        <v>1.1E-5</v>
      </c>
      <c r="G4" s="12">
        <f t="shared" ref="G4:G12" si="1">B4*F4</f>
        <v>2.64E-3</v>
      </c>
      <c r="U4" s="1" t="s">
        <v>1</v>
      </c>
    </row>
    <row r="5" spans="1:21" ht="15" x14ac:dyDescent="0.55000000000000004">
      <c r="A5" s="6" t="s">
        <v>20</v>
      </c>
      <c r="B5" s="7">
        <v>2</v>
      </c>
      <c r="C5" s="8" t="s">
        <v>19</v>
      </c>
      <c r="D5" s="7">
        <v>100</v>
      </c>
      <c r="E5" s="7">
        <v>7.6</v>
      </c>
      <c r="F5" s="7">
        <f t="shared" si="0"/>
        <v>7.5999999999999998E-2</v>
      </c>
      <c r="G5" s="12">
        <f t="shared" si="1"/>
        <v>0.152</v>
      </c>
      <c r="U5" s="1" t="s">
        <v>2</v>
      </c>
    </row>
    <row r="6" spans="1:21" ht="15" x14ac:dyDescent="0.55000000000000004">
      <c r="A6" s="6" t="s">
        <v>15</v>
      </c>
      <c r="B6" s="7">
        <v>15</v>
      </c>
      <c r="C6" s="8" t="s">
        <v>19</v>
      </c>
      <c r="D6" s="7">
        <v>25000</v>
      </c>
      <c r="E6" s="7">
        <v>250</v>
      </c>
      <c r="F6" s="7">
        <f t="shared" si="0"/>
        <v>0.01</v>
      </c>
      <c r="G6" s="12">
        <f t="shared" si="1"/>
        <v>0.15</v>
      </c>
      <c r="U6" s="1" t="s">
        <v>3</v>
      </c>
    </row>
    <row r="7" spans="1:21" ht="15" x14ac:dyDescent="0.55000000000000004">
      <c r="A7" s="6" t="s">
        <v>21</v>
      </c>
      <c r="B7" s="7">
        <v>15</v>
      </c>
      <c r="C7" s="8" t="s">
        <v>18</v>
      </c>
      <c r="D7" s="7">
        <v>5000</v>
      </c>
      <c r="E7" s="7">
        <v>68</v>
      </c>
      <c r="F7" s="7">
        <f t="shared" si="0"/>
        <v>1.3599999999999999E-2</v>
      </c>
      <c r="G7" s="12">
        <f t="shared" si="1"/>
        <v>0.20399999999999999</v>
      </c>
      <c r="U7" s="1" t="s">
        <v>4</v>
      </c>
    </row>
    <row r="8" spans="1:21" ht="15" x14ac:dyDescent="0.55000000000000004">
      <c r="A8" s="6" t="s">
        <v>16</v>
      </c>
      <c r="B8" s="7">
        <v>7.5</v>
      </c>
      <c r="C8" s="8" t="s">
        <v>19</v>
      </c>
      <c r="D8" s="7">
        <v>25000</v>
      </c>
      <c r="E8" s="7">
        <v>60</v>
      </c>
      <c r="F8" s="7">
        <f t="shared" si="0"/>
        <v>2.3999999999999998E-3</v>
      </c>
      <c r="G8" s="12">
        <f t="shared" si="1"/>
        <v>1.7999999999999999E-2</v>
      </c>
      <c r="U8" s="1" t="s">
        <v>5</v>
      </c>
    </row>
    <row r="9" spans="1:21" ht="15" x14ac:dyDescent="0.55000000000000004">
      <c r="A9" s="6" t="s">
        <v>22</v>
      </c>
      <c r="B9" s="7">
        <v>37.5</v>
      </c>
      <c r="C9" s="8" t="s">
        <v>18</v>
      </c>
      <c r="D9" s="7">
        <v>5000</v>
      </c>
      <c r="E9" s="7">
        <v>260</v>
      </c>
      <c r="F9" s="7">
        <f t="shared" si="0"/>
        <v>5.1999999999999998E-2</v>
      </c>
      <c r="G9" s="12">
        <f t="shared" si="1"/>
        <v>1.95</v>
      </c>
      <c r="U9" s="1" t="s">
        <v>6</v>
      </c>
    </row>
    <row r="10" spans="1:21" ht="15" x14ac:dyDescent="0.55000000000000004">
      <c r="A10" s="6" t="s">
        <v>17</v>
      </c>
      <c r="B10" s="7">
        <v>7.5</v>
      </c>
      <c r="C10" s="8" t="s">
        <v>19</v>
      </c>
      <c r="D10" s="7">
        <v>1000</v>
      </c>
      <c r="E10" s="7">
        <v>17</v>
      </c>
      <c r="F10" s="7">
        <f t="shared" si="0"/>
        <v>1.7000000000000001E-2</v>
      </c>
      <c r="G10" s="12">
        <f t="shared" si="1"/>
        <v>0.1275</v>
      </c>
      <c r="U10" s="1" t="s">
        <v>7</v>
      </c>
    </row>
    <row r="11" spans="1:21" ht="15" x14ac:dyDescent="0.55000000000000004">
      <c r="A11" s="6" t="s">
        <v>23</v>
      </c>
      <c r="B11" s="7">
        <v>15</v>
      </c>
      <c r="C11" s="8" t="s">
        <v>19</v>
      </c>
      <c r="D11" s="7">
        <v>25000</v>
      </c>
      <c r="E11" s="7">
        <v>215</v>
      </c>
      <c r="F11" s="7">
        <f t="shared" si="0"/>
        <v>8.6E-3</v>
      </c>
      <c r="G11" s="12">
        <f t="shared" si="1"/>
        <v>0.129</v>
      </c>
      <c r="I11" s="48"/>
      <c r="U11" s="1" t="s">
        <v>72</v>
      </c>
    </row>
    <row r="12" spans="1:21" ht="15" x14ac:dyDescent="0.55000000000000004">
      <c r="A12" s="9" t="s">
        <v>37</v>
      </c>
      <c r="B12" s="10">
        <v>1</v>
      </c>
      <c r="C12" s="11" t="s">
        <v>38</v>
      </c>
      <c r="D12" s="10">
        <v>10000</v>
      </c>
      <c r="E12" s="10">
        <v>200</v>
      </c>
      <c r="F12" s="10">
        <f t="shared" si="0"/>
        <v>0.02</v>
      </c>
      <c r="G12" s="12">
        <f t="shared" si="1"/>
        <v>0.02</v>
      </c>
      <c r="H12" s="48"/>
      <c r="I12" s="48"/>
      <c r="U12" s="1" t="s">
        <v>73</v>
      </c>
    </row>
    <row r="13" spans="1:21" x14ac:dyDescent="0.55000000000000004">
      <c r="F13" s="48"/>
      <c r="G13" s="37">
        <f>SUM(G2:G12)</f>
        <v>4.9931400000000004</v>
      </c>
      <c r="H13" s="38" t="s">
        <v>13</v>
      </c>
      <c r="I13" s="48"/>
    </row>
    <row r="14" spans="1:21" s="25" customFormat="1" ht="14.7" thickBot="1" x14ac:dyDescent="0.6">
      <c r="F14" s="49"/>
      <c r="G14" s="49"/>
      <c r="H14" s="49"/>
      <c r="I14" s="49"/>
      <c r="J14" s="49"/>
    </row>
    <row r="15" spans="1:21" ht="14.7" thickTop="1" x14ac:dyDescent="0.55000000000000004">
      <c r="I15" s="48"/>
    </row>
    <row r="16" spans="1:21" ht="30" customHeight="1" x14ac:dyDescent="0.55000000000000004">
      <c r="A16" s="29" t="s">
        <v>67</v>
      </c>
      <c r="B16" s="22" t="s">
        <v>27</v>
      </c>
      <c r="C16" s="15" t="s">
        <v>32</v>
      </c>
      <c r="D16" s="16" t="s">
        <v>33</v>
      </c>
      <c r="I16" s="48"/>
    </row>
    <row r="17" spans="1:20" x14ac:dyDescent="0.55000000000000004">
      <c r="A17" s="14" t="s">
        <v>26</v>
      </c>
      <c r="B17" s="14">
        <v>8.0000000000000002E-3</v>
      </c>
      <c r="C17" s="23">
        <v>1500</v>
      </c>
      <c r="D17" s="24">
        <f>B17*C17</f>
        <v>12</v>
      </c>
      <c r="I17" s="48"/>
    </row>
    <row r="18" spans="1:20" x14ac:dyDescent="0.55000000000000004">
      <c r="A18" s="6" t="s">
        <v>28</v>
      </c>
      <c r="B18" s="6">
        <v>5.0000000000000001E-3</v>
      </c>
      <c r="C18" s="7">
        <v>9600</v>
      </c>
      <c r="D18" s="8">
        <f>C18*B18</f>
        <v>48</v>
      </c>
      <c r="I18" s="48"/>
    </row>
    <row r="19" spans="1:20" x14ac:dyDescent="0.55000000000000004">
      <c r="A19" s="6" t="s">
        <v>29</v>
      </c>
      <c r="B19" s="6">
        <v>4.0000000000000001E-3</v>
      </c>
      <c r="C19" s="7">
        <v>48000</v>
      </c>
      <c r="D19" s="8">
        <f>C19*B19</f>
        <v>192</v>
      </c>
      <c r="G19">
        <v>2</v>
      </c>
      <c r="H19" t="s">
        <v>63</v>
      </c>
      <c r="I19" s="48"/>
    </row>
    <row r="20" spans="1:20" x14ac:dyDescent="0.55000000000000004">
      <c r="A20" s="9" t="s">
        <v>30</v>
      </c>
      <c r="B20" s="9">
        <v>5.0000000000000001E-3</v>
      </c>
      <c r="C20" s="10">
        <v>2000</v>
      </c>
      <c r="D20" s="11">
        <f>C20*B20</f>
        <v>10</v>
      </c>
      <c r="F20" s="48"/>
      <c r="I20" s="48"/>
    </row>
    <row r="21" spans="1:20" x14ac:dyDescent="0.55000000000000004">
      <c r="D21" s="4">
        <f>SUM(D17:D20)</f>
        <v>262</v>
      </c>
      <c r="E21" s="50" t="s">
        <v>64</v>
      </c>
      <c r="F21" s="48"/>
      <c r="G21" s="48"/>
      <c r="H21" s="48"/>
      <c r="I21" s="48"/>
      <c r="J21" s="48"/>
    </row>
    <row r="22" spans="1:20" x14ac:dyDescent="0.55000000000000004">
      <c r="D22">
        <f>D21/1000</f>
        <v>0.26200000000000001</v>
      </c>
      <c r="E22" t="s">
        <v>25</v>
      </c>
      <c r="F22" s="48"/>
      <c r="G22" s="37">
        <f>D22*G19</f>
        <v>0.52400000000000002</v>
      </c>
      <c r="H22" s="38" t="s">
        <v>13</v>
      </c>
      <c r="I22" s="48"/>
    </row>
    <row r="23" spans="1:20" x14ac:dyDescent="0.55000000000000004">
      <c r="E23" s="48"/>
      <c r="F23" s="48"/>
      <c r="G23" s="48"/>
      <c r="H23" s="48"/>
      <c r="I23" s="48"/>
      <c r="J23" s="48"/>
      <c r="K23" s="48"/>
    </row>
    <row r="24" spans="1:20" x14ac:dyDescent="0.55000000000000004">
      <c r="F24" s="48"/>
    </row>
    <row r="25" spans="1:20" s="25" customFormat="1" ht="14.7" thickBot="1" x14ac:dyDescent="0.6"/>
    <row r="26" spans="1:20" ht="14.7" thickTop="1" x14ac:dyDescent="0.55000000000000004"/>
    <row r="27" spans="1:20" ht="45.75" customHeight="1" x14ac:dyDescent="0.55000000000000004">
      <c r="A27" s="28" t="s">
        <v>68</v>
      </c>
      <c r="B27" s="20" t="s">
        <v>31</v>
      </c>
      <c r="C27" s="19" t="s">
        <v>39</v>
      </c>
      <c r="D27" s="19" t="s">
        <v>40</v>
      </c>
      <c r="E27" s="19" t="s">
        <v>41</v>
      </c>
      <c r="F27" s="19" t="s">
        <v>42</v>
      </c>
      <c r="G27" s="19" t="s">
        <v>43</v>
      </c>
      <c r="H27" s="20" t="s">
        <v>44</v>
      </c>
      <c r="N27" s="41" t="s">
        <v>84</v>
      </c>
      <c r="O27" s="41" t="s">
        <v>85</v>
      </c>
      <c r="P27" s="41" t="s">
        <v>88</v>
      </c>
      <c r="Q27" s="40" t="s">
        <v>86</v>
      </c>
      <c r="R27" s="40" t="s">
        <v>87</v>
      </c>
      <c r="S27" s="40" t="s">
        <v>89</v>
      </c>
    </row>
    <row r="28" spans="1:20" x14ac:dyDescent="0.55000000000000004">
      <c r="A28" s="17" t="s">
        <v>34</v>
      </c>
      <c r="B28" s="21">
        <v>7.0000000000000001E-3</v>
      </c>
      <c r="C28" s="7">
        <v>4000</v>
      </c>
      <c r="D28" s="7">
        <f>C28*1.71</f>
        <v>6840</v>
      </c>
      <c r="E28" s="63">
        <f>D28*1.0225</f>
        <v>6993.9</v>
      </c>
      <c r="F28" s="7">
        <v>160</v>
      </c>
      <c r="G28" s="26">
        <f>E28/F28</f>
        <v>43.711874999999999</v>
      </c>
      <c r="H28" s="12">
        <f>G28*B28</f>
        <v>0.30598312500000002</v>
      </c>
      <c r="N28" s="41">
        <v>1.5</v>
      </c>
      <c r="O28" s="41">
        <v>2</v>
      </c>
      <c r="P28" s="41">
        <v>2.5</v>
      </c>
      <c r="Q28" s="3"/>
      <c r="R28" s="3"/>
      <c r="S28" s="3"/>
      <c r="T28" s="42" t="s">
        <v>69</v>
      </c>
    </row>
    <row r="29" spans="1:20" x14ac:dyDescent="0.55000000000000004">
      <c r="A29" s="17" t="s">
        <v>35</v>
      </c>
      <c r="B29" s="21">
        <v>7.0000000000000001E-3</v>
      </c>
      <c r="C29" s="7">
        <v>3000</v>
      </c>
      <c r="D29" s="7">
        <f>C29*1.71</f>
        <v>5130</v>
      </c>
      <c r="E29" s="63">
        <f t="shared" ref="E29:E30" si="2">D29*1.0225</f>
        <v>5245.4250000000002</v>
      </c>
      <c r="F29" s="7">
        <v>160</v>
      </c>
      <c r="G29" s="26">
        <f t="shared" ref="G29:G30" si="3">E29/F29</f>
        <v>32.783906250000001</v>
      </c>
      <c r="H29" s="12">
        <f>G29*B29</f>
        <v>0.22948734375000002</v>
      </c>
      <c r="N29" s="41">
        <v>1.5</v>
      </c>
      <c r="O29" s="41">
        <v>2</v>
      </c>
      <c r="P29" s="41">
        <v>2.5</v>
      </c>
      <c r="Q29" s="3"/>
      <c r="R29" s="3"/>
      <c r="S29" s="3"/>
      <c r="T29" s="42" t="s">
        <v>69</v>
      </c>
    </row>
    <row r="30" spans="1:20" x14ac:dyDescent="0.55000000000000004">
      <c r="A30" s="18" t="s">
        <v>36</v>
      </c>
      <c r="B30" s="11">
        <v>5.0000000000000001E-3</v>
      </c>
      <c r="C30" s="10">
        <f>D30/1.54</f>
        <v>2650</v>
      </c>
      <c r="D30" s="10">
        <v>4081</v>
      </c>
      <c r="E30" s="64">
        <f t="shared" si="2"/>
        <v>4172.8225000000002</v>
      </c>
      <c r="F30" s="10">
        <v>160</v>
      </c>
      <c r="G30" s="27">
        <f t="shared" si="3"/>
        <v>26.080140625000002</v>
      </c>
      <c r="H30" s="13">
        <f>G30*B30</f>
        <v>0.13040070312500002</v>
      </c>
      <c r="N30" s="41">
        <v>1</v>
      </c>
      <c r="O30" s="41">
        <v>1</v>
      </c>
      <c r="P30" s="41">
        <v>2</v>
      </c>
      <c r="Q30" s="3"/>
      <c r="R30" s="3"/>
      <c r="S30" s="3"/>
      <c r="T30" s="42" t="s">
        <v>69</v>
      </c>
    </row>
    <row r="31" spans="1:20" x14ac:dyDescent="0.55000000000000004">
      <c r="G31" s="48"/>
      <c r="H31" s="50"/>
      <c r="I31" s="48"/>
      <c r="J31" s="48"/>
      <c r="Q31" s="3"/>
    </row>
    <row r="32" spans="1:20" x14ac:dyDescent="0.55000000000000004">
      <c r="G32" s="48"/>
      <c r="H32" s="37">
        <f>SUM(H28:H30)</f>
        <v>0.66587117187500011</v>
      </c>
      <c r="I32" s="38" t="s">
        <v>13</v>
      </c>
      <c r="J32" s="48"/>
      <c r="K32" s="32" t="s">
        <v>65</v>
      </c>
      <c r="L32" s="33">
        <f>SUM(G13,G22,H32)</f>
        <v>6.183011171875</v>
      </c>
      <c r="M32" s="34" t="s">
        <v>66</v>
      </c>
      <c r="Q32" s="36">
        <f>SUM(Q28:Q30)</f>
        <v>0</v>
      </c>
      <c r="R32" s="36">
        <f t="shared" ref="R32:S32" si="4">SUM(R28:R30)</f>
        <v>0</v>
      </c>
      <c r="S32" s="36">
        <f t="shared" si="4"/>
        <v>0</v>
      </c>
      <c r="T32" s="4" t="s">
        <v>69</v>
      </c>
    </row>
    <row r="33" spans="5:10" x14ac:dyDescent="0.55000000000000004">
      <c r="G33" s="48"/>
      <c r="H33" s="48"/>
      <c r="I33" s="48"/>
      <c r="J33" s="48"/>
    </row>
    <row r="39" spans="5:10" x14ac:dyDescent="0.55000000000000004">
      <c r="E39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E415-B648-4FDF-8F84-AE96A11F3F01}">
  <dimension ref="A2:G19"/>
  <sheetViews>
    <sheetView zoomScale="130" zoomScaleNormal="130" workbookViewId="0">
      <selection activeCell="C10" sqref="C10"/>
    </sheetView>
  </sheetViews>
  <sheetFormatPr defaultRowHeight="14.4" x14ac:dyDescent="0.55000000000000004"/>
  <cols>
    <col min="1" max="1" width="38.41796875" bestFit="1" customWidth="1"/>
    <col min="2" max="2" width="12.89453125" customWidth="1"/>
  </cols>
  <sheetData>
    <row r="2" spans="1:7" x14ac:dyDescent="0.55000000000000004">
      <c r="A2" s="5" t="s">
        <v>60</v>
      </c>
      <c r="B2" s="31" t="s">
        <v>90</v>
      </c>
      <c r="C2" s="5" t="s">
        <v>61</v>
      </c>
      <c r="D2" s="23"/>
      <c r="E2" s="23"/>
      <c r="F2" s="23"/>
      <c r="G2" s="45"/>
    </row>
    <row r="3" spans="1:7" s="48" customFormat="1" x14ac:dyDescent="0.55000000000000004">
      <c r="A3" s="65" t="s">
        <v>45</v>
      </c>
      <c r="B3" s="66">
        <v>5000</v>
      </c>
      <c r="C3" s="67"/>
      <c r="D3" s="68"/>
      <c r="E3" s="68"/>
      <c r="F3" s="68"/>
      <c r="G3" s="51"/>
    </row>
    <row r="4" spans="1:7" s="48" customFormat="1" x14ac:dyDescent="0.55000000000000004">
      <c r="A4" s="17" t="s">
        <v>46</v>
      </c>
      <c r="B4" s="52">
        <v>5000</v>
      </c>
      <c r="C4" s="53"/>
      <c r="D4" s="54"/>
      <c r="E4" s="54"/>
      <c r="F4" s="54"/>
      <c r="G4" s="51"/>
    </row>
    <row r="5" spans="1:7" s="48" customFormat="1" x14ac:dyDescent="0.55000000000000004">
      <c r="A5" s="17" t="s">
        <v>47</v>
      </c>
      <c r="B5" s="52">
        <v>3000</v>
      </c>
      <c r="C5" s="53"/>
      <c r="D5" s="54"/>
      <c r="E5" s="54"/>
      <c r="F5" s="54"/>
      <c r="G5" s="51"/>
    </row>
    <row r="6" spans="1:7" s="48" customFormat="1" x14ac:dyDescent="0.55000000000000004">
      <c r="A6" s="55" t="s">
        <v>48</v>
      </c>
      <c r="B6" s="56">
        <v>30000</v>
      </c>
      <c r="C6" s="53"/>
      <c r="D6" s="54"/>
      <c r="E6" s="54"/>
      <c r="F6" s="54"/>
      <c r="G6" s="51"/>
    </row>
    <row r="7" spans="1:7" s="48" customFormat="1" x14ac:dyDescent="0.55000000000000004">
      <c r="A7" s="55" t="s">
        <v>49</v>
      </c>
      <c r="B7" s="56">
        <v>6000</v>
      </c>
      <c r="C7" s="53"/>
      <c r="D7" s="54"/>
      <c r="E7" s="54"/>
      <c r="F7" s="54"/>
      <c r="G7" s="51"/>
    </row>
    <row r="8" spans="1:7" s="48" customFormat="1" x14ac:dyDescent="0.55000000000000004">
      <c r="A8" s="17" t="s">
        <v>50</v>
      </c>
      <c r="B8" s="52">
        <v>1000</v>
      </c>
      <c r="C8" s="53"/>
      <c r="D8" s="54"/>
      <c r="E8" s="54"/>
      <c r="F8" s="54"/>
      <c r="G8" s="51"/>
    </row>
    <row r="9" spans="1:7" s="48" customFormat="1" x14ac:dyDescent="0.55000000000000004">
      <c r="A9" s="17" t="s">
        <v>51</v>
      </c>
      <c r="B9" s="52">
        <v>1000</v>
      </c>
      <c r="C9" s="53"/>
      <c r="D9" s="54"/>
      <c r="E9" s="54"/>
      <c r="F9" s="54"/>
      <c r="G9" s="51"/>
    </row>
    <row r="10" spans="1:7" s="48" customFormat="1" x14ac:dyDescent="0.55000000000000004">
      <c r="A10" s="55" t="s">
        <v>52</v>
      </c>
      <c r="B10" s="56">
        <f>SUM(C10:G10)</f>
        <v>149410.20000000001</v>
      </c>
      <c r="C10" s="53">
        <f>6000*1.71*1.0225*12</f>
        <v>125890.20000000001</v>
      </c>
      <c r="D10" s="54">
        <f>35*8*21*4</f>
        <v>23520</v>
      </c>
      <c r="E10" s="54"/>
      <c r="F10" s="54"/>
      <c r="G10" s="51"/>
    </row>
    <row r="11" spans="1:7" s="48" customFormat="1" x14ac:dyDescent="0.55000000000000004">
      <c r="A11" s="55" t="s">
        <v>53</v>
      </c>
      <c r="B11" s="56">
        <f>SUM(C11:G11)</f>
        <v>16500</v>
      </c>
      <c r="C11" s="53">
        <f>50000/10</f>
        <v>5000</v>
      </c>
      <c r="D11" s="54">
        <f>30000/10</f>
        <v>3000</v>
      </c>
      <c r="E11" s="54">
        <v>1500</v>
      </c>
      <c r="F11" s="54">
        <f>21000/3</f>
        <v>7000</v>
      </c>
      <c r="G11" s="51"/>
    </row>
    <row r="12" spans="1:7" s="48" customFormat="1" x14ac:dyDescent="0.55000000000000004">
      <c r="A12" s="55" t="s">
        <v>54</v>
      </c>
      <c r="B12" s="56">
        <f>SUM(C12:G12)</f>
        <v>111400</v>
      </c>
      <c r="C12" s="53">
        <f>500*12</f>
        <v>6000</v>
      </c>
      <c r="D12" s="54">
        <f>350*12</f>
        <v>4200</v>
      </c>
      <c r="E12" s="54">
        <f>2600*12</f>
        <v>31200</v>
      </c>
      <c r="F12" s="54">
        <f>280*250</f>
        <v>70000</v>
      </c>
      <c r="G12" s="51"/>
    </row>
    <row r="13" spans="1:7" s="48" customFormat="1" x14ac:dyDescent="0.55000000000000004">
      <c r="A13" s="17" t="s">
        <v>55</v>
      </c>
      <c r="B13" s="52">
        <v>1000</v>
      </c>
      <c r="C13" s="53"/>
      <c r="D13" s="54"/>
      <c r="E13" s="54"/>
      <c r="F13" s="54"/>
      <c r="G13" s="51"/>
    </row>
    <row r="14" spans="1:7" s="48" customFormat="1" x14ac:dyDescent="0.55000000000000004">
      <c r="A14" s="55" t="s">
        <v>56</v>
      </c>
      <c r="B14" s="56">
        <f>SUM(C14:G14)</f>
        <v>83400</v>
      </c>
      <c r="C14" s="53">
        <f>10*3*2*180+5000</f>
        <v>15800</v>
      </c>
      <c r="D14" s="54">
        <f>17000+15000</f>
        <v>32000</v>
      </c>
      <c r="E14" s="54">
        <f>300*12</f>
        <v>3600</v>
      </c>
      <c r="F14" s="54">
        <f>10000+2000</f>
        <v>12000</v>
      </c>
      <c r="G14" s="52">
        <f>20000</f>
        <v>20000</v>
      </c>
    </row>
    <row r="15" spans="1:7" s="48" customFormat="1" x14ac:dyDescent="0.55000000000000004">
      <c r="A15" s="17" t="s">
        <v>57</v>
      </c>
      <c r="B15" s="52">
        <v>2000</v>
      </c>
      <c r="C15" s="53"/>
      <c r="D15" s="54"/>
      <c r="E15" s="54"/>
      <c r="F15" s="54"/>
      <c r="G15" s="51"/>
    </row>
    <row r="16" spans="1:7" s="48" customFormat="1" x14ac:dyDescent="0.55000000000000004">
      <c r="A16" s="17" t="s">
        <v>58</v>
      </c>
      <c r="B16" s="52">
        <v>2000</v>
      </c>
      <c r="C16" s="53"/>
      <c r="D16" s="54"/>
      <c r="E16" s="54"/>
      <c r="F16" s="54"/>
      <c r="G16" s="51"/>
    </row>
    <row r="17" spans="1:7" s="48" customFormat="1" x14ac:dyDescent="0.55000000000000004">
      <c r="A17" s="57" t="s">
        <v>59</v>
      </c>
      <c r="B17" s="58">
        <f>C17</f>
        <v>168000</v>
      </c>
      <c r="C17" s="59">
        <f>400*7*12*5</f>
        <v>168000</v>
      </c>
      <c r="D17" s="60"/>
      <c r="E17" s="60"/>
      <c r="F17" s="60"/>
      <c r="G17" s="61"/>
    </row>
    <row r="18" spans="1:7" s="48" customFormat="1" x14ac:dyDescent="0.55000000000000004">
      <c r="B18" s="62"/>
      <c r="C18" s="62"/>
      <c r="D18" s="62"/>
      <c r="E18" s="62"/>
      <c r="F18" s="62"/>
    </row>
    <row r="19" spans="1:7" x14ac:dyDescent="0.55000000000000004">
      <c r="A19" s="32" t="s">
        <v>91</v>
      </c>
      <c r="B19" s="39">
        <f>SUM(B3:B17)</f>
        <v>584710.19999999995</v>
      </c>
      <c r="C19" s="35" t="s">
        <v>11</v>
      </c>
      <c r="D19" s="3"/>
      <c r="E19" s="3"/>
      <c r="F19" s="3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1610-EA60-4795-A462-CFDB20345962}">
  <dimension ref="A1:F10"/>
  <sheetViews>
    <sheetView zoomScale="130" zoomScaleNormal="130" workbookViewId="0">
      <selection activeCell="G8" sqref="G8"/>
    </sheetView>
  </sheetViews>
  <sheetFormatPr defaultRowHeight="14.4" x14ac:dyDescent="0.55000000000000004"/>
  <cols>
    <col min="1" max="1" width="21.578125" customWidth="1"/>
    <col min="2" max="2" width="9.20703125" bestFit="1" customWidth="1"/>
    <col min="5" max="5" width="11.3125" customWidth="1"/>
    <col min="6" max="6" width="14.3125" bestFit="1" customWidth="1"/>
  </cols>
  <sheetData>
    <row r="1" spans="1:6" x14ac:dyDescent="0.55000000000000004">
      <c r="E1" t="s">
        <v>74</v>
      </c>
      <c r="F1" t="s">
        <v>75</v>
      </c>
    </row>
    <row r="2" spans="1:6" x14ac:dyDescent="0.55000000000000004">
      <c r="A2" t="s">
        <v>76</v>
      </c>
      <c r="B2" s="2">
        <f>E2/1.22</f>
        <v>7.1439314182583846</v>
      </c>
      <c r="C2" t="s">
        <v>11</v>
      </c>
      <c r="E2" s="46">
        <f>F2/1.09</f>
        <v>8.7155963302752291</v>
      </c>
      <c r="F2" s="47">
        <v>9.5</v>
      </c>
    </row>
    <row r="3" spans="1:6" x14ac:dyDescent="0.55000000000000004">
      <c r="A3" t="s">
        <v>77</v>
      </c>
      <c r="B3" s="2">
        <f>cv!L32</f>
        <v>6.183011171875</v>
      </c>
      <c r="C3" t="s">
        <v>11</v>
      </c>
    </row>
    <row r="4" spans="1:6" x14ac:dyDescent="0.55000000000000004">
      <c r="A4" t="s">
        <v>78</v>
      </c>
      <c r="B4" s="3">
        <f>CF!B19</f>
        <v>584710.19999999995</v>
      </c>
      <c r="C4" t="s">
        <v>11</v>
      </c>
    </row>
    <row r="6" spans="1:6" x14ac:dyDescent="0.55000000000000004">
      <c r="B6" t="s">
        <v>79</v>
      </c>
      <c r="C6" t="s">
        <v>80</v>
      </c>
    </row>
    <row r="7" spans="1:6" x14ac:dyDescent="0.55000000000000004">
      <c r="A7" t="s">
        <v>81</v>
      </c>
      <c r="B7" s="3">
        <f>B4/(B2-B3)</f>
        <v>608489.83274176356</v>
      </c>
      <c r="C7" s="3">
        <f>B7/250</f>
        <v>2433.959330967054</v>
      </c>
      <c r="D7" t="s">
        <v>82</v>
      </c>
    </row>
    <row r="10" spans="1:6" x14ac:dyDescent="0.55000000000000004">
      <c r="A10" s="4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23476-E163-4086-B5AE-83F33CE7127D}">
  <dimension ref="A1:K41"/>
  <sheetViews>
    <sheetView zoomScale="130" zoomScaleNormal="130" workbookViewId="0">
      <selection activeCell="E7" sqref="E7"/>
    </sheetView>
  </sheetViews>
  <sheetFormatPr defaultRowHeight="14.4" x14ac:dyDescent="0.55000000000000004"/>
  <cols>
    <col min="1" max="1" width="13.1015625" bestFit="1" customWidth="1"/>
    <col min="7" max="7" width="3" customWidth="1"/>
    <col min="8" max="8" width="21.9453125" customWidth="1"/>
  </cols>
  <sheetData>
    <row r="1" spans="1:11" x14ac:dyDescent="0.55000000000000004">
      <c r="B1" s="47">
        <v>2025</v>
      </c>
      <c r="C1" s="47">
        <v>2026</v>
      </c>
      <c r="D1" s="47">
        <v>2027</v>
      </c>
      <c r="I1" s="47">
        <v>2025</v>
      </c>
      <c r="J1" s="47">
        <v>2026</v>
      </c>
      <c r="K1" s="47">
        <v>2027</v>
      </c>
    </row>
    <row r="2" spans="1:11" x14ac:dyDescent="0.55000000000000004">
      <c r="A2" t="s">
        <v>92</v>
      </c>
      <c r="B2" s="3"/>
      <c r="C2" s="3"/>
      <c r="D2" s="3"/>
      <c r="H2" s="69" t="s">
        <v>93</v>
      </c>
      <c r="I2" s="36">
        <v>450000</v>
      </c>
      <c r="J2" s="36">
        <v>550000</v>
      </c>
      <c r="K2" s="36">
        <v>700000</v>
      </c>
    </row>
    <row r="3" spans="1:11" x14ac:dyDescent="0.55000000000000004">
      <c r="B3" s="3"/>
      <c r="C3" s="3"/>
      <c r="D3" s="3"/>
    </row>
    <row r="4" spans="1:11" x14ac:dyDescent="0.55000000000000004">
      <c r="A4" t="s">
        <v>94</v>
      </c>
      <c r="B4" s="3"/>
      <c r="C4" s="3"/>
      <c r="D4" s="3"/>
    </row>
    <row r="5" spans="1:11" x14ac:dyDescent="0.55000000000000004">
      <c r="A5" t="s">
        <v>95</v>
      </c>
      <c r="B5" s="3"/>
      <c r="C5" s="3"/>
      <c r="D5" s="3"/>
    </row>
    <row r="6" spans="1:11" x14ac:dyDescent="0.55000000000000004">
      <c r="A6" t="s">
        <v>96</v>
      </c>
      <c r="B6" s="3"/>
      <c r="C6" s="3"/>
      <c r="D6" s="3"/>
    </row>
    <row r="7" spans="1:11" x14ac:dyDescent="0.55000000000000004">
      <c r="A7" t="s">
        <v>97</v>
      </c>
      <c r="B7" s="70"/>
      <c r="C7" s="70"/>
      <c r="D7" s="70"/>
    </row>
    <row r="8" spans="1:11" x14ac:dyDescent="0.55000000000000004">
      <c r="A8" t="s">
        <v>98</v>
      </c>
      <c r="B8" s="70"/>
      <c r="C8" s="70"/>
      <c r="D8" s="70"/>
    </row>
    <row r="9" spans="1:11" x14ac:dyDescent="0.55000000000000004">
      <c r="A9" t="s">
        <v>99</v>
      </c>
      <c r="B9" s="3"/>
      <c r="C9" s="3"/>
      <c r="D9" s="3"/>
    </row>
    <row r="10" spans="1:11" x14ac:dyDescent="0.55000000000000004">
      <c r="A10" s="71" t="s">
        <v>100</v>
      </c>
      <c r="B10" s="72"/>
      <c r="C10" s="72"/>
      <c r="D10" s="72"/>
    </row>
    <row r="11" spans="1:11" x14ac:dyDescent="0.55000000000000004">
      <c r="A11" s="71" t="s">
        <v>101</v>
      </c>
      <c r="B11" s="72"/>
      <c r="C11" s="72"/>
      <c r="D11" s="72"/>
    </row>
    <row r="12" spans="1:11" x14ac:dyDescent="0.55000000000000004">
      <c r="A12" s="71" t="s">
        <v>102</v>
      </c>
      <c r="B12" s="72"/>
      <c r="C12" s="72"/>
      <c r="D12" s="72"/>
      <c r="E12" s="72"/>
    </row>
    <row r="13" spans="1:11" x14ac:dyDescent="0.55000000000000004">
      <c r="B13" s="3"/>
      <c r="C13" s="3"/>
      <c r="D13" s="3"/>
    </row>
    <row r="14" spans="1:11" x14ac:dyDescent="0.55000000000000004">
      <c r="A14" s="4" t="s">
        <v>103</v>
      </c>
      <c r="B14" s="36"/>
      <c r="C14" s="36"/>
      <c r="D14" s="36"/>
    </row>
    <row r="15" spans="1:11" x14ac:dyDescent="0.55000000000000004">
      <c r="A15" s="4" t="s">
        <v>104</v>
      </c>
      <c r="B15" s="36"/>
      <c r="C15" s="36"/>
      <c r="D15" s="36"/>
    </row>
    <row r="16" spans="1:11" x14ac:dyDescent="0.55000000000000004">
      <c r="B16" s="3"/>
      <c r="C16" s="3"/>
      <c r="D16" s="3"/>
    </row>
    <row r="17" spans="1:5" x14ac:dyDescent="0.55000000000000004">
      <c r="A17" s="73" t="s">
        <v>105</v>
      </c>
      <c r="B17" s="74"/>
      <c r="C17" s="74"/>
      <c r="D17" s="74"/>
    </row>
    <row r="18" spans="1:5" x14ac:dyDescent="0.55000000000000004">
      <c r="B18" s="3"/>
      <c r="C18" s="3"/>
      <c r="D18" s="3"/>
    </row>
    <row r="19" spans="1:5" x14ac:dyDescent="0.55000000000000004">
      <c r="A19" s="75"/>
      <c r="B19" s="75"/>
      <c r="C19" s="75"/>
      <c r="D19" s="75"/>
      <c r="E19" s="75"/>
    </row>
    <row r="20" spans="1:5" x14ac:dyDescent="0.55000000000000004">
      <c r="A20" s="76" t="s">
        <v>106</v>
      </c>
      <c r="B20" s="77"/>
      <c r="C20" s="77"/>
      <c r="D20" s="77"/>
      <c r="E20" s="75"/>
    </row>
    <row r="21" spans="1:5" x14ac:dyDescent="0.55000000000000004">
      <c r="A21" s="75"/>
      <c r="B21" s="75"/>
      <c r="C21" s="75"/>
      <c r="D21" s="75"/>
      <c r="E21" s="75"/>
    </row>
    <row r="35" spans="7:8" x14ac:dyDescent="0.55000000000000004">
      <c r="G35" s="4">
        <v>1</v>
      </c>
      <c r="H35" s="4" t="s">
        <v>107</v>
      </c>
    </row>
    <row r="36" spans="7:8" x14ac:dyDescent="0.55000000000000004">
      <c r="G36" s="4">
        <v>2</v>
      </c>
      <c r="H36" s="4" t="s">
        <v>108</v>
      </c>
    </row>
    <row r="37" spans="7:8" x14ac:dyDescent="0.55000000000000004">
      <c r="G37" s="4">
        <v>3</v>
      </c>
      <c r="H37" s="4" t="s">
        <v>109</v>
      </c>
    </row>
    <row r="38" spans="7:8" x14ac:dyDescent="0.55000000000000004">
      <c r="G38" s="4">
        <v>4</v>
      </c>
      <c r="H38" s="4" t="s">
        <v>62</v>
      </c>
    </row>
    <row r="39" spans="7:8" x14ac:dyDescent="0.55000000000000004">
      <c r="G39" s="4">
        <v>5</v>
      </c>
      <c r="H39" s="4" t="s">
        <v>110</v>
      </c>
    </row>
    <row r="40" spans="7:8" x14ac:dyDescent="0.55000000000000004">
      <c r="G40" s="4">
        <v>6</v>
      </c>
      <c r="H40" s="4" t="s">
        <v>111</v>
      </c>
    </row>
    <row r="41" spans="7:8" x14ac:dyDescent="0.55000000000000004">
      <c r="G41" s="4">
        <v>7</v>
      </c>
      <c r="H41" s="4" t="s">
        <v>112</v>
      </c>
    </row>
  </sheetData>
  <conditionalFormatting sqref="B17:D17">
    <cfRule type="cellIs" dxfId="9" priority="2" operator="greaterThan">
      <formula>0</formula>
    </cfRule>
    <cfRule type="cellIs" dxfId="8" priority="3" operator="greaterThan">
      <formula>0</formula>
    </cfRule>
    <cfRule type="cellIs" dxfId="7" priority="5" operator="lessThan">
      <formula>0</formula>
    </cfRule>
  </conditionalFormatting>
  <conditionalFormatting sqref="B20:D20">
    <cfRule type="cellIs" dxfId="6" priority="1" operator="greaterThan">
      <formula>0</formula>
    </cfRule>
    <cfRule type="cellIs" dxfId="5" priority="4" operator="lessThan">
      <formula>0</formula>
    </cfRule>
  </conditionalFormatting>
  <pageMargins left="0.7" right="0.7" top="0.75" bottom="0.75" header="0.3" footer="0.3"/>
  <pageSetup paperSize="9" orientation="portrait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50F7F025018438B1FE4960E7D6F7B" ma:contentTypeVersion="4" ma:contentTypeDescription="Create a new document." ma:contentTypeScope="" ma:versionID="7346e3fd81e84d82fd9ec2370fe5f387">
  <xsd:schema xmlns:xsd="http://www.w3.org/2001/XMLSchema" xmlns:xs="http://www.w3.org/2001/XMLSchema" xmlns:p="http://schemas.microsoft.com/office/2006/metadata/properties" xmlns:ns2="89901c04-60a0-48be-8faa-b0f7a62ca8b4" targetNamespace="http://schemas.microsoft.com/office/2006/metadata/properties" ma:root="true" ma:fieldsID="1dcde566b5c28d1779c85bcab86232d1" ns2:_="">
    <xsd:import namespace="89901c04-60a0-48be-8faa-b0f7a62ca8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01c04-60a0-48be-8faa-b0f7a62ca8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DAA12F-D017-4C44-ACA5-8A8EB03AC1FC}"/>
</file>

<file path=customXml/itemProps2.xml><?xml version="1.0" encoding="utf-8"?>
<ds:datastoreItem xmlns:ds="http://schemas.openxmlformats.org/officeDocument/2006/customXml" ds:itemID="{961E88C5-E426-47D6-920B-AE7A5D71E1A0}"/>
</file>

<file path=customXml/itemProps3.xml><?xml version="1.0" encoding="utf-8"?>
<ds:datastoreItem xmlns:ds="http://schemas.openxmlformats.org/officeDocument/2006/customXml" ds:itemID="{148B3D2E-5E3D-4C79-8025-01BA5E8BAA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cv</vt:lpstr>
      <vt:lpstr>CF</vt:lpstr>
      <vt:lpstr>Qcr</vt:lpstr>
      <vt:lpstr>BVC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M</dc:creator>
  <cp:lastModifiedBy>Alexandru M</cp:lastModifiedBy>
  <dcterms:created xsi:type="dcterms:W3CDTF">2022-11-12T09:59:27Z</dcterms:created>
  <dcterms:modified xsi:type="dcterms:W3CDTF">2024-11-25T10:03:32Z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0x01010075250F7F025018438B1FE4960E7D6F7B</vt:lpwstr>
  </property>
</Properties>
</file>