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EV2023\AI4RBS\RBS_23Nov2022_Pb\"/>
    </mc:Choice>
  </mc:AlternateContent>
  <bookViews>
    <workbookView xWindow="0" yWindow="0" windowWidth="16380" windowHeight="8190" tabRatio="500"/>
  </bookViews>
  <sheets>
    <sheet name="Runs" sheetId="1" r:id="rId1"/>
    <sheet name="Ta-Nb-V Calib - RBS1 - Alfa" sheetId="4" r:id="rId2"/>
    <sheet name="Ta-Nb-V Calib - RBS1 - Protoes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24" i="3" l="1"/>
  <c r="AF23" i="3"/>
  <c r="AF19" i="3"/>
  <c r="AF18" i="3"/>
  <c r="AF14" i="3"/>
  <c r="AF13" i="3"/>
  <c r="AF12" i="3"/>
  <c r="AF11" i="3"/>
  <c r="S41" i="3"/>
  <c r="S40" i="3"/>
  <c r="S36" i="3"/>
  <c r="S35" i="3"/>
  <c r="S31" i="3"/>
  <c r="S30" i="3"/>
  <c r="S29" i="3"/>
  <c r="S28" i="3"/>
  <c r="S24" i="3"/>
  <c r="S23" i="3"/>
  <c r="S19" i="3"/>
  <c r="S18" i="3"/>
  <c r="S14" i="3"/>
  <c r="S13" i="3"/>
  <c r="S12" i="3"/>
  <c r="S11" i="3"/>
  <c r="Q25" i="4"/>
  <c r="Q24" i="4"/>
  <c r="Q20" i="4"/>
  <c r="Q19" i="4"/>
  <c r="Q15" i="4"/>
  <c r="Q14" i="4"/>
  <c r="Q13" i="4"/>
  <c r="Q12" i="4"/>
  <c r="L25" i="4" l="1"/>
  <c r="L24" i="4"/>
  <c r="AA24" i="3"/>
  <c r="AA23" i="3"/>
  <c r="AA19" i="3"/>
  <c r="AA18" i="3"/>
  <c r="AA14" i="3"/>
  <c r="AA13" i="3"/>
  <c r="AA12" i="3"/>
  <c r="AA11" i="3"/>
  <c r="N41" i="3"/>
  <c r="N40" i="3"/>
  <c r="N36" i="3"/>
  <c r="N35" i="3"/>
  <c r="N31" i="3"/>
  <c r="N30" i="3"/>
  <c r="N29" i="3"/>
  <c r="N28" i="3"/>
  <c r="N24" i="3"/>
  <c r="N23" i="3"/>
  <c r="N19" i="3"/>
  <c r="N18" i="3"/>
  <c r="N14" i="3"/>
  <c r="N13" i="3"/>
  <c r="N12" i="3"/>
  <c r="N11" i="3"/>
  <c r="P15" i="4"/>
  <c r="P14" i="4"/>
  <c r="P13" i="4"/>
  <c r="N15" i="4"/>
  <c r="N14" i="4"/>
  <c r="N13" i="4"/>
  <c r="L12" i="4"/>
  <c r="H9" i="3"/>
  <c r="AC25" i="4"/>
  <c r="AA25" i="4"/>
  <c r="Y25" i="4"/>
  <c r="P42" i="4"/>
  <c r="N42" i="4"/>
  <c r="L42" i="4"/>
  <c r="P25" i="4"/>
  <c r="N25" i="4"/>
  <c r="AC24" i="4"/>
  <c r="AA24" i="4"/>
  <c r="Y24" i="4"/>
  <c r="P41" i="4"/>
  <c r="N41" i="4"/>
  <c r="L41" i="4"/>
  <c r="P24" i="4"/>
  <c r="N24" i="4"/>
  <c r="AC20" i="4"/>
  <c r="AA20" i="4"/>
  <c r="Y20" i="4"/>
  <c r="P37" i="4"/>
  <c r="N37" i="4"/>
  <c r="L37" i="4"/>
  <c r="P20" i="4"/>
  <c r="N20" i="4"/>
  <c r="L20" i="4"/>
  <c r="AC19" i="4"/>
  <c r="AA19" i="4"/>
  <c r="Y19" i="4"/>
  <c r="P36" i="4"/>
  <c r="N36" i="4"/>
  <c r="L36" i="4"/>
  <c r="P19" i="4"/>
  <c r="N19" i="4"/>
  <c r="L19" i="4"/>
  <c r="AC15" i="4"/>
  <c r="AA15" i="4"/>
  <c r="Y15" i="4"/>
  <c r="P32" i="4"/>
  <c r="N32" i="4"/>
  <c r="L32" i="4"/>
  <c r="L15" i="4"/>
  <c r="AC14" i="4"/>
  <c r="AA14" i="4"/>
  <c r="Y14" i="4"/>
  <c r="P31" i="4"/>
  <c r="N31" i="4"/>
  <c r="L31" i="4"/>
  <c r="L14" i="4"/>
  <c r="AC13" i="4"/>
  <c r="AA13" i="4"/>
  <c r="Y13" i="4"/>
  <c r="P30" i="4"/>
  <c r="N30" i="4"/>
  <c r="L30" i="4"/>
  <c r="L13" i="4"/>
  <c r="AC12" i="4"/>
  <c r="AA12" i="4"/>
  <c r="Y12" i="4"/>
  <c r="P29" i="4"/>
  <c r="N29" i="4"/>
  <c r="L29" i="4"/>
  <c r="P12" i="4"/>
  <c r="N12" i="4"/>
  <c r="AE24" i="3"/>
  <c r="AC24" i="3"/>
  <c r="AE23" i="3"/>
  <c r="AC23" i="3"/>
  <c r="AE19" i="3"/>
  <c r="AC19" i="3"/>
  <c r="AE18" i="3"/>
  <c r="AC18" i="3"/>
  <c r="AE14" i="3"/>
  <c r="AC14" i="3"/>
  <c r="AE13" i="3"/>
  <c r="AC13" i="3"/>
  <c r="AE12" i="3"/>
  <c r="AC12" i="3"/>
  <c r="AE11" i="3"/>
  <c r="AC11" i="3"/>
  <c r="F9" i="3"/>
  <c r="AG24" i="3" l="1"/>
  <c r="AG23" i="3"/>
  <c r="AG19" i="3"/>
  <c r="AG14" i="3"/>
  <c r="AG13" i="3"/>
  <c r="AG12" i="3"/>
  <c r="AG11" i="3"/>
  <c r="AG18" i="3"/>
  <c r="R41" i="3"/>
  <c r="P41" i="3"/>
  <c r="R40" i="3"/>
  <c r="P40" i="3"/>
  <c r="R36" i="3"/>
  <c r="P36" i="3"/>
  <c r="R35" i="3"/>
  <c r="P35" i="3"/>
  <c r="R31" i="3"/>
  <c r="P31" i="3"/>
  <c r="R30" i="3"/>
  <c r="P30" i="3"/>
  <c r="R29" i="3"/>
  <c r="P29" i="3"/>
  <c r="R28" i="3"/>
  <c r="P28" i="3"/>
  <c r="G9" i="3"/>
  <c r="R24" i="3"/>
  <c r="P24" i="3"/>
  <c r="R23" i="3"/>
  <c r="P23" i="3"/>
  <c r="R19" i="3"/>
  <c r="P19" i="3"/>
  <c r="R18" i="3"/>
  <c r="P18" i="3"/>
  <c r="R14" i="3"/>
  <c r="P14" i="3"/>
  <c r="R13" i="3"/>
  <c r="P13" i="3"/>
  <c r="R12" i="3"/>
  <c r="P12" i="3"/>
  <c r="R11" i="3"/>
  <c r="P11" i="3"/>
  <c r="T29" i="3" l="1"/>
  <c r="T31" i="3"/>
  <c r="T28" i="3"/>
  <c r="T23" i="3"/>
  <c r="T25" i="3" s="1"/>
  <c r="T30" i="3"/>
  <c r="T14" i="3"/>
  <c r="T24" i="3"/>
  <c r="T36" i="3"/>
  <c r="T13" i="3"/>
  <c r="T35" i="3"/>
  <c r="T40" i="3"/>
  <c r="T41" i="3"/>
  <c r="T19" i="3"/>
  <c r="T11" i="3"/>
  <c r="T12" i="3"/>
  <c r="T18" i="3"/>
  <c r="T20" i="3" s="1"/>
  <c r="G7" i="4"/>
  <c r="G6" i="4"/>
  <c r="H6" i="4" s="1"/>
  <c r="H5" i="4"/>
  <c r="G5" i="4"/>
  <c r="G4" i="4"/>
  <c r="H4" i="4" s="1"/>
  <c r="G3" i="4"/>
  <c r="H3" i="4" s="1"/>
  <c r="G2" i="4"/>
  <c r="H2" i="4" s="1"/>
  <c r="T7" i="3" l="1"/>
  <c r="W7" i="3" s="1"/>
  <c r="V24" i="3"/>
  <c r="V23" i="3"/>
  <c r="T6" i="3"/>
  <c r="W6" i="3" s="1"/>
  <c r="V19" i="3"/>
  <c r="V18" i="3"/>
  <c r="T15" i="3"/>
  <c r="T5" i="3" s="1"/>
  <c r="W5" i="3" s="1"/>
  <c r="V14" i="3"/>
  <c r="V12" i="3"/>
  <c r="V11" i="3"/>
  <c r="V13" i="3"/>
  <c r="R19" i="4"/>
  <c r="R21" i="4" s="1"/>
  <c r="R15" i="4"/>
  <c r="R12" i="4"/>
  <c r="R24" i="4"/>
  <c r="R26" i="4" s="1"/>
  <c r="R5" i="4" s="1"/>
  <c r="U5" i="4" s="1"/>
  <c r="R20" i="4"/>
  <c r="R14" i="4"/>
  <c r="R25" i="4"/>
  <c r="R13" i="4"/>
  <c r="H7" i="4"/>
  <c r="I7" i="4" s="1"/>
  <c r="Q42" i="4"/>
  <c r="R42" i="4" s="1"/>
  <c r="Q30" i="4"/>
  <c r="R30" i="4" s="1"/>
  <c r="Q37" i="4"/>
  <c r="R37" i="4" s="1"/>
  <c r="AD13" i="4"/>
  <c r="AE13" i="4" s="1"/>
  <c r="AD15" i="4"/>
  <c r="AE15" i="4" s="1"/>
  <c r="Q32" i="4"/>
  <c r="R32" i="4" s="1"/>
  <c r="AD25" i="4"/>
  <c r="AE25" i="4" s="1"/>
  <c r="Q41" i="4"/>
  <c r="R41" i="4" s="1"/>
  <c r="AD19" i="4"/>
  <c r="AE19" i="4" s="1"/>
  <c r="AD12" i="4"/>
  <c r="AE12" i="4" s="1"/>
  <c r="Q29" i="4"/>
  <c r="R29" i="4" s="1"/>
  <c r="AD14" i="4"/>
  <c r="AE14" i="4" s="1"/>
  <c r="AD24" i="4"/>
  <c r="AE24" i="4" s="1"/>
  <c r="AD20" i="4"/>
  <c r="AE20" i="4" s="1"/>
  <c r="Q36" i="4"/>
  <c r="R36" i="4" s="1"/>
  <c r="Q31" i="4"/>
  <c r="R31" i="4" s="1"/>
  <c r="F8" i="3"/>
  <c r="G8" i="3" s="1"/>
  <c r="F7" i="3"/>
  <c r="G7" i="3" s="1"/>
  <c r="F6" i="3"/>
  <c r="G6" i="3" s="1"/>
  <c r="F5" i="3"/>
  <c r="G5" i="3" s="1"/>
  <c r="F4" i="3"/>
  <c r="G4" i="3" s="1"/>
  <c r="V25" i="3" l="1"/>
  <c r="V7" i="3" s="1"/>
  <c r="Y7" i="3" s="1"/>
  <c r="V20" i="3"/>
  <c r="V6" i="3" s="1"/>
  <c r="Y6" i="3" s="1"/>
  <c r="V15" i="3"/>
  <c r="V5" i="3" s="1"/>
  <c r="Y5" i="3" s="1"/>
  <c r="T20" i="4"/>
  <c r="T25" i="4"/>
  <c r="R4" i="4"/>
  <c r="U4" i="4" s="1"/>
  <c r="T24" i="4"/>
  <c r="T19" i="4"/>
  <c r="T21" i="4" s="1"/>
  <c r="T4" i="4" s="1"/>
  <c r="W4" i="4" s="1"/>
  <c r="R16" i="4"/>
  <c r="R3" i="4" s="1"/>
  <c r="U3" i="4" s="1"/>
  <c r="T26" i="4" l="1"/>
  <c r="T5" i="4" s="1"/>
  <c r="W5" i="4" s="1"/>
  <c r="T13" i="4"/>
  <c r="T15" i="4"/>
  <c r="T12" i="4"/>
  <c r="T14" i="4"/>
  <c r="T16" i="4" l="1"/>
  <c r="T3" i="4" s="1"/>
  <c r="W3" i="4" s="1"/>
</calcChain>
</file>

<file path=xl/sharedStrings.xml><?xml version="1.0" encoding="utf-8"?>
<sst xmlns="http://schemas.openxmlformats.org/spreadsheetml/2006/main" count="359" uniqueCount="71">
  <si>
    <t>2000 keV</t>
  </si>
  <si>
    <t>4He</t>
  </si>
  <si>
    <t>RBS 23 November</t>
  </si>
  <si>
    <t>Run</t>
  </si>
  <si>
    <t>Target</t>
  </si>
  <si>
    <t>Angle</t>
  </si>
  <si>
    <t>Position (mm)</t>
  </si>
  <si>
    <t>Charge</t>
  </si>
  <si>
    <t>Current (nA)</t>
  </si>
  <si>
    <t>Comments</t>
  </si>
  <si>
    <t>calib. V, Nb, Ta</t>
  </si>
  <si>
    <t>~ 3</t>
  </si>
  <si>
    <t>Large hole</t>
  </si>
  <si>
    <t>'’</t>
  </si>
  <si>
    <t>~5</t>
  </si>
  <si>
    <t>Target 1</t>
  </si>
  <si>
    <t>Formvar</t>
  </si>
  <si>
    <t>corrente medida no porta alvos; provavelmente estavamos a batar apenas no frame</t>
  </si>
  <si>
    <t>estavamos na posição errada, só viamos frame</t>
  </si>
  <si>
    <t>agora vimos C e O mas muito pouco; podemos ter feito um buraco no filme; temos que confirmar no fim</t>
  </si>
  <si>
    <t>Pb 1 – small hole</t>
  </si>
  <si>
    <t>voltamos a medir na FC do fim de linha</t>
  </si>
  <si>
    <t>Pb 2 – small hole</t>
  </si>
  <si>
    <t>H</t>
  </si>
  <si>
    <t>changed to protons</t>
  </si>
  <si>
    <t>~2 floating</t>
  </si>
  <si>
    <t>não estavamos a contar a corrente na FC</t>
  </si>
  <si>
    <t>ganho x2</t>
  </si>
  <si>
    <t xml:space="preserve">E0 = </t>
  </si>
  <si>
    <t>keV</t>
  </si>
  <si>
    <t>Element</t>
  </si>
  <si>
    <t>Z</t>
  </si>
  <si>
    <t>A</t>
  </si>
  <si>
    <t>Surface channel</t>
  </si>
  <si>
    <t>O</t>
  </si>
  <si>
    <t>Si</t>
  </si>
  <si>
    <t>V</t>
  </si>
  <si>
    <t>Nb</t>
  </si>
  <si>
    <t>Ta</t>
  </si>
  <si>
    <t>Delta_E (keV)</t>
  </si>
  <si>
    <t>K * E_0</t>
  </si>
  <si>
    <t>[S] (eV/nm)</t>
  </si>
  <si>
    <t>x (nm)</t>
  </si>
  <si>
    <t>(dE/dx)_in [E_0] (MeV cm^2 / g)</t>
  </si>
  <si>
    <t>Pb</t>
  </si>
  <si>
    <t>g/cm^3</t>
  </si>
  <si>
    <t>(dE/dx)_out [K * E_0] (MeV cm^2 / g)</t>
  </si>
  <si>
    <t>Pb channel in</t>
  </si>
  <si>
    <t>Pb channel out</t>
  </si>
  <si>
    <t>Back Energy (keV) [K * E0]</t>
  </si>
  <si>
    <t>(dE/dx)_in [E_0] (eV/nm)</t>
  </si>
  <si>
    <t>(dE/dx)_out [K * E_0] (eV/nm)</t>
  </si>
  <si>
    <t>Kinematic factor [K]</t>
  </si>
  <si>
    <t xml:space="preserve">Pb density = </t>
  </si>
  <si>
    <t>O channel in</t>
  </si>
  <si>
    <t>O channel out</t>
  </si>
  <si>
    <t>C channel in</t>
  </si>
  <si>
    <t>C channel out</t>
  </si>
  <si>
    <t>21 mm</t>
  </si>
  <si>
    <t>23 mm</t>
  </si>
  <si>
    <t>25 mm</t>
  </si>
  <si>
    <t>27 mm</t>
  </si>
  <si>
    <t>Traget 3</t>
  </si>
  <si>
    <t>55 mm</t>
  </si>
  <si>
    <t>57 mm</t>
  </si>
  <si>
    <t>Target 4</t>
  </si>
  <si>
    <t>65 mm</t>
  </si>
  <si>
    <t>66 mm</t>
  </si>
  <si>
    <t>nm</t>
  </si>
  <si>
    <t>+-</t>
  </si>
  <si>
    <t>mg/cm2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</si>
</sst>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2" x14ac:knownFonts="1"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C00000"/>
      <name val="Calibri"/>
      <family val="2"/>
      <charset val="1"/>
    </font>
    <font>
      <b/>
      <sz val="11"/>
      <color rgb="FF0070C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charset val="1"/>
    </font>
  </fonts>
  <fills count="31">
    <fill>
      <patternFill patternType="none"/>
    </fill>
    <fill>
      <patternFill patternType="gray125"/>
    </fill>
    <fill>
      <patternFill patternType="solid">
        <fgColor rgb="FFFFFF00"/>
        <bgColor rgb="FFFFC000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9D9D9"/>
      </patternFill>
    </fill>
    <fill>
      <patternFill patternType="solid">
        <fgColor rgb="FFD0CEC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DD7EE"/>
      </patternFill>
    </fill>
    <fill>
      <patternFill patternType="solid">
        <fgColor rgb="FFDAE3F3"/>
        <bgColor rgb="FFDEEBF7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AE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7BC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rgb="FFFFBDDE"/>
        <bgColor rgb="FFDAE3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15" borderId="3" xfId="0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20" borderId="13" xfId="0" applyFill="1" applyBorder="1" applyAlignment="1">
      <alignment horizontal="center" vertical="center" wrapText="1"/>
    </xf>
    <xf numFmtId="2" fontId="0" fillId="20" borderId="13" xfId="0" applyNumberFormat="1" applyFill="1" applyBorder="1" applyAlignment="1">
      <alignment horizontal="center" vertical="center" wrapText="1"/>
    </xf>
    <xf numFmtId="0" fontId="0" fillId="20" borderId="15" xfId="0" applyFill="1" applyBorder="1" applyAlignment="1">
      <alignment horizontal="center" vertical="center" wrapText="1"/>
    </xf>
    <xf numFmtId="2" fontId="0" fillId="20" borderId="15" xfId="0" applyNumberFormat="1" applyFill="1" applyBorder="1" applyAlignment="1">
      <alignment horizontal="center" vertical="center" wrapText="1"/>
    </xf>
    <xf numFmtId="166" fontId="0" fillId="20" borderId="13" xfId="0" applyNumberFormat="1" applyFill="1" applyBorder="1" applyAlignment="1">
      <alignment horizontal="center" vertical="center" wrapText="1"/>
    </xf>
    <xf numFmtId="1" fontId="0" fillId="20" borderId="13" xfId="0" applyNumberForma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right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19" borderId="11" xfId="0" applyFill="1" applyBorder="1" applyAlignment="1">
      <alignment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3" borderId="9" xfId="0" applyFont="1" applyFill="1" applyBorder="1" applyAlignment="1">
      <alignment horizontal="center" vertical="center" wrapText="1"/>
    </xf>
    <xf numFmtId="166" fontId="0" fillId="20" borderId="15" xfId="0" applyNumberFormat="1" applyFill="1" applyBorder="1" applyAlignment="1">
      <alignment horizontal="center" vertical="center" wrapText="1"/>
    </xf>
    <xf numFmtId="1" fontId="0" fillId="20" borderId="15" xfId="0" applyNumberFormat="1" applyFill="1" applyBorder="1" applyAlignment="1">
      <alignment horizontal="center" vertical="center" wrapText="1"/>
    </xf>
    <xf numFmtId="1" fontId="2" fillId="20" borderId="21" xfId="0" applyNumberFormat="1" applyFont="1" applyFill="1" applyBorder="1" applyAlignment="1">
      <alignment horizontal="center" vertical="center" wrapText="1"/>
    </xf>
    <xf numFmtId="1" fontId="2" fillId="20" borderId="22" xfId="0" applyNumberFormat="1" applyFont="1" applyFill="1" applyBorder="1" applyAlignment="1">
      <alignment horizontal="center" vertical="center" wrapText="1"/>
    </xf>
    <xf numFmtId="0" fontId="0" fillId="20" borderId="23" xfId="0" applyFill="1" applyBorder="1" applyAlignment="1">
      <alignment horizontal="center" vertical="center" wrapText="1"/>
    </xf>
    <xf numFmtId="0" fontId="5" fillId="17" borderId="24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0" fillId="20" borderId="26" xfId="0" applyFill="1" applyBorder="1" applyAlignment="1">
      <alignment horizontal="center" vertical="center" wrapText="1"/>
    </xf>
    <xf numFmtId="2" fontId="0" fillId="20" borderId="26" xfId="0" applyNumberFormat="1" applyFill="1" applyBorder="1" applyAlignment="1">
      <alignment horizontal="center" vertical="center" wrapText="1"/>
    </xf>
    <xf numFmtId="164" fontId="0" fillId="20" borderId="27" xfId="0" applyNumberFormat="1" applyFill="1" applyBorder="1" applyAlignment="1">
      <alignment horizontal="center" vertical="center" wrapText="1"/>
    </xf>
    <xf numFmtId="1" fontId="2" fillId="20" borderId="28" xfId="0" applyNumberFormat="1" applyFont="1" applyFill="1" applyBorder="1" applyAlignment="1">
      <alignment horizontal="center" vertical="center" wrapText="1"/>
    </xf>
    <xf numFmtId="0" fontId="5" fillId="16" borderId="2" xfId="0" applyFont="1" applyFill="1" applyBorder="1" applyAlignment="1">
      <alignment horizontal="center" vertical="center" wrapText="1"/>
    </xf>
    <xf numFmtId="0" fontId="5" fillId="16" borderId="29" xfId="0" applyFont="1" applyFill="1" applyBorder="1" applyAlignment="1">
      <alignment horizontal="center" vertical="center" wrapText="1"/>
    </xf>
    <xf numFmtId="0" fontId="5" fillId="16" borderId="20" xfId="0" applyFont="1" applyFill="1" applyBorder="1" applyAlignment="1">
      <alignment horizontal="center" vertical="center" wrapText="1"/>
    </xf>
    <xf numFmtId="0" fontId="0" fillId="20" borderId="30" xfId="0" applyFill="1" applyBorder="1" applyAlignment="1">
      <alignment horizontal="center" vertical="center" wrapText="1"/>
    </xf>
    <xf numFmtId="0" fontId="0" fillId="20" borderId="14" xfId="0" applyFill="1" applyBorder="1" applyAlignment="1">
      <alignment horizontal="center" vertical="center" wrapText="1"/>
    </xf>
    <xf numFmtId="0" fontId="5" fillId="17" borderId="31" xfId="0" applyFont="1" applyFill="1" applyBorder="1" applyAlignment="1">
      <alignment horizontal="center" vertical="center" wrapText="1"/>
    </xf>
    <xf numFmtId="166" fontId="0" fillId="20" borderId="26" xfId="0" applyNumberFormat="1" applyFill="1" applyBorder="1" applyAlignment="1">
      <alignment horizontal="center" vertical="center" wrapText="1"/>
    </xf>
    <xf numFmtId="1" fontId="0" fillId="20" borderId="26" xfId="0" applyNumberFormat="1" applyFill="1" applyBorder="1" applyAlignment="1">
      <alignment horizontal="center" vertical="center" wrapText="1"/>
    </xf>
    <xf numFmtId="0" fontId="0" fillId="20" borderId="0" xfId="0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0" fillId="19" borderId="9" xfId="0" applyFill="1" applyBorder="1" applyAlignment="1">
      <alignment horizontal="center" vertical="center" wrapText="1"/>
    </xf>
    <xf numFmtId="0" fontId="0" fillId="19" borderId="11" xfId="0" applyFill="1" applyBorder="1" applyAlignment="1">
      <alignment horizontal="center" vertical="center" wrapText="1"/>
    </xf>
    <xf numFmtId="0" fontId="0" fillId="17" borderId="19" xfId="0" applyFill="1" applyBorder="1" applyAlignment="1">
      <alignment horizontal="center" vertical="center" wrapText="1"/>
    </xf>
    <xf numFmtId="165" fontId="0" fillId="18" borderId="19" xfId="0" applyNumberFormat="1" applyFill="1" applyBorder="1" applyAlignment="1">
      <alignment horizontal="center" vertical="center" wrapText="1"/>
    </xf>
    <xf numFmtId="2" fontId="0" fillId="18" borderId="19" xfId="0" applyNumberFormat="1" applyFill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0" fontId="5" fillId="17" borderId="12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164" fontId="3" fillId="8" borderId="0" xfId="0" applyNumberFormat="1" applyFont="1" applyFill="1" applyBorder="1" applyAlignment="1">
      <alignment horizontal="center" vertical="center" wrapText="1"/>
    </xf>
    <xf numFmtId="165" fontId="0" fillId="6" borderId="0" xfId="0" applyNumberFormat="1" applyFill="1" applyBorder="1" applyAlignment="1">
      <alignment horizontal="center" vertical="center" wrapText="1"/>
    </xf>
    <xf numFmtId="2" fontId="0" fillId="8" borderId="0" xfId="0" applyNumberForma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164" fontId="0" fillId="10" borderId="0" xfId="0" applyNumberFormat="1" applyFill="1" applyBorder="1" applyAlignment="1">
      <alignment horizontal="center" vertical="center" wrapText="1"/>
    </xf>
    <xf numFmtId="2" fontId="0" fillId="10" borderId="0" xfId="0" applyNumberFormat="1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164" fontId="0" fillId="12" borderId="0" xfId="0" applyNumberFormat="1" applyFill="1" applyBorder="1" applyAlignment="1">
      <alignment horizontal="center" vertical="center" wrapText="1"/>
    </xf>
    <xf numFmtId="2" fontId="0" fillId="12" borderId="0" xfId="0" applyNumberFormat="1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14" borderId="10" xfId="0" applyFill="1" applyBorder="1" applyAlignment="1">
      <alignment horizontal="center" vertical="center" wrapText="1"/>
    </xf>
    <xf numFmtId="164" fontId="0" fillId="14" borderId="10" xfId="0" applyNumberFormat="1" applyFill="1" applyBorder="1" applyAlignment="1">
      <alignment horizontal="center" vertical="center" wrapText="1"/>
    </xf>
    <xf numFmtId="165" fontId="0" fillId="6" borderId="10" xfId="0" applyNumberFormat="1" applyFill="1" applyBorder="1" applyAlignment="1">
      <alignment horizontal="center" vertical="center" wrapText="1"/>
    </xf>
    <xf numFmtId="2" fontId="0" fillId="14" borderId="10" xfId="0" applyNumberFormat="1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164" fontId="0" fillId="6" borderId="0" xfId="0" applyNumberFormat="1" applyFill="1" applyBorder="1" applyAlignment="1">
      <alignment horizontal="center" vertical="center" wrapText="1"/>
    </xf>
    <xf numFmtId="2" fontId="0" fillId="6" borderId="0" xfId="0" applyNumberFormat="1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0" fillId="20" borderId="0" xfId="0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2" borderId="2" xfId="0" applyFont="1" applyFill="1" applyBorder="1" applyAlignment="1">
      <alignment horizontal="center" vertical="center" wrapText="1"/>
    </xf>
    <xf numFmtId="0" fontId="5" fillId="22" borderId="29" xfId="0" applyFont="1" applyFill="1" applyBorder="1" applyAlignment="1">
      <alignment horizontal="center" vertical="center" wrapText="1"/>
    </xf>
    <xf numFmtId="0" fontId="5" fillId="22" borderId="20" xfId="0" applyFont="1" applyFill="1" applyBorder="1" applyAlignment="1">
      <alignment horizontal="center" vertical="center" wrapText="1"/>
    </xf>
    <xf numFmtId="0" fontId="5" fillId="21" borderId="24" xfId="0" applyFont="1" applyFill="1" applyBorder="1" applyAlignment="1">
      <alignment horizontal="center" vertical="center" wrapText="1"/>
    </xf>
    <xf numFmtId="0" fontId="5" fillId="21" borderId="31" xfId="0" applyFont="1" applyFill="1" applyBorder="1" applyAlignment="1">
      <alignment horizontal="center" vertical="center" wrapText="1"/>
    </xf>
    <xf numFmtId="0" fontId="5" fillId="21" borderId="25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 wrapText="1"/>
    </xf>
    <xf numFmtId="0" fontId="5" fillId="24" borderId="2" xfId="0" applyFont="1" applyFill="1" applyBorder="1" applyAlignment="1">
      <alignment horizontal="center" vertical="center" wrapText="1"/>
    </xf>
    <xf numFmtId="0" fontId="5" fillId="24" borderId="29" xfId="0" applyFont="1" applyFill="1" applyBorder="1" applyAlignment="1">
      <alignment horizontal="center" vertical="center" wrapText="1"/>
    </xf>
    <xf numFmtId="0" fontId="5" fillId="24" borderId="20" xfId="0" applyFont="1" applyFill="1" applyBorder="1" applyAlignment="1">
      <alignment horizontal="center" vertical="center" wrapText="1"/>
    </xf>
    <xf numFmtId="0" fontId="5" fillId="23" borderId="24" xfId="0" applyFont="1" applyFill="1" applyBorder="1" applyAlignment="1">
      <alignment horizontal="center" vertical="center" wrapText="1"/>
    </xf>
    <xf numFmtId="0" fontId="5" fillId="23" borderId="31" xfId="0" applyFont="1" applyFill="1" applyBorder="1" applyAlignment="1">
      <alignment horizontal="center" vertical="center" wrapText="1"/>
    </xf>
    <xf numFmtId="0" fontId="5" fillId="23" borderId="25" xfId="0" applyFont="1" applyFill="1" applyBorder="1" applyAlignment="1">
      <alignment horizontal="center" vertical="center" wrapText="1"/>
    </xf>
    <xf numFmtId="0" fontId="3" fillId="20" borderId="23" xfId="0" applyFont="1" applyFill="1" applyBorder="1" applyAlignment="1">
      <alignment horizontal="center" vertical="center" wrapText="1"/>
    </xf>
    <xf numFmtId="0" fontId="3" fillId="20" borderId="15" xfId="0" applyFont="1" applyFill="1" applyBorder="1" applyAlignment="1">
      <alignment horizontal="center" vertical="center" wrapText="1"/>
    </xf>
    <xf numFmtId="0" fontId="7" fillId="25" borderId="23" xfId="0" applyFont="1" applyFill="1" applyBorder="1" applyAlignment="1">
      <alignment horizontal="center" vertical="center" wrapText="1"/>
    </xf>
    <xf numFmtId="0" fontId="7" fillId="25" borderId="15" xfId="0" applyFont="1" applyFill="1" applyBorder="1" applyAlignment="1">
      <alignment horizontal="center" vertical="center" wrapText="1"/>
    </xf>
    <xf numFmtId="0" fontId="0" fillId="25" borderId="30" xfId="0" applyFill="1" applyBorder="1" applyAlignment="1">
      <alignment horizontal="center" vertical="center" wrapText="1"/>
    </xf>
    <xf numFmtId="0" fontId="0" fillId="25" borderId="26" xfId="0" applyFill="1" applyBorder="1" applyAlignment="1">
      <alignment horizontal="center" vertical="center" wrapText="1"/>
    </xf>
    <xf numFmtId="1" fontId="2" fillId="25" borderId="28" xfId="0" applyNumberFormat="1" applyFont="1" applyFill="1" applyBorder="1" applyAlignment="1">
      <alignment horizontal="center" vertical="center" wrapText="1"/>
    </xf>
    <xf numFmtId="1" fontId="2" fillId="25" borderId="22" xfId="0" applyNumberFormat="1" applyFont="1" applyFill="1" applyBorder="1" applyAlignment="1">
      <alignment horizontal="center" vertical="center" wrapText="1"/>
    </xf>
    <xf numFmtId="0" fontId="0" fillId="20" borderId="32" xfId="0" applyFill="1" applyBorder="1" applyAlignment="1">
      <alignment horizontal="center" vertical="center" wrapText="1"/>
    </xf>
    <xf numFmtId="0" fontId="9" fillId="16" borderId="12" xfId="0" applyFont="1" applyFill="1" applyBorder="1" applyAlignment="1">
      <alignment horizontal="center" vertical="center" wrapText="1"/>
    </xf>
    <xf numFmtId="0" fontId="9" fillId="22" borderId="12" xfId="0" applyFont="1" applyFill="1" applyBorder="1" applyAlignment="1">
      <alignment horizontal="center" vertical="center" wrapText="1"/>
    </xf>
    <xf numFmtId="0" fontId="9" fillId="24" borderId="12" xfId="0" applyFont="1" applyFill="1" applyBorder="1" applyAlignment="1">
      <alignment horizontal="center" vertical="center" wrapText="1"/>
    </xf>
    <xf numFmtId="1" fontId="0" fillId="20" borderId="27" xfId="0" applyNumberFormat="1" applyFill="1" applyBorder="1" applyAlignment="1">
      <alignment horizontal="center" vertical="center" wrapText="1"/>
    </xf>
    <xf numFmtId="1" fontId="0" fillId="20" borderId="33" xfId="0" applyNumberFormat="1" applyFill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/>
    </xf>
    <xf numFmtId="165" fontId="0" fillId="8" borderId="0" xfId="0" applyNumberFormat="1" applyFill="1" applyBorder="1" applyAlignment="1">
      <alignment horizontal="center" vertical="center" wrapText="1"/>
    </xf>
    <xf numFmtId="165" fontId="0" fillId="10" borderId="0" xfId="0" applyNumberFormat="1" applyFill="1" applyBorder="1" applyAlignment="1">
      <alignment horizontal="center" vertical="center" wrapText="1"/>
    </xf>
    <xf numFmtId="165" fontId="0" fillId="12" borderId="0" xfId="0" applyNumberFormat="1" applyFill="1" applyBorder="1" applyAlignment="1">
      <alignment horizontal="center" vertical="center" wrapText="1"/>
    </xf>
    <xf numFmtId="165" fontId="0" fillId="14" borderId="10" xfId="0" applyNumberForma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/>
    <xf numFmtId="0" fontId="0" fillId="0" borderId="8" xfId="0" applyBorder="1"/>
    <xf numFmtId="0" fontId="0" fillId="0" borderId="7" xfId="0" applyBorder="1" applyAlignment="1">
      <alignment horizontal="center" vertical="center" wrapText="1"/>
    </xf>
    <xf numFmtId="0" fontId="0" fillId="0" borderId="11" xfId="0" applyBorder="1"/>
    <xf numFmtId="0" fontId="0" fillId="0" borderId="17" xfId="0" applyBorder="1"/>
    <xf numFmtId="0" fontId="0" fillId="0" borderId="0" xfId="0" applyBorder="1"/>
    <xf numFmtId="0" fontId="0" fillId="0" borderId="10" xfId="0" applyBorder="1"/>
    <xf numFmtId="0" fontId="2" fillId="26" borderId="19" xfId="0" quotePrefix="1" applyFont="1" applyFill="1" applyBorder="1" applyAlignment="1">
      <alignment horizontal="center" vertical="center" wrapText="1"/>
    </xf>
    <xf numFmtId="1" fontId="10" fillId="26" borderId="20" xfId="0" applyNumberFormat="1" applyFont="1" applyFill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5" fillId="17" borderId="9" xfId="0" applyFont="1" applyFill="1" applyBorder="1" applyAlignment="1">
      <alignment horizontal="center" vertical="center" wrapText="1"/>
    </xf>
    <xf numFmtId="1" fontId="2" fillId="20" borderId="11" xfId="0" applyNumberFormat="1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1" fontId="2" fillId="20" borderId="18" xfId="0" applyNumberFormat="1" applyFont="1" applyFill="1" applyBorder="1" applyAlignment="1">
      <alignment horizontal="center" vertical="center" wrapText="1"/>
    </xf>
    <xf numFmtId="0" fontId="8" fillId="16" borderId="34" xfId="0" applyFont="1" applyFill="1" applyBorder="1" applyAlignment="1">
      <alignment horizontal="center" vertical="center" wrapText="1"/>
    </xf>
    <xf numFmtId="0" fontId="8" fillId="16" borderId="35" xfId="0" applyFont="1" applyFill="1" applyBorder="1" applyAlignment="1">
      <alignment horizontal="center" vertical="center" wrapText="1"/>
    </xf>
    <xf numFmtId="0" fontId="5" fillId="16" borderId="35" xfId="0" applyFont="1" applyFill="1" applyBorder="1" applyAlignment="1">
      <alignment horizontal="center" vertical="center" wrapText="1"/>
    </xf>
    <xf numFmtId="0" fontId="5" fillId="16" borderId="36" xfId="0" applyFont="1" applyFill="1" applyBorder="1" applyAlignment="1">
      <alignment horizontal="center" vertical="center" wrapText="1"/>
    </xf>
    <xf numFmtId="166" fontId="0" fillId="20" borderId="32" xfId="0" applyNumberFormat="1" applyFill="1" applyBorder="1" applyAlignment="1">
      <alignment horizontal="center" vertical="center" wrapText="1"/>
    </xf>
    <xf numFmtId="0" fontId="0" fillId="0" borderId="9" xfId="0" applyBorder="1"/>
    <xf numFmtId="1" fontId="10" fillId="26" borderId="9" xfId="0" applyNumberFormat="1" applyFont="1" applyFill="1" applyBorder="1" applyAlignment="1">
      <alignment horizontal="center" vertical="center" wrapText="1"/>
    </xf>
    <xf numFmtId="0" fontId="0" fillId="0" borderId="7" xfId="0" applyBorder="1"/>
    <xf numFmtId="1" fontId="0" fillId="0" borderId="8" xfId="0" applyNumberFormat="1" applyBorder="1"/>
    <xf numFmtId="1" fontId="11" fillId="26" borderId="20" xfId="0" applyNumberFormat="1" applyFont="1" applyFill="1" applyBorder="1" applyAlignment="1">
      <alignment horizontal="center" vertical="center" wrapText="1"/>
    </xf>
    <xf numFmtId="0" fontId="5" fillId="16" borderId="3" xfId="0" applyFont="1" applyFill="1" applyBorder="1" applyAlignment="1">
      <alignment horizontal="center" vertical="center" wrapText="1"/>
    </xf>
    <xf numFmtId="0" fontId="5" fillId="16" borderId="12" xfId="0" applyFont="1" applyFill="1" applyBorder="1"/>
    <xf numFmtId="0" fontId="5" fillId="16" borderId="19" xfId="0" applyFont="1" applyFill="1" applyBorder="1"/>
    <xf numFmtId="0" fontId="5" fillId="16" borderId="20" xfId="0" applyFont="1" applyFill="1" applyBorder="1"/>
    <xf numFmtId="0" fontId="0" fillId="17" borderId="31" xfId="0" applyFill="1" applyBorder="1" applyAlignment="1">
      <alignment horizontal="center" vertical="center" wrapText="1"/>
    </xf>
    <xf numFmtId="0" fontId="0" fillId="17" borderId="25" xfId="0" applyFill="1" applyBorder="1" applyAlignment="1">
      <alignment horizontal="center" vertical="center" wrapText="1"/>
    </xf>
    <xf numFmtId="1" fontId="3" fillId="27" borderId="7" xfId="0" applyNumberFormat="1" applyFont="1" applyFill="1" applyBorder="1"/>
    <xf numFmtId="0" fontId="3" fillId="27" borderId="0" xfId="0" quotePrefix="1" applyFont="1" applyFill="1" applyBorder="1" applyAlignment="1">
      <alignment horizontal="center" vertical="center" wrapText="1"/>
    </xf>
    <xf numFmtId="1" fontId="3" fillId="27" borderId="8" xfId="0" applyNumberFormat="1" applyFont="1" applyFill="1" applyBorder="1" applyAlignment="1">
      <alignment horizontal="left"/>
    </xf>
    <xf numFmtId="2" fontId="3" fillId="27" borderId="0" xfId="0" applyNumberFormat="1" applyFont="1" applyFill="1" applyBorder="1"/>
    <xf numFmtId="0" fontId="3" fillId="27" borderId="0" xfId="0" quotePrefix="1" applyFont="1" applyFill="1" applyBorder="1"/>
    <xf numFmtId="2" fontId="3" fillId="27" borderId="8" xfId="0" applyNumberFormat="1" applyFont="1" applyFill="1" applyBorder="1"/>
    <xf numFmtId="1" fontId="3" fillId="27" borderId="9" xfId="0" applyNumberFormat="1" applyFont="1" applyFill="1" applyBorder="1"/>
    <xf numFmtId="0" fontId="3" fillId="27" borderId="10" xfId="0" quotePrefix="1" applyFont="1" applyFill="1" applyBorder="1" applyAlignment="1">
      <alignment horizontal="center" vertical="center" wrapText="1"/>
    </xf>
    <xf numFmtId="1" fontId="3" fillId="27" borderId="11" xfId="0" applyNumberFormat="1" applyFont="1" applyFill="1" applyBorder="1" applyAlignment="1">
      <alignment horizontal="left"/>
    </xf>
    <xf numFmtId="2" fontId="3" fillId="27" borderId="10" xfId="0" applyNumberFormat="1" applyFont="1" applyFill="1" applyBorder="1"/>
    <xf numFmtId="0" fontId="3" fillId="27" borderId="10" xfId="0" quotePrefix="1" applyFont="1" applyFill="1" applyBorder="1"/>
    <xf numFmtId="2" fontId="3" fillId="27" borderId="11" xfId="0" applyNumberFormat="1" applyFont="1" applyFill="1" applyBorder="1"/>
    <xf numFmtId="0" fontId="5" fillId="16" borderId="12" xfId="0" applyFont="1" applyFill="1" applyBorder="1" applyAlignment="1">
      <alignment vertical="center" wrapText="1"/>
    </xf>
    <xf numFmtId="0" fontId="5" fillId="16" borderId="19" xfId="0" applyFont="1" applyFill="1" applyBorder="1" applyAlignment="1">
      <alignment vertical="center" wrapText="1"/>
    </xf>
    <xf numFmtId="0" fontId="5" fillId="16" borderId="20" xfId="0" applyFont="1" applyFill="1" applyBorder="1" applyAlignment="1">
      <alignment vertical="center" wrapText="1"/>
    </xf>
    <xf numFmtId="1" fontId="3" fillId="27" borderId="7" xfId="0" applyNumberFormat="1" applyFont="1" applyFill="1" applyBorder="1" applyAlignment="1">
      <alignment vertical="center" wrapText="1"/>
    </xf>
    <xf numFmtId="1" fontId="3" fillId="27" borderId="8" xfId="0" applyNumberFormat="1" applyFont="1" applyFill="1" applyBorder="1" applyAlignment="1">
      <alignment horizontal="left" vertical="center" wrapText="1"/>
    </xf>
    <xf numFmtId="2" fontId="3" fillId="27" borderId="0" xfId="0" applyNumberFormat="1" applyFont="1" applyFill="1" applyBorder="1" applyAlignment="1">
      <alignment vertical="center" wrapText="1"/>
    </xf>
    <xf numFmtId="1" fontId="3" fillId="27" borderId="9" xfId="0" applyNumberFormat="1" applyFont="1" applyFill="1" applyBorder="1" applyAlignment="1">
      <alignment vertical="center" wrapText="1"/>
    </xf>
    <xf numFmtId="1" fontId="3" fillId="27" borderId="11" xfId="0" applyNumberFormat="1" applyFont="1" applyFill="1" applyBorder="1" applyAlignment="1">
      <alignment horizontal="left" vertical="center" wrapText="1"/>
    </xf>
    <xf numFmtId="2" fontId="3" fillId="27" borderId="10" xfId="0" applyNumberFormat="1" applyFont="1" applyFill="1" applyBorder="1" applyAlignment="1">
      <alignment vertical="center" wrapText="1"/>
    </xf>
    <xf numFmtId="2" fontId="3" fillId="27" borderId="8" xfId="0" applyNumberFormat="1" applyFont="1" applyFill="1" applyBorder="1" applyAlignment="1">
      <alignment horizontal="left" vertical="center" wrapText="1"/>
    </xf>
    <xf numFmtId="2" fontId="3" fillId="27" borderId="11" xfId="0" applyNumberFormat="1" applyFont="1" applyFill="1" applyBorder="1" applyAlignment="1">
      <alignment horizontal="left" vertical="center" wrapText="1"/>
    </xf>
    <xf numFmtId="1" fontId="10" fillId="26" borderId="9" xfId="0" applyNumberFormat="1" applyFont="1" applyFill="1" applyBorder="1"/>
    <xf numFmtId="2" fontId="0" fillId="20" borderId="32" xfId="0" applyNumberFormat="1" applyFill="1" applyBorder="1" applyAlignment="1">
      <alignment horizontal="center" vertical="center" wrapText="1"/>
    </xf>
    <xf numFmtId="0" fontId="2" fillId="0" borderId="0" xfId="0" applyFont="1"/>
    <xf numFmtId="0" fontId="2" fillId="26" borderId="0" xfId="0" applyFont="1" applyFill="1"/>
    <xf numFmtId="0" fontId="0" fillId="0" borderId="7" xfId="0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28" borderId="0" xfId="0" applyFill="1" applyBorder="1" applyAlignment="1">
      <alignment horizontal="center" vertical="center"/>
    </xf>
    <xf numFmtId="0" fontId="0" fillId="28" borderId="8" xfId="0" applyFill="1" applyBorder="1" applyAlignment="1">
      <alignment horizontal="left" vertical="center"/>
    </xf>
    <xf numFmtId="0" fontId="0" fillId="19" borderId="7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8" xfId="0" applyFill="1" applyBorder="1" applyAlignment="1">
      <alignment horizontal="left" vertical="center"/>
    </xf>
    <xf numFmtId="0" fontId="0" fillId="28" borderId="0" xfId="0" applyFont="1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0" xfId="0" applyFill="1" applyBorder="1" applyAlignment="1">
      <alignment horizontal="center" vertical="center"/>
    </xf>
    <xf numFmtId="0" fontId="0" fillId="23" borderId="8" xfId="0" applyFill="1" applyBorder="1" applyAlignment="1">
      <alignment horizontal="left" vertical="center"/>
    </xf>
    <xf numFmtId="0" fontId="0" fillId="23" borderId="0" xfId="0" applyFont="1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0" fillId="29" borderId="0" xfId="0" applyFill="1" applyBorder="1" applyAlignment="1">
      <alignment horizontal="center" vertical="center"/>
    </xf>
    <xf numFmtId="0" fontId="0" fillId="29" borderId="8" xfId="0" applyFill="1" applyBorder="1" applyAlignment="1">
      <alignment horizontal="left" vertical="center"/>
    </xf>
    <xf numFmtId="0" fontId="0" fillId="30" borderId="7" xfId="0" applyFill="1" applyBorder="1" applyAlignment="1">
      <alignment horizontal="center" vertical="center"/>
    </xf>
    <xf numFmtId="0" fontId="0" fillId="30" borderId="0" xfId="0" applyFill="1" applyBorder="1" applyAlignment="1">
      <alignment horizontal="center" vertical="center"/>
    </xf>
    <xf numFmtId="0" fontId="0" fillId="30" borderId="8" xfId="0" applyFill="1" applyBorder="1" applyAlignment="1">
      <alignment horizontal="left" vertical="center"/>
    </xf>
    <xf numFmtId="0" fontId="0" fillId="30" borderId="9" xfId="0" applyFill="1" applyBorder="1" applyAlignment="1">
      <alignment horizontal="center" vertical="center"/>
    </xf>
    <xf numFmtId="0" fontId="0" fillId="30" borderId="10" xfId="0" applyFill="1" applyBorder="1" applyAlignment="1">
      <alignment horizontal="center" vertical="center"/>
    </xf>
    <xf numFmtId="0" fontId="0" fillId="30" borderId="11" xfId="0" applyFill="1" applyBorder="1" applyAlignment="1">
      <alignment horizontal="left" vertical="center"/>
    </xf>
    <xf numFmtId="0" fontId="2" fillId="26" borderId="8" xfId="0" applyFont="1" applyFill="1" applyBorder="1" applyAlignment="1">
      <alignment horizontal="center" vertical="center"/>
    </xf>
    <xf numFmtId="0" fontId="0" fillId="30" borderId="16" xfId="0" applyFill="1" applyBorder="1" applyAlignment="1">
      <alignment horizontal="center" vertical="center"/>
    </xf>
    <xf numFmtId="0" fontId="0" fillId="30" borderId="17" xfId="0" applyFill="1" applyBorder="1" applyAlignment="1">
      <alignment horizontal="center" vertical="center"/>
    </xf>
    <xf numFmtId="0" fontId="0" fillId="30" borderId="18" xfId="0" applyFill="1" applyBorder="1" applyAlignment="1">
      <alignment horizontal="left" vertical="center"/>
    </xf>
    <xf numFmtId="0" fontId="0" fillId="3" borderId="2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9D9D9"/>
      <rgbColor rgb="FFD0CECE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BFF"/>
      <color rgb="FFFFCCFF"/>
      <color rgb="FFFFBDDE"/>
      <color rgb="FFFF97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6.128398982650083E-2"/>
                  <c:y val="-0.184779397621406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2,3657x + 97,266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>
                  <a:solidFill>
                    <a:sysClr val="windowText" lastClr="000000"/>
                  </a:solidFill>
                </a:ln>
              </c:spPr>
            </c:trendlineLbl>
          </c:trendline>
          <c:xVal>
            <c:numRef>
              <c:f>'Ta-Nb-V Calib - RBS1 - Alfa'!$I$2:$I$6</c:f>
              <c:numCache>
                <c:formatCode>General</c:formatCode>
                <c:ptCount val="5"/>
                <c:pt idx="0">
                  <c:v>269</c:v>
                </c:pt>
                <c:pt idx="1">
                  <c:v>437</c:v>
                </c:pt>
                <c:pt idx="2">
                  <c:v>582</c:v>
                </c:pt>
                <c:pt idx="3">
                  <c:v>673</c:v>
                </c:pt>
                <c:pt idx="4">
                  <c:v>732.5</c:v>
                </c:pt>
              </c:numCache>
            </c:numRef>
          </c:xVal>
          <c:yVal>
            <c:numRef>
              <c:f>'Ta-Nb-V Calib - RBS1 - Alfa'!$H$2:$H$6</c:f>
              <c:numCache>
                <c:formatCode>0.00</c:formatCode>
                <c:ptCount val="5"/>
                <c:pt idx="0">
                  <c:v>731.8374061402385</c:v>
                </c:pt>
                <c:pt idx="1">
                  <c:v>1137.560513518911</c:v>
                </c:pt>
                <c:pt idx="2">
                  <c:v>1467.5088098187048</c:v>
                </c:pt>
                <c:pt idx="3">
                  <c:v>1688.1740454726353</c:v>
                </c:pt>
                <c:pt idx="4">
                  <c:v>1833.3786173248545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855712"/>
        <c:axId val="-1936853536"/>
      </c:scatterChart>
      <c:valAx>
        <c:axId val="-1936855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936853536"/>
        <c:crosses val="autoZero"/>
        <c:crossBetween val="midCat"/>
      </c:valAx>
      <c:valAx>
        <c:axId val="-19368535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9368557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 signal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('Ta-Nb-V Calib - RBS1 - Alfa'!$T$16,'Ta-Nb-V Calib - RBS1 - Alfa'!$T$21,'Ta-Nb-V Calib - RBS1 - Alfa'!$T$26)</c:f>
                <c:numCache>
                  <c:formatCode>General</c:formatCode>
                  <c:ptCount val="3"/>
                  <c:pt idx="0">
                    <c:v>5.6557582075056931</c:v>
                  </c:pt>
                  <c:pt idx="1">
                    <c:v>102.08338453430493</c:v>
                  </c:pt>
                  <c:pt idx="2">
                    <c:v>112.73713219624436</c:v>
                  </c:pt>
                </c:numCache>
              </c:numRef>
            </c:plus>
            <c:minus>
              <c:numRef>
                <c:f>('Ta-Nb-V Calib - RBS1 - Alfa'!$T$16,'Ta-Nb-V Calib - RBS1 - Alfa'!$T$21,'Ta-Nb-V Calib - RBS1 - Alfa'!$T$26)</c:f>
                <c:numCache>
                  <c:formatCode>General</c:formatCode>
                  <c:ptCount val="3"/>
                  <c:pt idx="0">
                    <c:v>5.6557582075056931</c:v>
                  </c:pt>
                  <c:pt idx="1">
                    <c:v>102.08338453430493</c:v>
                  </c:pt>
                  <c:pt idx="2">
                    <c:v>112.73713219624436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('Ta-Nb-V Calib - RBS1 - Alfa'!$I$11,'Ta-Nb-V Calib - RBS1 - Alfa'!$I$18,'Ta-Nb-V Calib - RBS1 - Alfa'!$I$23)</c:f>
              <c:strCache>
                <c:ptCount val="3"/>
                <c:pt idx="0">
                  <c:v>Target 1</c:v>
                </c:pt>
                <c:pt idx="1">
                  <c:v>Traget 3</c:v>
                </c:pt>
                <c:pt idx="2">
                  <c:v>Target 4</c:v>
                </c:pt>
              </c:strCache>
            </c:strRef>
          </c:xVal>
          <c:yVal>
            <c:numRef>
              <c:f>('Ta-Nb-V Calib - RBS1 - Alfa'!$R$16,'Ta-Nb-V Calib - RBS1 - Alfa'!$R$21,'Ta-Nb-V Calib - RBS1 - Alfa'!$R$26)</c:f>
              <c:numCache>
                <c:formatCode>0</c:formatCode>
                <c:ptCount val="3"/>
                <c:pt idx="0">
                  <c:v>445.02250452557303</c:v>
                </c:pt>
                <c:pt idx="1">
                  <c:v>472.20270798987104</c:v>
                </c:pt>
                <c:pt idx="2">
                  <c:v>392.49970313807751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848640"/>
        <c:axId val="-1936858976"/>
      </c:scatterChart>
      <c:valAx>
        <c:axId val="-19368486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Target 1   </a:t>
                </a:r>
                <a:r>
                  <a:rPr lang="pt-PT" sz="1200" b="1" baseline="0"/>
                  <a:t>           </a:t>
                </a:r>
                <a:r>
                  <a:rPr lang="pt-PT" sz="1200" b="1"/>
                  <a:t>  Target 3                              Target 4</a:t>
                </a:r>
              </a:p>
            </c:rich>
          </c:tx>
          <c:layout>
            <c:manualLayout>
              <c:xMode val="edge"/>
              <c:yMode val="edge"/>
              <c:x val="0.27238079615048116"/>
              <c:y val="0.89268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crossAx val="-1936858976"/>
        <c:crosses val="autoZero"/>
        <c:crossBetween val="midCat"/>
      </c:valAx>
      <c:valAx>
        <c:axId val="-19368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Thickness</a:t>
                </a:r>
                <a:r>
                  <a:rPr lang="pt-PT" sz="1400" b="1" baseline="0"/>
                  <a:t> (nm)</a:t>
                </a:r>
                <a:endParaRPr lang="pt-PT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3684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6.940884889990416E-2"/>
                  <c:y val="-0.21896777612043217"/>
                </c:manualLayout>
              </c:layout>
              <c:tx>
                <c:rich>
                  <a:bodyPr/>
                  <a:lstStyle/>
                  <a:p>
                    <a:pPr>
                      <a:defRPr sz="1100"/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2,381x + 62,245</a:t>
                    </a:r>
                    <a:r>
                      <a:rPr lang="en-US" sz="1100" baseline="0"/>
                      <a:t/>
                    </a:r>
                    <a:br>
                      <a:rPr lang="en-US" sz="1100" baseline="0"/>
                    </a:br>
                    <a:r>
                      <a:rPr lang="en-US" sz="1100" baseline="0"/>
                      <a:t>R² = 0,9992</a:t>
                    </a:r>
                    <a:endParaRPr lang="en-US" sz="1100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>
                  <a:solidFill>
                    <a:sysClr val="windowText" lastClr="000000"/>
                  </a:solidFill>
                </a:ln>
              </c:spPr>
            </c:trendlineLbl>
          </c:trendline>
          <c:xVal>
            <c:numRef>
              <c:f>'Ta-Nb-V Calib - RBS1 - Protoes'!$H$4:$H$8</c:f>
              <c:numCache>
                <c:formatCode>General</c:formatCode>
                <c:ptCount val="5"/>
                <c:pt idx="0">
                  <c:v>632</c:v>
                </c:pt>
                <c:pt idx="1">
                  <c:v>701</c:v>
                </c:pt>
                <c:pt idx="2">
                  <c:v>753</c:v>
                </c:pt>
                <c:pt idx="3">
                  <c:v>779</c:v>
                </c:pt>
                <c:pt idx="4">
                  <c:v>796</c:v>
                </c:pt>
              </c:numCache>
            </c:numRef>
          </c:xVal>
          <c:yVal>
            <c:numRef>
              <c:f>'Ta-Nb-V Calib - RBS1 - Protoes'!$G$4:$G$8</c:f>
              <c:numCache>
                <c:formatCode>0.00</c:formatCode>
                <c:ptCount val="5"/>
                <c:pt idx="0">
                  <c:v>1563.7159776396684</c:v>
                </c:pt>
                <c:pt idx="1">
                  <c:v>1738.6148261306816</c:v>
                </c:pt>
                <c:pt idx="2">
                  <c:v>1851.4223731335767</c:v>
                </c:pt>
                <c:pt idx="3">
                  <c:v>1917.1213586935332</c:v>
                </c:pt>
                <c:pt idx="4">
                  <c:v>1957.0104259791678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850272"/>
        <c:axId val="-1936863328"/>
      </c:scatterChart>
      <c:valAx>
        <c:axId val="-19368502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936863328"/>
        <c:crosses val="autoZero"/>
        <c:crossBetween val="midCat"/>
      </c:valAx>
      <c:valAx>
        <c:axId val="-19368633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9368502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 signal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('Ta-Nb-V Calib - RBS1 - Protoes'!$V$15,'Ta-Nb-V Calib - RBS1 - Protoes'!$V$20,'Ta-Nb-V Calib - RBS1 - Protoes'!$V$25)</c:f>
                <c:numCache>
                  <c:formatCode>General</c:formatCode>
                  <c:ptCount val="3"/>
                  <c:pt idx="0">
                    <c:v>32.381154899971555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('Ta-Nb-V Calib - RBS1 - Protoes'!$V$15,'Ta-Nb-V Calib - RBS1 - Protoes'!$V$20,'Ta-Nb-V Calib - RBS1 - Protoes'!$V$25)</c:f>
                <c:numCache>
                  <c:formatCode>General</c:formatCode>
                  <c:ptCount val="3"/>
                  <c:pt idx="0">
                    <c:v>32.381154899971555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('Ta-Nb-V Calib - RBS1 - Alfa'!$I$11,'Ta-Nb-V Calib - RBS1 - Alfa'!$I$18,'Ta-Nb-V Calib - RBS1 - Alfa'!$I$23)</c:f>
              <c:strCache>
                <c:ptCount val="3"/>
                <c:pt idx="0">
                  <c:v>Target 1</c:v>
                </c:pt>
                <c:pt idx="1">
                  <c:v>Traget 3</c:v>
                </c:pt>
                <c:pt idx="2">
                  <c:v>Target 4</c:v>
                </c:pt>
              </c:strCache>
            </c:strRef>
          </c:xVal>
          <c:yVal>
            <c:numRef>
              <c:f>('Ta-Nb-V Calib - RBS1 - Alfa'!$R$16,'Ta-Nb-V Calib - RBS1 - Alfa'!$R$21,'Ta-Nb-V Calib - RBS1 - Alfa'!$R$26)</c:f>
              <c:numCache>
                <c:formatCode>0</c:formatCode>
                <c:ptCount val="3"/>
                <c:pt idx="0">
                  <c:v>445.02250452557303</c:v>
                </c:pt>
                <c:pt idx="1">
                  <c:v>472.20270798987104</c:v>
                </c:pt>
                <c:pt idx="2">
                  <c:v>392.49970313807751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858432"/>
        <c:axId val="-1936857888"/>
      </c:scatterChart>
      <c:valAx>
        <c:axId val="-1936858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Target 1   </a:t>
                </a:r>
                <a:r>
                  <a:rPr lang="pt-PT" sz="1200" b="1" baseline="0"/>
                  <a:t>           </a:t>
                </a:r>
                <a:r>
                  <a:rPr lang="pt-PT" sz="1200" b="1"/>
                  <a:t>  Target 3                              Target 4</a:t>
                </a:r>
              </a:p>
            </c:rich>
          </c:tx>
          <c:layout>
            <c:manualLayout>
              <c:xMode val="edge"/>
              <c:yMode val="edge"/>
              <c:x val="0.27238079615048116"/>
              <c:y val="0.89268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crossAx val="-1936857888"/>
        <c:crosses val="autoZero"/>
        <c:crossBetween val="midCat"/>
      </c:valAx>
      <c:valAx>
        <c:axId val="-19368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Thickness</a:t>
                </a:r>
                <a:r>
                  <a:rPr lang="pt-PT" sz="1400" b="1" baseline="0"/>
                  <a:t> (nm)</a:t>
                </a:r>
                <a:endParaRPr lang="pt-PT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93685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19300</xdr:rowOff>
    </xdr:from>
    <xdr:to>
      <xdr:col>7</xdr:col>
      <xdr:colOff>806210</xdr:colOff>
      <xdr:row>27</xdr:row>
      <xdr:rowOff>95010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47625</xdr:colOff>
      <xdr:row>24</xdr:row>
      <xdr:rowOff>231775</xdr:rowOff>
    </xdr:from>
    <xdr:to>
      <xdr:col>5</xdr:col>
      <xdr:colOff>425560</xdr:colOff>
      <xdr:row>30</xdr:row>
      <xdr:rowOff>28175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rcRect l="9753" t="11419" r="11554" b="9487"/>
        <a:stretch/>
      </xdr:blipFill>
      <xdr:spPr>
        <a:xfrm>
          <a:off x="47625" y="6823075"/>
          <a:ext cx="2797285" cy="13870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20</xdr:col>
      <xdr:colOff>304800</xdr:colOff>
      <xdr:row>27</xdr:row>
      <xdr:rowOff>0</xdr:rowOff>
    </xdr:from>
    <xdr:to>
      <xdr:col>27</xdr:col>
      <xdr:colOff>238125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3580</xdr:colOff>
      <xdr:row>10</xdr:row>
      <xdr:rowOff>12950</xdr:rowOff>
    </xdr:from>
    <xdr:to>
      <xdr:col>8</xdr:col>
      <xdr:colOff>9690</xdr:colOff>
      <xdr:row>26</xdr:row>
      <xdr:rowOff>95010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29</xdr:col>
      <xdr:colOff>1085850</xdr:colOff>
      <xdr:row>36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Normal="100" workbookViewId="0">
      <selection activeCell="K13" sqref="K13"/>
    </sheetView>
  </sheetViews>
  <sheetFormatPr defaultColWidth="8.5703125" defaultRowHeight="15" x14ac:dyDescent="0.25"/>
  <cols>
    <col min="1" max="1" width="8.28515625" customWidth="1"/>
    <col min="2" max="2" width="4.140625" customWidth="1"/>
    <col min="3" max="3" width="20" customWidth="1"/>
    <col min="4" max="4" width="6.140625" bestFit="1" customWidth="1"/>
    <col min="5" max="5" width="8.7109375" customWidth="1"/>
    <col min="6" max="6" width="7.140625" bestFit="1" customWidth="1"/>
    <col min="7" max="7" width="12" bestFit="1" customWidth="1"/>
    <col min="8" max="8" width="95.140625" bestFit="1" customWidth="1"/>
    <col min="9" max="9" width="14.42578125" customWidth="1"/>
    <col min="10" max="10" width="18" customWidth="1"/>
    <col min="11" max="11" width="7.140625" customWidth="1"/>
  </cols>
  <sheetData>
    <row r="1" spans="1:12" x14ac:dyDescent="0.25">
      <c r="A1" s="179" t="s">
        <v>0</v>
      </c>
      <c r="H1" s="1" t="s">
        <v>2</v>
      </c>
    </row>
    <row r="2" spans="1:12" ht="15.75" thickBot="1" x14ac:dyDescent="0.3">
      <c r="A2" s="178" t="s">
        <v>1</v>
      </c>
    </row>
    <row r="3" spans="1:12" ht="30.75" thickBot="1" x14ac:dyDescent="0.3">
      <c r="B3" s="2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205" t="s">
        <v>9</v>
      </c>
    </row>
    <row r="4" spans="1:12" x14ac:dyDescent="0.25">
      <c r="B4" s="184">
        <v>1</v>
      </c>
      <c r="C4" s="185" t="s">
        <v>10</v>
      </c>
      <c r="D4" s="185">
        <v>0</v>
      </c>
      <c r="E4" s="185">
        <v>10</v>
      </c>
      <c r="F4" s="185">
        <v>20000</v>
      </c>
      <c r="G4" s="185" t="s">
        <v>11</v>
      </c>
      <c r="H4" s="186"/>
    </row>
    <row r="5" spans="1:12" x14ac:dyDescent="0.25">
      <c r="B5" s="181">
        <v>2</v>
      </c>
      <c r="C5" s="187" t="s">
        <v>12</v>
      </c>
      <c r="D5" s="187" t="s">
        <v>13</v>
      </c>
      <c r="E5" s="182">
        <v>21</v>
      </c>
      <c r="F5" s="182">
        <v>10000</v>
      </c>
      <c r="G5" s="182" t="s">
        <v>14</v>
      </c>
      <c r="H5" s="183" t="s">
        <v>15</v>
      </c>
    </row>
    <row r="6" spans="1:12" x14ac:dyDescent="0.25">
      <c r="B6" s="181">
        <v>3</v>
      </c>
      <c r="C6" s="182" t="s">
        <v>13</v>
      </c>
      <c r="D6" s="182" t="s">
        <v>13</v>
      </c>
      <c r="E6" s="182">
        <v>23</v>
      </c>
      <c r="F6" s="182">
        <v>10000</v>
      </c>
      <c r="G6" s="182" t="s">
        <v>14</v>
      </c>
      <c r="H6" s="183" t="s">
        <v>15</v>
      </c>
    </row>
    <row r="7" spans="1:12" x14ac:dyDescent="0.25">
      <c r="B7" s="181">
        <v>4</v>
      </c>
      <c r="C7" s="182" t="s">
        <v>13</v>
      </c>
      <c r="D7" s="182" t="s">
        <v>13</v>
      </c>
      <c r="E7" s="182">
        <v>25</v>
      </c>
      <c r="F7" s="182">
        <v>10000</v>
      </c>
      <c r="G7" s="182"/>
      <c r="H7" s="183" t="s">
        <v>15</v>
      </c>
    </row>
    <row r="8" spans="1:12" x14ac:dyDescent="0.25">
      <c r="B8" s="181">
        <v>5</v>
      </c>
      <c r="C8" s="182"/>
      <c r="D8" s="187" t="s">
        <v>13</v>
      </c>
      <c r="E8" s="182">
        <v>27</v>
      </c>
      <c r="F8" s="182">
        <v>10000</v>
      </c>
      <c r="G8" s="182"/>
      <c r="H8" s="183" t="s">
        <v>15</v>
      </c>
    </row>
    <row r="9" spans="1:12" x14ac:dyDescent="0.25">
      <c r="B9" s="188">
        <v>6</v>
      </c>
      <c r="C9" s="189" t="s">
        <v>16</v>
      </c>
      <c r="D9" s="189"/>
      <c r="E9" s="189">
        <v>36</v>
      </c>
      <c r="F9" s="189">
        <v>4000</v>
      </c>
      <c r="G9" s="189"/>
      <c r="H9" s="190" t="s">
        <v>17</v>
      </c>
    </row>
    <row r="10" spans="1:12" x14ac:dyDescent="0.25">
      <c r="B10" s="188">
        <v>7</v>
      </c>
      <c r="C10" s="189" t="s">
        <v>13</v>
      </c>
      <c r="D10" s="191" t="s">
        <v>13</v>
      </c>
      <c r="E10" s="189">
        <v>38</v>
      </c>
      <c r="F10" s="189">
        <v>20000</v>
      </c>
      <c r="G10" s="189"/>
      <c r="H10" s="190" t="s">
        <v>18</v>
      </c>
    </row>
    <row r="11" spans="1:12" x14ac:dyDescent="0.25">
      <c r="B11" s="188">
        <v>8</v>
      </c>
      <c r="C11" s="189" t="s">
        <v>13</v>
      </c>
      <c r="D11" s="189" t="s">
        <v>13</v>
      </c>
      <c r="E11" s="189">
        <v>44</v>
      </c>
      <c r="F11" s="189"/>
      <c r="G11" s="189"/>
      <c r="H11" s="190" t="s">
        <v>19</v>
      </c>
      <c r="I11" s="5"/>
      <c r="J11" s="5"/>
      <c r="K11" s="5"/>
      <c r="L11" s="5"/>
    </row>
    <row r="12" spans="1:12" x14ac:dyDescent="0.25">
      <c r="B12" s="188">
        <v>9</v>
      </c>
      <c r="C12" s="189" t="s">
        <v>13</v>
      </c>
      <c r="D12" s="191" t="s">
        <v>13</v>
      </c>
      <c r="E12" s="189">
        <v>46</v>
      </c>
      <c r="F12" s="189"/>
      <c r="G12" s="189"/>
      <c r="H12" s="190"/>
      <c r="I12" s="5"/>
      <c r="J12" s="6"/>
      <c r="K12" s="5"/>
      <c r="L12" s="5"/>
    </row>
    <row r="13" spans="1:12" x14ac:dyDescent="0.25">
      <c r="B13" s="192">
        <v>10</v>
      </c>
      <c r="C13" s="193" t="s">
        <v>20</v>
      </c>
      <c r="D13" s="193"/>
      <c r="E13" s="193">
        <v>55</v>
      </c>
      <c r="F13" s="193">
        <v>10000</v>
      </c>
      <c r="G13" s="193"/>
      <c r="H13" s="194" t="s">
        <v>21</v>
      </c>
      <c r="I13" s="7"/>
      <c r="J13" s="6"/>
      <c r="K13" s="7"/>
      <c r="L13" s="7"/>
    </row>
    <row r="14" spans="1:12" x14ac:dyDescent="0.25">
      <c r="B14" s="192">
        <v>11</v>
      </c>
      <c r="C14" s="193" t="s">
        <v>13</v>
      </c>
      <c r="D14" s="193"/>
      <c r="E14" s="193">
        <v>57</v>
      </c>
      <c r="F14" s="193" t="s">
        <v>13</v>
      </c>
      <c r="G14" s="193"/>
      <c r="H14" s="194"/>
      <c r="I14" s="7"/>
      <c r="J14" s="6"/>
      <c r="K14" s="6"/>
      <c r="L14" s="5"/>
    </row>
    <row r="15" spans="1:12" x14ac:dyDescent="0.25">
      <c r="B15" s="195">
        <v>12</v>
      </c>
      <c r="C15" s="196" t="s">
        <v>22</v>
      </c>
      <c r="D15" s="196"/>
      <c r="E15" s="196">
        <v>66</v>
      </c>
      <c r="F15" s="196" t="s">
        <v>13</v>
      </c>
      <c r="G15" s="196"/>
      <c r="H15" s="197"/>
      <c r="I15" s="5"/>
      <c r="J15" s="6"/>
      <c r="K15" s="6"/>
      <c r="L15" s="5"/>
    </row>
    <row r="16" spans="1:12" x14ac:dyDescent="0.25">
      <c r="B16" s="195">
        <v>13</v>
      </c>
      <c r="C16" s="196"/>
      <c r="D16" s="196"/>
      <c r="E16" s="196">
        <v>68</v>
      </c>
      <c r="F16" s="196" t="s">
        <v>13</v>
      </c>
      <c r="G16" s="196"/>
      <c r="H16" s="197"/>
    </row>
    <row r="17" spans="1:12" ht="15.75" thickBot="1" x14ac:dyDescent="0.3">
      <c r="B17" s="198">
        <v>14</v>
      </c>
      <c r="C17" s="199"/>
      <c r="D17" s="199"/>
      <c r="E17" s="199">
        <v>65</v>
      </c>
      <c r="F17" s="199" t="s">
        <v>13</v>
      </c>
      <c r="G17" s="199"/>
      <c r="H17" s="200"/>
      <c r="I17" s="8"/>
      <c r="L17" s="5"/>
    </row>
    <row r="18" spans="1:12" ht="15.75" thickBot="1" x14ac:dyDescent="0.3">
      <c r="A18" s="179" t="s">
        <v>0</v>
      </c>
      <c r="B18" s="180"/>
      <c r="C18" s="7"/>
      <c r="D18" s="7"/>
      <c r="E18" s="7"/>
      <c r="F18" s="7"/>
      <c r="G18" s="7"/>
      <c r="H18" s="201" t="s">
        <v>24</v>
      </c>
    </row>
    <row r="19" spans="1:12" x14ac:dyDescent="0.25">
      <c r="A19" s="178" t="s">
        <v>23</v>
      </c>
      <c r="B19" s="202">
        <v>15</v>
      </c>
      <c r="C19" s="203" t="s">
        <v>22</v>
      </c>
      <c r="D19" s="203"/>
      <c r="E19" s="203">
        <v>65</v>
      </c>
      <c r="F19" s="203">
        <v>10000</v>
      </c>
      <c r="G19" s="203" t="s">
        <v>25</v>
      </c>
      <c r="H19" s="204"/>
    </row>
    <row r="20" spans="1:12" x14ac:dyDescent="0.25">
      <c r="B20" s="184">
        <v>16</v>
      </c>
      <c r="C20" s="185" t="s">
        <v>10</v>
      </c>
      <c r="D20" s="185">
        <v>0</v>
      </c>
      <c r="E20" s="185">
        <v>10</v>
      </c>
      <c r="F20" s="185">
        <v>10000</v>
      </c>
      <c r="G20" s="185"/>
      <c r="H20" s="186"/>
    </row>
    <row r="21" spans="1:12" x14ac:dyDescent="0.25">
      <c r="B21" s="181">
        <v>17</v>
      </c>
      <c r="C21" s="187" t="s">
        <v>12</v>
      </c>
      <c r="D21" s="182" t="s">
        <v>13</v>
      </c>
      <c r="E21" s="182">
        <v>21</v>
      </c>
      <c r="F21" s="182">
        <v>2000</v>
      </c>
      <c r="G21" s="182"/>
      <c r="H21" s="183" t="s">
        <v>26</v>
      </c>
    </row>
    <row r="22" spans="1:12" x14ac:dyDescent="0.25">
      <c r="B22" s="181">
        <v>18</v>
      </c>
      <c r="C22" s="182" t="s">
        <v>13</v>
      </c>
      <c r="D22" s="182" t="s">
        <v>13</v>
      </c>
      <c r="E22" s="182">
        <v>23</v>
      </c>
      <c r="F22" s="182">
        <v>10000</v>
      </c>
      <c r="G22" s="182"/>
      <c r="H22" s="183"/>
    </row>
    <row r="23" spans="1:12" x14ac:dyDescent="0.25">
      <c r="B23" s="181">
        <v>19</v>
      </c>
      <c r="C23" s="182" t="s">
        <v>13</v>
      </c>
      <c r="D23" s="182" t="s">
        <v>13</v>
      </c>
      <c r="E23" s="182">
        <v>21</v>
      </c>
      <c r="F23" s="182">
        <v>10000</v>
      </c>
      <c r="G23" s="182"/>
      <c r="H23" s="183"/>
    </row>
    <row r="24" spans="1:12" x14ac:dyDescent="0.25">
      <c r="B24" s="181">
        <v>20</v>
      </c>
      <c r="C24" s="182" t="s">
        <v>13</v>
      </c>
      <c r="D24" s="182" t="s">
        <v>13</v>
      </c>
      <c r="E24" s="182">
        <v>25</v>
      </c>
      <c r="F24" s="182">
        <v>5000</v>
      </c>
      <c r="G24" s="182"/>
      <c r="H24" s="183"/>
    </row>
    <row r="25" spans="1:12" x14ac:dyDescent="0.25">
      <c r="B25" s="181">
        <v>21</v>
      </c>
      <c r="C25" s="182" t="s">
        <v>13</v>
      </c>
      <c r="D25" s="182" t="s">
        <v>13</v>
      </c>
      <c r="E25" s="182">
        <v>27</v>
      </c>
      <c r="F25" s="182">
        <v>5000</v>
      </c>
      <c r="G25" s="182"/>
      <c r="H25" s="183"/>
    </row>
    <row r="26" spans="1:12" x14ac:dyDescent="0.25">
      <c r="B26" s="188">
        <v>22</v>
      </c>
      <c r="C26" s="189" t="s">
        <v>16</v>
      </c>
      <c r="D26" s="189" t="s">
        <v>13</v>
      </c>
      <c r="E26" s="189">
        <v>44</v>
      </c>
      <c r="F26" s="189"/>
      <c r="G26" s="189"/>
      <c r="H26" s="190"/>
    </row>
    <row r="27" spans="1:12" x14ac:dyDescent="0.25">
      <c r="B27" s="188">
        <v>23</v>
      </c>
      <c r="C27" s="189" t="s">
        <v>16</v>
      </c>
      <c r="D27" s="189" t="s">
        <v>13</v>
      </c>
      <c r="E27" s="189">
        <v>46</v>
      </c>
      <c r="F27" s="189">
        <v>20000</v>
      </c>
      <c r="G27" s="189"/>
      <c r="H27" s="190"/>
    </row>
    <row r="28" spans="1:12" x14ac:dyDescent="0.25">
      <c r="B28" s="192">
        <v>24</v>
      </c>
      <c r="C28" s="193" t="s">
        <v>20</v>
      </c>
      <c r="D28" s="193" t="s">
        <v>13</v>
      </c>
      <c r="E28" s="193">
        <v>55</v>
      </c>
      <c r="F28" s="193">
        <v>10000</v>
      </c>
      <c r="G28" s="193"/>
      <c r="H28" s="194"/>
    </row>
    <row r="29" spans="1:12" x14ac:dyDescent="0.25">
      <c r="B29" s="192">
        <v>25</v>
      </c>
      <c r="C29" s="193" t="s">
        <v>13</v>
      </c>
      <c r="D29" s="193" t="s">
        <v>13</v>
      </c>
      <c r="E29" s="193">
        <v>57</v>
      </c>
      <c r="F29" s="193">
        <v>10000</v>
      </c>
      <c r="G29" s="193"/>
      <c r="H29" s="194"/>
    </row>
    <row r="30" spans="1:12" x14ac:dyDescent="0.25">
      <c r="B30" s="195">
        <v>26</v>
      </c>
      <c r="C30" s="196" t="s">
        <v>22</v>
      </c>
      <c r="D30" s="196" t="s">
        <v>13</v>
      </c>
      <c r="E30" s="196">
        <v>66</v>
      </c>
      <c r="F30" s="196">
        <v>10000</v>
      </c>
      <c r="G30" s="196"/>
      <c r="H30" s="197"/>
    </row>
    <row r="31" spans="1:12" x14ac:dyDescent="0.25">
      <c r="B31" s="195">
        <v>27</v>
      </c>
      <c r="C31" s="196" t="s">
        <v>13</v>
      </c>
      <c r="D31" s="196" t="s">
        <v>13</v>
      </c>
      <c r="E31" s="196">
        <v>65</v>
      </c>
      <c r="F31" s="196">
        <v>10000</v>
      </c>
      <c r="G31" s="196"/>
      <c r="H31" s="197"/>
    </row>
    <row r="32" spans="1:12" ht="15.75" thickBot="1" x14ac:dyDescent="0.3">
      <c r="B32" s="198">
        <v>28</v>
      </c>
      <c r="C32" s="199" t="s">
        <v>13</v>
      </c>
      <c r="D32" s="199"/>
      <c r="E32" s="199">
        <v>65</v>
      </c>
      <c r="F32" s="199">
        <v>10000</v>
      </c>
      <c r="G32" s="199"/>
      <c r="H32" s="200" t="s">
        <v>27</v>
      </c>
    </row>
    <row r="33" spans="2:2" x14ac:dyDescent="0.25">
      <c r="B33" s="4"/>
    </row>
    <row r="34" spans="2:2" x14ac:dyDescent="0.25">
      <c r="B34" s="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zoomScaleNormal="100" workbookViewId="0">
      <selection activeCell="Q12" sqref="Q12"/>
    </sheetView>
  </sheetViews>
  <sheetFormatPr defaultColWidth="8.5703125" defaultRowHeight="15" x14ac:dyDescent="0.25"/>
  <cols>
    <col min="1" max="1" width="9" bestFit="1" customWidth="1"/>
    <col min="2" max="2" width="8.42578125" bestFit="1" customWidth="1"/>
    <col min="3" max="3" width="7.42578125" bestFit="1" customWidth="1"/>
    <col min="4" max="4" width="8.42578125" bestFit="1" customWidth="1"/>
    <col min="5" max="5" width="3" bestFit="1" customWidth="1"/>
    <col min="6" max="6" width="7.5703125" bestFit="1" customWidth="1"/>
    <col min="7" max="7" width="9.85546875" bestFit="1" customWidth="1"/>
    <col min="8" max="8" width="12.7109375" bestFit="1" customWidth="1"/>
    <col min="9" max="11" width="8" bestFit="1" customWidth="1"/>
    <col min="12" max="12" width="7.7109375" bestFit="1" customWidth="1"/>
    <col min="13" max="14" width="15.28515625" bestFit="1" customWidth="1"/>
    <col min="15" max="16" width="19.7109375" bestFit="1" customWidth="1"/>
    <col min="17" max="17" width="9.28515625" bestFit="1" customWidth="1"/>
    <col min="18" max="18" width="7.5703125" customWidth="1"/>
    <col min="19" max="19" width="7.28515625" customWidth="1"/>
    <col min="20" max="20" width="7.28515625" bestFit="1" customWidth="1"/>
    <col min="21" max="21" width="8.5703125" bestFit="1" customWidth="1"/>
    <col min="22" max="22" width="8.140625" bestFit="1" customWidth="1"/>
    <col min="23" max="24" width="8" bestFit="1" customWidth="1"/>
    <col min="25" max="25" width="7.7109375" bestFit="1" customWidth="1"/>
    <col min="26" max="27" width="15.28515625" bestFit="1" customWidth="1"/>
    <col min="28" max="28" width="19.7109375" bestFit="1" customWidth="1"/>
    <col min="29" max="29" width="19.7109375" customWidth="1"/>
    <col min="31" max="31" width="6.7109375" bestFit="1" customWidth="1"/>
    <col min="32" max="33" width="8" bestFit="1" customWidth="1"/>
    <col min="34" max="34" width="7.7109375" bestFit="1" customWidth="1"/>
    <col min="35" max="36" width="15.28515625" customWidth="1"/>
    <col min="37" max="38" width="19.7109375" bestFit="1" customWidth="1"/>
    <col min="39" max="39" width="9" customWidth="1"/>
    <col min="40" max="40" width="6.140625" bestFit="1" customWidth="1"/>
  </cols>
  <sheetData>
    <row r="1" spans="1:33" ht="30.75" thickBot="1" x14ac:dyDescent="0.3">
      <c r="A1" s="54" t="s">
        <v>53</v>
      </c>
      <c r="B1" s="22">
        <v>11.31</v>
      </c>
      <c r="C1" s="23" t="s">
        <v>45</v>
      </c>
      <c r="D1" s="24" t="s">
        <v>30</v>
      </c>
      <c r="E1" s="25" t="s">
        <v>31</v>
      </c>
      <c r="F1" s="25" t="s">
        <v>32</v>
      </c>
      <c r="G1" s="25" t="s">
        <v>52</v>
      </c>
      <c r="H1" s="25" t="s">
        <v>49</v>
      </c>
      <c r="I1" s="26" t="s">
        <v>33</v>
      </c>
    </row>
    <row r="2" spans="1:33" ht="15.75" thickBot="1" x14ac:dyDescent="0.3">
      <c r="A2" s="19" t="s">
        <v>28</v>
      </c>
      <c r="B2" s="20">
        <v>2000</v>
      </c>
      <c r="C2" s="21" t="s">
        <v>29</v>
      </c>
      <c r="D2" s="27" t="s">
        <v>34</v>
      </c>
      <c r="E2" s="79">
        <v>8</v>
      </c>
      <c r="F2" s="80">
        <v>15.999000000000001</v>
      </c>
      <c r="G2" s="63">
        <f t="shared" ref="G2:G7" si="0">((SQRT(1-(4.0026/F2)^2*SIN(RADIANS(165))^2)+4.0026/F2*COS(RADIANS(165)))/(1+4.0026/F2))^2</f>
        <v>0.36591870307011926</v>
      </c>
      <c r="H2" s="81">
        <f t="shared" ref="H2:H7" si="1">$B$2*G2</f>
        <v>731.8374061402385</v>
      </c>
      <c r="I2" s="82">
        <v>269</v>
      </c>
      <c r="K2" s="12"/>
      <c r="Q2" s="147" t="s">
        <v>4</v>
      </c>
      <c r="R2" s="148"/>
      <c r="S2" s="149" t="s">
        <v>68</v>
      </c>
      <c r="T2" s="150"/>
      <c r="U2" s="149"/>
      <c r="V2" s="149" t="s">
        <v>70</v>
      </c>
      <c r="W2" s="150"/>
    </row>
    <row r="3" spans="1:33" x14ac:dyDescent="0.25">
      <c r="D3" s="28" t="s">
        <v>35</v>
      </c>
      <c r="E3" s="61">
        <v>14</v>
      </c>
      <c r="F3" s="62">
        <v>28.085000000000001</v>
      </c>
      <c r="G3" s="118">
        <f t="shared" si="0"/>
        <v>0.56878025675945543</v>
      </c>
      <c r="H3" s="64">
        <f t="shared" si="1"/>
        <v>1137.560513518911</v>
      </c>
      <c r="I3" s="65">
        <v>437</v>
      </c>
      <c r="Q3" s="151">
        <v>1</v>
      </c>
      <c r="R3" s="153">
        <f>R16</f>
        <v>445.02250452557303</v>
      </c>
      <c r="S3" s="154" t="s">
        <v>69</v>
      </c>
      <c r="T3" s="155">
        <f>T16</f>
        <v>5.6557582075056931</v>
      </c>
      <c r="U3" s="156">
        <f>R3*344.092/0.30397*10^(-6)</f>
        <v>0.50376248849298766</v>
      </c>
      <c r="V3" s="157" t="s">
        <v>69</v>
      </c>
      <c r="W3" s="158">
        <f>T3*344.092/0.30397*10^(-6)</f>
        <v>6.4022803340364138E-3</v>
      </c>
    </row>
    <row r="4" spans="1:33" x14ac:dyDescent="0.25">
      <c r="D4" s="29" t="s">
        <v>36</v>
      </c>
      <c r="E4" s="66">
        <v>23</v>
      </c>
      <c r="F4" s="67">
        <v>50.942</v>
      </c>
      <c r="G4" s="119">
        <f t="shared" si="0"/>
        <v>0.7337544049093524</v>
      </c>
      <c r="H4" s="68">
        <f t="shared" si="1"/>
        <v>1467.5088098187048</v>
      </c>
      <c r="I4" s="69">
        <v>582</v>
      </c>
      <c r="O4" s="12"/>
      <c r="P4" s="12"/>
      <c r="Q4" s="151">
        <v>3</v>
      </c>
      <c r="R4" s="153">
        <f>R21</f>
        <v>472.20270798987104</v>
      </c>
      <c r="S4" s="154" t="s">
        <v>69</v>
      </c>
      <c r="T4" s="155">
        <f>T21</f>
        <v>102.08338453430493</v>
      </c>
      <c r="U4" s="156">
        <f t="shared" ref="U4:U5" si="2">R4*344.092/0.30397*10^(-6)</f>
        <v>0.53453029640310112</v>
      </c>
      <c r="V4" s="157" t="s">
        <v>69</v>
      </c>
      <c r="W4" s="158">
        <f t="shared" ref="W4:W5" si="3">T4*344.092/0.30397*10^(-6)</f>
        <v>0.1155577061919862</v>
      </c>
    </row>
    <row r="5" spans="1:33" ht="15.75" thickBot="1" x14ac:dyDescent="0.3">
      <c r="D5" s="30" t="s">
        <v>37</v>
      </c>
      <c r="E5" s="70">
        <v>41</v>
      </c>
      <c r="F5" s="71">
        <v>92.906000000000006</v>
      </c>
      <c r="G5" s="120">
        <f t="shared" si="0"/>
        <v>0.84408702273631764</v>
      </c>
      <c r="H5" s="72">
        <f t="shared" si="1"/>
        <v>1688.1740454726353</v>
      </c>
      <c r="I5" s="73">
        <v>673</v>
      </c>
      <c r="Q5" s="152">
        <v>4</v>
      </c>
      <c r="R5" s="159">
        <f>R26</f>
        <v>392.49970313807751</v>
      </c>
      <c r="S5" s="160" t="s">
        <v>69</v>
      </c>
      <c r="T5" s="161">
        <f>T26</f>
        <v>112.73713219624436</v>
      </c>
      <c r="U5" s="162">
        <f t="shared" si="2"/>
        <v>0.44430702981276882</v>
      </c>
      <c r="V5" s="163" t="s">
        <v>69</v>
      </c>
      <c r="W5" s="164">
        <f t="shared" si="3"/>
        <v>0.12761767704599175</v>
      </c>
    </row>
    <row r="6" spans="1:33" ht="15.75" thickBot="1" x14ac:dyDescent="0.3">
      <c r="D6" s="31" t="s">
        <v>38</v>
      </c>
      <c r="E6" s="74">
        <v>73</v>
      </c>
      <c r="F6" s="75">
        <v>180.95</v>
      </c>
      <c r="G6" s="121">
        <f t="shared" si="0"/>
        <v>0.91668930866242726</v>
      </c>
      <c r="H6" s="77">
        <f t="shared" si="1"/>
        <v>1833.3786173248545</v>
      </c>
      <c r="I6" s="78">
        <v>732.5</v>
      </c>
    </row>
    <row r="7" spans="1:33" ht="15.75" thickBot="1" x14ac:dyDescent="0.3">
      <c r="D7" s="60" t="s">
        <v>44</v>
      </c>
      <c r="E7" s="56">
        <v>82</v>
      </c>
      <c r="F7" s="56">
        <v>207.2</v>
      </c>
      <c r="G7" s="57">
        <f t="shared" si="0"/>
        <v>0.92685011433311859</v>
      </c>
      <c r="H7" s="58">
        <f t="shared" si="1"/>
        <v>1853.7002286662371</v>
      </c>
      <c r="I7" s="59">
        <f>(H7-94.322)/2.3681</f>
        <v>742.94929634147081</v>
      </c>
    </row>
    <row r="10" spans="1:33" ht="15.75" thickBot="1" x14ac:dyDescent="0.3"/>
    <row r="11" spans="1:33" ht="45.75" thickBot="1" x14ac:dyDescent="0.3">
      <c r="I11" s="112" t="s">
        <v>15</v>
      </c>
      <c r="J11" s="95" t="s">
        <v>47</v>
      </c>
      <c r="K11" s="94" t="s">
        <v>48</v>
      </c>
      <c r="L11" s="43" t="s">
        <v>39</v>
      </c>
      <c r="M11" s="94" t="s">
        <v>43</v>
      </c>
      <c r="N11" s="43" t="s">
        <v>50</v>
      </c>
      <c r="O11" s="94" t="s">
        <v>46</v>
      </c>
      <c r="P11" s="43" t="s">
        <v>51</v>
      </c>
      <c r="Q11" s="44" t="s">
        <v>41</v>
      </c>
      <c r="R11" s="45" t="s">
        <v>42</v>
      </c>
      <c r="S11" s="122"/>
      <c r="T11" s="123"/>
      <c r="V11" s="114" t="s">
        <v>15</v>
      </c>
      <c r="W11" s="96" t="s">
        <v>56</v>
      </c>
      <c r="X11" s="97" t="s">
        <v>57</v>
      </c>
      <c r="Y11" s="97" t="s">
        <v>39</v>
      </c>
      <c r="Z11" s="97" t="s">
        <v>43</v>
      </c>
      <c r="AA11" s="97" t="s">
        <v>50</v>
      </c>
      <c r="AB11" s="97" t="s">
        <v>46</v>
      </c>
      <c r="AC11" s="97" t="s">
        <v>51</v>
      </c>
      <c r="AD11" s="98" t="s">
        <v>41</v>
      </c>
      <c r="AE11" s="99" t="s">
        <v>42</v>
      </c>
      <c r="AF11" s="127"/>
      <c r="AG11" s="123"/>
    </row>
    <row r="12" spans="1:33" x14ac:dyDescent="0.25">
      <c r="I12" s="37" t="s">
        <v>58</v>
      </c>
      <c r="J12" s="46">
        <v>728</v>
      </c>
      <c r="K12" s="39">
        <v>582</v>
      </c>
      <c r="L12" s="40">
        <f>(J12-K12)*2.3657</f>
        <v>345.3922</v>
      </c>
      <c r="M12" s="39">
        <v>349.1</v>
      </c>
      <c r="N12" s="49">
        <f>M12*$B$1/10</f>
        <v>394.83210000000003</v>
      </c>
      <c r="O12" s="39">
        <v>359.9</v>
      </c>
      <c r="P12" s="49">
        <f>O12*$B$1/10</f>
        <v>407.04689999999999</v>
      </c>
      <c r="Q12" s="115">
        <f>(($G$7/COS(RADIANS(0))*N12)+(1/COS(RADIANS(15))*P12))</f>
        <v>787.35613690715036</v>
      </c>
      <c r="R12" s="42">
        <f>L12*10^3/Q12</f>
        <v>438.67340814380503</v>
      </c>
      <c r="S12" s="128"/>
      <c r="T12" s="132">
        <f>(R12-$R$16)^2</f>
        <v>40.311024864979416</v>
      </c>
      <c r="V12" s="100" t="s">
        <v>58</v>
      </c>
      <c r="W12" s="107"/>
      <c r="X12" s="108"/>
      <c r="Y12" s="40">
        <f>(W12-X12)*2.3681</f>
        <v>0</v>
      </c>
      <c r="Z12" s="39"/>
      <c r="AA12" s="49">
        <f>Z12*$B$1/10</f>
        <v>0</v>
      </c>
      <c r="AB12" s="39"/>
      <c r="AC12" s="49">
        <f>AB12*$B$1/10</f>
        <v>0</v>
      </c>
      <c r="AD12" s="115">
        <f>(($H$6/COS(RADIANS(0))*AA12)+(1/COS(RADIANS(15)*AC12)))</f>
        <v>1</v>
      </c>
      <c r="AE12" s="109">
        <f>Y12*10^3/AD12</f>
        <v>0</v>
      </c>
      <c r="AF12" s="128"/>
      <c r="AG12" s="124"/>
    </row>
    <row r="13" spans="1:33" x14ac:dyDescent="0.25">
      <c r="G13" s="9"/>
      <c r="H13" s="9"/>
      <c r="I13" s="48" t="s">
        <v>59</v>
      </c>
      <c r="J13" s="47">
        <v>724</v>
      </c>
      <c r="K13" s="13">
        <v>575</v>
      </c>
      <c r="L13" s="14">
        <f t="shared" ref="L13:L15" si="4">(J13-K13)*2.3681</f>
        <v>352.84690000000001</v>
      </c>
      <c r="M13" s="39">
        <v>349.1</v>
      </c>
      <c r="N13" s="49">
        <f>M13*$B$1/10</f>
        <v>394.83210000000003</v>
      </c>
      <c r="O13" s="39">
        <v>359.9</v>
      </c>
      <c r="P13" s="49">
        <f>O13*$B$1/10</f>
        <v>407.04689999999999</v>
      </c>
      <c r="Q13" s="115">
        <f t="shared" ref="Q13:Q15" si="5">(($G$7/COS(RADIANS(0))*N13)+(1/COS(RADIANS(15))*P13))</f>
        <v>787.35613690715036</v>
      </c>
      <c r="R13" s="42">
        <f>L13*10^3/Q13</f>
        <v>448.14142350631073</v>
      </c>
      <c r="S13" s="128"/>
      <c r="T13" s="132">
        <f>(R13-$R$16)^2</f>
        <v>9.7276556084059145</v>
      </c>
      <c r="V13" s="101" t="s">
        <v>59</v>
      </c>
      <c r="W13" s="47"/>
      <c r="X13" s="13"/>
      <c r="Y13" s="14">
        <f t="shared" ref="Y13:Y15" si="6">(W13-X13)*2.3681</f>
        <v>0</v>
      </c>
      <c r="Z13" s="39"/>
      <c r="AA13" s="17">
        <f>Z13*$B$1/10</f>
        <v>0</v>
      </c>
      <c r="AB13" s="39"/>
      <c r="AC13" s="17">
        <f>AB13*$B$1/10</f>
        <v>0</v>
      </c>
      <c r="AD13" s="115">
        <f>(($H$6/COS(RADIANS(0))*AA13)+(1/COS(RADIANS(15)*AC13)))</f>
        <v>1</v>
      </c>
      <c r="AE13" s="34">
        <f>Y13*10^3/AD13</f>
        <v>0</v>
      </c>
      <c r="AF13" s="128"/>
      <c r="AG13" s="124"/>
    </row>
    <row r="14" spans="1:33" x14ac:dyDescent="0.25">
      <c r="I14" s="48" t="s">
        <v>60</v>
      </c>
      <c r="J14" s="47">
        <v>729</v>
      </c>
      <c r="K14" s="13">
        <v>582</v>
      </c>
      <c r="L14" s="14">
        <f t="shared" si="4"/>
        <v>348.11070000000001</v>
      </c>
      <c r="M14" s="39">
        <v>349.1</v>
      </c>
      <c r="N14" s="49">
        <f>M14*$B$1/10</f>
        <v>394.83210000000003</v>
      </c>
      <c r="O14" s="39">
        <v>359.9</v>
      </c>
      <c r="P14" s="49">
        <f>O14*$B$1/10</f>
        <v>407.04689999999999</v>
      </c>
      <c r="Q14" s="115">
        <f t="shared" si="5"/>
        <v>787.35613690715036</v>
      </c>
      <c r="R14" s="42">
        <f>L14*10^3/Q14</f>
        <v>442.12610238542061</v>
      </c>
      <c r="S14" s="128"/>
      <c r="T14" s="132">
        <f>(R14-$R$16)^2</f>
        <v>8.3891453574795065</v>
      </c>
      <c r="V14" s="101" t="s">
        <v>60</v>
      </c>
      <c r="W14" s="47"/>
      <c r="X14" s="13"/>
      <c r="Y14" s="14">
        <f t="shared" si="6"/>
        <v>0</v>
      </c>
      <c r="Z14" s="39"/>
      <c r="AA14" s="17">
        <f>Z14*$B$1/10</f>
        <v>0</v>
      </c>
      <c r="AB14" s="39"/>
      <c r="AC14" s="17">
        <f>AB14*$B$1/10</f>
        <v>0</v>
      </c>
      <c r="AD14" s="115">
        <f>(($H$6/COS(RADIANS(0))*AA14)+(1/COS(RADIANS(15)*AC14)))</f>
        <v>1</v>
      </c>
      <c r="AE14" s="34">
        <f>Y14*10^3/AD14</f>
        <v>0</v>
      </c>
      <c r="AF14" s="128"/>
      <c r="AG14" s="124"/>
    </row>
    <row r="15" spans="1:33" ht="15.75" thickBot="1" x14ac:dyDescent="0.3">
      <c r="I15" s="38" t="s">
        <v>61</v>
      </c>
      <c r="J15" s="36">
        <v>729</v>
      </c>
      <c r="K15" s="15">
        <v>579</v>
      </c>
      <c r="L15" s="16">
        <f t="shared" si="4"/>
        <v>355.21500000000003</v>
      </c>
      <c r="M15" s="111">
        <v>349.1</v>
      </c>
      <c r="N15" s="141">
        <f>M15*$B$1/10</f>
        <v>394.83210000000003</v>
      </c>
      <c r="O15" s="111">
        <v>359.9</v>
      </c>
      <c r="P15" s="141">
        <f>O15*$B$1/10</f>
        <v>407.04689999999999</v>
      </c>
      <c r="Q15" s="115">
        <f t="shared" si="5"/>
        <v>787.35613690715036</v>
      </c>
      <c r="R15" s="134">
        <f>L15*10^3/Q15</f>
        <v>451.14908406675579</v>
      </c>
      <c r="S15" s="128"/>
      <c r="T15" s="132">
        <f>(R15-$R$16)^2</f>
        <v>37.534976874439209</v>
      </c>
      <c r="V15" s="102" t="s">
        <v>61</v>
      </c>
      <c r="W15" s="36"/>
      <c r="X15" s="15"/>
      <c r="Y15" s="16">
        <f t="shared" si="6"/>
        <v>0</v>
      </c>
      <c r="Z15" s="111"/>
      <c r="AA15" s="32">
        <f>Z15*$B$1/10</f>
        <v>0</v>
      </c>
      <c r="AB15" s="111"/>
      <c r="AC15" s="32">
        <f>AB15*$B$1/10</f>
        <v>0</v>
      </c>
      <c r="AD15" s="116">
        <f>(($H$6/COS(RADIANS(0))*AA15)+(1/COS(RADIANS(15)*AC15)))</f>
        <v>1</v>
      </c>
      <c r="AE15" s="35">
        <f>Y15*10^3/AD15</f>
        <v>0</v>
      </c>
      <c r="AF15" s="128"/>
      <c r="AG15" s="124"/>
    </row>
    <row r="16" spans="1:33" ht="15.75" thickBot="1" x14ac:dyDescent="0.3">
      <c r="I16" s="125"/>
      <c r="J16" s="5"/>
      <c r="K16" s="5"/>
      <c r="L16" s="5"/>
      <c r="M16" s="5"/>
      <c r="N16" s="5"/>
      <c r="O16" s="5"/>
      <c r="P16" s="5"/>
      <c r="Q16" s="5"/>
      <c r="R16" s="143">
        <f>SUM(R12:R15)/4</f>
        <v>445.02250452557303</v>
      </c>
      <c r="S16" s="130" t="s">
        <v>69</v>
      </c>
      <c r="T16" s="131">
        <f>SQRT(SUM(T12:T15)/3)</f>
        <v>5.6557582075056931</v>
      </c>
      <c r="V16" s="125"/>
      <c r="W16" s="5"/>
      <c r="X16" s="5"/>
      <c r="Y16" s="5"/>
      <c r="Z16" s="5"/>
      <c r="AA16" s="5"/>
      <c r="AB16" s="5"/>
      <c r="AC16" s="5"/>
      <c r="AD16" s="5"/>
      <c r="AE16" s="5"/>
      <c r="AF16" s="128"/>
      <c r="AG16" s="124"/>
    </row>
    <row r="17" spans="9:33" ht="15.75" thickBot="1" x14ac:dyDescent="0.3">
      <c r="I17" s="125"/>
      <c r="J17" s="5"/>
      <c r="K17" s="5"/>
      <c r="L17" s="5"/>
      <c r="M17" s="5"/>
      <c r="N17" s="5"/>
      <c r="O17" s="5"/>
      <c r="P17" s="5"/>
      <c r="Q17" s="5"/>
      <c r="R17" s="5"/>
      <c r="S17" s="5"/>
      <c r="T17" s="124"/>
      <c r="V17" s="125"/>
      <c r="W17" s="5"/>
      <c r="X17" s="5"/>
      <c r="Y17" s="5"/>
      <c r="Z17" s="5"/>
      <c r="AA17" s="5"/>
      <c r="AB17" s="5"/>
      <c r="AC17" s="5"/>
      <c r="AD17" s="5"/>
      <c r="AE17" s="5"/>
      <c r="AF17" s="128"/>
      <c r="AG17" s="124"/>
    </row>
    <row r="18" spans="9:33" ht="45.75" thickBot="1" x14ac:dyDescent="0.3">
      <c r="I18" s="112" t="s">
        <v>62</v>
      </c>
      <c r="J18" s="95" t="s">
        <v>47</v>
      </c>
      <c r="K18" s="94" t="s">
        <v>48</v>
      </c>
      <c r="L18" s="43" t="s">
        <v>39</v>
      </c>
      <c r="M18" s="94" t="s">
        <v>43</v>
      </c>
      <c r="N18" s="43" t="s">
        <v>50</v>
      </c>
      <c r="O18" s="94" t="s">
        <v>46</v>
      </c>
      <c r="P18" s="43" t="s">
        <v>51</v>
      </c>
      <c r="Q18" s="44" t="s">
        <v>41</v>
      </c>
      <c r="R18" s="45" t="s">
        <v>42</v>
      </c>
      <c r="S18" s="5"/>
      <c r="T18" s="124"/>
      <c r="V18" s="114" t="s">
        <v>62</v>
      </c>
      <c r="W18" s="96" t="s">
        <v>56</v>
      </c>
      <c r="X18" s="97" t="s">
        <v>57</v>
      </c>
      <c r="Y18" s="97" t="s">
        <v>39</v>
      </c>
      <c r="Z18" s="97" t="s">
        <v>43</v>
      </c>
      <c r="AA18" s="97" t="s">
        <v>50</v>
      </c>
      <c r="AB18" s="97" t="s">
        <v>46</v>
      </c>
      <c r="AC18" s="97" t="s">
        <v>51</v>
      </c>
      <c r="AD18" s="98" t="s">
        <v>41</v>
      </c>
      <c r="AE18" s="99" t="s">
        <v>42</v>
      </c>
      <c r="AF18" s="128"/>
      <c r="AG18" s="124"/>
    </row>
    <row r="19" spans="9:33" x14ac:dyDescent="0.25">
      <c r="I19" s="37" t="s">
        <v>63</v>
      </c>
      <c r="J19" s="46">
        <v>686</v>
      </c>
      <c r="K19" s="39">
        <v>553</v>
      </c>
      <c r="L19" s="40">
        <f>(J19-K19)*2.3681</f>
        <v>314.95730000000003</v>
      </c>
      <c r="M19" s="39">
        <v>349.1</v>
      </c>
      <c r="N19" s="39">
        <f>M19*$B$1/10</f>
        <v>394.83210000000003</v>
      </c>
      <c r="O19" s="39">
        <v>359.9</v>
      </c>
      <c r="P19" s="39">
        <f>O19*$B$1/10</f>
        <v>407.04689999999999</v>
      </c>
      <c r="Q19" s="115">
        <f t="shared" ref="Q19:Q20" si="7">(($G$7/COS(RADIANS(0))*N19)+(1/COS(RADIANS(15))*P19))</f>
        <v>787.35613690715036</v>
      </c>
      <c r="R19" s="42">
        <f>L19*10^3/Q19</f>
        <v>400.0188545391901</v>
      </c>
      <c r="S19" s="5"/>
      <c r="T19" s="124">
        <f>($R$21-R19)^2</f>
        <v>5210.5086989893834</v>
      </c>
      <c r="V19" s="100" t="s">
        <v>63</v>
      </c>
      <c r="W19" s="46"/>
      <c r="X19" s="39"/>
      <c r="Y19" s="40">
        <f>(W19-X19)*2.3681</f>
        <v>0</v>
      </c>
      <c r="Z19" s="39"/>
      <c r="AA19" s="39">
        <f>Z19*$B$1/10</f>
        <v>0</v>
      </c>
      <c r="AB19" s="39"/>
      <c r="AC19" s="49">
        <f>AB19*$B$1/10</f>
        <v>0</v>
      </c>
      <c r="AD19" s="115">
        <f>(($H$6/COS(RADIANS(0))*AA19)+(1/COS(RADIANS(15)*AC19)))</f>
        <v>1</v>
      </c>
      <c r="AE19" s="42">
        <f>Y19*10^3/AD19</f>
        <v>0</v>
      </c>
      <c r="AF19" s="128"/>
      <c r="AG19" s="124"/>
    </row>
    <row r="20" spans="9:33" ht="15.75" thickBot="1" x14ac:dyDescent="0.3">
      <c r="I20" s="38" t="s">
        <v>64</v>
      </c>
      <c r="J20" s="103">
        <v>617</v>
      </c>
      <c r="K20" s="104">
        <v>436</v>
      </c>
      <c r="L20" s="16">
        <f t="shared" ref="L20" si="8">(J20-K20)*2.3681</f>
        <v>428.62610000000001</v>
      </c>
      <c r="M20" s="111">
        <v>349.1</v>
      </c>
      <c r="N20" s="15">
        <f>M20*$B$1/10</f>
        <v>394.83210000000003</v>
      </c>
      <c r="O20" s="111">
        <v>359.9</v>
      </c>
      <c r="P20" s="15">
        <f>O20*$B$1/10</f>
        <v>407.04689999999999</v>
      </c>
      <c r="Q20" s="115">
        <f t="shared" si="7"/>
        <v>787.35613690715036</v>
      </c>
      <c r="R20" s="35">
        <f>L20*10^3/Q20</f>
        <v>544.38656144055199</v>
      </c>
      <c r="S20" s="5"/>
      <c r="T20" s="124">
        <f t="shared" ref="T20" si="9">($R$21-R20)^2</f>
        <v>5210.5086989893834</v>
      </c>
      <c r="V20" s="102" t="s">
        <v>64</v>
      </c>
      <c r="W20" s="105"/>
      <c r="X20" s="106"/>
      <c r="Y20" s="16">
        <f t="shared" ref="Y20" si="10">(W20-X20)*2.3681</f>
        <v>0</v>
      </c>
      <c r="Z20" s="111"/>
      <c r="AA20" s="15">
        <f>Z20*$B$1/10</f>
        <v>0</v>
      </c>
      <c r="AB20" s="111"/>
      <c r="AC20" s="32">
        <f>AB20*$B$1/10</f>
        <v>0</v>
      </c>
      <c r="AD20" s="116">
        <f>(($H$6/COS(RADIANS(0))*AA20)+(1/COS(RADIANS(15)*AC20)))</f>
        <v>1</v>
      </c>
      <c r="AE20" s="110">
        <f>Y20*10^3/AD20</f>
        <v>0</v>
      </c>
      <c r="AF20" s="128"/>
      <c r="AG20" s="124"/>
    </row>
    <row r="21" spans="9:33" ht="15.75" thickBot="1" x14ac:dyDescent="0.3">
      <c r="I21" s="125"/>
      <c r="J21" s="5"/>
      <c r="K21" s="5"/>
      <c r="L21" s="5"/>
      <c r="M21" s="5"/>
      <c r="N21" s="5"/>
      <c r="O21" s="5"/>
      <c r="P21" s="5"/>
      <c r="Q21" s="5"/>
      <c r="R21" s="143">
        <f>SUM(R17:R20)/2</f>
        <v>472.20270798987104</v>
      </c>
      <c r="S21" s="130" t="s">
        <v>69</v>
      </c>
      <c r="T21" s="131">
        <f>SQRT(SUM(T19:T20))</f>
        <v>102.08338453430493</v>
      </c>
      <c r="V21" s="125"/>
      <c r="W21" s="5"/>
      <c r="X21" s="5"/>
      <c r="Y21" s="5"/>
      <c r="Z21" s="5"/>
      <c r="AA21" s="5"/>
      <c r="AB21" s="5"/>
      <c r="AC21" s="5"/>
      <c r="AD21" s="5"/>
      <c r="AE21" s="5"/>
      <c r="AF21" s="128"/>
      <c r="AG21" s="124"/>
    </row>
    <row r="22" spans="9:33" ht="15.75" thickBot="1" x14ac:dyDescent="0.3">
      <c r="I22" s="125"/>
      <c r="J22" s="5"/>
      <c r="K22" s="5"/>
      <c r="L22" s="5"/>
      <c r="M22" s="5"/>
      <c r="N22" s="5"/>
      <c r="O22" s="5"/>
      <c r="P22" s="5"/>
      <c r="Q22" s="5"/>
      <c r="R22" s="5"/>
      <c r="S22" s="5"/>
      <c r="T22" s="124"/>
      <c r="V22" s="125"/>
      <c r="W22" s="5"/>
      <c r="X22" s="5"/>
      <c r="Y22" s="5"/>
      <c r="Z22" s="5"/>
      <c r="AA22" s="5"/>
      <c r="AB22" s="5"/>
      <c r="AC22" s="5"/>
      <c r="AD22" s="5"/>
      <c r="AE22" s="5"/>
      <c r="AF22" s="128"/>
      <c r="AG22" s="124"/>
    </row>
    <row r="23" spans="9:33" ht="45.75" thickBot="1" x14ac:dyDescent="0.3">
      <c r="I23" s="112" t="s">
        <v>65</v>
      </c>
      <c r="J23" s="137" t="s">
        <v>47</v>
      </c>
      <c r="K23" s="138" t="s">
        <v>48</v>
      </c>
      <c r="L23" s="139" t="s">
        <v>39</v>
      </c>
      <c r="M23" s="138" t="s">
        <v>43</v>
      </c>
      <c r="N23" s="139" t="s">
        <v>50</v>
      </c>
      <c r="O23" s="138" t="s">
        <v>46</v>
      </c>
      <c r="P23" s="139" t="s">
        <v>51</v>
      </c>
      <c r="Q23" s="140" t="s">
        <v>41</v>
      </c>
      <c r="R23" s="45" t="s">
        <v>42</v>
      </c>
      <c r="S23" s="5"/>
      <c r="T23" s="124"/>
      <c r="V23" s="114" t="s">
        <v>65</v>
      </c>
      <c r="W23" s="96" t="s">
        <v>56</v>
      </c>
      <c r="X23" s="97" t="s">
        <v>57</v>
      </c>
      <c r="Y23" s="97" t="s">
        <v>39</v>
      </c>
      <c r="Z23" s="97" t="s">
        <v>43</v>
      </c>
      <c r="AA23" s="97" t="s">
        <v>50</v>
      </c>
      <c r="AB23" s="97" t="s">
        <v>46</v>
      </c>
      <c r="AC23" s="97" t="s">
        <v>51</v>
      </c>
      <c r="AD23" s="98" t="s">
        <v>41</v>
      </c>
      <c r="AE23" s="99" t="s">
        <v>42</v>
      </c>
      <c r="AF23" s="128"/>
      <c r="AG23" s="124"/>
    </row>
    <row r="24" spans="9:33" x14ac:dyDescent="0.25">
      <c r="I24" s="135" t="s">
        <v>66</v>
      </c>
      <c r="J24" s="13">
        <v>717</v>
      </c>
      <c r="K24" s="13">
        <v>587</v>
      </c>
      <c r="L24" s="14">
        <f t="shared" ref="L24:L25" si="11">(J24-K24)*2.3681</f>
        <v>307.85300000000001</v>
      </c>
      <c r="M24" s="13">
        <v>349.1</v>
      </c>
      <c r="N24" s="13">
        <f>M24*$B$1/10</f>
        <v>394.83210000000003</v>
      </c>
      <c r="O24" s="13">
        <v>359.9</v>
      </c>
      <c r="P24" s="13">
        <f>O24*$B$1/10</f>
        <v>407.04689999999999</v>
      </c>
      <c r="Q24" s="115">
        <f t="shared" ref="Q24:Q25" si="12">(($G$7/COS(RADIANS(0))*N24)+(1/COS(RADIANS(15))*P24))</f>
        <v>787.35613690715036</v>
      </c>
      <c r="R24" s="136">
        <f>L24*10^3/Q24</f>
        <v>390.99587285785498</v>
      </c>
      <c r="S24" s="5"/>
      <c r="T24" s="124">
        <f>($R$21-R24)^2</f>
        <v>6594.5500721584394</v>
      </c>
      <c r="V24" s="100" t="s">
        <v>66</v>
      </c>
      <c r="W24" s="86"/>
      <c r="X24" s="39"/>
      <c r="Y24" s="40">
        <f>(W25-X24)*2.3681</f>
        <v>0</v>
      </c>
      <c r="Z24" s="39"/>
      <c r="AA24" s="39">
        <f>Z24*$B$1/10</f>
        <v>0</v>
      </c>
      <c r="AB24" s="39"/>
      <c r="AC24" s="49">
        <f>AB24*$B$1/10</f>
        <v>0</v>
      </c>
      <c r="AD24" s="115">
        <f>(($H$6/COS(RADIANS(0))*AA24)+(1/COS(RADIANS(15)*AC24)))</f>
        <v>1</v>
      </c>
      <c r="AE24" s="42">
        <f>Y24*10^3/AD24</f>
        <v>0</v>
      </c>
      <c r="AF24" s="128"/>
      <c r="AG24" s="124"/>
    </row>
    <row r="25" spans="9:33" ht="15.75" thickBot="1" x14ac:dyDescent="0.3">
      <c r="I25" s="133" t="s">
        <v>67</v>
      </c>
      <c r="J25" s="15">
        <v>717</v>
      </c>
      <c r="K25" s="15">
        <v>586</v>
      </c>
      <c r="L25" s="16">
        <f t="shared" si="11"/>
        <v>310.22110000000004</v>
      </c>
      <c r="M25" s="15">
        <v>349.1</v>
      </c>
      <c r="N25" s="15">
        <f>M25*$B$1/10</f>
        <v>394.83210000000003</v>
      </c>
      <c r="O25" s="15">
        <v>359.9</v>
      </c>
      <c r="P25" s="15">
        <f>O25*$B$1/10</f>
        <v>407.04689999999999</v>
      </c>
      <c r="Q25" s="115">
        <f t="shared" si="12"/>
        <v>787.35613690715036</v>
      </c>
      <c r="R25" s="134">
        <f>L25*10^3/Q25</f>
        <v>394.00353341830004</v>
      </c>
      <c r="S25" s="5"/>
      <c r="T25" s="124">
        <f t="shared" ref="T25" si="13">($R$21-R25)^2</f>
        <v>6115.1109036750377</v>
      </c>
      <c r="V25" s="102" t="s">
        <v>67</v>
      </c>
      <c r="W25" s="36"/>
      <c r="X25" s="15"/>
      <c r="Y25" s="16">
        <f>(W25-X25)*2.3681</f>
        <v>0</v>
      </c>
      <c r="Z25" s="111"/>
      <c r="AA25" s="15">
        <f>Z25*$B$1/10</f>
        <v>0</v>
      </c>
      <c r="AB25" s="111"/>
      <c r="AC25" s="32">
        <f>AB25*$B$1/10</f>
        <v>0</v>
      </c>
      <c r="AD25" s="116">
        <f>(($H$6/COS(RADIANS(0))*AA25)+(1/COS(RADIANS(15)*AC25)))</f>
        <v>1</v>
      </c>
      <c r="AE25" s="35">
        <f>Y25*10^3/AD25</f>
        <v>0</v>
      </c>
      <c r="AF25" s="129"/>
      <c r="AG25" s="126"/>
    </row>
    <row r="26" spans="9:33" ht="15.75" thickBot="1" x14ac:dyDescent="0.3">
      <c r="I26" s="142"/>
      <c r="J26" s="129"/>
      <c r="K26" s="129"/>
      <c r="L26" s="129"/>
      <c r="M26" s="129"/>
      <c r="N26" s="129"/>
      <c r="O26" s="129"/>
      <c r="P26" s="129"/>
      <c r="Q26" s="129"/>
      <c r="R26" s="143">
        <f>SUM(R22:R25)/2</f>
        <v>392.49970313807751</v>
      </c>
      <c r="S26" s="130" t="s">
        <v>69</v>
      </c>
      <c r="T26" s="131">
        <f>SQRT(SUM(T24:T25))</f>
        <v>112.73713219624436</v>
      </c>
    </row>
    <row r="27" spans="9:33" ht="15.75" thickBot="1" x14ac:dyDescent="0.3"/>
    <row r="28" spans="9:33" ht="45.75" thickBot="1" x14ac:dyDescent="0.3">
      <c r="I28" s="113" t="s">
        <v>15</v>
      </c>
      <c r="J28" s="87" t="s">
        <v>54</v>
      </c>
      <c r="K28" s="88" t="s">
        <v>55</v>
      </c>
      <c r="L28" s="88" t="s">
        <v>39</v>
      </c>
      <c r="M28" s="88" t="s">
        <v>43</v>
      </c>
      <c r="N28" s="88" t="s">
        <v>50</v>
      </c>
      <c r="O28" s="88" t="s">
        <v>46</v>
      </c>
      <c r="P28" s="88" t="s">
        <v>51</v>
      </c>
      <c r="Q28" s="89" t="s">
        <v>41</v>
      </c>
      <c r="R28" s="90" t="s">
        <v>42</v>
      </c>
      <c r="S28" s="127"/>
      <c r="T28" s="123"/>
    </row>
    <row r="29" spans="9:33" x14ac:dyDescent="0.25">
      <c r="I29" s="91" t="s">
        <v>58</v>
      </c>
      <c r="J29" s="107"/>
      <c r="K29" s="108"/>
      <c r="L29" s="40">
        <f>(J29-K29)*2.3681</f>
        <v>0</v>
      </c>
      <c r="M29" s="39"/>
      <c r="N29" s="49">
        <f>M29*$B$1/10</f>
        <v>0</v>
      </c>
      <c r="O29" s="39"/>
      <c r="P29" s="49">
        <f>O29*$B$1/10</f>
        <v>0</v>
      </c>
      <c r="Q29" s="115">
        <f>(($H$6/COS(RADIANS(0))*N29)+(1/COS(RADIANS(15)*P29)))</f>
        <v>1</v>
      </c>
      <c r="R29" s="109">
        <f>L29*10^3/Q29</f>
        <v>0</v>
      </c>
      <c r="S29" s="128"/>
      <c r="T29" s="124"/>
    </row>
    <row r="30" spans="9:33" x14ac:dyDescent="0.25">
      <c r="I30" s="92" t="s">
        <v>59</v>
      </c>
      <c r="J30" s="47"/>
      <c r="K30" s="13"/>
      <c r="L30" s="14">
        <f t="shared" ref="L30:L32" si="14">(J30-K30)*2.3681</f>
        <v>0</v>
      </c>
      <c r="M30" s="39"/>
      <c r="N30" s="17">
        <f>M30*$B$1/10</f>
        <v>0</v>
      </c>
      <c r="O30" s="39"/>
      <c r="P30" s="17">
        <f>O30*$B$1/10</f>
        <v>0</v>
      </c>
      <c r="Q30" s="115">
        <f>(($H$6/COS(RADIANS(0))*N30)+(1/COS(RADIANS(15)*P30)))</f>
        <v>1</v>
      </c>
      <c r="R30" s="34">
        <f>L30*10^3/Q30</f>
        <v>0</v>
      </c>
      <c r="S30" s="128"/>
      <c r="T30" s="124"/>
    </row>
    <row r="31" spans="9:33" x14ac:dyDescent="0.25">
      <c r="I31" s="92" t="s">
        <v>60</v>
      </c>
      <c r="J31" s="47"/>
      <c r="K31" s="13"/>
      <c r="L31" s="14">
        <f t="shared" si="14"/>
        <v>0</v>
      </c>
      <c r="M31" s="39"/>
      <c r="N31" s="17">
        <f>M31*$B$1/10</f>
        <v>0</v>
      </c>
      <c r="O31" s="39"/>
      <c r="P31" s="17">
        <f>O31*$B$1/10</f>
        <v>0</v>
      </c>
      <c r="Q31" s="115">
        <f>(($H$6/COS(RADIANS(0))*N31)+(1/COS(RADIANS(15)*P31)))</f>
        <v>1</v>
      </c>
      <c r="R31" s="34">
        <f>L31*10^3/Q31</f>
        <v>0</v>
      </c>
      <c r="S31" s="128"/>
      <c r="T31" s="124"/>
    </row>
    <row r="32" spans="9:33" ht="15.75" thickBot="1" x14ac:dyDescent="0.3">
      <c r="I32" s="93" t="s">
        <v>61</v>
      </c>
      <c r="J32" s="36"/>
      <c r="K32" s="15"/>
      <c r="L32" s="16">
        <f t="shared" si="14"/>
        <v>0</v>
      </c>
      <c r="M32" s="111"/>
      <c r="N32" s="32">
        <f>M32*$B$1/10</f>
        <v>0</v>
      </c>
      <c r="O32" s="111"/>
      <c r="P32" s="32">
        <f>O32*$B$1/10</f>
        <v>0</v>
      </c>
      <c r="Q32" s="116">
        <f>(($H$6/COS(RADIANS(0))*N32)+(1/COS(RADIANS(15)*P32)))</f>
        <v>1</v>
      </c>
      <c r="R32" s="35">
        <f>L32*10^3/Q32</f>
        <v>0</v>
      </c>
      <c r="S32" s="128"/>
      <c r="T32" s="124"/>
    </row>
    <row r="33" spans="9:20" x14ac:dyDescent="0.25">
      <c r="I33" s="125"/>
      <c r="J33" s="5"/>
      <c r="K33" s="5"/>
      <c r="L33" s="5"/>
      <c r="M33" s="5"/>
      <c r="N33" s="5"/>
      <c r="O33" s="5"/>
      <c r="P33" s="5"/>
      <c r="Q33" s="5"/>
      <c r="R33" s="5"/>
      <c r="S33" s="128"/>
      <c r="T33" s="124"/>
    </row>
    <row r="34" spans="9:20" ht="15.75" thickBot="1" x14ac:dyDescent="0.3">
      <c r="I34" s="125"/>
      <c r="J34" s="5"/>
      <c r="K34" s="5"/>
      <c r="L34" s="5"/>
      <c r="M34" s="5"/>
      <c r="N34" s="5"/>
      <c r="O34" s="5"/>
      <c r="P34" s="5"/>
      <c r="Q34" s="5"/>
      <c r="R34" s="5"/>
      <c r="S34" s="128"/>
      <c r="T34" s="124"/>
    </row>
    <row r="35" spans="9:20" ht="45.75" thickBot="1" x14ac:dyDescent="0.3">
      <c r="I35" s="113" t="s">
        <v>62</v>
      </c>
      <c r="J35" s="87" t="s">
        <v>54</v>
      </c>
      <c r="K35" s="88" t="s">
        <v>55</v>
      </c>
      <c r="L35" s="88" t="s">
        <v>39</v>
      </c>
      <c r="M35" s="88" t="s">
        <v>43</v>
      </c>
      <c r="N35" s="88" t="s">
        <v>50</v>
      </c>
      <c r="O35" s="88" t="s">
        <v>46</v>
      </c>
      <c r="P35" s="88" t="s">
        <v>51</v>
      </c>
      <c r="Q35" s="89" t="s">
        <v>41</v>
      </c>
      <c r="R35" s="90" t="s">
        <v>42</v>
      </c>
      <c r="S35" s="128"/>
      <c r="T35" s="124"/>
    </row>
    <row r="36" spans="9:20" x14ac:dyDescent="0.25">
      <c r="I36" s="91" t="s">
        <v>63</v>
      </c>
      <c r="J36" s="46"/>
      <c r="K36" s="39"/>
      <c r="L36" s="40">
        <f>(J36-K36)*2.3681</f>
        <v>0</v>
      </c>
      <c r="M36" s="39"/>
      <c r="N36" s="49">
        <f>M36*$B$1/10</f>
        <v>0</v>
      </c>
      <c r="O36" s="39"/>
      <c r="P36" s="49">
        <f>O36*$B$1/10</f>
        <v>0</v>
      </c>
      <c r="Q36" s="115">
        <f>(($H$6/COS(RADIANS(0))*N36)+(1/COS(RADIANS(15)*P36)))</f>
        <v>1</v>
      </c>
      <c r="R36" s="42">
        <f>L36*10^3/Q36</f>
        <v>0</v>
      </c>
      <c r="S36" s="128"/>
      <c r="T36" s="124"/>
    </row>
    <row r="37" spans="9:20" ht="15.75" thickBot="1" x14ac:dyDescent="0.3">
      <c r="I37" s="93" t="s">
        <v>64</v>
      </c>
      <c r="J37" s="105"/>
      <c r="K37" s="106"/>
      <c r="L37" s="16">
        <f t="shared" ref="L37" si="15">(J37-K37)*2.3681</f>
        <v>0</v>
      </c>
      <c r="M37" s="111"/>
      <c r="N37" s="32">
        <f>M37*$B$1/10</f>
        <v>0</v>
      </c>
      <c r="O37" s="111"/>
      <c r="P37" s="32">
        <f>O37*$B$1/10</f>
        <v>0</v>
      </c>
      <c r="Q37" s="116">
        <f>(($H$6/COS(RADIANS(0))*N37)+(1/COS(RADIANS(15)*P37)))</f>
        <v>1</v>
      </c>
      <c r="R37" s="110">
        <f>L37*10^3/Q37</f>
        <v>0</v>
      </c>
      <c r="S37" s="128"/>
      <c r="T37" s="124"/>
    </row>
    <row r="38" spans="9:20" x14ac:dyDescent="0.25">
      <c r="I38" s="125"/>
      <c r="J38" s="5"/>
      <c r="K38" s="5"/>
      <c r="L38" s="5"/>
      <c r="M38" s="5"/>
      <c r="N38" s="5"/>
      <c r="O38" s="5"/>
      <c r="P38" s="5"/>
      <c r="Q38" s="5"/>
      <c r="R38" s="5"/>
      <c r="S38" s="128"/>
      <c r="T38" s="124"/>
    </row>
    <row r="39" spans="9:20" ht="15.75" thickBot="1" x14ac:dyDescent="0.3">
      <c r="I39" s="125"/>
      <c r="J39" s="5"/>
      <c r="K39" s="5"/>
      <c r="L39" s="5"/>
      <c r="M39" s="5"/>
      <c r="N39" s="5"/>
      <c r="O39" s="5"/>
      <c r="P39" s="5"/>
      <c r="Q39" s="5"/>
      <c r="R39" s="5"/>
      <c r="S39" s="128"/>
      <c r="T39" s="124"/>
    </row>
    <row r="40" spans="9:20" ht="45.75" thickBot="1" x14ac:dyDescent="0.3">
      <c r="I40" s="113" t="s">
        <v>65</v>
      </c>
      <c r="J40" s="87" t="s">
        <v>54</v>
      </c>
      <c r="K40" s="88" t="s">
        <v>55</v>
      </c>
      <c r="L40" s="88" t="s">
        <v>39</v>
      </c>
      <c r="M40" s="88" t="s">
        <v>43</v>
      </c>
      <c r="N40" s="88" t="s">
        <v>50</v>
      </c>
      <c r="O40" s="88" t="s">
        <v>46</v>
      </c>
      <c r="P40" s="88" t="s">
        <v>51</v>
      </c>
      <c r="Q40" s="89" t="s">
        <v>41</v>
      </c>
      <c r="R40" s="90" t="s">
        <v>42</v>
      </c>
      <c r="S40" s="128"/>
      <c r="T40" s="124"/>
    </row>
    <row r="41" spans="9:20" x14ac:dyDescent="0.25">
      <c r="I41" s="91" t="s">
        <v>66</v>
      </c>
      <c r="J41" s="86"/>
      <c r="K41" s="39"/>
      <c r="L41" s="40">
        <f>(J42-K41)*2.3681</f>
        <v>0</v>
      </c>
      <c r="M41" s="39"/>
      <c r="N41" s="49">
        <f>M41*$B$1/10</f>
        <v>0</v>
      </c>
      <c r="O41" s="39"/>
      <c r="P41" s="49">
        <f>O41*$B$1/10</f>
        <v>0</v>
      </c>
      <c r="Q41" s="115">
        <f>(($H$6/COS(RADIANS(0))*N41)+(1/COS(RADIANS(15)*P41)))</f>
        <v>1</v>
      </c>
      <c r="R41" s="42">
        <f>L41*10^3/Q41</f>
        <v>0</v>
      </c>
      <c r="S41" s="128"/>
      <c r="T41" s="124"/>
    </row>
    <row r="42" spans="9:20" ht="15.75" thickBot="1" x14ac:dyDescent="0.3">
      <c r="I42" s="93" t="s">
        <v>67</v>
      </c>
      <c r="J42" s="36"/>
      <c r="K42" s="15"/>
      <c r="L42" s="16">
        <f>(J42-K42)*2.3681</f>
        <v>0</v>
      </c>
      <c r="M42" s="111"/>
      <c r="N42" s="32">
        <f>M42*$B$1/10</f>
        <v>0</v>
      </c>
      <c r="O42" s="111"/>
      <c r="P42" s="32">
        <f>O42*$B$1/10</f>
        <v>0</v>
      </c>
      <c r="Q42" s="116">
        <f>(($H$6/COS(RADIANS(0))*N42)+(1/COS(RADIANS(15)*P42)))</f>
        <v>1</v>
      </c>
      <c r="R42" s="35">
        <f>L42*10^3/Q42</f>
        <v>0</v>
      </c>
      <c r="S42" s="129"/>
      <c r="T42" s="126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topLeftCell="C1" zoomScaleNormal="100" workbookViewId="0">
      <selection activeCell="AF23" sqref="AF23:AF24"/>
    </sheetView>
  </sheetViews>
  <sheetFormatPr defaultColWidth="8.5703125" defaultRowHeight="15" x14ac:dyDescent="0.25"/>
  <cols>
    <col min="1" max="1" width="8.28515625" bestFit="1" customWidth="1"/>
    <col min="5" max="5" width="12.42578125" customWidth="1"/>
    <col min="6" max="6" width="9.140625" customWidth="1"/>
    <col min="7" max="7" width="12" bestFit="1" customWidth="1"/>
    <col min="10" max="10" width="15.42578125" customWidth="1"/>
    <col min="11" max="11" width="7.28515625" bestFit="1" customWidth="1"/>
    <col min="12" max="13" width="8" bestFit="1" customWidth="1"/>
    <col min="14" max="14" width="7.7109375" bestFit="1" customWidth="1"/>
    <col min="15" max="16" width="15.28515625" bestFit="1" customWidth="1"/>
    <col min="17" max="18" width="19.7109375" bestFit="1" customWidth="1"/>
    <col min="19" max="19" width="8.5703125" bestFit="1" customWidth="1"/>
    <col min="20" max="20" width="6.7109375" bestFit="1" customWidth="1"/>
    <col min="22" max="22" width="5" bestFit="1" customWidth="1"/>
    <col min="23" max="23" width="7.42578125" bestFit="1" customWidth="1"/>
    <col min="24" max="24" width="8.140625" customWidth="1"/>
    <col min="25" max="25" width="8" bestFit="1" customWidth="1"/>
    <col min="26" max="26" width="7.42578125" bestFit="1" customWidth="1"/>
    <col min="27" max="27" width="7.7109375" bestFit="1" customWidth="1"/>
    <col min="28" max="29" width="15.28515625" bestFit="1" customWidth="1"/>
    <col min="30" max="31" width="19.7109375" bestFit="1" customWidth="1"/>
    <col min="32" max="32" width="8.5703125" bestFit="1" customWidth="1"/>
    <col min="33" max="33" width="5.28515625" bestFit="1" customWidth="1"/>
    <col min="34" max="35" width="7.42578125" bestFit="1" customWidth="1"/>
    <col min="37" max="38" width="14.42578125" bestFit="1" customWidth="1"/>
    <col min="39" max="40" width="18.85546875" bestFit="1" customWidth="1"/>
    <col min="41" max="41" width="7.85546875" bestFit="1" customWidth="1"/>
    <col min="42" max="42" width="6.140625" bestFit="1" customWidth="1"/>
  </cols>
  <sheetData>
    <row r="1" spans="1:35" ht="15.75" thickBot="1" x14ac:dyDescent="0.3">
      <c r="A1" s="52" t="s">
        <v>28</v>
      </c>
      <c r="B1" s="20">
        <v>2000</v>
      </c>
      <c r="C1" s="53" t="s">
        <v>29</v>
      </c>
    </row>
    <row r="2" spans="1:35" ht="45.75" thickBot="1" x14ac:dyDescent="0.3">
      <c r="A2" s="54" t="s">
        <v>53</v>
      </c>
      <c r="B2" s="22">
        <v>11.31</v>
      </c>
      <c r="C2" s="55" t="s">
        <v>45</v>
      </c>
      <c r="G2" s="10" t="s">
        <v>40</v>
      </c>
    </row>
    <row r="3" spans="1:35" ht="45.75" thickBot="1" x14ac:dyDescent="0.3">
      <c r="C3" s="83" t="s">
        <v>30</v>
      </c>
      <c r="D3" s="84" t="s">
        <v>31</v>
      </c>
      <c r="E3" s="84" t="s">
        <v>32</v>
      </c>
      <c r="F3" s="84" t="s">
        <v>52</v>
      </c>
      <c r="G3" s="84" t="s">
        <v>49</v>
      </c>
      <c r="H3" s="85" t="s">
        <v>33</v>
      </c>
    </row>
    <row r="4" spans="1:35" ht="15.75" thickBot="1" x14ac:dyDescent="0.3">
      <c r="C4" s="27" t="s">
        <v>34</v>
      </c>
      <c r="D4" s="79">
        <v>8</v>
      </c>
      <c r="E4" s="80">
        <v>15.999000000000001</v>
      </c>
      <c r="F4" s="63">
        <f t="shared" ref="F4:F9" si="0">((SQRT(1-(1/E4)^2*SIN(RADIANS(165))^2)+1/E4*COS(RADIANS(165)))/(1+1/E4))^2</f>
        <v>0.78185798881983415</v>
      </c>
      <c r="G4" s="81">
        <f>$B$1*F4</f>
        <v>1563.7159776396684</v>
      </c>
      <c r="H4" s="82">
        <v>632</v>
      </c>
      <c r="S4" s="147" t="s">
        <v>4</v>
      </c>
      <c r="T4" s="165"/>
      <c r="U4" s="166" t="s">
        <v>68</v>
      </c>
      <c r="V4" s="167"/>
      <c r="W4" s="166"/>
      <c r="X4" s="166" t="s">
        <v>70</v>
      </c>
      <c r="Y4" s="167"/>
    </row>
    <row r="5" spans="1:35" x14ac:dyDescent="0.25">
      <c r="C5" s="28" t="s">
        <v>35</v>
      </c>
      <c r="D5" s="61">
        <v>14</v>
      </c>
      <c r="E5" s="62">
        <v>28.085000000000001</v>
      </c>
      <c r="F5" s="63">
        <f t="shared" si="0"/>
        <v>0.86930741306534087</v>
      </c>
      <c r="G5" s="64">
        <f>$B$1*F5</f>
        <v>1738.6148261306816</v>
      </c>
      <c r="H5" s="65">
        <v>701</v>
      </c>
      <c r="S5" s="151">
        <v>1</v>
      </c>
      <c r="T5" s="168">
        <f>T15</f>
        <v>435.04175003601586</v>
      </c>
      <c r="U5" s="154" t="s">
        <v>69</v>
      </c>
      <c r="V5" s="169">
        <f>V15</f>
        <v>32.381154899971555</v>
      </c>
      <c r="W5" s="170">
        <f>T5*344.092/0.30397*10^(-6)</f>
        <v>0.49246434139353473</v>
      </c>
      <c r="X5" s="154" t="s">
        <v>69</v>
      </c>
      <c r="Y5" s="174">
        <f>V5*344.092/0.30397*10^(-6)</f>
        <v>3.6655250030730044E-2</v>
      </c>
    </row>
    <row r="6" spans="1:35" x14ac:dyDescent="0.25">
      <c r="C6" s="29" t="s">
        <v>36</v>
      </c>
      <c r="D6" s="66">
        <v>23</v>
      </c>
      <c r="E6" s="67">
        <v>50.942</v>
      </c>
      <c r="F6" s="63">
        <f t="shared" si="0"/>
        <v>0.9257111865667883</v>
      </c>
      <c r="G6" s="68">
        <f>$B$1*F6</f>
        <v>1851.4223731335767</v>
      </c>
      <c r="H6" s="69">
        <v>753</v>
      </c>
      <c r="I6" s="9"/>
      <c r="S6" s="151">
        <v>3</v>
      </c>
      <c r="T6" s="168">
        <f>T20</f>
        <v>433.00851133754992</v>
      </c>
      <c r="U6" s="154" t="s">
        <v>69</v>
      </c>
      <c r="V6" s="169">
        <f>V20</f>
        <v>0</v>
      </c>
      <c r="W6" s="170">
        <f t="shared" ref="W6:W7" si="1">T6*344.092/0.30397*10^(-6)</f>
        <v>0.49016272883231971</v>
      </c>
      <c r="X6" s="154" t="s">
        <v>69</v>
      </c>
      <c r="Y6" s="174">
        <f t="shared" ref="Y6:Y7" si="2">V6*344.092/0.30397*10^(-6)</f>
        <v>0</v>
      </c>
    </row>
    <row r="7" spans="1:35" ht="15.75" thickBot="1" x14ac:dyDescent="0.3">
      <c r="C7" s="30" t="s">
        <v>37</v>
      </c>
      <c r="D7" s="70">
        <v>41</v>
      </c>
      <c r="E7" s="71">
        <v>92.906000000000006</v>
      </c>
      <c r="F7" s="63">
        <f t="shared" si="0"/>
        <v>0.95856067934676659</v>
      </c>
      <c r="G7" s="72">
        <f>$B$1*F7</f>
        <v>1917.1213586935332</v>
      </c>
      <c r="H7" s="73">
        <v>779</v>
      </c>
      <c r="S7" s="152">
        <v>4</v>
      </c>
      <c r="T7" s="171">
        <f>T25</f>
        <v>387.42866803886045</v>
      </c>
      <c r="U7" s="160" t="s">
        <v>69</v>
      </c>
      <c r="V7" s="172">
        <f>V25</f>
        <v>0</v>
      </c>
      <c r="W7" s="173">
        <f t="shared" si="1"/>
        <v>0.43856665211312806</v>
      </c>
      <c r="X7" s="160" t="s">
        <v>69</v>
      </c>
      <c r="Y7" s="175">
        <f t="shared" si="2"/>
        <v>0</v>
      </c>
    </row>
    <row r="8" spans="1:35" ht="15.75" thickBot="1" x14ac:dyDescent="0.3">
      <c r="C8" s="31" t="s">
        <v>38</v>
      </c>
      <c r="D8" s="74">
        <v>73</v>
      </c>
      <c r="E8" s="75">
        <v>180.95</v>
      </c>
      <c r="F8" s="76">
        <f t="shared" si="0"/>
        <v>0.97850521298958393</v>
      </c>
      <c r="G8" s="77">
        <f>$B$1*F8</f>
        <v>1957.0104259791678</v>
      </c>
      <c r="H8" s="78">
        <v>796</v>
      </c>
      <c r="J8" s="11"/>
    </row>
    <row r="9" spans="1:35" ht="15.75" thickBot="1" x14ac:dyDescent="0.3">
      <c r="C9" s="60" t="s">
        <v>44</v>
      </c>
      <c r="D9" s="56">
        <v>82</v>
      </c>
      <c r="E9" s="56">
        <v>207.2</v>
      </c>
      <c r="F9" s="57">
        <f t="shared" si="0"/>
        <v>0.9812026480871997</v>
      </c>
      <c r="G9" s="58">
        <f t="shared" ref="G9" si="3">$B$1*F9</f>
        <v>1962.4052961743994</v>
      </c>
      <c r="H9" s="117">
        <f>(G9-62.245)/2.381</f>
        <v>798.05136336598059</v>
      </c>
    </row>
    <row r="10" spans="1:35" ht="45.75" thickBot="1" x14ac:dyDescent="0.3">
      <c r="J10" s="4"/>
      <c r="K10" s="112" t="s">
        <v>15</v>
      </c>
      <c r="L10" s="95" t="s">
        <v>47</v>
      </c>
      <c r="M10" s="94" t="s">
        <v>48</v>
      </c>
      <c r="N10" s="43" t="s">
        <v>39</v>
      </c>
      <c r="O10" s="94" t="s">
        <v>43</v>
      </c>
      <c r="P10" s="43" t="s">
        <v>50</v>
      </c>
      <c r="Q10" s="94" t="s">
        <v>46</v>
      </c>
      <c r="R10" s="43" t="s">
        <v>51</v>
      </c>
      <c r="S10" s="44" t="s">
        <v>41</v>
      </c>
      <c r="T10" s="45" t="s">
        <v>42</v>
      </c>
      <c r="U10" s="127"/>
      <c r="V10" s="123"/>
      <c r="X10" s="114" t="s">
        <v>15</v>
      </c>
      <c r="Y10" s="96" t="s">
        <v>56</v>
      </c>
      <c r="Z10" s="97" t="s">
        <v>57</v>
      </c>
      <c r="AA10" s="97" t="s">
        <v>39</v>
      </c>
      <c r="AB10" s="97" t="s">
        <v>43</v>
      </c>
      <c r="AC10" s="97" t="s">
        <v>50</v>
      </c>
      <c r="AD10" s="97" t="s">
        <v>46</v>
      </c>
      <c r="AE10" s="97" t="s">
        <v>51</v>
      </c>
      <c r="AF10" s="98" t="s">
        <v>41</v>
      </c>
      <c r="AG10" s="99" t="s">
        <v>42</v>
      </c>
      <c r="AH10" s="127"/>
      <c r="AI10" s="123"/>
    </row>
    <row r="11" spans="1:35" x14ac:dyDescent="0.25">
      <c r="K11" s="37" t="s">
        <v>58</v>
      </c>
      <c r="L11" s="46">
        <v>794</v>
      </c>
      <c r="M11" s="39">
        <v>773</v>
      </c>
      <c r="N11" s="40">
        <f>(L11-M11)*2.381</f>
        <v>50.000999999999998</v>
      </c>
      <c r="O11" s="39">
        <v>45.37</v>
      </c>
      <c r="P11" s="49">
        <f>O11*$B$2/10</f>
        <v>51.313469999999995</v>
      </c>
      <c r="Q11" s="39">
        <v>45.81</v>
      </c>
      <c r="R11" s="50">
        <f>Q11*$B$2/10</f>
        <v>51.811110000000006</v>
      </c>
      <c r="S11" s="41">
        <f>(($F$9/COS(RADIANS(0))*P11)+(1/COS(RADIANS(15))*R11))</f>
        <v>103.98772071014974</v>
      </c>
      <c r="T11" s="42">
        <f>N11*10^3/S11</f>
        <v>480.83561846085968</v>
      </c>
      <c r="U11" s="128"/>
      <c r="V11" s="145">
        <f>($T$15-T11)^2</f>
        <v>2097.0783853119078</v>
      </c>
      <c r="X11" s="100" t="s">
        <v>58</v>
      </c>
      <c r="Y11" s="107"/>
      <c r="Z11" s="108"/>
      <c r="AA11" s="40">
        <f>(Y11-Z11)*2.381</f>
        <v>0</v>
      </c>
      <c r="AB11" s="39">
        <v>139.5</v>
      </c>
      <c r="AC11" s="49">
        <f>AB11*$B$2/10</f>
        <v>157.77450000000002</v>
      </c>
      <c r="AD11" s="39">
        <v>141.5</v>
      </c>
      <c r="AE11" s="50">
        <f>AD11*$B$2/10</f>
        <v>160.03649999999999</v>
      </c>
      <c r="AF11" s="41">
        <f t="shared" ref="AF11:AF14" si="4">(($F$9/COS(RADIANS(0))*AC11)+(1/COS(RADIANS(15))*AE11))</f>
        <v>320.49073364683215</v>
      </c>
      <c r="AG11" s="109">
        <f>AA11*10^3/AF11</f>
        <v>0</v>
      </c>
      <c r="AH11" s="128"/>
      <c r="AI11" s="124"/>
    </row>
    <row r="12" spans="1:35" x14ac:dyDescent="0.25">
      <c r="K12" s="48" t="s">
        <v>59</v>
      </c>
      <c r="L12" s="47">
        <v>792</v>
      </c>
      <c r="M12" s="13">
        <v>773</v>
      </c>
      <c r="N12" s="40">
        <f t="shared" ref="N12:N14" si="5">(L12-M12)*2.381</f>
        <v>45.238999999999997</v>
      </c>
      <c r="O12" s="39">
        <v>45.37</v>
      </c>
      <c r="P12" s="17">
        <f t="shared" ref="P12:P14" si="6">O12*$B$2/10</f>
        <v>51.313469999999995</v>
      </c>
      <c r="Q12" s="39">
        <v>45.81</v>
      </c>
      <c r="R12" s="18">
        <f t="shared" ref="R12:R14" si="7">Q12*$B$2/10</f>
        <v>51.811110000000006</v>
      </c>
      <c r="S12" s="41">
        <f t="shared" ref="S12:S14" si="8">(($F$9/COS(RADIANS(0))*P12)+(1/COS(RADIANS(15))*R12))</f>
        <v>103.98772071014974</v>
      </c>
      <c r="T12" s="34">
        <f>N12*10^3/S12</f>
        <v>435.04175003601591</v>
      </c>
      <c r="U12" s="128"/>
      <c r="V12" s="145">
        <f t="shared" ref="V12:V14" si="9">($T$15-T12)^2</f>
        <v>3.2311742677852644E-27</v>
      </c>
      <c r="X12" s="101" t="s">
        <v>59</v>
      </c>
      <c r="Y12" s="47">
        <v>579</v>
      </c>
      <c r="Z12" s="13">
        <v>573</v>
      </c>
      <c r="AA12" s="40">
        <f t="shared" ref="AA12:AA14" si="10">(Y12-Z12)*2.381</f>
        <v>14.285999999999998</v>
      </c>
      <c r="AB12" s="39">
        <v>139.5</v>
      </c>
      <c r="AC12" s="17">
        <f t="shared" ref="AC12:AC14" si="11">AB12*$B$2/10</f>
        <v>157.77450000000002</v>
      </c>
      <c r="AD12" s="39">
        <v>141.5</v>
      </c>
      <c r="AE12" s="18">
        <f t="shared" ref="AE12:AE14" si="12">AD12*$B$2/10</f>
        <v>160.03649999999999</v>
      </c>
      <c r="AF12" s="41">
        <f t="shared" si="4"/>
        <v>320.49073364683215</v>
      </c>
      <c r="AG12" s="34">
        <f>AA12*10^3/AF12</f>
        <v>44.575391735795371</v>
      </c>
      <c r="AH12" s="128"/>
      <c r="AI12" s="124"/>
    </row>
    <row r="13" spans="1:35" x14ac:dyDescent="0.25">
      <c r="K13" s="48" t="s">
        <v>60</v>
      </c>
      <c r="L13" s="47">
        <v>793</v>
      </c>
      <c r="M13" s="13">
        <v>775</v>
      </c>
      <c r="N13" s="40">
        <f t="shared" si="5"/>
        <v>42.857999999999997</v>
      </c>
      <c r="O13" s="39">
        <v>45.37</v>
      </c>
      <c r="P13" s="17">
        <f t="shared" si="6"/>
        <v>51.313469999999995</v>
      </c>
      <c r="Q13" s="39">
        <v>45.81</v>
      </c>
      <c r="R13" s="18">
        <f t="shared" si="7"/>
        <v>51.811110000000006</v>
      </c>
      <c r="S13" s="41">
        <f t="shared" si="8"/>
        <v>103.98772071014974</v>
      </c>
      <c r="T13" s="34">
        <f>N13*10^3/S13</f>
        <v>412.144815823594</v>
      </c>
      <c r="U13" s="128"/>
      <c r="V13" s="145">
        <f t="shared" si="9"/>
        <v>524.26959632797445</v>
      </c>
      <c r="X13" s="101" t="s">
        <v>60</v>
      </c>
      <c r="Y13" s="47">
        <v>581</v>
      </c>
      <c r="Z13" s="13">
        <v>574</v>
      </c>
      <c r="AA13" s="40">
        <f t="shared" si="10"/>
        <v>16.666999999999998</v>
      </c>
      <c r="AB13" s="39">
        <v>139.5</v>
      </c>
      <c r="AC13" s="17">
        <f t="shared" si="11"/>
        <v>157.77450000000002</v>
      </c>
      <c r="AD13" s="39">
        <v>141.5</v>
      </c>
      <c r="AE13" s="18">
        <f t="shared" si="12"/>
        <v>160.03649999999999</v>
      </c>
      <c r="AF13" s="41">
        <f t="shared" si="4"/>
        <v>320.49073364683215</v>
      </c>
      <c r="AG13" s="34">
        <f>AA13*10^3/AF13</f>
        <v>52.004623691761267</v>
      </c>
      <c r="AH13" s="128"/>
      <c r="AI13" s="124"/>
    </row>
    <row r="14" spans="1:35" ht="15.75" thickBot="1" x14ac:dyDescent="0.3">
      <c r="K14" s="38" t="s">
        <v>61</v>
      </c>
      <c r="L14" s="36">
        <v>793</v>
      </c>
      <c r="M14" s="15">
        <v>775</v>
      </c>
      <c r="N14" s="177">
        <f t="shared" si="5"/>
        <v>42.857999999999997</v>
      </c>
      <c r="O14" s="111">
        <v>45.37</v>
      </c>
      <c r="P14" s="32">
        <f t="shared" si="6"/>
        <v>51.313469999999995</v>
      </c>
      <c r="Q14" s="111">
        <v>45.81</v>
      </c>
      <c r="R14" s="33">
        <f t="shared" si="7"/>
        <v>51.811110000000006</v>
      </c>
      <c r="S14" s="41">
        <f t="shared" si="8"/>
        <v>103.98772071014974</v>
      </c>
      <c r="T14" s="35">
        <f>N14*10^3/S14</f>
        <v>412.144815823594</v>
      </c>
      <c r="U14" s="128"/>
      <c r="V14" s="145">
        <f t="shared" si="9"/>
        <v>524.26959632797445</v>
      </c>
      <c r="X14" s="102" t="s">
        <v>61</v>
      </c>
      <c r="Y14" s="36">
        <v>580</v>
      </c>
      <c r="Z14" s="15">
        <v>573</v>
      </c>
      <c r="AA14" s="177">
        <f t="shared" si="10"/>
        <v>16.666999999999998</v>
      </c>
      <c r="AB14" s="111">
        <v>139.5</v>
      </c>
      <c r="AC14" s="32">
        <f t="shared" si="11"/>
        <v>157.77450000000002</v>
      </c>
      <c r="AD14" s="111">
        <v>141.5</v>
      </c>
      <c r="AE14" s="33">
        <f t="shared" si="12"/>
        <v>160.03649999999999</v>
      </c>
      <c r="AF14" s="41">
        <f t="shared" si="4"/>
        <v>320.49073364683215</v>
      </c>
      <c r="AG14" s="35">
        <f>AA14*10^3/AF14</f>
        <v>52.004623691761267</v>
      </c>
      <c r="AH14" s="128"/>
      <c r="AI14" s="124"/>
    </row>
    <row r="15" spans="1:35" ht="15.75" thickBot="1" x14ac:dyDescent="0.3">
      <c r="K15" s="144"/>
      <c r="L15" s="128"/>
      <c r="M15" s="128"/>
      <c r="N15" s="128"/>
      <c r="O15" s="128"/>
      <c r="P15" s="128"/>
      <c r="Q15" s="128"/>
      <c r="R15" s="128"/>
      <c r="S15" s="128"/>
      <c r="T15" s="143">
        <f>SUM(T11:T14)/4</f>
        <v>435.04175003601586</v>
      </c>
      <c r="U15" s="130" t="s">
        <v>69</v>
      </c>
      <c r="V15" s="131">
        <f>SQRT(SUM(V11:V14)/3)</f>
        <v>32.381154899971555</v>
      </c>
      <c r="X15" s="125"/>
      <c r="Y15" s="5"/>
      <c r="Z15" s="5"/>
      <c r="AA15" s="5"/>
      <c r="AB15" s="5"/>
      <c r="AC15" s="5"/>
      <c r="AD15" s="5"/>
      <c r="AE15" s="5"/>
      <c r="AF15" s="5"/>
      <c r="AG15" s="5"/>
      <c r="AH15" s="128"/>
      <c r="AI15" s="124"/>
    </row>
    <row r="16" spans="1:35" ht="15.75" thickBot="1" x14ac:dyDescent="0.3">
      <c r="K16" s="144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4"/>
      <c r="X16" s="125"/>
      <c r="Y16" s="5"/>
      <c r="Z16" s="5"/>
      <c r="AA16" s="5"/>
      <c r="AB16" s="5"/>
      <c r="AC16" s="5"/>
      <c r="AD16" s="5"/>
      <c r="AE16" s="5"/>
      <c r="AF16" s="5"/>
      <c r="AG16" s="5"/>
      <c r="AH16" s="128"/>
      <c r="AI16" s="124"/>
    </row>
    <row r="17" spans="11:35" ht="45.75" thickBot="1" x14ac:dyDescent="0.3">
      <c r="K17" s="112" t="s">
        <v>62</v>
      </c>
      <c r="L17" s="95" t="s">
        <v>47</v>
      </c>
      <c r="M17" s="94" t="s">
        <v>48</v>
      </c>
      <c r="N17" s="43" t="s">
        <v>39</v>
      </c>
      <c r="O17" s="94" t="s">
        <v>43</v>
      </c>
      <c r="P17" s="43" t="s">
        <v>50</v>
      </c>
      <c r="Q17" s="94" t="s">
        <v>46</v>
      </c>
      <c r="R17" s="43" t="s">
        <v>51</v>
      </c>
      <c r="S17" s="44" t="s">
        <v>41</v>
      </c>
      <c r="T17" s="45" t="s">
        <v>42</v>
      </c>
      <c r="U17" s="128"/>
      <c r="V17" s="124"/>
      <c r="X17" s="114" t="s">
        <v>62</v>
      </c>
      <c r="Y17" s="96" t="s">
        <v>56</v>
      </c>
      <c r="Z17" s="97" t="s">
        <v>57</v>
      </c>
      <c r="AA17" s="97" t="s">
        <v>39</v>
      </c>
      <c r="AB17" s="97" t="s">
        <v>43</v>
      </c>
      <c r="AC17" s="97" t="s">
        <v>50</v>
      </c>
      <c r="AD17" s="97" t="s">
        <v>46</v>
      </c>
      <c r="AE17" s="97" t="s">
        <v>51</v>
      </c>
      <c r="AF17" s="98" t="s">
        <v>41</v>
      </c>
      <c r="AG17" s="99" t="s">
        <v>42</v>
      </c>
      <c r="AH17" s="128"/>
      <c r="AI17" s="124"/>
    </row>
    <row r="18" spans="11:35" x14ac:dyDescent="0.25">
      <c r="K18" s="37" t="s">
        <v>63</v>
      </c>
      <c r="L18" s="46">
        <v>790</v>
      </c>
      <c r="M18" s="39">
        <v>771</v>
      </c>
      <c r="N18" s="40">
        <f>(L18-M18)*2.381</f>
        <v>45.238999999999997</v>
      </c>
      <c r="O18" s="39">
        <v>45.81</v>
      </c>
      <c r="P18" s="39">
        <f>O18*$B$2/10</f>
        <v>51.811110000000006</v>
      </c>
      <c r="Q18" s="39">
        <v>45.81</v>
      </c>
      <c r="R18" s="39">
        <f>Q18*$B$2/10</f>
        <v>51.811110000000006</v>
      </c>
      <c r="S18" s="41">
        <f t="shared" ref="S18:S19" si="13">(($F$9/COS(RADIANS(0))*P18)+(1/COS(RADIANS(15))*R18))</f>
        <v>104.47600639594387</v>
      </c>
      <c r="T18" s="42">
        <f>N18*10^3/S18</f>
        <v>433.00851133754992</v>
      </c>
      <c r="U18" s="128"/>
      <c r="V18" s="145">
        <f>($T$20-T18)^2</f>
        <v>0</v>
      </c>
      <c r="X18" s="100" t="s">
        <v>63</v>
      </c>
      <c r="Y18" s="46">
        <v>580</v>
      </c>
      <c r="Z18" s="39">
        <v>571</v>
      </c>
      <c r="AA18" s="40">
        <f t="shared" ref="AA18:AA19" si="14">(Y18-Z18)*2.381</f>
        <v>21.428999999999998</v>
      </c>
      <c r="AB18" s="39">
        <v>139.5</v>
      </c>
      <c r="AC18" s="39">
        <f>AB18*$B$2/10</f>
        <v>157.77450000000002</v>
      </c>
      <c r="AD18" s="39">
        <v>141.5</v>
      </c>
      <c r="AE18" s="39">
        <f>AD18*$B$2/10</f>
        <v>160.03649999999999</v>
      </c>
      <c r="AF18" s="41">
        <f t="shared" ref="AF18:AF19" si="15">(($F$9/COS(RADIANS(0))*AC18)+(1/COS(RADIANS(15))*AE18))</f>
        <v>320.49073364683215</v>
      </c>
      <c r="AG18" s="42">
        <f>AA18*10^3/AF18</f>
        <v>66.863087603693074</v>
      </c>
      <c r="AH18" s="128"/>
      <c r="AI18" s="124"/>
    </row>
    <row r="19" spans="11:35" ht="15.75" thickBot="1" x14ac:dyDescent="0.3">
      <c r="K19" s="38" t="s">
        <v>64</v>
      </c>
      <c r="L19" s="103">
        <v>784</v>
      </c>
      <c r="M19" s="104">
        <v>765</v>
      </c>
      <c r="N19" s="177">
        <f>(L19-M19)*2.381</f>
        <v>45.238999999999997</v>
      </c>
      <c r="O19" s="111">
        <v>45.81</v>
      </c>
      <c r="P19" s="15">
        <f t="shared" ref="P19" si="16">O19*$B$2/10</f>
        <v>51.811110000000006</v>
      </c>
      <c r="Q19" s="111">
        <v>45.81</v>
      </c>
      <c r="R19" s="15">
        <f t="shared" ref="R19" si="17">Q19*$B$2/10</f>
        <v>51.811110000000006</v>
      </c>
      <c r="S19" s="41">
        <f t="shared" si="13"/>
        <v>104.47600639594387</v>
      </c>
      <c r="T19" s="35">
        <f>N19*10^3/S19</f>
        <v>433.00851133754992</v>
      </c>
      <c r="U19" s="128"/>
      <c r="V19" s="145">
        <f>($T$20-T19)^2</f>
        <v>0</v>
      </c>
      <c r="X19" s="102" t="s">
        <v>64</v>
      </c>
      <c r="Y19" s="105">
        <v>579</v>
      </c>
      <c r="Z19" s="106"/>
      <c r="AA19" s="177">
        <f t="shared" si="14"/>
        <v>1378.5989999999999</v>
      </c>
      <c r="AB19" s="111">
        <v>139.5</v>
      </c>
      <c r="AC19" s="15">
        <f t="shared" ref="AC19" si="18">AB19*$B$2/10</f>
        <v>157.77450000000002</v>
      </c>
      <c r="AD19" s="111">
        <v>141.5</v>
      </c>
      <c r="AE19" s="15">
        <f t="shared" ref="AE19" si="19">AD19*$B$2/10</f>
        <v>160.03649999999999</v>
      </c>
      <c r="AF19" s="41">
        <f t="shared" si="15"/>
        <v>320.49073364683215</v>
      </c>
      <c r="AG19" s="110">
        <f>AA19*10^3/AF19</f>
        <v>4301.5253025042539</v>
      </c>
      <c r="AH19" s="128"/>
      <c r="AI19" s="124"/>
    </row>
    <row r="20" spans="11:35" ht="15.75" thickBot="1" x14ac:dyDescent="0.3">
      <c r="K20" s="144"/>
      <c r="L20" s="128"/>
      <c r="M20" s="128"/>
      <c r="N20" s="128"/>
      <c r="O20" s="128"/>
      <c r="P20" s="128"/>
      <c r="Q20" s="128"/>
      <c r="R20" s="128"/>
      <c r="S20" s="128"/>
      <c r="T20" s="176">
        <f>SUM(T18:T19)/2</f>
        <v>433.00851133754992</v>
      </c>
      <c r="U20" s="130" t="s">
        <v>69</v>
      </c>
      <c r="V20" s="146">
        <f>SQRT(SUM(V18:V19))</f>
        <v>0</v>
      </c>
      <c r="X20" s="125"/>
      <c r="Y20" s="5"/>
      <c r="Z20" s="5"/>
      <c r="AA20" s="5"/>
      <c r="AB20" s="5"/>
      <c r="AC20" s="5"/>
      <c r="AD20" s="5"/>
      <c r="AE20" s="5"/>
      <c r="AF20" s="5"/>
      <c r="AG20" s="5"/>
      <c r="AH20" s="128"/>
      <c r="AI20" s="124"/>
    </row>
    <row r="21" spans="11:35" ht="15.75" thickBot="1" x14ac:dyDescent="0.3">
      <c r="K21" s="144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4"/>
      <c r="X21" s="125"/>
      <c r="Y21" s="5"/>
      <c r="Z21" s="5"/>
      <c r="AA21" s="5"/>
      <c r="AB21" s="5"/>
      <c r="AC21" s="5"/>
      <c r="AD21" s="5"/>
      <c r="AE21" s="5"/>
      <c r="AF21" s="5"/>
      <c r="AG21" s="5"/>
      <c r="AH21" s="128"/>
      <c r="AI21" s="124"/>
    </row>
    <row r="22" spans="11:35" ht="45.75" thickBot="1" x14ac:dyDescent="0.3">
      <c r="K22" s="112" t="s">
        <v>65</v>
      </c>
      <c r="L22" s="95" t="s">
        <v>47</v>
      </c>
      <c r="M22" s="94" t="s">
        <v>48</v>
      </c>
      <c r="N22" s="43" t="s">
        <v>39</v>
      </c>
      <c r="O22" s="94" t="s">
        <v>43</v>
      </c>
      <c r="P22" s="43" t="s">
        <v>50</v>
      </c>
      <c r="Q22" s="94" t="s">
        <v>46</v>
      </c>
      <c r="R22" s="43" t="s">
        <v>51</v>
      </c>
      <c r="S22" s="44" t="s">
        <v>41</v>
      </c>
      <c r="T22" s="45" t="s">
        <v>42</v>
      </c>
      <c r="U22" s="128"/>
      <c r="V22" s="124"/>
      <c r="X22" s="114" t="s">
        <v>65</v>
      </c>
      <c r="Y22" s="96" t="s">
        <v>56</v>
      </c>
      <c r="Z22" s="97" t="s">
        <v>57</v>
      </c>
      <c r="AA22" s="97" t="s">
        <v>39</v>
      </c>
      <c r="AB22" s="97" t="s">
        <v>43</v>
      </c>
      <c r="AC22" s="97" t="s">
        <v>50</v>
      </c>
      <c r="AD22" s="97" t="s">
        <v>46</v>
      </c>
      <c r="AE22" s="97" t="s">
        <v>51</v>
      </c>
      <c r="AF22" s="98" t="s">
        <v>41</v>
      </c>
      <c r="AG22" s="99" t="s">
        <v>42</v>
      </c>
      <c r="AH22" s="128"/>
      <c r="AI22" s="124"/>
    </row>
    <row r="23" spans="11:35" x14ac:dyDescent="0.25">
      <c r="K23" s="37" t="s">
        <v>66</v>
      </c>
      <c r="L23" s="51">
        <v>793</v>
      </c>
      <c r="M23" s="39">
        <v>776</v>
      </c>
      <c r="N23" s="40">
        <f>(L23-M23)*2.381</f>
        <v>40.476999999999997</v>
      </c>
      <c r="O23" s="39">
        <v>45.81</v>
      </c>
      <c r="P23" s="39">
        <f>O23*$B$2/10</f>
        <v>51.811110000000006</v>
      </c>
      <c r="Q23" s="39">
        <v>45.81</v>
      </c>
      <c r="R23" s="39">
        <f>Q23*$B$2/10</f>
        <v>51.811110000000006</v>
      </c>
      <c r="S23" s="41">
        <f t="shared" ref="S23:S24" si="20">(($F$9/COS(RADIANS(0))*P23)+(1/COS(RADIANS(15))*R23))</f>
        <v>104.47600639594387</v>
      </c>
      <c r="T23" s="42">
        <f>N23*10^3/S23</f>
        <v>387.42866803886045</v>
      </c>
      <c r="U23" s="128"/>
      <c r="V23" s="145">
        <f>($T$25-T23)^2</f>
        <v>0</v>
      </c>
      <c r="X23" s="100" t="s">
        <v>66</v>
      </c>
      <c r="Y23" s="86">
        <v>580</v>
      </c>
      <c r="Z23" s="39">
        <v>575</v>
      </c>
      <c r="AA23" s="40">
        <f t="shared" ref="AA23:AA24" si="21">(Y23-Z23)*2.381</f>
        <v>11.904999999999999</v>
      </c>
      <c r="AB23" s="39">
        <v>139.5</v>
      </c>
      <c r="AC23" s="39">
        <f>AB23*$B$2/10</f>
        <v>157.77450000000002</v>
      </c>
      <c r="AD23" s="39">
        <v>141.5</v>
      </c>
      <c r="AE23" s="39">
        <f>AD23*$B$2/10</f>
        <v>160.03649999999999</v>
      </c>
      <c r="AF23" s="41">
        <f t="shared" ref="AF23:AF24" si="22">(($F$9/COS(RADIANS(0))*AC23)+(1/COS(RADIANS(15))*AE23))</f>
        <v>320.49073364683215</v>
      </c>
      <c r="AG23" s="42">
        <f>AA23*10^3/AF23</f>
        <v>37.146159779829482</v>
      </c>
      <c r="AH23" s="128"/>
      <c r="AI23" s="124"/>
    </row>
    <row r="24" spans="11:35" ht="15.75" thickBot="1" x14ac:dyDescent="0.3">
      <c r="K24" s="38" t="s">
        <v>67</v>
      </c>
      <c r="L24" s="36">
        <v>792</v>
      </c>
      <c r="M24" s="15">
        <v>775</v>
      </c>
      <c r="N24" s="177">
        <f>(L24-M24)*2.381</f>
        <v>40.476999999999997</v>
      </c>
      <c r="O24" s="111">
        <v>45.81</v>
      </c>
      <c r="P24" s="15">
        <f t="shared" ref="P24" si="23">O24*$B$2/10</f>
        <v>51.811110000000006</v>
      </c>
      <c r="Q24" s="111">
        <v>45.81</v>
      </c>
      <c r="R24" s="15">
        <f t="shared" ref="R24" si="24">Q24*$B$2/10</f>
        <v>51.811110000000006</v>
      </c>
      <c r="S24" s="41">
        <f t="shared" si="20"/>
        <v>104.47600639594387</v>
      </c>
      <c r="T24" s="35">
        <f>N24*10^3/S24</f>
        <v>387.42866803886045</v>
      </c>
      <c r="U24" s="128"/>
      <c r="V24" s="145">
        <f t="shared" ref="V24" si="25">($T$25-T24)^2</f>
        <v>0</v>
      </c>
      <c r="X24" s="102" t="s">
        <v>67</v>
      </c>
      <c r="Y24" s="36">
        <v>580</v>
      </c>
      <c r="Z24" s="15">
        <v>573</v>
      </c>
      <c r="AA24" s="177">
        <f t="shared" si="21"/>
        <v>16.666999999999998</v>
      </c>
      <c r="AB24" s="111">
        <v>139.5</v>
      </c>
      <c r="AC24" s="15">
        <f t="shared" ref="AC24" si="26">AB24*$B$2/10</f>
        <v>157.77450000000002</v>
      </c>
      <c r="AD24" s="111">
        <v>141.5</v>
      </c>
      <c r="AE24" s="15">
        <f t="shared" ref="AE24" si="27">AD24*$B$2/10</f>
        <v>160.03649999999999</v>
      </c>
      <c r="AF24" s="41">
        <f t="shared" si="22"/>
        <v>320.49073364683215</v>
      </c>
      <c r="AG24" s="35">
        <f>AA24*10^3/AF24</f>
        <v>52.004623691761267</v>
      </c>
      <c r="AH24" s="128"/>
      <c r="AI24" s="124"/>
    </row>
    <row r="25" spans="11:35" ht="15.75" thickBot="1" x14ac:dyDescent="0.3">
      <c r="K25" s="142"/>
      <c r="L25" s="129"/>
      <c r="M25" s="129"/>
      <c r="N25" s="129"/>
      <c r="O25" s="129"/>
      <c r="P25" s="129"/>
      <c r="Q25" s="129"/>
      <c r="R25" s="129"/>
      <c r="S25" s="129"/>
      <c r="T25" s="176">
        <f>SUM(T23:T24)/2</f>
        <v>387.42866803886045</v>
      </c>
      <c r="U25" s="130" t="s">
        <v>69</v>
      </c>
      <c r="V25" s="146">
        <f>SQRT(SUM(V23:V24))</f>
        <v>0</v>
      </c>
      <c r="X25" s="142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6"/>
    </row>
    <row r="26" spans="11:35" ht="15.75" thickBot="1" x14ac:dyDescent="0.3"/>
    <row r="27" spans="11:35" ht="45.75" thickBot="1" x14ac:dyDescent="0.3">
      <c r="K27" s="113" t="s">
        <v>15</v>
      </c>
      <c r="L27" s="87" t="s">
        <v>54</v>
      </c>
      <c r="M27" s="88" t="s">
        <v>55</v>
      </c>
      <c r="N27" s="88" t="s">
        <v>39</v>
      </c>
      <c r="O27" s="88" t="s">
        <v>43</v>
      </c>
      <c r="P27" s="88" t="s">
        <v>50</v>
      </c>
      <c r="Q27" s="88" t="s">
        <v>46</v>
      </c>
      <c r="R27" s="88" t="s">
        <v>51</v>
      </c>
      <c r="S27" s="89" t="s">
        <v>41</v>
      </c>
      <c r="T27" s="90" t="s">
        <v>42</v>
      </c>
      <c r="U27" s="127"/>
      <c r="V27" s="123"/>
    </row>
    <row r="28" spans="11:35" x14ac:dyDescent="0.25">
      <c r="K28" s="91" t="s">
        <v>58</v>
      </c>
      <c r="L28" s="107"/>
      <c r="M28" s="108"/>
      <c r="N28" s="40">
        <f>(L28-M28)*2.381</f>
        <v>0</v>
      </c>
      <c r="O28" s="39">
        <v>133.5</v>
      </c>
      <c r="P28" s="49">
        <f>O28*$B$2/10</f>
        <v>150.98849999999999</v>
      </c>
      <c r="Q28" s="39">
        <v>135.30000000000001</v>
      </c>
      <c r="R28" s="50">
        <f>Q28*$B$2/10</f>
        <v>153.02430000000001</v>
      </c>
      <c r="S28" s="41">
        <f t="shared" ref="S28:S31" si="28">(($F$9/COS(RADIANS(0))*P28)+(1/COS(RADIANS(15))*R28))</f>
        <v>306.57272884464078</v>
      </c>
      <c r="T28" s="109">
        <f>N28*10^3/S28</f>
        <v>0</v>
      </c>
      <c r="U28" s="128"/>
      <c r="V28" s="124"/>
    </row>
    <row r="29" spans="11:35" x14ac:dyDescent="0.25">
      <c r="K29" s="92" t="s">
        <v>59</v>
      </c>
      <c r="L29" s="47">
        <v>630</v>
      </c>
      <c r="M29" s="13">
        <v>623</v>
      </c>
      <c r="N29" s="40">
        <f>(L29-M29)*2.381</f>
        <v>16.666999999999998</v>
      </c>
      <c r="O29" s="39">
        <v>133.5</v>
      </c>
      <c r="P29" s="17">
        <f t="shared" ref="P29:P31" si="29">O29*$B$2/10</f>
        <v>150.98849999999999</v>
      </c>
      <c r="Q29" s="39">
        <v>135.30000000000001</v>
      </c>
      <c r="R29" s="18">
        <f t="shared" ref="R29:R31" si="30">Q29*$B$2/10</f>
        <v>153.02430000000001</v>
      </c>
      <c r="S29" s="41">
        <f t="shared" si="28"/>
        <v>306.57272884464078</v>
      </c>
      <c r="T29" s="34">
        <f>N29*10^3/S29</f>
        <v>54.365566248543225</v>
      </c>
      <c r="U29" s="128"/>
      <c r="V29" s="124"/>
    </row>
    <row r="30" spans="11:35" x14ac:dyDescent="0.25">
      <c r="K30" s="92" t="s">
        <v>60</v>
      </c>
      <c r="L30" s="47">
        <v>632</v>
      </c>
      <c r="M30" s="13">
        <v>624</v>
      </c>
      <c r="N30" s="40">
        <f>(L30-M30)*2.381</f>
        <v>19.047999999999998</v>
      </c>
      <c r="O30" s="39">
        <v>133.5</v>
      </c>
      <c r="P30" s="17">
        <f t="shared" si="29"/>
        <v>150.98849999999999</v>
      </c>
      <c r="Q30" s="39">
        <v>135.30000000000001</v>
      </c>
      <c r="R30" s="18">
        <f t="shared" si="30"/>
        <v>153.02430000000001</v>
      </c>
      <c r="S30" s="41">
        <f t="shared" si="28"/>
        <v>306.57272884464078</v>
      </c>
      <c r="T30" s="34">
        <f>N30*10^3/S30</f>
        <v>62.132075712620839</v>
      </c>
      <c r="U30" s="128"/>
      <c r="V30" s="124"/>
    </row>
    <row r="31" spans="11:35" ht="15.75" thickBot="1" x14ac:dyDescent="0.3">
      <c r="K31" s="93" t="s">
        <v>61</v>
      </c>
      <c r="L31" s="36">
        <v>632</v>
      </c>
      <c r="M31" s="15">
        <v>624</v>
      </c>
      <c r="N31" s="177">
        <f>(L31-M31)*2.381</f>
        <v>19.047999999999998</v>
      </c>
      <c r="O31" s="111">
        <v>133.5</v>
      </c>
      <c r="P31" s="32">
        <f t="shared" si="29"/>
        <v>150.98849999999999</v>
      </c>
      <c r="Q31" s="111">
        <v>135.30000000000001</v>
      </c>
      <c r="R31" s="33">
        <f t="shared" si="30"/>
        <v>153.02430000000001</v>
      </c>
      <c r="S31" s="41">
        <f t="shared" si="28"/>
        <v>306.57272884464078</v>
      </c>
      <c r="T31" s="35">
        <f>N31*10^3/S31</f>
        <v>62.132075712620839</v>
      </c>
      <c r="U31" s="128"/>
      <c r="V31" s="124"/>
    </row>
    <row r="32" spans="11:35" x14ac:dyDescent="0.25">
      <c r="K32" s="125"/>
      <c r="L32" s="5"/>
      <c r="M32" s="5"/>
      <c r="N32" s="5"/>
      <c r="O32" s="5"/>
      <c r="P32" s="5"/>
      <c r="Q32" s="5"/>
      <c r="R32" s="5"/>
      <c r="S32" s="5"/>
      <c r="T32" s="5"/>
      <c r="U32" s="128"/>
      <c r="V32" s="124"/>
    </row>
    <row r="33" spans="11:22" ht="15.75" thickBot="1" x14ac:dyDescent="0.3">
      <c r="K33" s="125"/>
      <c r="L33" s="5"/>
      <c r="M33" s="5"/>
      <c r="N33" s="5"/>
      <c r="O33" s="5"/>
      <c r="P33" s="5"/>
      <c r="Q33" s="5"/>
      <c r="R33" s="5"/>
      <c r="S33" s="5"/>
      <c r="T33" s="5"/>
      <c r="U33" s="128"/>
      <c r="V33" s="124"/>
    </row>
    <row r="34" spans="11:22" ht="45.75" thickBot="1" x14ac:dyDescent="0.3">
      <c r="K34" s="113" t="s">
        <v>62</v>
      </c>
      <c r="L34" s="87" t="s">
        <v>54</v>
      </c>
      <c r="M34" s="88" t="s">
        <v>55</v>
      </c>
      <c r="N34" s="88" t="s">
        <v>39</v>
      </c>
      <c r="O34" s="88" t="s">
        <v>43</v>
      </c>
      <c r="P34" s="88" t="s">
        <v>50</v>
      </c>
      <c r="Q34" s="88" t="s">
        <v>46</v>
      </c>
      <c r="R34" s="88" t="s">
        <v>51</v>
      </c>
      <c r="S34" s="89" t="s">
        <v>41</v>
      </c>
      <c r="T34" s="90" t="s">
        <v>42</v>
      </c>
      <c r="U34" s="128"/>
      <c r="V34" s="124"/>
    </row>
    <row r="35" spans="11:22" x14ac:dyDescent="0.25">
      <c r="K35" s="91" t="s">
        <v>63</v>
      </c>
      <c r="L35" s="46">
        <v>630</v>
      </c>
      <c r="M35" s="39">
        <v>623</v>
      </c>
      <c r="N35" s="40">
        <f t="shared" ref="N35:N36" si="31">(L35-M35)*2.381</f>
        <v>16.666999999999998</v>
      </c>
      <c r="O35" s="39">
        <v>133.5</v>
      </c>
      <c r="P35" s="39">
        <f>O35*$B$2/10</f>
        <v>150.98849999999999</v>
      </c>
      <c r="Q35" s="39">
        <v>135.30000000000001</v>
      </c>
      <c r="R35" s="39">
        <f>Q35*$B$2/10</f>
        <v>153.02430000000001</v>
      </c>
      <c r="S35" s="41">
        <f t="shared" ref="S35:S36" si="32">(($F$9/COS(RADIANS(0))*P35)+(1/COS(RADIANS(15))*R35))</f>
        <v>306.57272884464078</v>
      </c>
      <c r="T35" s="42">
        <f>N35*10^3/S35</f>
        <v>54.365566248543225</v>
      </c>
      <c r="U35" s="128"/>
      <c r="V35" s="124"/>
    </row>
    <row r="36" spans="11:22" ht="15.75" thickBot="1" x14ac:dyDescent="0.3">
      <c r="K36" s="93" t="s">
        <v>64</v>
      </c>
      <c r="L36" s="105">
        <v>630</v>
      </c>
      <c r="M36" s="106"/>
      <c r="N36" s="177">
        <f t="shared" si="31"/>
        <v>1500.03</v>
      </c>
      <c r="O36" s="111">
        <v>133.5</v>
      </c>
      <c r="P36" s="15">
        <f t="shared" ref="P36" si="33">O36*$B$2/10</f>
        <v>150.98849999999999</v>
      </c>
      <c r="Q36" s="111">
        <v>135.30000000000001</v>
      </c>
      <c r="R36" s="15">
        <f t="shared" ref="R36" si="34">Q36*$B$2/10</f>
        <v>153.02430000000001</v>
      </c>
      <c r="S36" s="41">
        <f t="shared" si="32"/>
        <v>306.57272884464078</v>
      </c>
      <c r="T36" s="110">
        <f>N36*10^3/S36</f>
        <v>4892.9009623688917</v>
      </c>
      <c r="U36" s="128"/>
      <c r="V36" s="124"/>
    </row>
    <row r="37" spans="11:22" x14ac:dyDescent="0.25">
      <c r="K37" s="125"/>
      <c r="L37" s="5"/>
      <c r="M37" s="5"/>
      <c r="N37" s="5"/>
      <c r="O37" s="5"/>
      <c r="P37" s="5"/>
      <c r="Q37" s="5"/>
      <c r="R37" s="5"/>
      <c r="S37" s="5"/>
      <c r="T37" s="5"/>
      <c r="U37" s="128"/>
      <c r="V37" s="124"/>
    </row>
    <row r="38" spans="11:22" ht="15.75" thickBot="1" x14ac:dyDescent="0.3">
      <c r="K38" s="125"/>
      <c r="L38" s="5"/>
      <c r="M38" s="5"/>
      <c r="N38" s="5"/>
      <c r="O38" s="5"/>
      <c r="P38" s="5"/>
      <c r="Q38" s="5"/>
      <c r="R38" s="5"/>
      <c r="S38" s="5"/>
      <c r="T38" s="5"/>
      <c r="U38" s="128"/>
      <c r="V38" s="124"/>
    </row>
    <row r="39" spans="11:22" ht="45.75" thickBot="1" x14ac:dyDescent="0.3">
      <c r="K39" s="113" t="s">
        <v>65</v>
      </c>
      <c r="L39" s="87" t="s">
        <v>54</v>
      </c>
      <c r="M39" s="88" t="s">
        <v>55</v>
      </c>
      <c r="N39" s="88" t="s">
        <v>39</v>
      </c>
      <c r="O39" s="88" t="s">
        <v>43</v>
      </c>
      <c r="P39" s="88" t="s">
        <v>50</v>
      </c>
      <c r="Q39" s="88" t="s">
        <v>46</v>
      </c>
      <c r="R39" s="88" t="s">
        <v>51</v>
      </c>
      <c r="S39" s="89" t="s">
        <v>41</v>
      </c>
      <c r="T39" s="90" t="s">
        <v>42</v>
      </c>
      <c r="U39" s="128"/>
      <c r="V39" s="124"/>
    </row>
    <row r="40" spans="11:22" x14ac:dyDescent="0.25">
      <c r="K40" s="91" t="s">
        <v>66</v>
      </c>
      <c r="L40" s="86">
        <v>631</v>
      </c>
      <c r="M40" s="39">
        <v>625</v>
      </c>
      <c r="N40" s="40">
        <f t="shared" ref="N40:N41" si="35">(L40-M40)*2.381</f>
        <v>14.285999999999998</v>
      </c>
      <c r="O40" s="39">
        <v>133.5</v>
      </c>
      <c r="P40" s="39">
        <f>O40*$B$2/10</f>
        <v>150.98849999999999</v>
      </c>
      <c r="Q40" s="39">
        <v>135.30000000000001</v>
      </c>
      <c r="R40" s="39">
        <f>Q40*$B$2/10</f>
        <v>153.02430000000001</v>
      </c>
      <c r="S40" s="41">
        <f t="shared" ref="S40:S41" si="36">(($F$9/COS(RADIANS(0))*P40)+(1/COS(RADIANS(15))*R40))</f>
        <v>306.57272884464078</v>
      </c>
      <c r="T40" s="42">
        <f>N40*10^3/S40</f>
        <v>46.599056784465624</v>
      </c>
      <c r="U40" s="128"/>
      <c r="V40" s="124"/>
    </row>
    <row r="41" spans="11:22" ht="15.75" thickBot="1" x14ac:dyDescent="0.3">
      <c r="K41" s="93" t="s">
        <v>67</v>
      </c>
      <c r="L41" s="36">
        <v>631</v>
      </c>
      <c r="M41" s="15">
        <v>623</v>
      </c>
      <c r="N41" s="177">
        <f t="shared" si="35"/>
        <v>19.047999999999998</v>
      </c>
      <c r="O41" s="111">
        <v>133.5</v>
      </c>
      <c r="P41" s="15">
        <f t="shared" ref="P41" si="37">O41*$B$2/10</f>
        <v>150.98849999999999</v>
      </c>
      <c r="Q41" s="111">
        <v>135.30000000000001</v>
      </c>
      <c r="R41" s="15">
        <f t="shared" ref="R41" si="38">Q41*$B$2/10</f>
        <v>153.02430000000001</v>
      </c>
      <c r="S41" s="41">
        <f t="shared" si="36"/>
        <v>306.57272884464078</v>
      </c>
      <c r="T41" s="35">
        <f>N41*10^3/S41</f>
        <v>62.132075712620839</v>
      </c>
      <c r="U41" s="128"/>
      <c r="V41" s="124"/>
    </row>
    <row r="42" spans="11:22" ht="15.75" thickBot="1" x14ac:dyDescent="0.3">
      <c r="K42" s="142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6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Runs</vt:lpstr>
      <vt:lpstr>Ta-Nb-V Calib - RBS1 - Alfa</vt:lpstr>
      <vt:lpstr>Ta-Nb-V Calib - RBS1 - Protoes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27</cp:revision>
  <dcterms:created xsi:type="dcterms:W3CDTF">2022-08-29T11:45:38Z</dcterms:created>
  <dcterms:modified xsi:type="dcterms:W3CDTF">2023-08-09T11:24:24Z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