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 - Universidade de Lisboa\NUCRIA\06_TargetCharacterization\208Pb\208Pb-1stRun\"/>
    </mc:Choice>
  </mc:AlternateContent>
  <bookViews>
    <workbookView xWindow="0" yWindow="0" windowWidth="16380" windowHeight="8190" tabRatio="500"/>
  </bookViews>
  <sheets>
    <sheet name="Ta-Nb-V Calib - RBS1 - Protoes" sheetId="2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Y8" i="2" l="1"/>
  <c r="W8" i="2"/>
  <c r="T8" i="2"/>
  <c r="V8" i="2"/>
  <c r="V12" i="2" l="1"/>
  <c r="T4" i="2" l="1"/>
  <c r="R40" i="2"/>
  <c r="P40" i="2"/>
  <c r="S40" i="2" s="1"/>
  <c r="N40" i="2"/>
  <c r="R39" i="2"/>
  <c r="P39" i="2"/>
  <c r="S39" i="2" s="1"/>
  <c r="N39" i="2"/>
  <c r="R38" i="2"/>
  <c r="P38" i="2"/>
  <c r="S38" i="2" s="1"/>
  <c r="N38" i="2"/>
  <c r="R34" i="2"/>
  <c r="P34" i="2"/>
  <c r="S34" i="2" s="1"/>
  <c r="N34" i="2"/>
  <c r="R33" i="2"/>
  <c r="P33" i="2"/>
  <c r="S33" i="2" s="1"/>
  <c r="N33" i="2"/>
  <c r="R32" i="2"/>
  <c r="P32" i="2"/>
  <c r="S32" i="2" s="1"/>
  <c r="N32" i="2"/>
  <c r="R29" i="2"/>
  <c r="P29" i="2"/>
  <c r="N29" i="2"/>
  <c r="R28" i="2"/>
  <c r="P28" i="2"/>
  <c r="N28" i="2"/>
  <c r="R27" i="2"/>
  <c r="P27" i="2"/>
  <c r="S27" i="2" s="1"/>
  <c r="N27" i="2"/>
  <c r="R23" i="2"/>
  <c r="P23" i="2"/>
  <c r="S23" i="2" s="1"/>
  <c r="N23" i="2"/>
  <c r="S16" i="2"/>
  <c r="R16" i="2"/>
  <c r="P16" i="2"/>
  <c r="N16" i="2"/>
  <c r="T16" i="2" s="1"/>
  <c r="R15" i="2"/>
  <c r="P15" i="2"/>
  <c r="S15" i="2" s="1"/>
  <c r="N15" i="2"/>
  <c r="R14" i="2"/>
  <c r="P14" i="2"/>
  <c r="S14" i="2" s="1"/>
  <c r="N14" i="2"/>
  <c r="T14" i="2" s="1"/>
  <c r="R13" i="2"/>
  <c r="P13" i="2"/>
  <c r="S13" i="2" s="1"/>
  <c r="N13" i="2"/>
  <c r="T13" i="2" s="1"/>
  <c r="R12" i="2"/>
  <c r="P12" i="2"/>
  <c r="S12" i="2" s="1"/>
  <c r="N12" i="2"/>
  <c r="T40" i="2" l="1"/>
  <c r="T38" i="2"/>
  <c r="T39" i="2"/>
  <c r="T34" i="2"/>
  <c r="T32" i="2"/>
  <c r="T35" i="2" s="1"/>
  <c r="S29" i="2"/>
  <c r="T41" i="2"/>
  <c r="T33" i="2"/>
  <c r="T27" i="2"/>
  <c r="S28" i="2"/>
  <c r="T28" i="2" s="1"/>
  <c r="T29" i="2"/>
  <c r="T23" i="2"/>
  <c r="T15" i="2"/>
  <c r="T12" i="2"/>
  <c r="T30" i="2" l="1"/>
  <c r="T9" i="2" l="1"/>
  <c r="T6" i="2"/>
  <c r="W6" i="2" s="1"/>
  <c r="T7" i="2"/>
  <c r="W7" i="2" s="1"/>
  <c r="H12" i="2"/>
  <c r="H11" i="2"/>
  <c r="H9" i="2"/>
  <c r="G12" i="2" l="1"/>
  <c r="F12" i="2"/>
  <c r="W9" i="2" l="1"/>
  <c r="F11" i="2"/>
  <c r="G11" i="2" s="1"/>
  <c r="R22" i="2" l="1"/>
  <c r="P22" i="2"/>
  <c r="N22" i="2"/>
  <c r="R21" i="2"/>
  <c r="P21" i="2"/>
  <c r="N21" i="2"/>
  <c r="R11" i="2"/>
  <c r="P11" i="2"/>
  <c r="N11" i="2"/>
  <c r="F9" i="2"/>
  <c r="F8" i="2"/>
  <c r="G8" i="2" s="1"/>
  <c r="F7" i="2"/>
  <c r="G7" i="2" s="1"/>
  <c r="F6" i="2"/>
  <c r="G6" i="2" s="1"/>
  <c r="F5" i="2"/>
  <c r="G5" i="2" s="1"/>
  <c r="F4" i="2"/>
  <c r="G4" i="2" s="1"/>
  <c r="S11" i="2" l="1"/>
  <c r="S22" i="2"/>
  <c r="T22" i="2" s="1"/>
  <c r="S21" i="2"/>
  <c r="T21" i="2" s="1"/>
  <c r="G9" i="2"/>
  <c r="T11" i="2"/>
  <c r="T17" i="2" s="1"/>
  <c r="T24" i="2" l="1"/>
  <c r="V28" i="2" s="1"/>
  <c r="V27" i="2"/>
  <c r="V29" i="2"/>
  <c r="V16" i="2"/>
  <c r="V15" i="2"/>
  <c r="V14" i="2"/>
  <c r="V13" i="2"/>
  <c r="V23" i="2"/>
  <c r="V30" i="2" l="1"/>
  <c r="V6" i="2" s="1"/>
  <c r="Y6" i="2" s="1"/>
  <c r="T5" i="2"/>
  <c r="V40" i="2"/>
  <c r="V32" i="2"/>
  <c r="V34" i="2"/>
  <c r="V38" i="2"/>
  <c r="V39" i="2"/>
  <c r="V33" i="2"/>
  <c r="V9" i="2"/>
  <c r="Y9" i="2" s="1"/>
  <c r="W4" i="2"/>
  <c r="V11" i="2"/>
  <c r="V17" i="2" s="1"/>
  <c r="V4" i="2" s="1"/>
  <c r="W5" i="2"/>
  <c r="V21" i="2"/>
  <c r="V22" i="2"/>
  <c r="V41" i="2" l="1"/>
  <c r="V35" i="2"/>
  <c r="V7" i="2" s="1"/>
  <c r="Y7" i="2" s="1"/>
  <c r="V24" i="2"/>
  <c r="V5" i="2" s="1"/>
  <c r="Y5" i="2" s="1"/>
  <c r="Y4" i="2"/>
</calcChain>
</file>

<file path=xl/sharedStrings.xml><?xml version="1.0" encoding="utf-8"?>
<sst xmlns="http://schemas.openxmlformats.org/spreadsheetml/2006/main" count="89" uniqueCount="37">
  <si>
    <t>Target</t>
  </si>
  <si>
    <t xml:space="preserve">E0 = </t>
  </si>
  <si>
    <t>keV</t>
  </si>
  <si>
    <t xml:space="preserve">Pb density = </t>
  </si>
  <si>
    <t>g/cm^3</t>
  </si>
  <si>
    <t>K * E_0</t>
  </si>
  <si>
    <t>Element</t>
  </si>
  <si>
    <t>Z</t>
  </si>
  <si>
    <t>A</t>
  </si>
  <si>
    <t>Kinematic factor [K]</t>
  </si>
  <si>
    <t>Back Energy (keV) [K * E0]</t>
  </si>
  <si>
    <t>Surface channel</t>
  </si>
  <si>
    <t>O</t>
  </si>
  <si>
    <t>nm</t>
  </si>
  <si>
    <t>mg/cm2</t>
  </si>
  <si>
    <t>Si</t>
  </si>
  <si>
    <t>+-</t>
  </si>
  <si>
    <t>V</t>
  </si>
  <si>
    <t>Nb</t>
  </si>
  <si>
    <t>Ta</t>
  </si>
  <si>
    <t>Pb</t>
  </si>
  <si>
    <t>Target 1</t>
  </si>
  <si>
    <t>Pb channel in</t>
  </si>
  <si>
    <t>Pb channel out</t>
  </si>
  <si>
    <t>Delta_E (keV)</t>
  </si>
  <si>
    <t>(dE/dx)_in [E_0] (MeV cm^2 / g)</t>
  </si>
  <si>
    <t>(dE/dx)_in [E_0] (eV/nm)</t>
  </si>
  <si>
    <t>(dE/dx)_out [K * E_0] (MeV cm^2 / g)</t>
  </si>
  <si>
    <t>(dE/dx)_out [K * E_0] (eV/nm)</t>
  </si>
  <si>
    <t>[S] (eV/nm)</t>
  </si>
  <si>
    <t>x (nm)</t>
  </si>
  <si>
    <t>Target 6</t>
  </si>
  <si>
    <t>Target 7</t>
  </si>
  <si>
    <r>
      <t>C</t>
    </r>
    <r>
      <rPr>
        <i/>
        <sz val="11"/>
        <color rgb="FF000000"/>
        <rFont val="Caladea"/>
        <family val="1"/>
      </rPr>
      <t>l</t>
    </r>
  </si>
  <si>
    <t>Cu</t>
  </si>
  <si>
    <t>Target 3</t>
  </si>
  <si>
    <t>Target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</si>
</sst>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11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2"/>
      <color rgb="FF00000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b/>
      <sz val="11"/>
      <color rgb="FFFF0000"/>
      <name val="Calibri"/>
      <family val="2"/>
      <charset val="1"/>
    </font>
    <font>
      <i/>
      <sz val="11"/>
      <color rgb="FF000000"/>
      <name val="Caladea"/>
      <family val="1"/>
    </font>
  </fonts>
  <fills count="2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5E0B4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0CECE"/>
        <bgColor rgb="FFD9D9D9"/>
      </patternFill>
    </fill>
    <fill>
      <patternFill patternType="solid">
        <fgColor rgb="FFE2F0D9"/>
        <bgColor rgb="FFDEEBF7"/>
      </patternFill>
    </fill>
    <fill>
      <patternFill patternType="solid">
        <fgColor rgb="FFFF97BC"/>
        <bgColor indexed="64"/>
      </patternFill>
    </fill>
    <fill>
      <patternFill patternType="solid">
        <fgColor rgb="FFB4C7E7"/>
        <bgColor rgb="FFBDD7EE"/>
      </patternFill>
    </fill>
    <fill>
      <patternFill patternType="solid">
        <fgColor rgb="FFDAE3F3"/>
        <bgColor rgb="FFDEEBF7"/>
      </patternFill>
    </fill>
    <fill>
      <patternFill patternType="solid">
        <fgColor rgb="FFFFBDDE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F8CBAD"/>
        <bgColor rgb="FFFFE699"/>
      </patternFill>
    </fill>
    <fill>
      <patternFill patternType="solid">
        <fgColor rgb="FFFBE5D6"/>
        <bgColor rgb="FFFFF2CC"/>
      </patternFill>
    </fill>
    <fill>
      <patternFill patternType="solid">
        <fgColor rgb="FFBDD7EE"/>
        <bgColor rgb="FFB4C7E7"/>
      </patternFill>
    </fill>
    <fill>
      <patternFill patternType="solid">
        <fgColor rgb="FFDEEBF7"/>
        <bgColor rgb="FFDAE3F3"/>
      </patternFill>
    </fill>
    <fill>
      <patternFill patternType="solid">
        <fgColor rgb="FFFFBDDE"/>
        <bgColor rgb="FFDAE3F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A072"/>
        <bgColor indexed="64"/>
      </patternFill>
    </fill>
    <fill>
      <patternFill patternType="solid">
        <fgColor rgb="FFFFC000"/>
        <bgColor rgb="FFDEEBF7"/>
      </patternFill>
    </fill>
    <fill>
      <patternFill patternType="solid">
        <fgColor rgb="FFFFC000"/>
        <bgColor rgb="FFFBE5D6"/>
      </patternFill>
    </fill>
    <fill>
      <patternFill patternType="solid">
        <fgColor rgb="FFFFC000"/>
        <bgColor rgb="FFFFF2CC"/>
      </patternFill>
    </fill>
    <fill>
      <patternFill patternType="solid">
        <fgColor rgb="FFFFC000"/>
        <bgColor rgb="FFDAE3F3"/>
      </patternFill>
    </fill>
    <fill>
      <patternFill patternType="solid">
        <fgColor rgb="FFDCCBB2"/>
        <bgColor indexed="64"/>
      </patternFill>
    </fill>
    <fill>
      <patternFill patternType="solid">
        <fgColor rgb="FFDCCBB2"/>
        <bgColor rgb="FFDAE3F3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Font="1"/>
    <xf numFmtId="0" fontId="1" fillId="3" borderId="10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164" fontId="0" fillId="6" borderId="0" xfId="0" applyNumberFormat="1" applyFill="1" applyBorder="1" applyAlignment="1">
      <alignment horizontal="center" vertical="center" wrapText="1"/>
    </xf>
    <xf numFmtId="165" fontId="0" fillId="6" borderId="0" xfId="0" applyNumberFormat="1" applyFill="1" applyBorder="1" applyAlignment="1">
      <alignment horizontal="center" vertical="center" wrapText="1"/>
    </xf>
    <xf numFmtId="2" fontId="0" fillId="6" borderId="0" xfId="0" applyNumberForma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vertical="center" wrapText="1"/>
    </xf>
    <xf numFmtId="0" fontId="2" fillId="7" borderId="7" xfId="0" applyFont="1" applyFill="1" applyBorder="1" applyAlignment="1">
      <alignment vertical="center" wrapText="1"/>
    </xf>
    <xf numFmtId="0" fontId="2" fillId="7" borderId="13" xfId="0" applyFont="1" applyFill="1" applyBorder="1" applyAlignment="1">
      <alignment vertical="center" wrapText="1"/>
    </xf>
    <xf numFmtId="0" fontId="3" fillId="8" borderId="14" xfId="0" applyFont="1" applyFill="1" applyBorder="1" applyAlignment="1">
      <alignment horizontal="center" vertical="center" wrapText="1"/>
    </xf>
    <xf numFmtId="0" fontId="4" fillId="9" borderId="0" xfId="0" applyFont="1" applyFill="1" applyBorder="1" applyAlignment="1">
      <alignment horizontal="center" vertical="center" wrapText="1"/>
    </xf>
    <xf numFmtId="164" fontId="4" fillId="9" borderId="0" xfId="0" applyNumberFormat="1" applyFont="1" applyFill="1" applyBorder="1" applyAlignment="1">
      <alignment horizontal="center" vertical="center" wrapText="1"/>
    </xf>
    <xf numFmtId="2" fontId="0" fillId="9" borderId="0" xfId="0" applyNumberFormat="1" applyFill="1" applyBorder="1" applyAlignment="1">
      <alignment horizontal="center" vertical="center" wrapText="1"/>
    </xf>
    <xf numFmtId="1" fontId="4" fillId="11" borderId="14" xfId="0" applyNumberFormat="1" applyFont="1" applyFill="1" applyBorder="1" applyAlignment="1">
      <alignment vertical="center" wrapText="1"/>
    </xf>
    <xf numFmtId="0" fontId="4" fillId="11" borderId="0" xfId="0" quotePrefix="1" applyFont="1" applyFill="1" applyBorder="1" applyAlignment="1">
      <alignment horizontal="center" vertical="center" wrapText="1"/>
    </xf>
    <xf numFmtId="1" fontId="4" fillId="11" borderId="2" xfId="0" applyNumberFormat="1" applyFont="1" applyFill="1" applyBorder="1" applyAlignment="1">
      <alignment horizontal="left" vertical="center" wrapText="1"/>
    </xf>
    <xf numFmtId="2" fontId="4" fillId="11" borderId="0" xfId="0" applyNumberFormat="1" applyFont="1" applyFill="1" applyBorder="1" applyAlignment="1">
      <alignment vertical="center" wrapText="1"/>
    </xf>
    <xf numFmtId="2" fontId="4" fillId="11" borderId="2" xfId="0" applyNumberFormat="1" applyFont="1" applyFill="1" applyBorder="1" applyAlignment="1">
      <alignment horizontal="left" vertical="center" wrapText="1"/>
    </xf>
    <xf numFmtId="0" fontId="2" fillId="12" borderId="14" xfId="0" applyFont="1" applyFill="1" applyBorder="1" applyAlignment="1">
      <alignment horizontal="center" vertical="center" wrapText="1"/>
    </xf>
    <xf numFmtId="0" fontId="0" fillId="13" borderId="0" xfId="0" applyFill="1" applyBorder="1" applyAlignment="1">
      <alignment horizontal="center" vertical="center" wrapText="1"/>
    </xf>
    <xf numFmtId="164" fontId="0" fillId="13" borderId="0" xfId="0" applyNumberFormat="1" applyFill="1" applyBorder="1" applyAlignment="1">
      <alignment horizontal="center" vertical="center" wrapText="1"/>
    </xf>
    <xf numFmtId="2" fontId="0" fillId="13" borderId="0" xfId="0" applyNumberFormat="1" applyFill="1" applyBorder="1" applyAlignment="1">
      <alignment horizontal="center" vertical="center" wrapText="1"/>
    </xf>
    <xf numFmtId="0" fontId="2" fillId="14" borderId="14" xfId="0" applyFont="1" applyFill="1" applyBorder="1" applyAlignment="1">
      <alignment horizontal="center" vertical="center" wrapText="1"/>
    </xf>
    <xf numFmtId="0" fontId="0" fillId="15" borderId="0" xfId="0" applyFill="1" applyBorder="1" applyAlignment="1">
      <alignment horizontal="center" vertical="center" wrapText="1"/>
    </xf>
    <xf numFmtId="164" fontId="0" fillId="15" borderId="0" xfId="0" applyNumberFormat="1" applyFill="1" applyBorder="1" applyAlignment="1">
      <alignment horizontal="center" vertical="center" wrapText="1"/>
    </xf>
    <xf numFmtId="2" fontId="0" fillId="15" borderId="0" xfId="0" applyNumberFormat="1" applyFill="1" applyBorder="1" applyAlignment="1">
      <alignment horizontal="center" vertical="center" wrapText="1"/>
    </xf>
    <xf numFmtId="0" fontId="2" fillId="16" borderId="11" xfId="0" applyFont="1" applyFill="1" applyBorder="1" applyAlignment="1">
      <alignment horizontal="center" vertical="center" wrapText="1"/>
    </xf>
    <xf numFmtId="0" fontId="0" fillId="17" borderId="3" xfId="0" applyFill="1" applyBorder="1" applyAlignment="1">
      <alignment horizontal="center" vertical="center" wrapText="1"/>
    </xf>
    <xf numFmtId="164" fontId="0" fillId="17" borderId="3" xfId="0" applyNumberFormat="1" applyFill="1" applyBorder="1" applyAlignment="1">
      <alignment horizontal="center" vertical="center" wrapText="1"/>
    </xf>
    <xf numFmtId="165" fontId="0" fillId="6" borderId="3" xfId="0" applyNumberFormat="1" applyFill="1" applyBorder="1" applyAlignment="1">
      <alignment horizontal="center" vertical="center" wrapText="1"/>
    </xf>
    <xf numFmtId="2" fontId="0" fillId="17" borderId="3" xfId="0" applyNumberFormat="1" applyFill="1" applyBorder="1" applyAlignment="1">
      <alignment horizontal="center" vertical="center" wrapText="1"/>
    </xf>
    <xf numFmtId="0" fontId="5" fillId="0" borderId="0" xfId="0" applyFont="1"/>
    <xf numFmtId="0" fontId="2" fillId="10" borderId="12" xfId="0" applyFont="1" applyFill="1" applyBorder="1" applyAlignment="1">
      <alignment horizontal="center" vertical="center" wrapText="1"/>
    </xf>
    <xf numFmtId="0" fontId="0" fillId="10" borderId="7" xfId="0" applyFill="1" applyBorder="1" applyAlignment="1">
      <alignment horizontal="center" vertical="center" wrapText="1"/>
    </xf>
    <xf numFmtId="165" fontId="0" fillId="18" borderId="7" xfId="0" applyNumberFormat="1" applyFill="1" applyBorder="1" applyAlignment="1">
      <alignment horizontal="center" vertical="center" wrapText="1"/>
    </xf>
    <xf numFmtId="2" fontId="0" fillId="18" borderId="7" xfId="0" applyNumberForma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 wrapText="1"/>
    </xf>
    <xf numFmtId="0" fontId="7" fillId="7" borderId="16" xfId="0" applyFont="1" applyFill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 wrapText="1"/>
    </xf>
    <xf numFmtId="0" fontId="2" fillId="7" borderId="17" xfId="0" applyFont="1" applyFill="1" applyBorder="1" applyAlignment="1">
      <alignment horizontal="center" vertical="center" wrapText="1"/>
    </xf>
    <xf numFmtId="0" fontId="2" fillId="7" borderId="13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2" fillId="10" borderId="8" xfId="0" applyFont="1" applyFill="1" applyBorder="1" applyAlignment="1">
      <alignment horizontal="center" vertical="center" wrapText="1"/>
    </xf>
    <xf numFmtId="0" fontId="0" fillId="19" borderId="18" xfId="0" applyFill="1" applyBorder="1" applyAlignment="1">
      <alignment horizontal="center" vertical="center" wrapText="1"/>
    </xf>
    <xf numFmtId="0" fontId="0" fillId="19" borderId="19" xfId="0" applyFill="1" applyBorder="1" applyAlignment="1">
      <alignment horizontal="center" vertical="center" wrapText="1"/>
    </xf>
    <xf numFmtId="2" fontId="0" fillId="19" borderId="19" xfId="0" applyNumberFormat="1" applyFill="1" applyBorder="1" applyAlignment="1">
      <alignment horizontal="center" vertical="center" wrapText="1"/>
    </xf>
    <xf numFmtId="164" fontId="0" fillId="19" borderId="20" xfId="0" applyNumberFormat="1" applyFill="1" applyBorder="1" applyAlignment="1">
      <alignment horizontal="center" vertical="center" wrapText="1"/>
    </xf>
    <xf numFmtId="1" fontId="1" fillId="19" borderId="21" xfId="0" applyNumberFormat="1" applyFont="1" applyFill="1" applyBorder="1" applyAlignment="1">
      <alignment horizontal="center" vertical="center" wrapText="1"/>
    </xf>
    <xf numFmtId="0" fontId="0" fillId="0" borderId="0" xfId="0" applyBorder="1"/>
    <xf numFmtId="1" fontId="0" fillId="0" borderId="2" xfId="0" applyNumberFormat="1" applyBorder="1"/>
    <xf numFmtId="0" fontId="0" fillId="0" borderId="2" xfId="0" applyBorder="1"/>
    <xf numFmtId="0" fontId="2" fillId="10" borderId="9" xfId="0" applyFont="1" applyFill="1" applyBorder="1" applyAlignment="1">
      <alignment horizontal="center" vertical="center" wrapText="1"/>
    </xf>
    <xf numFmtId="0" fontId="0" fillId="19" borderId="23" xfId="0" applyFill="1" applyBorder="1" applyAlignment="1">
      <alignment horizontal="center" vertical="center" wrapText="1"/>
    </xf>
    <xf numFmtId="2" fontId="0" fillId="19" borderId="24" xfId="0" applyNumberFormat="1" applyFill="1" applyBorder="1" applyAlignment="1">
      <alignment horizontal="center" vertical="center" wrapText="1"/>
    </xf>
    <xf numFmtId="0" fontId="0" fillId="19" borderId="24" xfId="0" applyFill="1" applyBorder="1" applyAlignment="1">
      <alignment horizontal="center" vertical="center" wrapText="1"/>
    </xf>
    <xf numFmtId="1" fontId="1" fillId="19" borderId="25" xfId="0" applyNumberFormat="1" applyFont="1" applyFill="1" applyBorder="1" applyAlignment="1">
      <alignment horizontal="center" vertical="center" wrapText="1"/>
    </xf>
    <xf numFmtId="0" fontId="0" fillId="0" borderId="14" xfId="0" applyBorder="1"/>
    <xf numFmtId="1" fontId="8" fillId="20" borderId="11" xfId="0" applyNumberFormat="1" applyFont="1" applyFill="1" applyBorder="1" applyAlignment="1">
      <alignment horizontal="center" vertical="center" wrapText="1"/>
    </xf>
    <xf numFmtId="0" fontId="1" fillId="20" borderId="7" xfId="0" quotePrefix="1" applyFont="1" applyFill="1" applyBorder="1" applyAlignment="1">
      <alignment horizontal="center" vertical="center" wrapText="1"/>
    </xf>
    <xf numFmtId="1" fontId="8" fillId="20" borderId="13" xfId="0" applyNumberFormat="1" applyFont="1" applyFill="1" applyBorder="1" applyAlignment="1">
      <alignment horizontal="center" vertical="center" wrapText="1"/>
    </xf>
    <xf numFmtId="0" fontId="4" fillId="19" borderId="22" xfId="0" applyFont="1" applyFill="1" applyBorder="1" applyAlignment="1">
      <alignment horizontal="center" vertical="center" wrapText="1"/>
    </xf>
    <xf numFmtId="0" fontId="4" fillId="19" borderId="23" xfId="0" applyFont="1" applyFill="1" applyBorder="1" applyAlignment="1">
      <alignment horizontal="center" vertical="center" wrapText="1"/>
    </xf>
    <xf numFmtId="1" fontId="8" fillId="20" borderId="11" xfId="0" applyNumberFormat="1" applyFont="1" applyFill="1" applyBorder="1"/>
    <xf numFmtId="1" fontId="9" fillId="20" borderId="13" xfId="0" applyNumberFormat="1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3" xfId="0" applyBorder="1"/>
    <xf numFmtId="0" fontId="0" fillId="0" borderId="4" xfId="0" applyBorder="1"/>
    <xf numFmtId="0" fontId="4" fillId="19" borderId="19" xfId="0" applyFont="1" applyFill="1" applyBorder="1" applyAlignment="1">
      <alignment horizontal="center" vertical="center" wrapText="1"/>
    </xf>
    <xf numFmtId="1" fontId="0" fillId="0" borderId="0" xfId="0" applyNumberFormat="1"/>
    <xf numFmtId="0" fontId="0" fillId="22" borderId="2" xfId="0" applyFill="1" applyBorder="1" applyAlignment="1">
      <alignment horizontal="center" vertical="center" wrapText="1"/>
    </xf>
    <xf numFmtId="0" fontId="4" fillId="22" borderId="2" xfId="0" applyFont="1" applyFill="1" applyBorder="1" applyAlignment="1">
      <alignment horizontal="center" vertical="center" wrapText="1"/>
    </xf>
    <xf numFmtId="0" fontId="0" fillId="23" borderId="2" xfId="0" applyFill="1" applyBorder="1" applyAlignment="1">
      <alignment horizontal="center" vertical="center" wrapText="1"/>
    </xf>
    <xf numFmtId="0" fontId="0" fillId="24" borderId="2" xfId="0" applyFill="1" applyBorder="1" applyAlignment="1">
      <alignment horizontal="center" vertical="center" wrapText="1"/>
    </xf>
    <xf numFmtId="0" fontId="0" fillId="25" borderId="4" xfId="0" applyFill="1" applyBorder="1" applyAlignment="1">
      <alignment horizontal="center" vertical="center" wrapText="1"/>
    </xf>
    <xf numFmtId="0" fontId="0" fillId="26" borderId="7" xfId="0" applyFill="1" applyBorder="1"/>
    <xf numFmtId="165" fontId="0" fillId="27" borderId="7" xfId="0" applyNumberFormat="1" applyFill="1" applyBorder="1" applyAlignment="1">
      <alignment horizontal="center" vertical="center" wrapText="1"/>
    </xf>
    <xf numFmtId="2" fontId="0" fillId="27" borderId="7" xfId="0" applyNumberFormat="1" applyFill="1" applyBorder="1" applyAlignment="1">
      <alignment horizontal="center" vertical="center" wrapText="1"/>
    </xf>
    <xf numFmtId="0" fontId="0" fillId="21" borderId="1" xfId="0" applyFill="1" applyBorder="1"/>
    <xf numFmtId="164" fontId="0" fillId="19" borderId="19" xfId="0" applyNumberFormat="1" applyFill="1" applyBorder="1" applyAlignment="1">
      <alignment horizontal="center" vertical="center" wrapText="1"/>
    </xf>
    <xf numFmtId="166" fontId="2" fillId="28" borderId="19" xfId="0" applyNumberFormat="1" applyFont="1" applyFill="1" applyBorder="1" applyAlignment="1">
      <alignment horizontal="center" vertical="center" wrapText="1"/>
    </xf>
    <xf numFmtId="0" fontId="2" fillId="28" borderId="19" xfId="0" applyFont="1" applyFill="1" applyBorder="1" applyAlignment="1">
      <alignment horizontal="center" vertical="center" wrapText="1"/>
    </xf>
    <xf numFmtId="0" fontId="2" fillId="28" borderId="23" xfId="0" applyFont="1" applyFill="1" applyBorder="1" applyAlignment="1">
      <alignment horizontal="center" vertical="center" wrapText="1"/>
    </xf>
    <xf numFmtId="1" fontId="4" fillId="11" borderId="10" xfId="0" applyNumberFormat="1" applyFont="1" applyFill="1" applyBorder="1" applyAlignment="1">
      <alignment vertical="center" wrapText="1"/>
    </xf>
    <xf numFmtId="0" fontId="4" fillId="11" borderId="5" xfId="0" quotePrefix="1" applyFont="1" applyFill="1" applyBorder="1" applyAlignment="1">
      <alignment horizontal="center" vertical="center" wrapText="1"/>
    </xf>
    <xf numFmtId="1" fontId="4" fillId="11" borderId="6" xfId="0" applyNumberFormat="1" applyFont="1" applyFill="1" applyBorder="1" applyAlignment="1">
      <alignment horizontal="left" vertical="center" wrapText="1"/>
    </xf>
    <xf numFmtId="0" fontId="0" fillId="10" borderId="12" xfId="0" applyFill="1" applyBorder="1" applyAlignment="1">
      <alignment horizontal="center" vertical="center" wrapText="1"/>
    </xf>
    <xf numFmtId="0" fontId="0" fillId="19" borderId="27" xfId="0" applyFill="1" applyBorder="1" applyAlignment="1">
      <alignment horizontal="center" vertical="center" wrapText="1"/>
    </xf>
    <xf numFmtId="0" fontId="0" fillId="19" borderId="28" xfId="0" applyFill="1" applyBorder="1" applyAlignment="1">
      <alignment horizontal="center" vertical="center" wrapText="1"/>
    </xf>
    <xf numFmtId="2" fontId="0" fillId="19" borderId="28" xfId="0" applyNumberFormat="1" applyFill="1" applyBorder="1" applyAlignment="1">
      <alignment horizontal="center" vertical="center" wrapText="1"/>
    </xf>
    <xf numFmtId="166" fontId="2" fillId="28" borderId="28" xfId="0" applyNumberFormat="1" applyFont="1" applyFill="1" applyBorder="1" applyAlignment="1">
      <alignment horizontal="center" vertical="center" wrapText="1"/>
    </xf>
    <xf numFmtId="0" fontId="4" fillId="19" borderId="28" xfId="0" applyFont="1" applyFill="1" applyBorder="1" applyAlignment="1">
      <alignment horizontal="center" vertical="center" wrapText="1"/>
    </xf>
    <xf numFmtId="164" fontId="0" fillId="19" borderId="28" xfId="0" applyNumberFormat="1" applyFill="1" applyBorder="1" applyAlignment="1">
      <alignment horizontal="center" vertical="center" wrapText="1"/>
    </xf>
    <xf numFmtId="164" fontId="0" fillId="19" borderId="29" xfId="0" applyNumberFormat="1" applyFill="1" applyBorder="1" applyAlignment="1">
      <alignment horizontal="center" vertical="center" wrapText="1"/>
    </xf>
    <xf numFmtId="1" fontId="1" fillId="19" borderId="2" xfId="0" applyNumberFormat="1" applyFont="1" applyFill="1" applyBorder="1" applyAlignment="1">
      <alignment horizontal="center" vertical="center" wrapText="1"/>
    </xf>
    <xf numFmtId="0" fontId="2" fillId="10" borderId="26" xfId="0" applyFont="1" applyFill="1" applyBorder="1" applyAlignment="1">
      <alignment horizontal="center" vertical="center" wrapText="1"/>
    </xf>
    <xf numFmtId="0" fontId="0" fillId="19" borderId="22" xfId="0" applyFill="1" applyBorder="1" applyAlignment="1">
      <alignment horizontal="center" vertical="center" wrapText="1"/>
    </xf>
    <xf numFmtId="2" fontId="0" fillId="19" borderId="23" xfId="0" applyNumberFormat="1" applyFill="1" applyBorder="1" applyAlignment="1">
      <alignment horizontal="center" vertical="center" wrapText="1"/>
    </xf>
    <xf numFmtId="166" fontId="2" fillId="28" borderId="23" xfId="0" applyNumberFormat="1" applyFont="1" applyFill="1" applyBorder="1" applyAlignment="1">
      <alignment horizontal="center" vertical="center" wrapText="1"/>
    </xf>
    <xf numFmtId="164" fontId="0" fillId="19" borderId="23" xfId="0" applyNumberFormat="1" applyFill="1" applyBorder="1" applyAlignment="1">
      <alignment horizontal="center" vertical="center" wrapText="1"/>
    </xf>
    <xf numFmtId="164" fontId="0" fillId="19" borderId="30" xfId="0" applyNumberFormat="1" applyFill="1" applyBorder="1" applyAlignment="1">
      <alignment horizontal="center" vertical="center" wrapText="1"/>
    </xf>
    <xf numFmtId="0" fontId="2" fillId="10" borderId="14" xfId="0" applyFont="1" applyFill="1" applyBorder="1" applyAlignment="1">
      <alignment horizontal="center" vertical="center" wrapText="1"/>
    </xf>
    <xf numFmtId="1" fontId="0" fillId="11" borderId="14" xfId="0" applyNumberFormat="1" applyFill="1" applyBorder="1"/>
    <xf numFmtId="1" fontId="3" fillId="11" borderId="12" xfId="0" applyNumberFormat="1" applyFont="1" applyFill="1" applyBorder="1" applyAlignment="1">
      <alignment vertical="center" wrapText="1"/>
    </xf>
    <xf numFmtId="0" fontId="3" fillId="11" borderId="7" xfId="0" quotePrefix="1" applyFont="1" applyFill="1" applyBorder="1" applyAlignment="1">
      <alignment horizontal="center" vertical="center" wrapText="1"/>
    </xf>
    <xf numFmtId="1" fontId="3" fillId="11" borderId="13" xfId="0" applyNumberFormat="1" applyFont="1" applyFill="1" applyBorder="1" applyAlignment="1">
      <alignment horizontal="left" vertical="center" wrapText="1"/>
    </xf>
    <xf numFmtId="2" fontId="3" fillId="11" borderId="7" xfId="0" applyNumberFormat="1" applyFont="1" applyFill="1" applyBorder="1" applyAlignment="1">
      <alignment vertical="center" wrapText="1"/>
    </xf>
    <xf numFmtId="2" fontId="3" fillId="11" borderId="13" xfId="0" applyNumberFormat="1" applyFont="1" applyFill="1" applyBorder="1" applyAlignment="1">
      <alignment horizontal="left" vertical="center" wrapText="1"/>
    </xf>
    <xf numFmtId="1" fontId="0" fillId="11" borderId="2" xfId="0" applyNumberForma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C5E0B4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E699"/>
      <rgbColor rgb="FFB4C7E7"/>
      <rgbColor rgb="FFD9D9D9"/>
      <rgbColor rgb="FFD0CECE"/>
      <rgbColor rgb="FFF8CBAD"/>
      <rgbColor rgb="FF3366FF"/>
      <rgbColor rgb="FF33CCCC"/>
      <rgbColor rgb="FF99CC00"/>
      <rgbColor rgb="FFFFC000"/>
      <rgbColor rgb="FFFF9900"/>
      <rgbColor rgb="FFFF6600"/>
      <rgbColor rgb="FF595959"/>
      <rgbColor rgb="FFA5A5A5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EBFF"/>
      <color rgb="FFDCCBB2"/>
      <color rgb="FFCEB692"/>
      <color rgb="FFC0A072"/>
      <color rgb="FFFFCCFF"/>
      <color rgb="FFFFBDDE"/>
      <color rgb="FFFF97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Calib.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1"/>
            <c:dispEq val="1"/>
            <c:trendlineLbl>
              <c:layout>
                <c:manualLayout>
                  <c:x val="0.18879809548728638"/>
                  <c:y val="-0.2078408027448668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600" b="1" baseline="0">
                        <a:solidFill>
                          <a:srgbClr val="FF0000"/>
                        </a:solidFill>
                      </a:rPr>
                      <a:t>y = 2,3656x + 86,245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0,9984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rgbClr val="FFFF00"/>
                </a:solidFill>
                <a:ln w="12700">
                  <a:solidFill>
                    <a:schemeClr val="tx1"/>
                  </a:solidFill>
                </a:ln>
              </c:spPr>
            </c:trendlineLbl>
          </c:trendline>
          <c:xVal>
            <c:numRef>
              <c:f>'Ta-Nb-V Calib - RBS1 - Protoes'!$H$4:$H$8</c:f>
              <c:numCache>
                <c:formatCode>General</c:formatCode>
                <c:ptCount val="5"/>
                <c:pt idx="0">
                  <c:v>627</c:v>
                </c:pt>
                <c:pt idx="1">
                  <c:v>694</c:v>
                </c:pt>
                <c:pt idx="2">
                  <c:v>747</c:v>
                </c:pt>
                <c:pt idx="3">
                  <c:v>774</c:v>
                </c:pt>
                <c:pt idx="4">
                  <c:v>792</c:v>
                </c:pt>
              </c:numCache>
            </c:numRef>
          </c:xVal>
          <c:yVal>
            <c:numRef>
              <c:f>'Ta-Nb-V Calib - RBS1 - Protoes'!$G$4:$G$8</c:f>
              <c:numCache>
                <c:formatCode>0.00</c:formatCode>
                <c:ptCount val="5"/>
                <c:pt idx="0">
                  <c:v>1563.7159776396684</c:v>
                </c:pt>
                <c:pt idx="1">
                  <c:v>1738.6148261306816</c:v>
                </c:pt>
                <c:pt idx="2">
                  <c:v>1851.4223731335767</c:v>
                </c:pt>
                <c:pt idx="3">
                  <c:v>1917.1213586935332</c:v>
                </c:pt>
                <c:pt idx="4">
                  <c:v>1957.0104259791678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504976"/>
        <c:axId val="393505520"/>
      </c:scatterChart>
      <c:valAx>
        <c:axId val="393504976"/>
        <c:scaling>
          <c:orientation val="minMax"/>
          <c:min val="6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6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600" b="1" strike="noStrike" spc="-1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1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393505520"/>
        <c:crosses val="autoZero"/>
        <c:crossBetween val="midCat"/>
      </c:valAx>
      <c:valAx>
        <c:axId val="3935055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6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600" b="1" strike="noStrike" spc="-1">
                    <a:solidFill>
                      <a:srgbClr val="595959"/>
                    </a:solidFill>
                    <a:latin typeface="Calibri"/>
                  </a:rPr>
                  <a:t>Energy (keV)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1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39350497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193256</xdr:colOff>
      <xdr:row>12</xdr:row>
      <xdr:rowOff>161391</xdr:rowOff>
    </xdr:from>
    <xdr:to>
      <xdr:col>8</xdr:col>
      <xdr:colOff>199366</xdr:colOff>
      <xdr:row>29</xdr:row>
      <xdr:rowOff>42725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abSelected="1" topLeftCell="L1" zoomScale="77" zoomScaleNormal="77" workbookViewId="0">
      <selection activeCell="Z19" sqref="Z19"/>
    </sheetView>
  </sheetViews>
  <sheetFormatPr defaultColWidth="8.54296875" defaultRowHeight="14.5" x14ac:dyDescent="0.35"/>
  <cols>
    <col min="1" max="1" width="8.26953125" bestFit="1" customWidth="1"/>
    <col min="5" max="5" width="12.453125" customWidth="1"/>
    <col min="6" max="6" width="9.1796875" customWidth="1"/>
    <col min="7" max="7" width="12" bestFit="1" customWidth="1"/>
    <col min="10" max="10" width="15.453125" customWidth="1"/>
    <col min="11" max="11" width="7.26953125" bestFit="1" customWidth="1"/>
    <col min="12" max="13" width="8" bestFit="1" customWidth="1"/>
    <col min="14" max="14" width="7.7265625" bestFit="1" customWidth="1"/>
    <col min="15" max="16" width="15.26953125" bestFit="1" customWidth="1"/>
    <col min="17" max="18" width="19.7265625" bestFit="1" customWidth="1"/>
    <col min="19" max="19" width="8.54296875" bestFit="1" customWidth="1"/>
    <col min="20" max="20" width="6.7265625" bestFit="1" customWidth="1"/>
    <col min="22" max="22" width="8.453125" bestFit="1" customWidth="1"/>
    <col min="23" max="23" width="7.453125" bestFit="1" customWidth="1"/>
    <col min="24" max="24" width="8.1796875" customWidth="1"/>
    <col min="25" max="25" width="8" bestFit="1" customWidth="1"/>
    <col min="26" max="26" width="7.453125" bestFit="1" customWidth="1"/>
    <col min="27" max="27" width="7.7265625" bestFit="1" customWidth="1"/>
    <col min="28" max="29" width="15.26953125" bestFit="1" customWidth="1"/>
    <col min="30" max="31" width="19.7265625" bestFit="1" customWidth="1"/>
    <col min="32" max="32" width="8.54296875" bestFit="1" customWidth="1"/>
    <col min="33" max="33" width="5.26953125" bestFit="1" customWidth="1"/>
    <col min="34" max="35" width="7.453125" bestFit="1" customWidth="1"/>
    <col min="37" max="37" width="9.81640625" customWidth="1"/>
    <col min="38" max="39" width="7.36328125" bestFit="1" customWidth="1"/>
    <col min="40" max="40" width="7.26953125" bestFit="1" customWidth="1"/>
    <col min="41" max="42" width="14.36328125" bestFit="1" customWidth="1"/>
    <col min="43" max="43" width="20.1796875" customWidth="1"/>
    <col min="44" max="44" width="11.36328125" customWidth="1"/>
    <col min="45" max="45" width="7.81640625" bestFit="1" customWidth="1"/>
    <col min="46" max="46" width="6.1796875" bestFit="1" customWidth="1"/>
  </cols>
  <sheetData>
    <row r="1" spans="1:25" ht="15" thickBot="1" x14ac:dyDescent="0.4">
      <c r="A1" s="2" t="s">
        <v>1</v>
      </c>
      <c r="B1" s="3">
        <v>2000</v>
      </c>
      <c r="C1" s="4" t="s">
        <v>2</v>
      </c>
    </row>
    <row r="2" spans="1:25" ht="29.5" thickBot="1" x14ac:dyDescent="0.4">
      <c r="A2" s="5" t="s">
        <v>3</v>
      </c>
      <c r="B2" s="6">
        <v>11.31</v>
      </c>
      <c r="C2" s="7" t="s">
        <v>4</v>
      </c>
      <c r="G2" s="8" t="s">
        <v>5</v>
      </c>
    </row>
    <row r="3" spans="1:25" ht="29.5" thickBot="1" x14ac:dyDescent="0.4">
      <c r="C3" s="9" t="s">
        <v>6</v>
      </c>
      <c r="D3" s="10" t="s">
        <v>7</v>
      </c>
      <c r="E3" s="10" t="s">
        <v>8</v>
      </c>
      <c r="F3" s="10" t="s">
        <v>9</v>
      </c>
      <c r="G3" s="10" t="s">
        <v>10</v>
      </c>
      <c r="H3" s="11" t="s">
        <v>11</v>
      </c>
      <c r="S3" s="17" t="s">
        <v>0</v>
      </c>
      <c r="T3" s="18"/>
      <c r="U3" s="19" t="s">
        <v>13</v>
      </c>
      <c r="V3" s="20"/>
      <c r="W3" s="19"/>
      <c r="X3" s="19" t="s">
        <v>14</v>
      </c>
      <c r="Y3" s="20"/>
    </row>
    <row r="4" spans="1:25" x14ac:dyDescent="0.35">
      <c r="C4" s="12" t="s">
        <v>12</v>
      </c>
      <c r="D4" s="13">
        <v>8</v>
      </c>
      <c r="E4" s="14">
        <v>15.999000000000001</v>
      </c>
      <c r="F4" s="15">
        <f t="shared" ref="F4:F12" si="0">((SQRT(1-(1/E4)^2*SIN(RADIANS(165))^2)+1/E4*COS(RADIANS(165)))/(1+1/E4))^2</f>
        <v>0.78185798881983415</v>
      </c>
      <c r="G4" s="16">
        <f>$B$1*F4</f>
        <v>1563.7159776396684</v>
      </c>
      <c r="H4" s="84">
        <v>627</v>
      </c>
      <c r="S4" s="115">
        <v>1</v>
      </c>
      <c r="T4" s="97">
        <f>T17</f>
        <v>1694.3731317192198</v>
      </c>
      <c r="U4" s="98" t="s">
        <v>16</v>
      </c>
      <c r="V4" s="99">
        <f>V17</f>
        <v>46.249540030341315</v>
      </c>
      <c r="W4" s="28">
        <f>T4*344.092/0.30397*10^(-6)</f>
        <v>1.9180190138485038</v>
      </c>
      <c r="X4" s="26" t="s">
        <v>16</v>
      </c>
      <c r="Y4" s="29">
        <f>V4*344.092/0.30397*10^(-6)</f>
        <v>5.2354168924960365E-2</v>
      </c>
    </row>
    <row r="5" spans="1:25" x14ac:dyDescent="0.35">
      <c r="C5" s="21" t="s">
        <v>15</v>
      </c>
      <c r="D5" s="22">
        <v>14</v>
      </c>
      <c r="E5" s="23">
        <v>28.085000000000001</v>
      </c>
      <c r="F5" s="15">
        <f t="shared" si="0"/>
        <v>0.86930741306534087</v>
      </c>
      <c r="G5" s="24">
        <f>$B$1*F5</f>
        <v>1738.6148261306816</v>
      </c>
      <c r="H5" s="85">
        <v>694</v>
      </c>
      <c r="S5" s="115">
        <v>3</v>
      </c>
      <c r="T5" s="25">
        <f>T24</f>
        <v>1228.8021360666412</v>
      </c>
      <c r="U5" s="26" t="s">
        <v>16</v>
      </c>
      <c r="V5" s="27">
        <f>V24</f>
        <v>19.458652391764815</v>
      </c>
      <c r="W5" s="28">
        <f t="shared" ref="W5:W6" si="1">T5*344.092/0.30397*10^(-6)</f>
        <v>1.3909957713045451</v>
      </c>
      <c r="X5" s="26" t="s">
        <v>16</v>
      </c>
      <c r="Y5" s="29">
        <f t="shared" ref="Y5:Y6" si="2">V5*344.092/0.30397*10^(-6)</f>
        <v>2.2027063916791583E-2</v>
      </c>
    </row>
    <row r="6" spans="1:25" x14ac:dyDescent="0.35">
      <c r="C6" s="30" t="s">
        <v>17</v>
      </c>
      <c r="D6" s="31">
        <v>23</v>
      </c>
      <c r="E6" s="32">
        <v>50.942</v>
      </c>
      <c r="F6" s="15">
        <f t="shared" si="0"/>
        <v>0.9257111865667883</v>
      </c>
      <c r="G6" s="33">
        <f>$B$1*F6</f>
        <v>1851.4223731335767</v>
      </c>
      <c r="H6" s="86">
        <v>747</v>
      </c>
      <c r="S6" s="115">
        <v>6</v>
      </c>
      <c r="T6" s="25">
        <f>T30</f>
        <v>1648.579263294376</v>
      </c>
      <c r="U6" s="26" t="s">
        <v>16</v>
      </c>
      <c r="V6" s="27">
        <f>V30</f>
        <v>259.5266461922601</v>
      </c>
      <c r="W6" s="28">
        <f t="shared" si="1"/>
        <v>1.8661806621228685</v>
      </c>
      <c r="X6" s="26" t="s">
        <v>16</v>
      </c>
      <c r="Y6" s="29">
        <f t="shared" si="2"/>
        <v>0.29378242175736796</v>
      </c>
    </row>
    <row r="7" spans="1:25" x14ac:dyDescent="0.35">
      <c r="C7" s="34" t="s">
        <v>18</v>
      </c>
      <c r="D7" s="35">
        <v>41</v>
      </c>
      <c r="E7" s="36">
        <v>92.906000000000006</v>
      </c>
      <c r="F7" s="15">
        <f t="shared" si="0"/>
        <v>0.95856067934676659</v>
      </c>
      <c r="G7" s="37">
        <f>$B$1*F7</f>
        <v>1917.1213586935332</v>
      </c>
      <c r="H7" s="87">
        <v>774</v>
      </c>
      <c r="S7" s="115">
        <v>7</v>
      </c>
      <c r="T7" s="25">
        <f>T30</f>
        <v>1648.579263294376</v>
      </c>
      <c r="U7" s="26" t="s">
        <v>16</v>
      </c>
      <c r="V7" s="27">
        <f>V35</f>
        <v>252.01078623225089</v>
      </c>
      <c r="W7" s="28">
        <f t="shared" ref="W7" si="3">T7*344.092/0.30397*10^(-6)</f>
        <v>1.8661806621228685</v>
      </c>
      <c r="X7" s="26" t="s">
        <v>16</v>
      </c>
      <c r="Y7" s="29">
        <f t="shared" ref="Y7" si="4">V7*344.092/0.30397*10^(-6)</f>
        <v>0.28527451872299131</v>
      </c>
    </row>
    <row r="8" spans="1:25" ht="15" thickBot="1" x14ac:dyDescent="0.4">
      <c r="C8" s="38" t="s">
        <v>19</v>
      </c>
      <c r="D8" s="39">
        <v>73</v>
      </c>
      <c r="E8" s="40">
        <v>180.95</v>
      </c>
      <c r="F8" s="41">
        <f t="shared" si="0"/>
        <v>0.97850521298958393</v>
      </c>
      <c r="G8" s="42">
        <f>$B$1*F8</f>
        <v>1957.0104259791678</v>
      </c>
      <c r="H8" s="88">
        <v>792</v>
      </c>
      <c r="I8" s="83"/>
      <c r="J8" s="43"/>
      <c r="S8" s="115">
        <v>8</v>
      </c>
      <c r="T8" s="116">
        <f>T41</f>
        <v>1503.5653466157039</v>
      </c>
      <c r="U8" s="26" t="s">
        <v>16</v>
      </c>
      <c r="V8" s="122">
        <f>V41</f>
        <v>175.08628827193806</v>
      </c>
      <c r="W8" s="28">
        <f t="shared" ref="W8" si="5">T8*344.092/0.30397*10^(-6)</f>
        <v>1.7020258816583569</v>
      </c>
      <c r="X8" s="26" t="s">
        <v>16</v>
      </c>
      <c r="Y8" s="29">
        <f t="shared" ref="Y8" si="6">V8*344.092/0.30397*10^(-6)</f>
        <v>0.19819650328673125</v>
      </c>
    </row>
    <row r="9" spans="1:25" ht="15" thickBot="1" x14ac:dyDescent="0.4">
      <c r="C9" s="44" t="s">
        <v>20</v>
      </c>
      <c r="D9" s="45">
        <v>82</v>
      </c>
      <c r="E9" s="45">
        <v>207.2</v>
      </c>
      <c r="F9" s="46">
        <f t="shared" si="0"/>
        <v>0.9812026480871997</v>
      </c>
      <c r="G9" s="47">
        <f t="shared" ref="G9:G12" si="7">$B$1*F9</f>
        <v>1962.4052961743994</v>
      </c>
      <c r="H9" s="48">
        <f>(G9-86.245)/2.3656</f>
        <v>793.10124119648253</v>
      </c>
      <c r="I9" s="83"/>
      <c r="S9" s="100"/>
      <c r="T9" s="117">
        <f>T30</f>
        <v>1648.579263294376</v>
      </c>
      <c r="U9" s="118" t="s">
        <v>16</v>
      </c>
      <c r="V9" s="119">
        <f>V30</f>
        <v>259.5266461922601</v>
      </c>
      <c r="W9" s="120">
        <f t="shared" ref="W9" si="8">T9*344.092/0.30397*10^(-6)</f>
        <v>1.8661806621228685</v>
      </c>
      <c r="X9" s="118" t="s">
        <v>16</v>
      </c>
      <c r="Y9" s="121">
        <f t="shared" ref="Y9" si="9">V9*344.092/0.30397*10^(-6)</f>
        <v>0.29378242175736796</v>
      </c>
    </row>
    <row r="10" spans="1:25" ht="44" thickBot="1" x14ac:dyDescent="0.4">
      <c r="J10" s="1"/>
      <c r="K10" s="49" t="s">
        <v>21</v>
      </c>
      <c r="L10" s="50" t="s">
        <v>22</v>
      </c>
      <c r="M10" s="51" t="s">
        <v>23</v>
      </c>
      <c r="N10" s="52" t="s">
        <v>24</v>
      </c>
      <c r="O10" s="51" t="s">
        <v>25</v>
      </c>
      <c r="P10" s="52" t="s">
        <v>26</v>
      </c>
      <c r="Q10" s="51" t="s">
        <v>27</v>
      </c>
      <c r="R10" s="52" t="s">
        <v>28</v>
      </c>
      <c r="S10" s="53" t="s">
        <v>29</v>
      </c>
      <c r="T10" s="54" t="s">
        <v>30</v>
      </c>
      <c r="U10" s="55"/>
      <c r="V10" s="56"/>
    </row>
    <row r="11" spans="1:25" ht="15" thickBot="1" x14ac:dyDescent="0.4">
      <c r="C11" s="92" t="s">
        <v>33</v>
      </c>
      <c r="D11" s="89">
        <v>17</v>
      </c>
      <c r="E11" s="89">
        <v>35.450000000000003</v>
      </c>
      <c r="F11" s="90">
        <f t="shared" si="0"/>
        <v>0.89499019427127813</v>
      </c>
      <c r="G11" s="91">
        <f t="shared" si="7"/>
        <v>1789.9803885425563</v>
      </c>
      <c r="H11" s="48">
        <f>(G11-86.245)/2.3656</f>
        <v>720.21279529191588</v>
      </c>
      <c r="K11" s="57">
        <v>26</v>
      </c>
      <c r="L11" s="58">
        <v>789</v>
      </c>
      <c r="M11" s="59">
        <v>711</v>
      </c>
      <c r="N11" s="60">
        <f t="shared" ref="N11:N16" si="10">(L11-M11)*2.381</f>
        <v>185.71799999999999</v>
      </c>
      <c r="O11" s="59">
        <v>45.37</v>
      </c>
      <c r="P11" s="94">
        <f t="shared" ref="P11:P16" si="11">O11*$B$2/10</f>
        <v>51.313469999999995</v>
      </c>
      <c r="Q11" s="82">
        <v>45.81</v>
      </c>
      <c r="R11" s="93">
        <f t="shared" ref="R11:R16" si="12">Q11*$B$2/10</f>
        <v>51.811110000000006</v>
      </c>
      <c r="S11" s="61">
        <f t="shared" ref="S11" si="13">(($F$9/COS(RADIANS(0))*P11)+(1/COS(RADIANS(15))*R11))</f>
        <v>103.98772071014974</v>
      </c>
      <c r="T11" s="62">
        <f t="shared" ref="T11:T16" si="14">N11*10^3/S11</f>
        <v>1785.9608685689075</v>
      </c>
      <c r="U11" s="63"/>
      <c r="V11" s="64">
        <f>($T$17-T11)^2</f>
        <v>8388.3135412476313</v>
      </c>
    </row>
    <row r="12" spans="1:25" ht="15" thickBot="1" x14ac:dyDescent="0.4">
      <c r="C12" s="92" t="s">
        <v>34</v>
      </c>
      <c r="D12" s="89">
        <v>29</v>
      </c>
      <c r="E12" s="89">
        <v>63.545999999999999</v>
      </c>
      <c r="F12" s="90">
        <f t="shared" si="0"/>
        <v>0.93999634329545045</v>
      </c>
      <c r="G12" s="91">
        <f t="shared" si="7"/>
        <v>1879.9926865909008</v>
      </c>
      <c r="H12" s="48">
        <f>(G12-86.245)/2.3656</f>
        <v>758.26331019229815</v>
      </c>
      <c r="K12" s="57">
        <v>28</v>
      </c>
      <c r="L12" s="58">
        <v>790</v>
      </c>
      <c r="M12" s="59">
        <v>712</v>
      </c>
      <c r="N12" s="60">
        <f t="shared" si="10"/>
        <v>185.71799999999999</v>
      </c>
      <c r="O12" s="59">
        <v>45.37</v>
      </c>
      <c r="P12" s="94">
        <f t="shared" si="11"/>
        <v>51.313469999999995</v>
      </c>
      <c r="Q12" s="82">
        <v>45.81</v>
      </c>
      <c r="R12" s="93">
        <f t="shared" si="12"/>
        <v>51.811110000000006</v>
      </c>
      <c r="S12" s="61">
        <f t="shared" ref="S12:S16" si="15">(($F$9/COS(RADIANS(0))*P12)+(1/COS(RADIANS(15))*R12))</f>
        <v>103.98772071014974</v>
      </c>
      <c r="T12" s="62">
        <f t="shared" si="14"/>
        <v>1785.9608685689075</v>
      </c>
      <c r="U12" s="63"/>
      <c r="V12" s="64">
        <f t="shared" ref="V12:V16" si="16">($T$17-T12)^2</f>
        <v>8388.3135412476313</v>
      </c>
    </row>
    <row r="13" spans="1:25" ht="15" thickBot="1" x14ac:dyDescent="0.4">
      <c r="K13" s="57">
        <v>30</v>
      </c>
      <c r="L13" s="58">
        <v>790</v>
      </c>
      <c r="M13" s="59">
        <v>712</v>
      </c>
      <c r="N13" s="60">
        <f t="shared" si="10"/>
        <v>185.71799999999999</v>
      </c>
      <c r="O13" s="59">
        <v>45.37</v>
      </c>
      <c r="P13" s="94">
        <f t="shared" si="11"/>
        <v>51.313469999999995</v>
      </c>
      <c r="Q13" s="82">
        <v>45.81</v>
      </c>
      <c r="R13" s="93">
        <f t="shared" si="12"/>
        <v>51.811110000000006</v>
      </c>
      <c r="S13" s="61">
        <f t="shared" si="15"/>
        <v>103.98772071014974</v>
      </c>
      <c r="T13" s="62">
        <f t="shared" si="14"/>
        <v>1785.9608685689075</v>
      </c>
      <c r="U13" s="63"/>
      <c r="V13" s="64">
        <f t="shared" si="16"/>
        <v>8388.3135412476313</v>
      </c>
    </row>
    <row r="14" spans="1:25" ht="15" thickBot="1" x14ac:dyDescent="0.4">
      <c r="K14" s="57">
        <v>32</v>
      </c>
      <c r="L14" s="58">
        <v>790</v>
      </c>
      <c r="M14" s="59">
        <v>719</v>
      </c>
      <c r="N14" s="60">
        <f t="shared" si="10"/>
        <v>169.05099999999999</v>
      </c>
      <c r="O14" s="59">
        <v>45.37</v>
      </c>
      <c r="P14" s="94">
        <f t="shared" si="11"/>
        <v>51.313469999999995</v>
      </c>
      <c r="Q14" s="82">
        <v>45.81</v>
      </c>
      <c r="R14" s="93">
        <f t="shared" si="12"/>
        <v>51.811110000000006</v>
      </c>
      <c r="S14" s="61">
        <f t="shared" si="15"/>
        <v>103.98772071014974</v>
      </c>
      <c r="T14" s="62">
        <f t="shared" si="14"/>
        <v>1625.6823290819541</v>
      </c>
      <c r="U14" s="63"/>
      <c r="V14" s="64">
        <f t="shared" si="16"/>
        <v>4718.4263669517932</v>
      </c>
    </row>
    <row r="15" spans="1:25" x14ac:dyDescent="0.35">
      <c r="K15" s="57">
        <v>34</v>
      </c>
      <c r="L15" s="101">
        <v>790</v>
      </c>
      <c r="M15" s="102">
        <v>719</v>
      </c>
      <c r="N15" s="103">
        <f t="shared" si="10"/>
        <v>169.05099999999999</v>
      </c>
      <c r="O15" s="102">
        <v>45.37</v>
      </c>
      <c r="P15" s="104">
        <f t="shared" si="11"/>
        <v>51.313469999999995</v>
      </c>
      <c r="Q15" s="105">
        <v>45.81</v>
      </c>
      <c r="R15" s="106">
        <f t="shared" si="12"/>
        <v>51.811110000000006</v>
      </c>
      <c r="S15" s="107">
        <f t="shared" si="15"/>
        <v>103.98772071014974</v>
      </c>
      <c r="T15" s="108">
        <f t="shared" si="14"/>
        <v>1625.6823290819541</v>
      </c>
      <c r="U15" s="63"/>
      <c r="V15" s="64">
        <f t="shared" si="16"/>
        <v>4718.4263669517932</v>
      </c>
    </row>
    <row r="16" spans="1:25" ht="15" thickBot="1" x14ac:dyDescent="0.4">
      <c r="K16" s="109">
        <v>36</v>
      </c>
      <c r="L16" s="110">
        <v>790</v>
      </c>
      <c r="M16" s="67">
        <v>722</v>
      </c>
      <c r="N16" s="111">
        <f t="shared" si="10"/>
        <v>161.90799999999999</v>
      </c>
      <c r="O16" s="67">
        <v>45.37</v>
      </c>
      <c r="P16" s="112">
        <f t="shared" si="11"/>
        <v>51.313469999999995</v>
      </c>
      <c r="Q16" s="76">
        <v>45.81</v>
      </c>
      <c r="R16" s="113">
        <f t="shared" si="12"/>
        <v>51.811110000000006</v>
      </c>
      <c r="S16" s="114">
        <f t="shared" si="15"/>
        <v>103.98772071014974</v>
      </c>
      <c r="T16" s="70">
        <f t="shared" si="14"/>
        <v>1556.9915264446886</v>
      </c>
      <c r="U16" s="63"/>
      <c r="V16" s="64">
        <f t="shared" si="16"/>
        <v>18873.705467807111</v>
      </c>
    </row>
    <row r="17" spans="11:22" ht="15" thickBot="1" x14ac:dyDescent="0.4">
      <c r="K17" s="71"/>
      <c r="L17" s="63"/>
      <c r="M17" s="63"/>
      <c r="N17" s="63"/>
      <c r="O17" s="63"/>
      <c r="P17" s="63"/>
      <c r="Q17" s="63"/>
      <c r="R17" s="63"/>
      <c r="S17" s="63"/>
      <c r="T17" s="72">
        <f>SUM(T11:T16)/6</f>
        <v>1694.3731317192198</v>
      </c>
      <c r="U17" s="73" t="s">
        <v>16</v>
      </c>
      <c r="V17" s="74">
        <f>SQRT(SUM(V11:V16))/5</f>
        <v>46.249540030341315</v>
      </c>
    </row>
    <row r="18" spans="11:22" ht="15" thickBot="1" x14ac:dyDescent="0.4">
      <c r="K18" s="79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1"/>
    </row>
    <row r="19" spans="11:22" ht="15" thickBot="1" x14ac:dyDescent="0.4"/>
    <row r="20" spans="11:22" ht="44" thickBot="1" x14ac:dyDescent="0.4">
      <c r="K20" s="49" t="s">
        <v>35</v>
      </c>
      <c r="L20" s="50" t="s">
        <v>22</v>
      </c>
      <c r="M20" s="51" t="s">
        <v>23</v>
      </c>
      <c r="N20" s="52" t="s">
        <v>24</v>
      </c>
      <c r="O20" s="51" t="s">
        <v>25</v>
      </c>
      <c r="P20" s="52" t="s">
        <v>26</v>
      </c>
      <c r="Q20" s="51" t="s">
        <v>27</v>
      </c>
      <c r="R20" s="52" t="s">
        <v>28</v>
      </c>
      <c r="S20" s="53" t="s">
        <v>29</v>
      </c>
      <c r="T20" s="54" t="s">
        <v>30</v>
      </c>
      <c r="U20" s="63"/>
      <c r="V20" s="65"/>
    </row>
    <row r="21" spans="11:22" x14ac:dyDescent="0.35">
      <c r="K21" s="57">
        <v>14</v>
      </c>
      <c r="L21" s="58">
        <v>792</v>
      </c>
      <c r="M21" s="59">
        <v>740</v>
      </c>
      <c r="N21" s="60">
        <f>(L21-M21)*2.381</f>
        <v>123.81199999999998</v>
      </c>
      <c r="O21" s="59">
        <v>45.37</v>
      </c>
      <c r="P21" s="95">
        <f>O21*$B$2/10</f>
        <v>51.313469999999995</v>
      </c>
      <c r="Q21" s="59">
        <v>45.81</v>
      </c>
      <c r="R21" s="59">
        <f>Q21*$B$2/10</f>
        <v>51.811110000000006</v>
      </c>
      <c r="S21" s="61">
        <f t="shared" ref="S21:S22" si="17">(($F$9/COS(RADIANS(0))*P21)+(1/COS(RADIANS(15))*R21))</f>
        <v>103.98772071014974</v>
      </c>
      <c r="T21" s="62">
        <f>N21*10^3/S21</f>
        <v>1190.6405790459382</v>
      </c>
      <c r="U21" s="63"/>
      <c r="V21" s="64">
        <f>($T$24-T21)^2</f>
        <v>1456.3044342443632</v>
      </c>
    </row>
    <row r="22" spans="11:22" ht="15" thickBot="1" x14ac:dyDescent="0.4">
      <c r="K22" s="66">
        <v>20</v>
      </c>
      <c r="L22" s="75">
        <v>792</v>
      </c>
      <c r="M22" s="76">
        <v>738</v>
      </c>
      <c r="N22" s="68">
        <f>(L22-M22)*2.381</f>
        <v>128.57399999999998</v>
      </c>
      <c r="O22" s="59">
        <v>45.37</v>
      </c>
      <c r="P22" s="96">
        <f t="shared" ref="P22" si="18">O22*$B$2/10</f>
        <v>51.313469999999995</v>
      </c>
      <c r="Q22" s="69">
        <v>45.81</v>
      </c>
      <c r="R22" s="67">
        <f t="shared" ref="R22" si="19">Q22*$B$2/10</f>
        <v>51.811110000000006</v>
      </c>
      <c r="S22" s="61">
        <f t="shared" si="17"/>
        <v>103.98772071014974</v>
      </c>
      <c r="T22" s="70">
        <f>N22*10^3/S22</f>
        <v>1236.4344474707818</v>
      </c>
      <c r="U22" s="63"/>
      <c r="V22" s="64">
        <f>($T$24-T22)^2</f>
        <v>58.252177369775225</v>
      </c>
    </row>
    <row r="23" spans="11:22" ht="15" thickBot="1" x14ac:dyDescent="0.4">
      <c r="K23" s="66">
        <v>26</v>
      </c>
      <c r="L23" s="75">
        <v>793</v>
      </c>
      <c r="M23" s="76">
        <v>738</v>
      </c>
      <c r="N23" s="68">
        <f>(L23-M23)*2.381</f>
        <v>130.95499999999998</v>
      </c>
      <c r="O23" s="59">
        <v>45.37</v>
      </c>
      <c r="P23" s="96">
        <f t="shared" ref="P23" si="20">O23*$B$2/10</f>
        <v>51.313469999999995</v>
      </c>
      <c r="Q23" s="69">
        <v>45.81</v>
      </c>
      <c r="R23" s="67">
        <f t="shared" ref="R23" si="21">Q23*$B$2/10</f>
        <v>51.811110000000006</v>
      </c>
      <c r="S23" s="61">
        <f t="shared" ref="S23" si="22">(($F$9/COS(RADIANS(0))*P23)+(1/COS(RADIANS(15))*R23))</f>
        <v>103.98772071014974</v>
      </c>
      <c r="T23" s="70">
        <f>N23*10^3/S23</f>
        <v>1259.3313816832037</v>
      </c>
      <c r="U23" s="63"/>
      <c r="V23" s="64">
        <f>($T$24-T23)^2</f>
        <v>932.0348379164036</v>
      </c>
    </row>
    <row r="24" spans="11:22" ht="15" thickBot="1" x14ac:dyDescent="0.4">
      <c r="K24" s="71"/>
      <c r="L24" s="63"/>
      <c r="M24" s="63"/>
      <c r="N24" s="63"/>
      <c r="O24" s="63"/>
      <c r="P24" s="63"/>
      <c r="Q24" s="63"/>
      <c r="R24" s="63"/>
      <c r="S24" s="63"/>
      <c r="T24" s="77">
        <f>SUM(T21:T23)/3</f>
        <v>1228.8021360666412</v>
      </c>
      <c r="U24" s="73" t="s">
        <v>16</v>
      </c>
      <c r="V24" s="78">
        <f>SQRT(SUM(V21:V22))/2</f>
        <v>19.458652391764815</v>
      </c>
    </row>
    <row r="25" spans="11:22" ht="15" thickBot="1" x14ac:dyDescent="0.4">
      <c r="K25" s="71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5"/>
    </row>
    <row r="26" spans="11:22" ht="44" thickBot="1" x14ac:dyDescent="0.4">
      <c r="K26" s="49" t="s">
        <v>31</v>
      </c>
      <c r="L26" s="50" t="s">
        <v>22</v>
      </c>
      <c r="M26" s="51" t="s">
        <v>23</v>
      </c>
      <c r="N26" s="52" t="s">
        <v>24</v>
      </c>
      <c r="O26" s="51" t="s">
        <v>25</v>
      </c>
      <c r="P26" s="52" t="s">
        <v>26</v>
      </c>
      <c r="Q26" s="51" t="s">
        <v>27</v>
      </c>
      <c r="R26" s="52" t="s">
        <v>28</v>
      </c>
      <c r="S26" s="53" t="s">
        <v>29</v>
      </c>
      <c r="T26" s="54" t="s">
        <v>30</v>
      </c>
      <c r="U26" s="63"/>
      <c r="V26" s="65"/>
    </row>
    <row r="27" spans="11:22" x14ac:dyDescent="0.35">
      <c r="K27" s="57">
        <v>52</v>
      </c>
      <c r="L27" s="58">
        <v>793</v>
      </c>
      <c r="M27" s="59">
        <v>726</v>
      </c>
      <c r="N27" s="60">
        <f>(L27-M27)*2.381</f>
        <v>159.52699999999999</v>
      </c>
      <c r="O27" s="59">
        <v>45.37</v>
      </c>
      <c r="P27" s="95">
        <f>O27*$B$2/10</f>
        <v>51.313469999999995</v>
      </c>
      <c r="Q27" s="59">
        <v>45.81</v>
      </c>
      <c r="R27" s="59">
        <f>Q27*$B$2/10</f>
        <v>51.811110000000006</v>
      </c>
      <c r="S27" s="61">
        <f t="shared" ref="S27:S29" si="23">(($F$9/COS(RADIANS(0))*P27)+(1/COS(RADIANS(15))*R27))</f>
        <v>103.98772071014974</v>
      </c>
      <c r="T27" s="62">
        <f>N27*10^3/S27</f>
        <v>1534.0945922322667</v>
      </c>
      <c r="U27" s="63"/>
      <c r="V27" s="64">
        <f>($T$24-T27)^2</f>
        <v>93203.483791640348</v>
      </c>
    </row>
    <row r="28" spans="11:22" ht="15" thickBot="1" x14ac:dyDescent="0.4">
      <c r="K28" s="66">
        <v>58</v>
      </c>
      <c r="L28" s="75">
        <v>792</v>
      </c>
      <c r="M28" s="76">
        <v>720</v>
      </c>
      <c r="N28" s="68">
        <f>(L28-M28)*2.381</f>
        <v>171.43199999999999</v>
      </c>
      <c r="O28" s="59">
        <v>45.37</v>
      </c>
      <c r="P28" s="96">
        <f t="shared" ref="P28:P29" si="24">O28*$B$2/10</f>
        <v>51.313469999999995</v>
      </c>
      <c r="Q28" s="69">
        <v>45.81</v>
      </c>
      <c r="R28" s="67">
        <f t="shared" ref="R28:R29" si="25">Q28*$B$2/10</f>
        <v>51.811110000000006</v>
      </c>
      <c r="S28" s="61">
        <f t="shared" si="23"/>
        <v>103.98772071014974</v>
      </c>
      <c r="T28" s="70">
        <f>N28*10^3/S28</f>
        <v>1648.579263294376</v>
      </c>
      <c r="U28" s="63"/>
      <c r="V28" s="64">
        <f>($T$24-T28)^2</f>
        <v>176212.83654356987</v>
      </c>
    </row>
    <row r="29" spans="11:22" ht="15" thickBot="1" x14ac:dyDescent="0.4">
      <c r="K29" s="66">
        <v>63</v>
      </c>
      <c r="L29" s="75">
        <v>792</v>
      </c>
      <c r="M29" s="76">
        <v>715</v>
      </c>
      <c r="N29" s="68">
        <f>(L29-M29)*2.381</f>
        <v>183.33699999999999</v>
      </c>
      <c r="O29" s="59">
        <v>45.37</v>
      </c>
      <c r="P29" s="96">
        <f t="shared" si="24"/>
        <v>51.313469999999995</v>
      </c>
      <c r="Q29" s="69">
        <v>45.81</v>
      </c>
      <c r="R29" s="67">
        <f t="shared" si="25"/>
        <v>51.811110000000006</v>
      </c>
      <c r="S29" s="61">
        <f t="shared" si="23"/>
        <v>103.98772071014974</v>
      </c>
      <c r="T29" s="70">
        <f>N29*10^3/S29</f>
        <v>1763.0639343564856</v>
      </c>
      <c r="U29" s="63"/>
      <c r="V29" s="64">
        <f>($T$24-T29)^2</f>
        <v>285435.66911189834</v>
      </c>
    </row>
    <row r="30" spans="11:22" ht="15" thickBot="1" x14ac:dyDescent="0.4">
      <c r="K30" s="71"/>
      <c r="L30" s="63"/>
      <c r="M30" s="63"/>
      <c r="N30" s="63"/>
      <c r="O30" s="63"/>
      <c r="P30" s="63"/>
      <c r="Q30" s="63"/>
      <c r="R30" s="63"/>
      <c r="S30" s="63"/>
      <c r="T30" s="77">
        <f>SUM(T27:T29)/3</f>
        <v>1648.579263294376</v>
      </c>
      <c r="U30" s="73" t="s">
        <v>16</v>
      </c>
      <c r="V30" s="78">
        <f>SQRT(SUM(V27:V28))/2</f>
        <v>259.5266461922601</v>
      </c>
    </row>
    <row r="31" spans="11:22" ht="44" thickBot="1" x14ac:dyDescent="0.4">
      <c r="K31" s="49" t="s">
        <v>32</v>
      </c>
      <c r="L31" s="50" t="s">
        <v>22</v>
      </c>
      <c r="M31" s="51" t="s">
        <v>23</v>
      </c>
      <c r="N31" s="52" t="s">
        <v>24</v>
      </c>
      <c r="O31" s="51" t="s">
        <v>25</v>
      </c>
      <c r="P31" s="52" t="s">
        <v>26</v>
      </c>
      <c r="Q31" s="51" t="s">
        <v>27</v>
      </c>
      <c r="R31" s="52" t="s">
        <v>28</v>
      </c>
      <c r="S31" s="53" t="s">
        <v>29</v>
      </c>
      <c r="T31" s="54" t="s">
        <v>30</v>
      </c>
      <c r="U31" s="63"/>
      <c r="V31" s="65"/>
    </row>
    <row r="32" spans="11:22" x14ac:dyDescent="0.35">
      <c r="K32" s="57">
        <v>63</v>
      </c>
      <c r="L32" s="58">
        <v>791</v>
      </c>
      <c r="M32" s="59">
        <v>756</v>
      </c>
      <c r="N32" s="60">
        <f>(L32-M32)*2.381</f>
        <v>83.334999999999994</v>
      </c>
      <c r="O32" s="59">
        <v>45.37</v>
      </c>
      <c r="P32" s="95">
        <f>O32*$B$2/10</f>
        <v>51.313469999999995</v>
      </c>
      <c r="Q32" s="59">
        <v>45.81</v>
      </c>
      <c r="R32" s="59">
        <f>Q32*$B$2/10</f>
        <v>51.811110000000006</v>
      </c>
      <c r="S32" s="61">
        <f t="shared" ref="S32:S34" si="26">(($F$9/COS(RADIANS(0))*P32)+(1/COS(RADIANS(15))*R32))</f>
        <v>103.98772071014974</v>
      </c>
      <c r="T32" s="62">
        <f>N32*10^3/S32</f>
        <v>801.39269743476609</v>
      </c>
      <c r="U32" s="63"/>
      <c r="V32" s="64">
        <f>($T$24-T32)^2</f>
        <v>182678.82823161461</v>
      </c>
    </row>
    <row r="33" spans="11:22" ht="15" thickBot="1" x14ac:dyDescent="0.4">
      <c r="K33" s="66">
        <v>58</v>
      </c>
      <c r="L33" s="75">
        <v>792</v>
      </c>
      <c r="M33" s="76">
        <v>750</v>
      </c>
      <c r="N33" s="68">
        <f>(L33-M33)*2.381</f>
        <v>100.002</v>
      </c>
      <c r="O33" s="59">
        <v>45.37</v>
      </c>
      <c r="P33" s="96">
        <f t="shared" ref="P33:P34" si="27">O33*$B$2/10</f>
        <v>51.313469999999995</v>
      </c>
      <c r="Q33" s="69">
        <v>45.81</v>
      </c>
      <c r="R33" s="67">
        <f t="shared" ref="R33:R34" si="28">Q33*$B$2/10</f>
        <v>51.811110000000006</v>
      </c>
      <c r="S33" s="61">
        <f t="shared" si="26"/>
        <v>103.98772071014974</v>
      </c>
      <c r="T33" s="70">
        <f>N33*10^3/S33</f>
        <v>961.67123692171936</v>
      </c>
      <c r="U33" s="63"/>
      <c r="V33" s="64">
        <f>($T$24-T33)^2</f>
        <v>71358.917277974411</v>
      </c>
    </row>
    <row r="34" spans="11:22" ht="15" thickBot="1" x14ac:dyDescent="0.4">
      <c r="K34" s="66">
        <v>52</v>
      </c>
      <c r="L34" s="75">
        <v>791</v>
      </c>
      <c r="M34" s="76">
        <v>750</v>
      </c>
      <c r="N34" s="68">
        <f>(L34-M34)*2.381</f>
        <v>97.620999999999995</v>
      </c>
      <c r="O34" s="59">
        <v>45.37</v>
      </c>
      <c r="P34" s="96">
        <f t="shared" si="27"/>
        <v>51.313469999999995</v>
      </c>
      <c r="Q34" s="69">
        <v>45.81</v>
      </c>
      <c r="R34" s="67">
        <f t="shared" si="28"/>
        <v>51.811110000000006</v>
      </c>
      <c r="S34" s="61">
        <f t="shared" si="26"/>
        <v>103.98772071014974</v>
      </c>
      <c r="T34" s="70">
        <f>N34*10^3/S34</f>
        <v>938.77430270929744</v>
      </c>
      <c r="U34" s="63"/>
      <c r="V34" s="64">
        <f>($T$24-T34)^2</f>
        <v>84116.144121955163</v>
      </c>
    </row>
    <row r="35" spans="11:22" ht="15" thickBot="1" x14ac:dyDescent="0.4">
      <c r="K35" s="71"/>
      <c r="L35" s="63"/>
      <c r="M35" s="63"/>
      <c r="N35" s="63"/>
      <c r="O35" s="63"/>
      <c r="P35" s="63"/>
      <c r="Q35" s="63"/>
      <c r="R35" s="63"/>
      <c r="S35" s="63"/>
      <c r="T35" s="77">
        <f>SUM(T32:T34)/3</f>
        <v>900.61274568859426</v>
      </c>
      <c r="U35" s="73" t="s">
        <v>16</v>
      </c>
      <c r="V35" s="78">
        <f>SQRT(SUM(V32:V33))/2</f>
        <v>252.01078623225089</v>
      </c>
    </row>
    <row r="36" spans="11:22" ht="15" thickBot="1" x14ac:dyDescent="0.4">
      <c r="K36" s="71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5"/>
    </row>
    <row r="37" spans="11:22" ht="44" thickBot="1" x14ac:dyDescent="0.4">
      <c r="K37" s="49" t="s">
        <v>36</v>
      </c>
      <c r="L37" s="50" t="s">
        <v>22</v>
      </c>
      <c r="M37" s="51" t="s">
        <v>23</v>
      </c>
      <c r="N37" s="52" t="s">
        <v>24</v>
      </c>
      <c r="O37" s="51" t="s">
        <v>25</v>
      </c>
      <c r="P37" s="52" t="s">
        <v>26</v>
      </c>
      <c r="Q37" s="51" t="s">
        <v>27</v>
      </c>
      <c r="R37" s="52" t="s">
        <v>28</v>
      </c>
      <c r="S37" s="53" t="s">
        <v>29</v>
      </c>
      <c r="T37" s="54" t="s">
        <v>30</v>
      </c>
      <c r="U37" s="63"/>
      <c r="V37" s="65"/>
    </row>
    <row r="38" spans="11:22" x14ac:dyDescent="0.35">
      <c r="K38" s="57">
        <v>26</v>
      </c>
      <c r="L38" s="58">
        <v>791</v>
      </c>
      <c r="M38" s="59">
        <v>732</v>
      </c>
      <c r="N38" s="60">
        <f>(L38-M38)*2.381</f>
        <v>140.47899999999998</v>
      </c>
      <c r="O38" s="59">
        <v>45.37</v>
      </c>
      <c r="P38" s="95">
        <f>O38*$B$2/10</f>
        <v>51.313469999999995</v>
      </c>
      <c r="Q38" s="59">
        <v>45.81</v>
      </c>
      <c r="R38" s="59">
        <f>Q38*$B$2/10</f>
        <v>51.811110000000006</v>
      </c>
      <c r="S38" s="61">
        <f t="shared" ref="S38:S40" si="29">(($F$9/COS(RADIANS(0))*P38)+(1/COS(RADIANS(15))*R38))</f>
        <v>103.98772071014974</v>
      </c>
      <c r="T38" s="62">
        <f>N38*10^3/S38</f>
        <v>1350.9191185328912</v>
      </c>
      <c r="U38" s="63"/>
      <c r="V38" s="64">
        <f>($T$24-T38)^2</f>
        <v>14912.557406662401</v>
      </c>
    </row>
    <row r="39" spans="11:22" ht="15" thickBot="1" x14ac:dyDescent="0.4">
      <c r="K39" s="66">
        <v>20</v>
      </c>
      <c r="L39" s="75">
        <v>792</v>
      </c>
      <c r="M39" s="76">
        <v>724</v>
      </c>
      <c r="N39" s="68">
        <f>(L39-M39)*2.381</f>
        <v>161.90799999999999</v>
      </c>
      <c r="O39" s="59">
        <v>45.37</v>
      </c>
      <c r="P39" s="96">
        <f t="shared" ref="P39:P40" si="30">O39*$B$2/10</f>
        <v>51.313469999999995</v>
      </c>
      <c r="Q39" s="69">
        <v>45.81</v>
      </c>
      <c r="R39" s="67">
        <f t="shared" ref="R39:R40" si="31">Q39*$B$2/10</f>
        <v>51.811110000000006</v>
      </c>
      <c r="S39" s="61">
        <f t="shared" si="29"/>
        <v>103.98772071014974</v>
      </c>
      <c r="T39" s="70">
        <f>N39*10^3/S39</f>
        <v>1556.9915264446886</v>
      </c>
      <c r="U39" s="63"/>
      <c r="V39" s="64">
        <f>($T$24-T39)^2</f>
        <v>107708.27595671438</v>
      </c>
    </row>
    <row r="40" spans="11:22" ht="15" thickBot="1" x14ac:dyDescent="0.4">
      <c r="K40" s="66">
        <v>14</v>
      </c>
      <c r="L40" s="75">
        <v>792</v>
      </c>
      <c r="M40" s="76">
        <v>722</v>
      </c>
      <c r="N40" s="68">
        <f>(L40-M40)*2.381</f>
        <v>166.67</v>
      </c>
      <c r="O40" s="59">
        <v>45.37</v>
      </c>
      <c r="P40" s="96">
        <f t="shared" si="30"/>
        <v>51.313469999999995</v>
      </c>
      <c r="Q40" s="69">
        <v>45.81</v>
      </c>
      <c r="R40" s="67">
        <f t="shared" si="31"/>
        <v>51.811110000000006</v>
      </c>
      <c r="S40" s="61">
        <f t="shared" si="29"/>
        <v>103.98772071014974</v>
      </c>
      <c r="T40" s="70">
        <f>N40*10^3/S40</f>
        <v>1602.7853948695322</v>
      </c>
      <c r="U40" s="63"/>
      <c r="V40" s="64">
        <f>($T$24-T40)^2</f>
        <v>139863.47786483014</v>
      </c>
    </row>
    <row r="41" spans="11:22" ht="15" thickBot="1" x14ac:dyDescent="0.4">
      <c r="K41" s="71"/>
      <c r="L41" s="63"/>
      <c r="M41" s="63"/>
      <c r="N41" s="63"/>
      <c r="O41" s="63"/>
      <c r="P41" s="63"/>
      <c r="Q41" s="63"/>
      <c r="R41" s="63"/>
      <c r="S41" s="63"/>
      <c r="T41" s="77">
        <f>SUM(T38:T40)/3</f>
        <v>1503.5653466157039</v>
      </c>
      <c r="U41" s="73" t="s">
        <v>16</v>
      </c>
      <c r="V41" s="78">
        <f>SQRT(SUM(V38:V39))/2</f>
        <v>175.08628827193806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224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Ta-Nb-V Calib - RBS1 - Protoes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 Pires</dc:creator>
  <dc:description/>
  <cp:lastModifiedBy>Ricardo Pires</cp:lastModifiedBy>
  <cp:revision>27</cp:revision>
  <dcterms:created xsi:type="dcterms:W3CDTF">2022-08-29T11:45:38Z</dcterms:created>
  <dcterms:modified xsi:type="dcterms:W3CDTF">2023-04-19T22:32:32Z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