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 - Universidade de Lisboa\NUCRIA\EV2023\AI4RBS\RBS_24Abr2023_Sn+Al\"/>
    </mc:Choice>
  </mc:AlternateContent>
  <bookViews>
    <workbookView xWindow="0" yWindow="0" windowWidth="16380" windowHeight="7890" tabRatio="500"/>
  </bookViews>
  <sheets>
    <sheet name="Ta-Nb-V Calib - RBS1 - Protoes" sheetId="2" r:id="rId1"/>
    <sheet name="Thicknesses Heatmap" sheetId="3" r:id="rId2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C14" i="2" l="1"/>
  <c r="AB14" i="2"/>
  <c r="AC13" i="2"/>
  <c r="AB13" i="2"/>
  <c r="AC12" i="2"/>
  <c r="AB12" i="2"/>
  <c r="AC11" i="2"/>
  <c r="AB11" i="2"/>
  <c r="AC10" i="2"/>
  <c r="AB10" i="2"/>
  <c r="AC9" i="2"/>
  <c r="AB9" i="2"/>
  <c r="AC8" i="2"/>
  <c r="AB8" i="2"/>
  <c r="AC7" i="2"/>
  <c r="AB7" i="2"/>
  <c r="AB6" i="2"/>
  <c r="AC6" i="2"/>
  <c r="W7" i="2" l="1"/>
  <c r="H9" i="2"/>
  <c r="N17" i="2"/>
  <c r="N18" i="2"/>
  <c r="N19" i="2"/>
  <c r="N23" i="2"/>
  <c r="N24" i="2"/>
  <c r="N25" i="2"/>
  <c r="Y3" i="2" l="1"/>
  <c r="W3" i="2"/>
  <c r="V67" i="2"/>
  <c r="V66" i="2"/>
  <c r="V65" i="2"/>
  <c r="V61" i="2"/>
  <c r="V60" i="2"/>
  <c r="V59" i="2"/>
  <c r="V55" i="2"/>
  <c r="V54" i="2"/>
  <c r="V53" i="2"/>
  <c r="V49" i="2"/>
  <c r="V48" i="2"/>
  <c r="V47" i="2"/>
  <c r="V43" i="2"/>
  <c r="V42" i="2"/>
  <c r="V41" i="2"/>
  <c r="V37" i="2"/>
  <c r="V36" i="2"/>
  <c r="V35" i="2"/>
  <c r="V31" i="2"/>
  <c r="V30" i="2"/>
  <c r="V29" i="2"/>
  <c r="V25" i="2"/>
  <c r="V24" i="2"/>
  <c r="V23" i="2"/>
  <c r="N67" i="2"/>
  <c r="N66" i="2"/>
  <c r="N65" i="2"/>
  <c r="N61" i="2"/>
  <c r="N60" i="2"/>
  <c r="N59" i="2"/>
  <c r="N55" i="2"/>
  <c r="N54" i="2"/>
  <c r="N53" i="2"/>
  <c r="N49" i="2"/>
  <c r="N48" i="2"/>
  <c r="N47" i="2"/>
  <c r="N43" i="2"/>
  <c r="N42" i="2"/>
  <c r="N41" i="2"/>
  <c r="N37" i="2"/>
  <c r="N36" i="2"/>
  <c r="N35" i="2"/>
  <c r="N31" i="2"/>
  <c r="N30" i="2"/>
  <c r="N29" i="2"/>
  <c r="R3" i="2"/>
  <c r="P3" i="2"/>
  <c r="F11" i="2" l="1"/>
  <c r="G11" i="2" s="1"/>
  <c r="H11" i="2" s="1"/>
  <c r="F9" i="2" l="1"/>
  <c r="F8" i="2"/>
  <c r="G8" i="2" s="1"/>
  <c r="F7" i="2"/>
  <c r="G7" i="2" s="1"/>
  <c r="F6" i="2"/>
  <c r="G6" i="2" s="1"/>
  <c r="F5" i="2"/>
  <c r="G5" i="2" s="1"/>
  <c r="F4" i="2"/>
  <c r="G4" i="2" s="1"/>
  <c r="S3" i="2" l="1"/>
  <c r="Z3" i="2"/>
  <c r="G9" i="2"/>
  <c r="W67" i="2" l="1"/>
  <c r="W54" i="2"/>
  <c r="W41" i="2"/>
  <c r="W25" i="2"/>
  <c r="W59" i="2"/>
  <c r="W36" i="2"/>
  <c r="W49" i="2"/>
  <c r="W23" i="2"/>
  <c r="W61" i="2"/>
  <c r="W48" i="2"/>
  <c r="W35" i="2"/>
  <c r="W66" i="2"/>
  <c r="W43" i="2"/>
  <c r="W60" i="2"/>
  <c r="W37" i="2"/>
  <c r="W24" i="2"/>
  <c r="W55" i="2"/>
  <c r="W42" i="2"/>
  <c r="W30" i="2"/>
  <c r="W53" i="2"/>
  <c r="W47" i="2"/>
  <c r="W31" i="2"/>
  <c r="W65" i="2"/>
  <c r="W29" i="2"/>
  <c r="O67" i="2"/>
  <c r="O23" i="2"/>
  <c r="O55" i="2"/>
  <c r="O42" i="2"/>
  <c r="O44" i="2" s="1"/>
  <c r="O30" i="2"/>
  <c r="O61" i="2"/>
  <c r="O19" i="2"/>
  <c r="O53" i="2"/>
  <c r="O56" i="2" s="1"/>
  <c r="O37" i="2"/>
  <c r="O60" i="2"/>
  <c r="O41" i="2"/>
  <c r="O66" i="2"/>
  <c r="O68" i="2" s="1"/>
  <c r="O43" i="2"/>
  <c r="O17" i="2"/>
  <c r="O18" i="2"/>
  <c r="O49" i="2"/>
  <c r="O24" i="2"/>
  <c r="O29" i="2"/>
  <c r="O65" i="2"/>
  <c r="O31" i="2"/>
  <c r="O32" i="2" s="1"/>
  <c r="O25" i="2"/>
  <c r="O59" i="2"/>
  <c r="O47" i="2"/>
  <c r="O48" i="2"/>
  <c r="O50" i="2" s="1"/>
  <c r="O36" i="2"/>
  <c r="O35" i="2"/>
  <c r="O54" i="2"/>
  <c r="O38" i="2"/>
  <c r="L9" i="2" s="1"/>
  <c r="O9" i="2" s="1"/>
  <c r="O26" i="2"/>
  <c r="L7" i="2" s="1"/>
  <c r="O7" i="2" s="1"/>
  <c r="O62" i="2"/>
  <c r="W32" i="2" l="1"/>
  <c r="Y29" i="2" s="1"/>
  <c r="W56" i="2"/>
  <c r="Y55" i="2" s="1"/>
  <c r="O20" i="2"/>
  <c r="Q25" i="2" s="1"/>
  <c r="Y53" i="2"/>
  <c r="W26" i="2"/>
  <c r="W68" i="2"/>
  <c r="W38" i="2"/>
  <c r="W44" i="2"/>
  <c r="W50" i="2"/>
  <c r="W62" i="2"/>
  <c r="Q37" i="2"/>
  <c r="Q36" i="2"/>
  <c r="Q35" i="2"/>
  <c r="L6" i="2"/>
  <c r="O6" i="2" s="1"/>
  <c r="Q24" i="2"/>
  <c r="Q23" i="2"/>
  <c r="L12" i="2"/>
  <c r="O12" i="2" s="1"/>
  <c r="Q54" i="2"/>
  <c r="Q53" i="2"/>
  <c r="Q55" i="2"/>
  <c r="L10" i="2"/>
  <c r="O10" i="2" s="1"/>
  <c r="Q43" i="2"/>
  <c r="Q42" i="2"/>
  <c r="Q41" i="2"/>
  <c r="L13" i="2"/>
  <c r="O13" i="2" s="1"/>
  <c r="Q61" i="2"/>
  <c r="Q60" i="2"/>
  <c r="Q59" i="2"/>
  <c r="L8" i="2"/>
  <c r="O8" i="2" s="1"/>
  <c r="Q29" i="2"/>
  <c r="Q31" i="2"/>
  <c r="Q30" i="2"/>
  <c r="L11" i="2"/>
  <c r="O11" i="2" s="1"/>
  <c r="Q48" i="2"/>
  <c r="Q47" i="2"/>
  <c r="Q50" i="2" s="1"/>
  <c r="N11" i="2" s="1"/>
  <c r="Q11" i="2" s="1"/>
  <c r="Q49" i="2"/>
  <c r="L14" i="2"/>
  <c r="O14" i="2" s="1"/>
  <c r="Q67" i="2"/>
  <c r="Q66" i="2"/>
  <c r="Q65" i="2"/>
  <c r="Q19" i="2"/>
  <c r="Q18" i="2"/>
  <c r="Q17" i="2"/>
  <c r="Q32" i="2"/>
  <c r="N8" i="2" s="1"/>
  <c r="Q8" i="2" s="1"/>
  <c r="Y31" i="2" l="1"/>
  <c r="Y30" i="2"/>
  <c r="Y32" i="2"/>
  <c r="V8" i="2" s="1"/>
  <c r="Y8" i="2" s="1"/>
  <c r="Y54" i="2"/>
  <c r="Y56" i="2" s="1"/>
  <c r="V12" i="2" s="1"/>
  <c r="Y12" i="2" s="1"/>
  <c r="T8" i="2"/>
  <c r="W8" i="2" s="1"/>
  <c r="T12" i="2"/>
  <c r="W12" i="2" s="1"/>
  <c r="T10" i="2"/>
  <c r="W10" i="2" s="1"/>
  <c r="Y43" i="2"/>
  <c r="Y42" i="2"/>
  <c r="Y41" i="2"/>
  <c r="T9" i="2"/>
  <c r="W9" i="2" s="1"/>
  <c r="Y35" i="2"/>
  <c r="Y37" i="2"/>
  <c r="Y36" i="2"/>
  <c r="T13" i="2"/>
  <c r="W13" i="2" s="1"/>
  <c r="Y60" i="2"/>
  <c r="Y59" i="2"/>
  <c r="Y61" i="2"/>
  <c r="T14" i="2"/>
  <c r="W14" i="2" s="1"/>
  <c r="Y66" i="2"/>
  <c r="Y65" i="2"/>
  <c r="Y67" i="2"/>
  <c r="T11" i="2"/>
  <c r="W11" i="2" s="1"/>
  <c r="Y49" i="2"/>
  <c r="Y48" i="2"/>
  <c r="Y47" i="2"/>
  <c r="T7" i="2"/>
  <c r="Y23" i="2"/>
  <c r="Y24" i="2"/>
  <c r="Y25" i="2"/>
  <c r="Q38" i="2"/>
  <c r="N9" i="2" s="1"/>
  <c r="Q9" i="2" s="1"/>
  <c r="Q62" i="2"/>
  <c r="N13" i="2" s="1"/>
  <c r="Q13" i="2" s="1"/>
  <c r="Q68" i="2"/>
  <c r="N14" i="2" s="1"/>
  <c r="Q14" i="2" s="1"/>
  <c r="Q56" i="2"/>
  <c r="N12" i="2" s="1"/>
  <c r="Q12" i="2" s="1"/>
  <c r="Q44" i="2"/>
  <c r="N10" i="2" s="1"/>
  <c r="Q10" i="2" s="1"/>
  <c r="Q26" i="2"/>
  <c r="N7" i="2" s="1"/>
  <c r="Q7" i="2" s="1"/>
  <c r="Q20" i="2"/>
  <c r="N6" i="2" s="1"/>
  <c r="Q6" i="2" s="1"/>
  <c r="Y68" i="2" l="1"/>
  <c r="V14" i="2" s="1"/>
  <c r="Y14" i="2" s="1"/>
  <c r="Y62" i="2"/>
  <c r="V13" i="2" s="1"/>
  <c r="Y13" i="2" s="1"/>
  <c r="Y44" i="2"/>
  <c r="V10" i="2" s="1"/>
  <c r="Y10" i="2" s="1"/>
  <c r="Y26" i="2"/>
  <c r="V7" i="2" s="1"/>
  <c r="Y7" i="2" s="1"/>
  <c r="Y38" i="2"/>
  <c r="V9" i="2" s="1"/>
  <c r="Y9" i="2" s="1"/>
  <c r="Y50" i="2"/>
  <c r="V11" i="2" s="1"/>
  <c r="Y11" i="2" s="1"/>
</calcChain>
</file>

<file path=xl/sharedStrings.xml><?xml version="1.0" encoding="utf-8"?>
<sst xmlns="http://schemas.openxmlformats.org/spreadsheetml/2006/main" count="213" uniqueCount="54">
  <si>
    <t xml:space="preserve">E0 = </t>
  </si>
  <si>
    <t>keV</t>
  </si>
  <si>
    <t>g/cm^3</t>
  </si>
  <si>
    <t>Element</t>
  </si>
  <si>
    <t>Z</t>
  </si>
  <si>
    <t>A</t>
  </si>
  <si>
    <t>Kinematic factor [K]</t>
  </si>
  <si>
    <t>Back Energy (keV) [K * E0]</t>
  </si>
  <si>
    <t>Surface channel</t>
  </si>
  <si>
    <t>O</t>
  </si>
  <si>
    <t>Si</t>
  </si>
  <si>
    <t>+-</t>
  </si>
  <si>
    <t>V</t>
  </si>
  <si>
    <t>Nb</t>
  </si>
  <si>
    <t>Ta</t>
  </si>
  <si>
    <t>Delta_E (keV)</t>
  </si>
  <si>
    <t>(dE/dx)_in [E_0] (MeV cm^2 / g)</t>
  </si>
  <si>
    <t>(dE/dx)_in [E_0] (eV/nm)</t>
  </si>
  <si>
    <t>(dE/dx)_out [K * E_0] (MeV cm^2 / g)</t>
  </si>
  <si>
    <t>(dE/dx)_out [K * E_0] (eV/nm)</t>
  </si>
  <si>
    <t>[S] (eV/nm)</t>
  </si>
  <si>
    <t>x (nm)</t>
  </si>
  <si>
    <t xml:space="preserve">Tin density = </t>
  </si>
  <si>
    <t>PG02-2</t>
  </si>
  <si>
    <t>Sn</t>
  </si>
  <si>
    <t>PG02-4</t>
  </si>
  <si>
    <t>PG02-5</t>
  </si>
  <si>
    <t>PG02-7</t>
  </si>
  <si>
    <t>PG02-8</t>
  </si>
  <si>
    <t>PG02-12</t>
  </si>
  <si>
    <t>PG02-14</t>
  </si>
  <si>
    <t>PG02-15</t>
  </si>
  <si>
    <t>PG02-19</t>
  </si>
  <si>
    <t>Sn channel in</t>
  </si>
  <si>
    <t>Sn channel out</t>
  </si>
  <si>
    <t>Al</t>
  </si>
  <si>
    <t>Al channel in</t>
  </si>
  <si>
    <t>Al channel out</t>
  </si>
  <si>
    <t>x</t>
  </si>
  <si>
    <t>PG02-3</t>
  </si>
  <si>
    <t>PG02-6</t>
  </si>
  <si>
    <t>PG02-1</t>
  </si>
  <si>
    <t>PG02-21</t>
  </si>
  <si>
    <t>PG02-20</t>
  </si>
  <si>
    <t>PG02-18</t>
  </si>
  <si>
    <t>PG02-17</t>
  </si>
  <si>
    <t>PG02-16</t>
  </si>
  <si>
    <t>PG02-11</t>
  </si>
  <si>
    <t>PG02-9</t>
  </si>
  <si>
    <t>PG02-10</t>
  </si>
  <si>
    <t>Target</t>
  </si>
  <si>
    <t>nm</t>
  </si>
  <si>
    <t>ug/cm2</t>
  </si>
  <si>
    <t>Al   density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</si>
</sst>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14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b/>
      <sz val="12"/>
      <color rgb="FF00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charset val="1"/>
    </font>
    <font>
      <sz val="72"/>
      <color rgb="FF000000"/>
      <name val="Calibri"/>
      <family val="2"/>
    </font>
    <font>
      <sz val="72"/>
      <color rgb="FF000000"/>
      <name val="Calibri"/>
      <family val="2"/>
      <charset val="1"/>
    </font>
    <font>
      <sz val="28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D0CECE"/>
        <bgColor rgb="FFD9D9D9"/>
      </patternFill>
    </fill>
    <fill>
      <patternFill patternType="solid">
        <fgColor rgb="FFE2F0D9"/>
        <bgColor rgb="FFDEEBF7"/>
      </patternFill>
    </fill>
    <fill>
      <patternFill patternType="solid">
        <fgColor rgb="FFFF97BC"/>
        <bgColor indexed="64"/>
      </patternFill>
    </fill>
    <fill>
      <patternFill patternType="solid">
        <fgColor rgb="FFB4C7E7"/>
        <bgColor rgb="FFBDD7EE"/>
      </patternFill>
    </fill>
    <fill>
      <patternFill patternType="solid">
        <fgColor rgb="FFDAE3F3"/>
        <bgColor rgb="FFDEEBF7"/>
      </patternFill>
    </fill>
    <fill>
      <patternFill patternType="solid">
        <fgColor rgb="FFFFBDDE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F8CBAD"/>
        <bgColor rgb="FFFFE699"/>
      </patternFill>
    </fill>
    <fill>
      <patternFill patternType="solid">
        <fgColor rgb="FFFBE5D6"/>
        <bgColor rgb="FFFFF2CC"/>
      </patternFill>
    </fill>
    <fill>
      <patternFill patternType="solid">
        <fgColor rgb="FFBDD7EE"/>
        <bgColor rgb="FFB4C7E7"/>
      </patternFill>
    </fill>
    <fill>
      <patternFill patternType="solid">
        <fgColor rgb="FFDEEBF7"/>
        <bgColor rgb="FFDAE3F3"/>
      </patternFill>
    </fill>
    <fill>
      <patternFill patternType="solid">
        <fgColor rgb="FFFFBDDE"/>
        <bgColor rgb="FFDAE3F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DEEBF7"/>
      </patternFill>
    </fill>
    <fill>
      <patternFill patternType="solid">
        <fgColor rgb="FFFFC000"/>
        <bgColor rgb="FFFBE5D6"/>
      </patternFill>
    </fill>
    <fill>
      <patternFill patternType="solid">
        <fgColor rgb="FFFFC000"/>
        <bgColor rgb="FFFFF2CC"/>
      </patternFill>
    </fill>
    <fill>
      <patternFill patternType="solid">
        <fgColor rgb="FFFFC000"/>
        <bgColor rgb="FFDAE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AE3F3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DEEBF7"/>
      </patternFill>
    </fill>
    <fill>
      <patternFill patternType="solid">
        <fgColor theme="5" tint="0.79998168889431442"/>
        <bgColor rgb="FFDEEBF7"/>
      </patternFill>
    </fill>
    <fill>
      <patternFill patternType="solid">
        <fgColor theme="8" tint="0.79998168889431442"/>
        <bgColor rgb="FFDEEBF7"/>
      </patternFill>
    </fill>
    <fill>
      <patternFill patternType="solid">
        <fgColor theme="7" tint="0.79998168889431442"/>
        <bgColor rgb="FFDEEBF7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9">
    <xf numFmtId="0" fontId="0" fillId="0" borderId="0" xfId="0"/>
    <xf numFmtId="0" fontId="1" fillId="2" borderId="1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164" fontId="0" fillId="4" borderId="0" xfId="0" applyNumberFormat="1" applyFill="1" applyBorder="1" applyAlignment="1">
      <alignment horizontal="center" vertical="center" wrapText="1"/>
    </xf>
    <xf numFmtId="165" fontId="0" fillId="4" borderId="0" xfId="0" applyNumberFormat="1" applyFill="1" applyBorder="1" applyAlignment="1">
      <alignment horizontal="center" vertical="center" wrapText="1"/>
    </xf>
    <xf numFmtId="2" fontId="0" fillId="4" borderId="0" xfId="0" applyNumberForma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164" fontId="4" fillId="7" borderId="0" xfId="0" applyNumberFormat="1" applyFont="1" applyFill="1" applyBorder="1" applyAlignment="1">
      <alignment horizontal="center" vertical="center" wrapText="1"/>
    </xf>
    <xf numFmtId="2" fontId="0" fillId="7" borderId="0" xfId="0" applyNumberFormat="1" applyFill="1" applyBorder="1" applyAlignment="1">
      <alignment horizontal="center" vertical="center" wrapText="1"/>
    </xf>
    <xf numFmtId="0" fontId="2" fillId="10" borderId="14" xfId="0" applyFont="1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 vertical="center" wrapText="1"/>
    </xf>
    <xf numFmtId="164" fontId="0" fillId="11" borderId="0" xfId="0" applyNumberFormat="1" applyFill="1" applyBorder="1" applyAlignment="1">
      <alignment horizontal="center" vertical="center" wrapText="1"/>
    </xf>
    <xf numFmtId="2" fontId="0" fillId="11" borderId="0" xfId="0" applyNumberFormat="1" applyFill="1" applyBorder="1" applyAlignment="1">
      <alignment horizontal="center" vertical="center" wrapText="1"/>
    </xf>
    <xf numFmtId="0" fontId="2" fillId="12" borderId="14" xfId="0" applyFont="1" applyFill="1" applyBorder="1" applyAlignment="1">
      <alignment horizontal="center" vertical="center" wrapText="1"/>
    </xf>
    <xf numFmtId="0" fontId="0" fillId="13" borderId="0" xfId="0" applyFill="1" applyBorder="1" applyAlignment="1">
      <alignment horizontal="center" vertical="center" wrapText="1"/>
    </xf>
    <xf numFmtId="164" fontId="0" fillId="13" borderId="0" xfId="0" applyNumberFormat="1" applyFill="1" applyBorder="1" applyAlignment="1">
      <alignment horizontal="center" vertical="center" wrapText="1"/>
    </xf>
    <xf numFmtId="2" fontId="0" fillId="13" borderId="0" xfId="0" applyNumberForma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0" fontId="0" fillId="15" borderId="3" xfId="0" applyFill="1" applyBorder="1" applyAlignment="1">
      <alignment horizontal="center" vertical="center" wrapText="1"/>
    </xf>
    <xf numFmtId="164" fontId="0" fillId="15" borderId="3" xfId="0" applyNumberFormat="1" applyFill="1" applyBorder="1" applyAlignment="1">
      <alignment horizontal="center" vertical="center" wrapText="1"/>
    </xf>
    <xf numFmtId="2" fontId="0" fillId="15" borderId="3" xfId="0" applyNumberFormat="1" applyFill="1" applyBorder="1" applyAlignment="1">
      <alignment horizontal="center" vertical="center" wrapText="1"/>
    </xf>
    <xf numFmtId="0" fontId="2" fillId="8" borderId="12" xfId="0" applyFont="1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165" fontId="0" fillId="16" borderId="7" xfId="0" applyNumberFormat="1" applyFill="1" applyBorder="1" applyAlignment="1">
      <alignment horizontal="center" vertical="center" wrapText="1"/>
    </xf>
    <xf numFmtId="2" fontId="0" fillId="16" borderId="7" xfId="0" applyNumberForma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2" fillId="8" borderId="8" xfId="0" applyFont="1" applyFill="1" applyBorder="1" applyAlignment="1">
      <alignment horizontal="center" vertical="center" wrapText="1"/>
    </xf>
    <xf numFmtId="0" fontId="0" fillId="17" borderId="18" xfId="0" applyFill="1" applyBorder="1" applyAlignment="1">
      <alignment horizontal="center" vertical="center" wrapText="1"/>
    </xf>
    <xf numFmtId="0" fontId="0" fillId="17" borderId="19" xfId="0" applyFill="1" applyBorder="1" applyAlignment="1">
      <alignment horizontal="center" vertical="center" wrapText="1"/>
    </xf>
    <xf numFmtId="2" fontId="0" fillId="17" borderId="19" xfId="0" applyNumberFormat="1" applyFill="1" applyBorder="1" applyAlignment="1">
      <alignment horizontal="center" vertical="center" wrapText="1"/>
    </xf>
    <xf numFmtId="1" fontId="1" fillId="17" borderId="21" xfId="0" applyNumberFormat="1" applyFont="1" applyFill="1" applyBorder="1" applyAlignment="1">
      <alignment horizontal="center" vertical="center" wrapText="1"/>
    </xf>
    <xf numFmtId="0" fontId="0" fillId="0" borderId="0" xfId="0" applyBorder="1"/>
    <xf numFmtId="1" fontId="0" fillId="0" borderId="2" xfId="0" applyNumberFormat="1" applyBorder="1"/>
    <xf numFmtId="0" fontId="2" fillId="8" borderId="9" xfId="0" applyFont="1" applyFill="1" applyBorder="1" applyAlignment="1">
      <alignment horizontal="center" vertical="center" wrapText="1"/>
    </xf>
    <xf numFmtId="0" fontId="1" fillId="18" borderId="7" xfId="0" quotePrefix="1" applyFont="1" applyFill="1" applyBorder="1" applyAlignment="1">
      <alignment horizontal="center" vertical="center" wrapText="1"/>
    </xf>
    <xf numFmtId="0" fontId="4" fillId="17" borderId="22" xfId="0" applyFont="1" applyFill="1" applyBorder="1" applyAlignment="1">
      <alignment horizontal="center" vertical="center" wrapText="1"/>
    </xf>
    <xf numFmtId="0" fontId="4" fillId="17" borderId="23" xfId="0" applyFont="1" applyFill="1" applyBorder="1" applyAlignment="1">
      <alignment horizontal="center" vertical="center" wrapText="1"/>
    </xf>
    <xf numFmtId="1" fontId="7" fillId="18" borderId="11" xfId="0" applyNumberFormat="1" applyFont="1" applyFill="1" applyBorder="1"/>
    <xf numFmtId="1" fontId="8" fillId="18" borderId="13" xfId="0" applyNumberFormat="1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3" xfId="0" applyBorder="1"/>
    <xf numFmtId="1" fontId="0" fillId="0" borderId="0" xfId="0" applyNumberFormat="1"/>
    <xf numFmtId="0" fontId="0" fillId="19" borderId="2" xfId="0" applyFill="1" applyBorder="1" applyAlignment="1">
      <alignment horizontal="center" vertical="center" wrapText="1"/>
    </xf>
    <xf numFmtId="0" fontId="4" fillId="19" borderId="2" xfId="0" applyFont="1" applyFill="1" applyBorder="1" applyAlignment="1">
      <alignment horizontal="center" vertical="center" wrapText="1"/>
    </xf>
    <xf numFmtId="0" fontId="0" fillId="20" borderId="2" xfId="0" applyFill="1" applyBorder="1" applyAlignment="1">
      <alignment horizontal="center" vertical="center" wrapText="1"/>
    </xf>
    <xf numFmtId="0" fontId="0" fillId="21" borderId="2" xfId="0" applyFill="1" applyBorder="1" applyAlignment="1">
      <alignment horizontal="center" vertical="center" wrapText="1"/>
    </xf>
    <xf numFmtId="0" fontId="0" fillId="22" borderId="4" xfId="0" applyFill="1" applyBorder="1" applyAlignment="1">
      <alignment horizontal="center" vertical="center" wrapText="1"/>
    </xf>
    <xf numFmtId="0" fontId="2" fillId="23" borderId="12" xfId="0" applyFont="1" applyFill="1" applyBorder="1" applyAlignment="1">
      <alignment horizontal="center" vertical="center" wrapText="1"/>
    </xf>
    <xf numFmtId="0" fontId="0" fillId="23" borderId="7" xfId="0" applyFill="1" applyBorder="1" applyAlignment="1">
      <alignment horizontal="center" vertical="center" wrapText="1"/>
    </xf>
    <xf numFmtId="165" fontId="0" fillId="24" borderId="7" xfId="0" applyNumberFormat="1" applyFill="1" applyBorder="1" applyAlignment="1">
      <alignment horizontal="center" vertical="center" wrapText="1"/>
    </xf>
    <xf numFmtId="2" fontId="0" fillId="24" borderId="7" xfId="0" applyNumberFormat="1" applyFill="1" applyBorder="1" applyAlignment="1">
      <alignment horizontal="center" vertical="center" wrapText="1"/>
    </xf>
    <xf numFmtId="0" fontId="5" fillId="23" borderId="12" xfId="0" applyFont="1" applyFill="1" applyBorder="1" applyAlignment="1">
      <alignment horizontal="center" vertical="center" wrapText="1"/>
    </xf>
    <xf numFmtId="0" fontId="6" fillId="23" borderId="15" xfId="0" applyFont="1" applyFill="1" applyBorder="1" applyAlignment="1">
      <alignment horizontal="center" vertical="center" wrapText="1"/>
    </xf>
    <xf numFmtId="0" fontId="6" fillId="23" borderId="16" xfId="0" applyFont="1" applyFill="1" applyBorder="1" applyAlignment="1">
      <alignment horizontal="center" vertical="center" wrapText="1"/>
    </xf>
    <xf numFmtId="0" fontId="2" fillId="23" borderId="16" xfId="0" applyFont="1" applyFill="1" applyBorder="1" applyAlignment="1">
      <alignment horizontal="center" vertical="center" wrapText="1"/>
    </xf>
    <xf numFmtId="0" fontId="2" fillId="23" borderId="17" xfId="0" applyFont="1" applyFill="1" applyBorder="1" applyAlignment="1">
      <alignment horizontal="center" vertical="center" wrapText="1"/>
    </xf>
    <xf numFmtId="0" fontId="2" fillId="23" borderId="13" xfId="0" applyFont="1" applyFill="1" applyBorder="1" applyAlignment="1">
      <alignment horizontal="center" vertical="center" wrapText="1"/>
    </xf>
    <xf numFmtId="0" fontId="2" fillId="17" borderId="8" xfId="0" applyFont="1" applyFill="1" applyBorder="1" applyAlignment="1">
      <alignment horizontal="center" vertical="center" wrapText="1"/>
    </xf>
    <xf numFmtId="0" fontId="2" fillId="17" borderId="9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2" fillId="8" borderId="24" xfId="0" applyFont="1" applyFill="1" applyBorder="1" applyAlignment="1">
      <alignment horizontal="center" vertical="center" wrapText="1"/>
    </xf>
    <xf numFmtId="2" fontId="0" fillId="17" borderId="20" xfId="0" applyNumberFormat="1" applyFill="1" applyBorder="1" applyAlignment="1">
      <alignment horizontal="center" vertical="center" wrapText="1"/>
    </xf>
    <xf numFmtId="166" fontId="0" fillId="17" borderId="20" xfId="0" applyNumberForma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horizontal="center" vertical="center" wrapText="1"/>
    </xf>
    <xf numFmtId="0" fontId="4" fillId="9" borderId="5" xfId="0" quotePrefix="1" applyFont="1" applyFill="1" applyBorder="1" applyAlignment="1">
      <alignment horizontal="center" vertical="center" wrapText="1"/>
    </xf>
    <xf numFmtId="0" fontId="4" fillId="9" borderId="0" xfId="0" quotePrefix="1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1" fontId="4" fillId="9" borderId="10" xfId="0" applyNumberFormat="1" applyFont="1" applyFill="1" applyBorder="1" applyAlignment="1">
      <alignment horizontal="center" vertical="center" wrapText="1"/>
    </xf>
    <xf numFmtId="1" fontId="4" fillId="9" borderId="6" xfId="0" applyNumberFormat="1" applyFont="1" applyFill="1" applyBorder="1" applyAlignment="1">
      <alignment horizontal="center" vertical="center" wrapText="1"/>
    </xf>
    <xf numFmtId="1" fontId="4" fillId="9" borderId="14" xfId="0" applyNumberFormat="1" applyFont="1" applyFill="1" applyBorder="1" applyAlignment="1">
      <alignment horizontal="center" vertical="center" wrapText="1"/>
    </xf>
    <xf numFmtId="1" fontId="4" fillId="9" borderId="2" xfId="0" applyNumberFormat="1" applyFont="1" applyFill="1" applyBorder="1" applyAlignment="1">
      <alignment horizontal="center" vertical="center" wrapText="1"/>
    </xf>
    <xf numFmtId="1" fontId="0" fillId="9" borderId="14" xfId="0" applyNumberForma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 wrapText="1"/>
    </xf>
    <xf numFmtId="1" fontId="0" fillId="9" borderId="11" xfId="0" applyNumberFormat="1" applyFill="1" applyBorder="1" applyAlignment="1">
      <alignment horizontal="center" vertical="center"/>
    </xf>
    <xf numFmtId="0" fontId="4" fillId="9" borderId="3" xfId="0" quotePrefix="1" applyFont="1" applyFill="1" applyBorder="1" applyAlignment="1">
      <alignment horizontal="center" vertical="center" wrapText="1"/>
    </xf>
    <xf numFmtId="1" fontId="4" fillId="9" borderId="5" xfId="0" applyNumberFormat="1" applyFont="1" applyFill="1" applyBorder="1" applyAlignment="1">
      <alignment horizontal="center" vertical="center" wrapText="1"/>
    </xf>
    <xf numFmtId="1" fontId="4" fillId="9" borderId="0" xfId="0" applyNumberFormat="1" applyFont="1" applyFill="1" applyBorder="1" applyAlignment="1">
      <alignment horizontal="center" vertical="center" wrapText="1"/>
    </xf>
    <xf numFmtId="1" fontId="0" fillId="9" borderId="0" xfId="0" applyNumberFormat="1" applyFill="1" applyBorder="1" applyAlignment="1">
      <alignment horizontal="center" vertical="center"/>
    </xf>
    <xf numFmtId="1" fontId="0" fillId="9" borderId="3" xfId="0" applyNumberForma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17" borderId="24" xfId="0" applyFont="1" applyFill="1" applyBorder="1" applyAlignment="1">
      <alignment horizontal="center" vertical="center" wrapText="1"/>
    </xf>
    <xf numFmtId="1" fontId="4" fillId="9" borderId="11" xfId="0" applyNumberFormat="1" applyFont="1" applyFill="1" applyBorder="1" applyAlignment="1">
      <alignment horizontal="center" vertical="center" wrapText="1"/>
    </xf>
    <xf numFmtId="1" fontId="4" fillId="9" borderId="4" xfId="0" applyNumberFormat="1" applyFont="1" applyFill="1" applyBorder="1" applyAlignment="1">
      <alignment horizontal="center" vertical="center" wrapText="1"/>
    </xf>
    <xf numFmtId="2" fontId="12" fillId="17" borderId="19" xfId="0" applyNumberFormat="1" applyFont="1" applyFill="1" applyBorder="1" applyAlignment="1">
      <alignment horizontal="center" vertical="center" wrapText="1"/>
    </xf>
    <xf numFmtId="0" fontId="2" fillId="23" borderId="1" xfId="0" applyFont="1" applyFill="1" applyBorder="1" applyAlignment="1">
      <alignment horizontal="center" vertical="center" wrapText="1"/>
    </xf>
    <xf numFmtId="0" fontId="2" fillId="23" borderId="7" xfId="0" applyFont="1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17" borderId="12" xfId="0" applyFill="1" applyBorder="1" applyAlignment="1">
      <alignment horizontal="center" vertical="center" wrapText="1"/>
    </xf>
    <xf numFmtId="0" fontId="0" fillId="17" borderId="7" xfId="0" applyFill="1" applyBorder="1" applyAlignment="1">
      <alignment horizontal="center" vertical="center" wrapText="1"/>
    </xf>
    <xf numFmtId="0" fontId="0" fillId="17" borderId="13" xfId="0" applyFill="1" applyBorder="1" applyAlignment="1">
      <alignment horizontal="center" vertical="center" wrapText="1"/>
    </xf>
    <xf numFmtId="1" fontId="13" fillId="25" borderId="10" xfId="0" applyNumberFormat="1" applyFont="1" applyFill="1" applyBorder="1" applyAlignment="1">
      <alignment horizontal="center" vertical="center" wrapText="1"/>
    </xf>
    <xf numFmtId="0" fontId="13" fillId="25" borderId="5" xfId="0" quotePrefix="1" applyFont="1" applyFill="1" applyBorder="1" applyAlignment="1">
      <alignment horizontal="center" vertical="center" wrapText="1"/>
    </xf>
    <xf numFmtId="1" fontId="13" fillId="25" borderId="5" xfId="0" applyNumberFormat="1" applyFont="1" applyFill="1" applyBorder="1" applyAlignment="1">
      <alignment horizontal="center" vertical="center" wrapText="1"/>
    </xf>
    <xf numFmtId="1" fontId="13" fillId="25" borderId="6" xfId="0" applyNumberFormat="1" applyFont="1" applyFill="1" applyBorder="1" applyAlignment="1">
      <alignment horizontal="center" vertical="center" wrapText="1"/>
    </xf>
    <xf numFmtId="1" fontId="13" fillId="25" borderId="14" xfId="0" applyNumberFormat="1" applyFont="1" applyFill="1" applyBorder="1" applyAlignment="1">
      <alignment horizontal="center" vertical="center" wrapText="1"/>
    </xf>
    <xf numFmtId="0" fontId="13" fillId="25" borderId="0" xfId="0" quotePrefix="1" applyFont="1" applyFill="1" applyBorder="1" applyAlignment="1">
      <alignment horizontal="center" vertical="center" wrapText="1"/>
    </xf>
    <xf numFmtId="1" fontId="12" fillId="25" borderId="0" xfId="0" applyNumberFormat="1" applyFont="1" applyFill="1" applyBorder="1" applyAlignment="1">
      <alignment horizontal="center" vertical="center"/>
    </xf>
    <xf numFmtId="1" fontId="13" fillId="25" borderId="2" xfId="0" applyNumberFormat="1" applyFont="1" applyFill="1" applyBorder="1" applyAlignment="1">
      <alignment horizontal="center" vertical="center" wrapText="1"/>
    </xf>
    <xf numFmtId="1" fontId="13" fillId="25" borderId="0" xfId="0" applyNumberFormat="1" applyFont="1" applyFill="1" applyBorder="1" applyAlignment="1">
      <alignment horizontal="center" vertical="center" wrapText="1"/>
    </xf>
    <xf numFmtId="1" fontId="12" fillId="25" borderId="14" xfId="0" applyNumberFormat="1" applyFont="1" applyFill="1" applyBorder="1" applyAlignment="1">
      <alignment horizontal="center" vertical="center"/>
    </xf>
    <xf numFmtId="1" fontId="12" fillId="25" borderId="11" xfId="0" applyNumberFormat="1" applyFont="1" applyFill="1" applyBorder="1" applyAlignment="1">
      <alignment horizontal="center" vertical="center"/>
    </xf>
    <xf numFmtId="0" fontId="13" fillId="25" borderId="3" xfId="0" quotePrefix="1" applyFont="1" applyFill="1" applyBorder="1" applyAlignment="1">
      <alignment horizontal="center" vertical="center" wrapText="1"/>
    </xf>
    <xf numFmtId="1" fontId="12" fillId="25" borderId="3" xfId="0" applyNumberFormat="1" applyFont="1" applyFill="1" applyBorder="1" applyAlignment="1">
      <alignment horizontal="center" vertical="center"/>
    </xf>
    <xf numFmtId="1" fontId="13" fillId="25" borderId="11" xfId="0" applyNumberFormat="1" applyFont="1" applyFill="1" applyBorder="1" applyAlignment="1">
      <alignment horizontal="center" vertical="center" wrapText="1"/>
    </xf>
    <xf numFmtId="1" fontId="13" fillId="25" borderId="4" xfId="0" applyNumberFormat="1" applyFont="1" applyFill="1" applyBorder="1" applyAlignment="1">
      <alignment horizontal="center" vertical="center" wrapText="1"/>
    </xf>
    <xf numFmtId="165" fontId="0" fillId="27" borderId="0" xfId="0" applyNumberFormat="1" applyFill="1" applyBorder="1" applyAlignment="1">
      <alignment horizontal="center" vertical="center" wrapText="1"/>
    </xf>
    <xf numFmtId="165" fontId="0" fillId="28" borderId="0" xfId="0" applyNumberFormat="1" applyFill="1" applyBorder="1" applyAlignment="1">
      <alignment horizontal="center" vertical="center" wrapText="1"/>
    </xf>
    <xf numFmtId="165" fontId="0" fillId="29" borderId="0" xfId="0" applyNumberFormat="1" applyFill="1" applyBorder="1" applyAlignment="1">
      <alignment horizontal="center" vertical="center" wrapText="1"/>
    </xf>
    <xf numFmtId="165" fontId="0" fillId="26" borderId="3" xfId="0" applyNumberForma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" fontId="0" fillId="0" borderId="25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21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C5E0B4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E699"/>
      <rgbColor rgb="FFB4C7E7"/>
      <rgbColor rgb="FFD9D9D9"/>
      <rgbColor rgb="FFD0CECE"/>
      <rgbColor rgb="FFF8CBAD"/>
      <rgbColor rgb="FF3366FF"/>
      <rgbColor rgb="FF33CCCC"/>
      <rgbColor rgb="FF99CC00"/>
      <rgbColor rgb="FFFFC000"/>
      <rgbColor rgb="FFFF9900"/>
      <rgbColor rgb="FFFF6600"/>
      <rgbColor rgb="FF595959"/>
      <rgbColor rgb="FFA5A5A5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EBFF"/>
      <color rgb="FFFF97BC"/>
      <color rgb="FFFFCCFF"/>
      <color rgb="FFFDD7D7"/>
      <color rgb="FFFF8F8F"/>
      <color rgb="FFDCCBB2"/>
      <color rgb="FFCEB692"/>
      <color rgb="FFC0A072"/>
      <color rgb="FFFFBD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Calib.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0.11473339426595944"/>
                  <c:y val="-0.190998671945474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800" b="1" baseline="0">
                        <a:solidFill>
                          <a:srgbClr val="FF0000"/>
                        </a:solidFill>
                      </a:rPr>
                      <a:t>y = 2,2735x + 74,568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0,9988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rgbClr val="FFFF00"/>
                </a:solidFill>
                <a:ln w="12700">
                  <a:solidFill>
                    <a:schemeClr val="tx1"/>
                  </a:solidFill>
                </a:ln>
              </c:spPr>
            </c:trendlineLbl>
          </c:trendline>
          <c:xVal>
            <c:numRef>
              <c:f>'Ta-Nb-V Calib - RBS1 - Protoes'!$H$4:$H$8</c:f>
              <c:numCache>
                <c:formatCode>General</c:formatCode>
                <c:ptCount val="5"/>
                <c:pt idx="0">
                  <c:v>657</c:v>
                </c:pt>
                <c:pt idx="1">
                  <c:v>728</c:v>
                </c:pt>
                <c:pt idx="2">
                  <c:v>783</c:v>
                </c:pt>
                <c:pt idx="3">
                  <c:v>810</c:v>
                </c:pt>
                <c:pt idx="4">
                  <c:v>829</c:v>
                </c:pt>
              </c:numCache>
            </c:numRef>
          </c:xVal>
          <c:yVal>
            <c:numRef>
              <c:f>'Ta-Nb-V Calib - RBS1 - Protoes'!$G$4:$G$8</c:f>
              <c:numCache>
                <c:formatCode>0.00</c:formatCode>
                <c:ptCount val="5"/>
                <c:pt idx="0">
                  <c:v>1563.7159776396684</c:v>
                </c:pt>
                <c:pt idx="1">
                  <c:v>1738.6148261306816</c:v>
                </c:pt>
                <c:pt idx="2">
                  <c:v>1851.4223731335767</c:v>
                </c:pt>
                <c:pt idx="3">
                  <c:v>1917.1213586935332</c:v>
                </c:pt>
                <c:pt idx="4">
                  <c:v>1957.0104259791678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138320"/>
        <c:axId val="1297135600"/>
      </c:scatterChart>
      <c:valAx>
        <c:axId val="1297138320"/>
        <c:scaling>
          <c:orientation val="minMax"/>
          <c:min val="6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6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600" b="1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1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1297135600"/>
        <c:crosses val="autoZero"/>
        <c:crossBetween val="midCat"/>
      </c:valAx>
      <c:valAx>
        <c:axId val="12971356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6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600" b="1" strike="noStrike" spc="-1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1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129713832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143867</xdr:colOff>
      <xdr:row>11</xdr:row>
      <xdr:rowOff>71437</xdr:rowOff>
    </xdr:from>
    <xdr:to>
      <xdr:col>8</xdr:col>
      <xdr:colOff>450849</xdr:colOff>
      <xdr:row>22</xdr:row>
      <xdr:rowOff>142875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246064</xdr:colOff>
      <xdr:row>23</xdr:row>
      <xdr:rowOff>63500</xdr:rowOff>
    </xdr:from>
    <xdr:to>
      <xdr:col>4</xdr:col>
      <xdr:colOff>359502</xdr:colOff>
      <xdr:row>30</xdr:row>
      <xdr:rowOff>172812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064" y="5937250"/>
          <a:ext cx="2478813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816750</xdr:colOff>
      <xdr:row>23</xdr:row>
      <xdr:rowOff>126187</xdr:rowOff>
    </xdr:from>
    <xdr:to>
      <xdr:col>8</xdr:col>
      <xdr:colOff>172132</xdr:colOff>
      <xdr:row>31</xdr:row>
      <xdr:rowOff>44999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2125" y="5999937"/>
          <a:ext cx="2482758" cy="18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8"/>
  <sheetViews>
    <sheetView tabSelected="1" zoomScale="80" zoomScaleNormal="80" workbookViewId="0">
      <selection activeCell="AA15" sqref="AA15"/>
    </sheetView>
  </sheetViews>
  <sheetFormatPr defaultColWidth="8.5703125" defaultRowHeight="15" x14ac:dyDescent="0.25"/>
  <cols>
    <col min="1" max="1" width="8.28515625" bestFit="1" customWidth="1"/>
    <col min="5" max="5" width="12.42578125" customWidth="1"/>
    <col min="6" max="6" width="10.42578125" customWidth="1"/>
    <col min="7" max="7" width="13.5703125" customWidth="1"/>
    <col min="10" max="10" width="15.42578125" customWidth="1"/>
    <col min="11" max="11" width="7.5703125" bestFit="1" customWidth="1"/>
    <col min="12" max="12" width="8.28515625" customWidth="1"/>
    <col min="13" max="13" width="7.85546875" bestFit="1" customWidth="1"/>
    <col min="14" max="14" width="7.7109375" bestFit="1" customWidth="1"/>
    <col min="15" max="15" width="10.5703125" bestFit="1" customWidth="1"/>
    <col min="16" max="16" width="8.28515625" customWidth="1"/>
    <col min="17" max="18" width="8.42578125" customWidth="1"/>
    <col min="19" max="19" width="7.5703125" customWidth="1"/>
    <col min="20" max="20" width="8.140625" customWidth="1"/>
    <col min="22" max="23" width="8.140625" customWidth="1"/>
    <col min="24" max="24" width="8.7109375" customWidth="1"/>
    <col min="25" max="25" width="6.42578125" customWidth="1"/>
    <col min="26" max="26" width="8" bestFit="1" customWidth="1"/>
    <col min="27" max="27" width="7.7109375" bestFit="1" customWidth="1"/>
    <col min="28" max="29" width="15.28515625" bestFit="1" customWidth="1"/>
    <col min="30" max="31" width="19.7109375" bestFit="1" customWidth="1"/>
    <col min="32" max="32" width="8.5703125" bestFit="1" customWidth="1"/>
    <col min="33" max="33" width="5.28515625" bestFit="1" customWidth="1"/>
    <col min="34" max="35" width="7.42578125" bestFit="1" customWidth="1"/>
    <col min="37" max="37" width="9.85546875" customWidth="1"/>
    <col min="38" max="39" width="7.42578125" bestFit="1" customWidth="1"/>
    <col min="40" max="40" width="7.28515625" bestFit="1" customWidth="1"/>
    <col min="41" max="42" width="14.42578125" bestFit="1" customWidth="1"/>
    <col min="43" max="43" width="20.140625" customWidth="1"/>
    <col min="44" max="44" width="11.42578125" customWidth="1"/>
    <col min="45" max="45" width="7.85546875" bestFit="1" customWidth="1"/>
    <col min="46" max="46" width="6.140625" bestFit="1" customWidth="1"/>
  </cols>
  <sheetData>
    <row r="1" spans="1:29" ht="15.75" thickBot="1" x14ac:dyDescent="0.3">
      <c r="A1" s="1" t="s">
        <v>0</v>
      </c>
      <c r="B1" s="2">
        <v>2000</v>
      </c>
      <c r="C1" s="3" t="s">
        <v>1</v>
      </c>
    </row>
    <row r="2" spans="1:29" ht="57.95" customHeight="1" thickBot="1" x14ac:dyDescent="0.3">
      <c r="A2" s="106" t="s">
        <v>22</v>
      </c>
      <c r="B2" s="107">
        <v>7.2830000000000004</v>
      </c>
      <c r="C2" s="108" t="s">
        <v>2</v>
      </c>
      <c r="D2" s="109" t="s">
        <v>53</v>
      </c>
      <c r="E2" s="110">
        <v>2.6989999999999998</v>
      </c>
      <c r="F2" s="111" t="s">
        <v>2</v>
      </c>
      <c r="O2" s="35" t="s">
        <v>16</v>
      </c>
      <c r="P2" s="36" t="s">
        <v>17</v>
      </c>
      <c r="Q2" s="35" t="s">
        <v>18</v>
      </c>
      <c r="R2" s="36" t="s">
        <v>19</v>
      </c>
      <c r="S2" s="37" t="s">
        <v>20</v>
      </c>
      <c r="V2" s="68" t="s">
        <v>16</v>
      </c>
      <c r="W2" s="69" t="s">
        <v>17</v>
      </c>
      <c r="X2" s="68" t="s">
        <v>18</v>
      </c>
      <c r="Y2" s="69" t="s">
        <v>19</v>
      </c>
      <c r="Z2" s="70" t="s">
        <v>20</v>
      </c>
    </row>
    <row r="3" spans="1:29" ht="35.1" customHeight="1" thickBot="1" x14ac:dyDescent="0.3">
      <c r="C3" s="4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6" t="s">
        <v>8</v>
      </c>
      <c r="O3" s="43">
        <v>60.84</v>
      </c>
      <c r="P3" s="103">
        <f>O3*$B$2/10</f>
        <v>44.309772000000002</v>
      </c>
      <c r="Q3" s="43">
        <v>62.02</v>
      </c>
      <c r="R3" s="44">
        <f>Q3*$B$2/10</f>
        <v>45.169166000000004</v>
      </c>
      <c r="S3" s="76">
        <f>(($F$9/COS(RADIANS(0))*P3)+(1/COS(RADIANS(15))*R3))</f>
        <v>89.628493249315881</v>
      </c>
      <c r="V3" s="43">
        <v>112</v>
      </c>
      <c r="W3" s="103">
        <f>V3*$E$2/10</f>
        <v>30.2288</v>
      </c>
      <c r="X3" s="43">
        <v>120.8</v>
      </c>
      <c r="Y3" s="44">
        <f>X3*$E$2/10</f>
        <v>32.603920000000002</v>
      </c>
      <c r="Z3" s="77">
        <f>(($F$9/COS(RADIANS(0))*W3)+(1/COS(RADIANS(15))*Y3))</f>
        <v>62.997851896023832</v>
      </c>
    </row>
    <row r="4" spans="1:29" ht="15.75" thickBot="1" x14ac:dyDescent="0.3">
      <c r="C4" s="7" t="s">
        <v>9</v>
      </c>
      <c r="D4" s="8">
        <v>8</v>
      </c>
      <c r="E4" s="9">
        <v>15.999000000000001</v>
      </c>
      <c r="F4" s="10">
        <f t="shared" ref="F4:F8" si="0">((SQRT(1-(1/E4)^2*SIN(RADIANS(165))^2)+1/E4*COS(RADIANS(165)))/(1+1/E4))^2</f>
        <v>0.78185798881983415</v>
      </c>
      <c r="G4" s="11">
        <f t="shared" ref="G4:G9" si="1">$B$1*F4</f>
        <v>1563.7159776396684</v>
      </c>
      <c r="H4" s="57">
        <v>657</v>
      </c>
    </row>
    <row r="5" spans="1:29" ht="15.75" thickBot="1" x14ac:dyDescent="0.3">
      <c r="C5" s="12" t="s">
        <v>10</v>
      </c>
      <c r="D5" s="13">
        <v>14</v>
      </c>
      <c r="E5" s="14">
        <v>28.085000000000001</v>
      </c>
      <c r="F5" s="128">
        <f t="shared" si="0"/>
        <v>0.86930741306534087</v>
      </c>
      <c r="G5" s="15">
        <f t="shared" si="1"/>
        <v>1738.6148261306816</v>
      </c>
      <c r="H5" s="58">
        <v>728</v>
      </c>
      <c r="K5" s="80" t="s">
        <v>50</v>
      </c>
      <c r="L5" s="84"/>
      <c r="M5" s="85" t="s">
        <v>51</v>
      </c>
      <c r="N5" s="38"/>
      <c r="O5" s="98"/>
      <c r="P5" s="98" t="s">
        <v>52</v>
      </c>
      <c r="Q5" s="99"/>
      <c r="S5" s="104" t="s">
        <v>50</v>
      </c>
      <c r="T5" s="62"/>
      <c r="U5" s="105" t="s">
        <v>51</v>
      </c>
      <c r="V5" s="71"/>
      <c r="W5" s="105"/>
      <c r="X5" s="105" t="s">
        <v>52</v>
      </c>
      <c r="Y5" s="71"/>
    </row>
    <row r="6" spans="1:29" ht="15.75" thickBot="1" x14ac:dyDescent="0.3">
      <c r="C6" s="16" t="s">
        <v>12</v>
      </c>
      <c r="D6" s="17">
        <v>23</v>
      </c>
      <c r="E6" s="18">
        <v>50.942</v>
      </c>
      <c r="F6" s="129">
        <f t="shared" si="0"/>
        <v>0.9257111865667883</v>
      </c>
      <c r="G6" s="19">
        <f t="shared" si="1"/>
        <v>1851.4223731335767</v>
      </c>
      <c r="H6" s="59">
        <v>783</v>
      </c>
      <c r="K6" s="81">
        <v>2</v>
      </c>
      <c r="L6" s="86">
        <f>O20</f>
        <v>473.49525946639284</v>
      </c>
      <c r="M6" s="82" t="s">
        <v>11</v>
      </c>
      <c r="N6" s="94">
        <f>Q20</f>
        <v>10.355551618923156</v>
      </c>
      <c r="O6" s="86">
        <f>L6*197.124/0.27066*10^(-3)</f>
        <v>344.85065959895519</v>
      </c>
      <c r="P6" s="82" t="s">
        <v>11</v>
      </c>
      <c r="Q6" s="87">
        <f>N6*197.124/0.27066*10^(-3)</f>
        <v>7.5420370846397988</v>
      </c>
      <c r="AB6" s="56">
        <f>L6/0.27066</f>
        <v>1749.4098110780787</v>
      </c>
      <c r="AC6" s="56">
        <f>T6/0.166</f>
        <v>0</v>
      </c>
    </row>
    <row r="7" spans="1:29" x14ac:dyDescent="0.25">
      <c r="C7" s="20" t="s">
        <v>13</v>
      </c>
      <c r="D7" s="21">
        <v>41</v>
      </c>
      <c r="E7" s="22">
        <v>92.906000000000006</v>
      </c>
      <c r="F7" s="127">
        <f t="shared" si="0"/>
        <v>0.95856067934676659</v>
      </c>
      <c r="G7" s="23">
        <f t="shared" si="1"/>
        <v>1917.1213586935332</v>
      </c>
      <c r="H7" s="60">
        <v>810</v>
      </c>
      <c r="K7" s="81">
        <v>4</v>
      </c>
      <c r="L7" s="88">
        <f>O26</f>
        <v>549.59271188063462</v>
      </c>
      <c r="M7" s="83" t="s">
        <v>11</v>
      </c>
      <c r="N7" s="95">
        <f>Q26</f>
        <v>80.436265305985827</v>
      </c>
      <c r="O7" s="88">
        <f t="shared" ref="O7:O14" si="2">L7*197.124/0.27066*10^(-3)</f>
        <v>400.2730870345016</v>
      </c>
      <c r="P7" s="83" t="s">
        <v>11</v>
      </c>
      <c r="Q7" s="89">
        <f t="shared" ref="Q7:Q14" si="3">N7*197.124/0.27066*10^(-3)</f>
        <v>58.582422087405419</v>
      </c>
      <c r="S7" s="72">
        <v>4</v>
      </c>
      <c r="T7" s="112">
        <f>W26</f>
        <v>769.88868467108068</v>
      </c>
      <c r="U7" s="113" t="s">
        <v>11</v>
      </c>
      <c r="V7" s="114">
        <f>Y26</f>
        <v>84.421114277903428</v>
      </c>
      <c r="W7" s="112">
        <f>T7*44.804/0.166*10^(-3)</f>
        <v>207.79573872291024</v>
      </c>
      <c r="X7" s="113" t="s">
        <v>11</v>
      </c>
      <c r="Y7" s="115">
        <f>V7*44.804/0.166*10^(-3)</f>
        <v>22.785563880163764</v>
      </c>
      <c r="AB7" s="56">
        <f t="shared" ref="AB7:AB14" si="4">L7/0.27066</f>
        <v>2030.5649592870561</v>
      </c>
      <c r="AC7" s="56">
        <f t="shared" ref="AC7:AC14" si="5">T7/0.166</f>
        <v>4637.8836425968711</v>
      </c>
    </row>
    <row r="8" spans="1:29" ht="15.75" thickBot="1" x14ac:dyDescent="0.3">
      <c r="C8" s="24" t="s">
        <v>14</v>
      </c>
      <c r="D8" s="25">
        <v>73</v>
      </c>
      <c r="E8" s="26">
        <v>180.95</v>
      </c>
      <c r="F8" s="130">
        <f t="shared" si="0"/>
        <v>0.97850521298958393</v>
      </c>
      <c r="G8" s="27">
        <f t="shared" si="1"/>
        <v>1957.0104259791678</v>
      </c>
      <c r="H8" s="61">
        <v>829</v>
      </c>
      <c r="I8" s="56"/>
      <c r="K8" s="81">
        <v>5</v>
      </c>
      <c r="L8" s="88">
        <f>O32</f>
        <v>236.74762973319642</v>
      </c>
      <c r="M8" s="83" t="s">
        <v>11</v>
      </c>
      <c r="N8" s="95">
        <f>Q32</f>
        <v>9.4532820284889016</v>
      </c>
      <c r="O8" s="88">
        <f t="shared" si="2"/>
        <v>172.42532979947759</v>
      </c>
      <c r="P8" s="83" t="s">
        <v>11</v>
      </c>
      <c r="Q8" s="89">
        <f t="shared" si="3"/>
        <v>6.8849064013295136</v>
      </c>
      <c r="S8" s="100">
        <v>5</v>
      </c>
      <c r="T8" s="116">
        <f>W32</f>
        <v>324.79678884561213</v>
      </c>
      <c r="U8" s="117" t="s">
        <v>11</v>
      </c>
      <c r="V8" s="118">
        <f>Y32</f>
        <v>0</v>
      </c>
      <c r="W8" s="116">
        <f t="shared" ref="W8:W14" si="6">T8*44.804/0.166*10^(-3)</f>
        <v>87.663827273727748</v>
      </c>
      <c r="X8" s="117" t="s">
        <v>11</v>
      </c>
      <c r="Y8" s="119">
        <f t="shared" ref="Y8:Y14" si="7">V8*44.804/0.166*10^(-3)</f>
        <v>0</v>
      </c>
      <c r="AB8" s="56">
        <f t="shared" si="4"/>
        <v>874.70490553903937</v>
      </c>
      <c r="AC8" s="56">
        <f t="shared" si="5"/>
        <v>1956.6071617205548</v>
      </c>
    </row>
    <row r="9" spans="1:29" ht="15.75" thickBot="1" x14ac:dyDescent="0.3">
      <c r="C9" s="28" t="s">
        <v>24</v>
      </c>
      <c r="D9" s="29">
        <v>50</v>
      </c>
      <c r="E9" s="29">
        <v>118.69</v>
      </c>
      <c r="F9" s="30">
        <f>((SQRT(1-(1/E9)^2*SIN(RADIANS(165))^2)+1/E9*COS(RADIANS(165)))/(1+1/E9))^2</f>
        <v>0.9674148537827475</v>
      </c>
      <c r="G9" s="31">
        <f t="shared" si="1"/>
        <v>1934.829707565495</v>
      </c>
      <c r="H9" s="32">
        <f>(G9-74.568)/2.2735</f>
        <v>818.23695076555759</v>
      </c>
      <c r="I9" s="56"/>
      <c r="K9" s="81">
        <v>7</v>
      </c>
      <c r="L9" s="88">
        <f>O38</f>
        <v>608.77961931393372</v>
      </c>
      <c r="M9" s="83" t="s">
        <v>11</v>
      </c>
      <c r="N9" s="95">
        <f>Q38</f>
        <v>12.682908735706974</v>
      </c>
      <c r="O9" s="88">
        <f t="shared" si="2"/>
        <v>443.37941948437106</v>
      </c>
      <c r="P9" s="83" t="s">
        <v>11</v>
      </c>
      <c r="Q9" s="89">
        <f t="shared" si="3"/>
        <v>9.2370712392577445</v>
      </c>
      <c r="S9" s="100">
        <v>7</v>
      </c>
      <c r="T9" s="116">
        <f>W38</f>
        <v>601.47553489928168</v>
      </c>
      <c r="U9" s="117" t="s">
        <v>11</v>
      </c>
      <c r="V9" s="120">
        <f>Y38</f>
        <v>34.024594355607064</v>
      </c>
      <c r="W9" s="116">
        <f t="shared" si="6"/>
        <v>162.34042087727357</v>
      </c>
      <c r="X9" s="117" t="s">
        <v>11</v>
      </c>
      <c r="Y9" s="119">
        <f t="shared" si="7"/>
        <v>9.1833609970398715</v>
      </c>
      <c r="AB9" s="56">
        <f t="shared" si="4"/>
        <v>2249.2411856718159</v>
      </c>
      <c r="AC9" s="56">
        <f t="shared" si="5"/>
        <v>3623.3465957788053</v>
      </c>
    </row>
    <row r="10" spans="1:29" ht="15.75" thickBot="1" x14ac:dyDescent="0.3">
      <c r="K10" s="81">
        <v>8</v>
      </c>
      <c r="L10" s="88">
        <f>O44</f>
        <v>346.66617210932333</v>
      </c>
      <c r="M10" s="83" t="s">
        <v>11</v>
      </c>
      <c r="N10" s="95">
        <f>Q44</f>
        <v>5.9787805147923354</v>
      </c>
      <c r="O10" s="88">
        <f t="shared" si="2"/>
        <v>252.47994720637791</v>
      </c>
      <c r="P10" s="83" t="s">
        <v>11</v>
      </c>
      <c r="Q10" s="89">
        <f t="shared" si="3"/>
        <v>4.3543971410549185</v>
      </c>
      <c r="S10" s="100">
        <v>8</v>
      </c>
      <c r="T10" s="121">
        <f>W44</f>
        <v>384.94434233554028</v>
      </c>
      <c r="U10" s="117" t="s">
        <v>11</v>
      </c>
      <c r="V10" s="120">
        <f>Y44</f>
        <v>24.799471616146192</v>
      </c>
      <c r="W10" s="116">
        <f t="shared" si="6"/>
        <v>103.89786936145512</v>
      </c>
      <c r="X10" s="117" t="s">
        <v>11</v>
      </c>
      <c r="Y10" s="119">
        <f t="shared" si="7"/>
        <v>6.6934670258422519</v>
      </c>
      <c r="AB10" s="56">
        <f t="shared" si="4"/>
        <v>1280.8178973964505</v>
      </c>
      <c r="AC10" s="56">
        <f t="shared" si="5"/>
        <v>2318.9418212984351</v>
      </c>
    </row>
    <row r="11" spans="1:29" ht="15.75" thickBot="1" x14ac:dyDescent="0.3">
      <c r="C11" s="62" t="s">
        <v>35</v>
      </c>
      <c r="D11" s="63">
        <v>13</v>
      </c>
      <c r="E11" s="63">
        <v>26.98</v>
      </c>
      <c r="F11" s="64">
        <f>((SQRT(1-(1/E11)^2*SIN(RADIANS(165))^2)+1/E11*COS(RADIANS(165)))/(1+1/E11))^2</f>
        <v>0.86433057478706143</v>
      </c>
      <c r="G11" s="65">
        <f>$B$1*F11</f>
        <v>1728.6611495741229</v>
      </c>
      <c r="H11" s="32">
        <f>(G11-74.568)/2.2735</f>
        <v>727.55361758263598</v>
      </c>
      <c r="K11" s="81">
        <v>12</v>
      </c>
      <c r="L11" s="90">
        <f>O50</f>
        <v>515.77162191874936</v>
      </c>
      <c r="M11" s="83" t="s">
        <v>11</v>
      </c>
      <c r="N11" s="96">
        <f>Q50</f>
        <v>9.4532820284888892</v>
      </c>
      <c r="O11" s="88">
        <f t="shared" si="2"/>
        <v>375.64089706314769</v>
      </c>
      <c r="P11" s="83" t="s">
        <v>11</v>
      </c>
      <c r="Q11" s="89">
        <f t="shared" si="3"/>
        <v>6.8849064013295047</v>
      </c>
      <c r="S11" s="100">
        <v>12</v>
      </c>
      <c r="T11" s="121">
        <f>W50</f>
        <v>529.29847071136794</v>
      </c>
      <c r="U11" s="117" t="s">
        <v>11</v>
      </c>
      <c r="V11" s="118">
        <f>Y50</f>
        <v>24.799471616146217</v>
      </c>
      <c r="W11" s="116">
        <f t="shared" si="6"/>
        <v>142.85957037200077</v>
      </c>
      <c r="X11" s="117" t="s">
        <v>11</v>
      </c>
      <c r="Y11" s="119">
        <f t="shared" si="7"/>
        <v>6.6934670258422591</v>
      </c>
      <c r="AB11" s="56">
        <f t="shared" si="4"/>
        <v>1905.6071156386217</v>
      </c>
      <c r="AC11" s="56">
        <f t="shared" si="5"/>
        <v>3188.545004285349</v>
      </c>
    </row>
    <row r="12" spans="1:29" x14ac:dyDescent="0.25">
      <c r="K12" s="81">
        <v>14</v>
      </c>
      <c r="L12" s="90">
        <f>O56</f>
        <v>566.50325686157714</v>
      </c>
      <c r="M12" s="83" t="s">
        <v>11</v>
      </c>
      <c r="N12" s="96">
        <f>Q56</f>
        <v>9.4532820284889016</v>
      </c>
      <c r="O12" s="88">
        <f t="shared" si="2"/>
        <v>412.58918202017855</v>
      </c>
      <c r="P12" s="83" t="s">
        <v>11</v>
      </c>
      <c r="Q12" s="89">
        <f t="shared" si="3"/>
        <v>6.8849064013295136</v>
      </c>
      <c r="S12" s="100">
        <v>14</v>
      </c>
      <c r="T12" s="121">
        <f>W56</f>
        <v>589.44602420129604</v>
      </c>
      <c r="U12" s="117" t="s">
        <v>11</v>
      </c>
      <c r="V12" s="118">
        <f>Y56</f>
        <v>13.449401828378395</v>
      </c>
      <c r="W12" s="116">
        <f t="shared" si="6"/>
        <v>159.09361245972812</v>
      </c>
      <c r="X12" s="117" t="s">
        <v>11</v>
      </c>
      <c r="Y12" s="119">
        <f t="shared" si="7"/>
        <v>3.6300421657750941</v>
      </c>
      <c r="AB12" s="56">
        <f t="shared" si="4"/>
        <v>2093.0438811112731</v>
      </c>
      <c r="AC12" s="56">
        <f t="shared" si="5"/>
        <v>3550.8796638632289</v>
      </c>
    </row>
    <row r="13" spans="1:29" x14ac:dyDescent="0.25">
      <c r="K13" s="81">
        <v>15</v>
      </c>
      <c r="L13" s="90">
        <f>O62</f>
        <v>515.77162191874936</v>
      </c>
      <c r="M13" s="83" t="s">
        <v>11</v>
      </c>
      <c r="N13" s="96">
        <f>Q62</f>
        <v>9.4532820284888892</v>
      </c>
      <c r="O13" s="88">
        <f t="shared" si="2"/>
        <v>375.64089706314769</v>
      </c>
      <c r="P13" s="83" t="s">
        <v>11</v>
      </c>
      <c r="Q13" s="89">
        <f t="shared" si="3"/>
        <v>6.8849064013295047</v>
      </c>
      <c r="S13" s="100">
        <v>15</v>
      </c>
      <c r="T13" s="121">
        <f>W62</f>
        <v>553.35749210733923</v>
      </c>
      <c r="U13" s="117" t="s">
        <v>11</v>
      </c>
      <c r="V13" s="118">
        <f>Y62</f>
        <v>26.898803656756844</v>
      </c>
      <c r="W13" s="116">
        <f t="shared" si="6"/>
        <v>149.35318720709171</v>
      </c>
      <c r="X13" s="117" t="s">
        <v>11</v>
      </c>
      <c r="Y13" s="119">
        <f t="shared" si="7"/>
        <v>7.2600843315502024</v>
      </c>
      <c r="AB13" s="56">
        <f t="shared" si="4"/>
        <v>1905.6071156386217</v>
      </c>
      <c r="AC13" s="56">
        <f t="shared" si="5"/>
        <v>3333.478868116501</v>
      </c>
    </row>
    <row r="14" spans="1:29" ht="15.75" thickBot="1" x14ac:dyDescent="0.3">
      <c r="K14" s="91">
        <v>19</v>
      </c>
      <c r="L14" s="92">
        <f>O68</f>
        <v>786.34034161383113</v>
      </c>
      <c r="M14" s="93" t="s">
        <v>11</v>
      </c>
      <c r="N14" s="97">
        <f>Q68</f>
        <v>12.682908735706917</v>
      </c>
      <c r="O14" s="101">
        <f t="shared" si="2"/>
        <v>572.69841683397931</v>
      </c>
      <c r="P14" s="93" t="s">
        <v>11</v>
      </c>
      <c r="Q14" s="102">
        <f t="shared" si="3"/>
        <v>9.2370712392577037</v>
      </c>
      <c r="S14" s="73">
        <v>19</v>
      </c>
      <c r="T14" s="122">
        <f>W68</f>
        <v>769.88868467108068</v>
      </c>
      <c r="U14" s="123" t="s">
        <v>11</v>
      </c>
      <c r="V14" s="124">
        <f>Y68</f>
        <v>8.5061485889017661</v>
      </c>
      <c r="W14" s="125">
        <f t="shared" si="6"/>
        <v>207.79573872291024</v>
      </c>
      <c r="X14" s="123" t="s">
        <v>11</v>
      </c>
      <c r="Y14" s="126">
        <f t="shared" si="7"/>
        <v>2.2958402492599679</v>
      </c>
      <c r="AB14" s="56">
        <f t="shared" si="4"/>
        <v>2905.2698648260957</v>
      </c>
      <c r="AC14" s="56">
        <f t="shared" si="5"/>
        <v>4637.8836425968711</v>
      </c>
    </row>
    <row r="15" spans="1:29" ht="15.75" thickBot="1" x14ac:dyDescent="0.3"/>
    <row r="16" spans="1:29" ht="45.75" thickBot="1" x14ac:dyDescent="0.3">
      <c r="K16" s="74" t="s">
        <v>23</v>
      </c>
      <c r="L16" s="34" t="s">
        <v>33</v>
      </c>
      <c r="M16" s="35" t="s">
        <v>34</v>
      </c>
      <c r="N16" s="36" t="s">
        <v>15</v>
      </c>
      <c r="O16" s="38" t="s">
        <v>21</v>
      </c>
      <c r="P16" s="39"/>
      <c r="Q16" s="40"/>
    </row>
    <row r="17" spans="11:25" x14ac:dyDescent="0.25">
      <c r="K17" s="41">
        <v>15</v>
      </c>
      <c r="L17" s="42">
        <v>812</v>
      </c>
      <c r="M17" s="43">
        <v>793</v>
      </c>
      <c r="N17" s="44">
        <f>(L17-M17)*2.2735</f>
        <v>43.1965</v>
      </c>
      <c r="O17" s="45">
        <f>N17*10^3/$S$3</f>
        <v>481.95053195686421</v>
      </c>
      <c r="P17" s="46"/>
      <c r="Q17" s="47">
        <f>($O$20-O17)^2</f>
        <v>71.49163288812197</v>
      </c>
    </row>
    <row r="18" spans="11:25" ht="15.75" thickBot="1" x14ac:dyDescent="0.3">
      <c r="K18" s="75">
        <v>17</v>
      </c>
      <c r="L18" s="50">
        <v>812</v>
      </c>
      <c r="M18" s="51">
        <v>793</v>
      </c>
      <c r="N18" s="44">
        <f t="shared" ref="N18:N19" si="8">(L18-M18)*2.2735</f>
        <v>43.1965</v>
      </c>
      <c r="O18" s="45">
        <f>N18*10^3/$S$3</f>
        <v>481.95053195686421</v>
      </c>
      <c r="P18" s="46"/>
      <c r="Q18" s="47">
        <f>($O$20-O18)^2</f>
        <v>71.49163288812197</v>
      </c>
    </row>
    <row r="19" spans="11:25" ht="15.75" thickBot="1" x14ac:dyDescent="0.3">
      <c r="K19" s="48">
        <v>19</v>
      </c>
      <c r="L19" s="50">
        <v>812</v>
      </c>
      <c r="M19" s="51">
        <v>794</v>
      </c>
      <c r="N19" s="44">
        <f t="shared" si="8"/>
        <v>40.922999999999995</v>
      </c>
      <c r="O19" s="45">
        <f>N19*10^3/$S$3</f>
        <v>456.58471448545021</v>
      </c>
      <c r="P19" s="46"/>
      <c r="Q19" s="47">
        <f>($O$20-O19)^2</f>
        <v>285.96653155248401</v>
      </c>
    </row>
    <row r="20" spans="11:25" ht="15.75" thickBot="1" x14ac:dyDescent="0.3">
      <c r="K20" s="54"/>
      <c r="L20" s="55"/>
      <c r="M20" s="55"/>
      <c r="N20" s="55"/>
      <c r="O20" s="52">
        <f>SUM(O17:O19)/3</f>
        <v>473.49525946639284</v>
      </c>
      <c r="P20" s="49" t="s">
        <v>11</v>
      </c>
      <c r="Q20" s="53">
        <f>SQRT(SUM(Q17:Q19))/2</f>
        <v>10.355551618923156</v>
      </c>
    </row>
    <row r="21" spans="11:25" ht="15.75" thickBot="1" x14ac:dyDescent="0.3"/>
    <row r="22" spans="11:25" ht="45.75" thickBot="1" x14ac:dyDescent="0.3">
      <c r="K22" s="74" t="s">
        <v>25</v>
      </c>
      <c r="L22" s="34" t="s">
        <v>33</v>
      </c>
      <c r="M22" s="35" t="s">
        <v>34</v>
      </c>
      <c r="N22" s="36" t="s">
        <v>15</v>
      </c>
      <c r="O22" s="38" t="s">
        <v>21</v>
      </c>
      <c r="P22" s="39"/>
      <c r="Q22" s="40"/>
      <c r="S22" s="66" t="s">
        <v>25</v>
      </c>
      <c r="T22" s="67" t="s">
        <v>36</v>
      </c>
      <c r="U22" s="68" t="s">
        <v>37</v>
      </c>
      <c r="V22" s="69" t="s">
        <v>15</v>
      </c>
      <c r="W22" s="71" t="s">
        <v>21</v>
      </c>
      <c r="X22" s="39"/>
      <c r="Y22" s="40"/>
    </row>
    <row r="23" spans="11:25" x14ac:dyDescent="0.25">
      <c r="K23" s="41">
        <v>27</v>
      </c>
      <c r="L23" s="42">
        <v>814</v>
      </c>
      <c r="M23" s="43">
        <v>789</v>
      </c>
      <c r="N23" s="44">
        <f>(L23-M23)*2.2735</f>
        <v>56.837499999999999</v>
      </c>
      <c r="O23" s="45">
        <f>N23*10^3/$S$3</f>
        <v>634.14543678534767</v>
      </c>
      <c r="P23" s="46"/>
      <c r="Q23" s="47">
        <f>($O$20-O23)^2</f>
        <v>25808.479472611631</v>
      </c>
      <c r="S23" s="72">
        <v>27</v>
      </c>
      <c r="T23" s="42">
        <v>717</v>
      </c>
      <c r="U23" s="43">
        <v>691</v>
      </c>
      <c r="V23" s="44">
        <f>(T23-U23)*2.2735</f>
        <v>59.110999999999997</v>
      </c>
      <c r="W23" s="45">
        <f>V23*10^3/$Z$3</f>
        <v>938.30183444287957</v>
      </c>
      <c r="X23" s="46"/>
      <c r="Y23" s="47">
        <f>($W$26-W23)^2</f>
        <v>28362.989016058364</v>
      </c>
    </row>
    <row r="24" spans="11:25" ht="15.75" thickBot="1" x14ac:dyDescent="0.3">
      <c r="K24" s="75">
        <v>29</v>
      </c>
      <c r="L24" s="50">
        <v>816</v>
      </c>
      <c r="M24" s="51">
        <v>797</v>
      </c>
      <c r="N24" s="44">
        <f t="shared" ref="N24:N25" si="9">(L24-M24)*2.2735</f>
        <v>43.1965</v>
      </c>
      <c r="O24" s="45">
        <f>N24*10^3/$S$3</f>
        <v>481.95053195686421</v>
      </c>
      <c r="P24" s="46"/>
      <c r="Q24" s="47">
        <f>($O$20-O24)^2</f>
        <v>71.49163288812197</v>
      </c>
      <c r="S24" s="73">
        <v>29</v>
      </c>
      <c r="T24" s="50">
        <v>719</v>
      </c>
      <c r="U24" s="51">
        <v>698</v>
      </c>
      <c r="V24" s="44">
        <f t="shared" ref="V24:V25" si="10">(T24-U24)*2.2735</f>
        <v>47.743499999999997</v>
      </c>
      <c r="W24" s="45">
        <f>V24*10^3/$Z$3</f>
        <v>757.85917397309504</v>
      </c>
      <c r="X24" s="46"/>
      <c r="Y24" s="47">
        <f>($W$26-W24)^2</f>
        <v>144.70912763295104</v>
      </c>
    </row>
    <row r="25" spans="11:25" ht="15.75" thickBot="1" x14ac:dyDescent="0.3">
      <c r="K25" s="48">
        <v>31</v>
      </c>
      <c r="L25" s="50">
        <v>817</v>
      </c>
      <c r="M25" s="51">
        <v>796</v>
      </c>
      <c r="N25" s="44">
        <f t="shared" si="9"/>
        <v>47.743499999999997</v>
      </c>
      <c r="O25" s="45">
        <f>N25*10^3/$S$3</f>
        <v>532.68216689969199</v>
      </c>
      <c r="P25" s="46"/>
      <c r="Q25" s="47">
        <f>($O$20-O25)^2</f>
        <v>3503.0900115179229</v>
      </c>
      <c r="S25" s="73">
        <v>31</v>
      </c>
      <c r="T25" s="50">
        <v>715</v>
      </c>
      <c r="U25" s="51">
        <v>698</v>
      </c>
      <c r="V25" s="44">
        <f t="shared" si="10"/>
        <v>38.649499999999996</v>
      </c>
      <c r="W25" s="45">
        <f>V25*10^3/$Z$3</f>
        <v>613.50504559726733</v>
      </c>
      <c r="X25" s="46"/>
      <c r="Y25" s="47">
        <f>($W$26-W25)^2</f>
        <v>24455.842569968725</v>
      </c>
    </row>
    <row r="26" spans="11:25" ht="15.75" thickBot="1" x14ac:dyDescent="0.3">
      <c r="K26" s="54"/>
      <c r="L26" s="55"/>
      <c r="M26" s="55"/>
      <c r="N26" s="55"/>
      <c r="O26" s="52">
        <f>SUM(O23:O25)/3</f>
        <v>549.59271188063462</v>
      </c>
      <c r="P26" s="49" t="s">
        <v>11</v>
      </c>
      <c r="Q26" s="53">
        <f>SQRT(SUM(Q23:Q24))/2</f>
        <v>80.436265305985827</v>
      </c>
      <c r="S26" s="54"/>
      <c r="T26" s="55"/>
      <c r="U26" s="55"/>
      <c r="V26" s="55"/>
      <c r="W26" s="52">
        <f>SUM(W23:W25)/3</f>
        <v>769.88868467108068</v>
      </c>
      <c r="X26" s="49" t="s">
        <v>11</v>
      </c>
      <c r="Y26" s="53">
        <f>SQRT(SUM(Y23:Y24))/2</f>
        <v>84.421114277903428</v>
      </c>
    </row>
    <row r="27" spans="11:25" ht="15.75" thickBot="1" x14ac:dyDescent="0.3"/>
    <row r="28" spans="11:25" ht="45.75" thickBot="1" x14ac:dyDescent="0.3">
      <c r="K28" s="33" t="s">
        <v>26</v>
      </c>
      <c r="L28" s="34" t="s">
        <v>33</v>
      </c>
      <c r="M28" s="35" t="s">
        <v>34</v>
      </c>
      <c r="N28" s="36" t="s">
        <v>15</v>
      </c>
      <c r="O28" s="38" t="s">
        <v>21</v>
      </c>
      <c r="P28" s="39"/>
      <c r="Q28" s="40"/>
      <c r="S28" s="66" t="s">
        <v>26</v>
      </c>
      <c r="T28" s="67" t="s">
        <v>36</v>
      </c>
      <c r="U28" s="68" t="s">
        <v>37</v>
      </c>
      <c r="V28" s="69" t="s">
        <v>15</v>
      </c>
      <c r="W28" s="71" t="s">
        <v>21</v>
      </c>
      <c r="X28" s="39"/>
      <c r="Y28" s="40"/>
    </row>
    <row r="29" spans="11:25" x14ac:dyDescent="0.25">
      <c r="K29" s="41">
        <v>40</v>
      </c>
      <c r="L29" s="42">
        <v>817</v>
      </c>
      <c r="M29" s="43">
        <v>808</v>
      </c>
      <c r="N29" s="44">
        <f>(L29-M29)*2.2735</f>
        <v>20.461499999999997</v>
      </c>
      <c r="O29" s="45">
        <f>N29*10^3/$S$3</f>
        <v>228.2923572427251</v>
      </c>
      <c r="P29" s="46"/>
      <c r="Q29" s="47">
        <f>($O$32-O29)^2</f>
        <v>71.491632888121003</v>
      </c>
      <c r="S29" s="72">
        <v>27</v>
      </c>
      <c r="T29" s="42">
        <v>725</v>
      </c>
      <c r="U29" s="43">
        <v>716</v>
      </c>
      <c r="V29" s="44">
        <f>(T29-U29)*2.2735</f>
        <v>20.461499999999997</v>
      </c>
      <c r="W29" s="45">
        <f>V29*10^3/$Z$3</f>
        <v>324.79678884561213</v>
      </c>
      <c r="X29" s="46"/>
      <c r="Y29" s="47">
        <f>($W$32-W29)^2</f>
        <v>0</v>
      </c>
    </row>
    <row r="30" spans="11:25" ht="15.75" thickBot="1" x14ac:dyDescent="0.3">
      <c r="K30" s="48">
        <v>42</v>
      </c>
      <c r="L30" s="50">
        <v>816</v>
      </c>
      <c r="M30" s="51">
        <v>806</v>
      </c>
      <c r="N30" s="44">
        <f t="shared" ref="N30:N31" si="11">(L30-M30)*2.2735</f>
        <v>22.734999999999999</v>
      </c>
      <c r="O30" s="45">
        <f>N30*10^3/$S$3</f>
        <v>253.65817471413905</v>
      </c>
      <c r="P30" s="46"/>
      <c r="Q30" s="47">
        <f>($O$32-O30)^2</f>
        <v>285.96653155248401</v>
      </c>
      <c r="S30" s="73">
        <v>29</v>
      </c>
      <c r="T30" s="50">
        <v>724</v>
      </c>
      <c r="U30" s="51">
        <v>715</v>
      </c>
      <c r="V30" s="44">
        <f t="shared" ref="V30:V31" si="12">(T30-U30)*2.2735</f>
        <v>20.461499999999997</v>
      </c>
      <c r="W30" s="45">
        <f>V30*10^3/$Z$3</f>
        <v>324.79678884561213</v>
      </c>
      <c r="X30" s="46"/>
      <c r="Y30" s="47">
        <f>($W$32-W30)^2</f>
        <v>0</v>
      </c>
    </row>
    <row r="31" spans="11:25" ht="15.75" thickBot="1" x14ac:dyDescent="0.3">
      <c r="K31" s="48">
        <v>44</v>
      </c>
      <c r="L31" s="50">
        <v>817</v>
      </c>
      <c r="M31" s="51">
        <v>808</v>
      </c>
      <c r="N31" s="44">
        <f t="shared" si="11"/>
        <v>20.461499999999997</v>
      </c>
      <c r="O31" s="45">
        <f>N31*10^3/$S$3</f>
        <v>228.2923572427251</v>
      </c>
      <c r="P31" s="46"/>
      <c r="Q31" s="47">
        <f>($O$32-O31)^2</f>
        <v>71.491632888121003</v>
      </c>
      <c r="S31" s="73">
        <v>31</v>
      </c>
      <c r="T31" s="50">
        <v>725</v>
      </c>
      <c r="U31" s="51">
        <v>716</v>
      </c>
      <c r="V31" s="44">
        <f t="shared" si="12"/>
        <v>20.461499999999997</v>
      </c>
      <c r="W31" s="45">
        <f>V31*10^3/$Z$3</f>
        <v>324.79678884561213</v>
      </c>
      <c r="X31" s="46"/>
      <c r="Y31" s="47">
        <f>($W$32-W31)^2</f>
        <v>0</v>
      </c>
    </row>
    <row r="32" spans="11:25" ht="15.75" thickBot="1" x14ac:dyDescent="0.3">
      <c r="K32" s="54"/>
      <c r="L32" s="55"/>
      <c r="M32" s="55"/>
      <c r="N32" s="55"/>
      <c r="O32" s="52">
        <f>SUM(O29:O31)/3</f>
        <v>236.74762973319642</v>
      </c>
      <c r="P32" s="49" t="s">
        <v>11</v>
      </c>
      <c r="Q32" s="53">
        <f>SQRT(SUM(Q29:Q30))/2</f>
        <v>9.4532820284889016</v>
      </c>
      <c r="S32" s="54"/>
      <c r="T32" s="55"/>
      <c r="U32" s="55"/>
      <c r="V32" s="55"/>
      <c r="W32" s="52">
        <f>SUM(W29:W31)/3</f>
        <v>324.79678884561213</v>
      </c>
      <c r="X32" s="49" t="s">
        <v>11</v>
      </c>
      <c r="Y32" s="53">
        <f>SQRT(SUM(Y29:Y30))/2</f>
        <v>0</v>
      </c>
    </row>
    <row r="33" spans="11:25" ht="15.75" thickBot="1" x14ac:dyDescent="0.3"/>
    <row r="34" spans="11:25" ht="45.75" thickBot="1" x14ac:dyDescent="0.3">
      <c r="K34" s="33" t="s">
        <v>27</v>
      </c>
      <c r="L34" s="34" t="s">
        <v>33</v>
      </c>
      <c r="M34" s="35" t="s">
        <v>34</v>
      </c>
      <c r="N34" s="36" t="s">
        <v>15</v>
      </c>
      <c r="O34" s="38" t="s">
        <v>21</v>
      </c>
      <c r="P34" s="39"/>
      <c r="Q34" s="40"/>
      <c r="S34" s="66" t="s">
        <v>27</v>
      </c>
      <c r="T34" s="67" t="s">
        <v>36</v>
      </c>
      <c r="U34" s="68" t="s">
        <v>37</v>
      </c>
      <c r="V34" s="69" t="s">
        <v>15</v>
      </c>
      <c r="W34" s="71" t="s">
        <v>21</v>
      </c>
      <c r="X34" s="39"/>
      <c r="Y34" s="40"/>
    </row>
    <row r="35" spans="11:25" x14ac:dyDescent="0.25">
      <c r="K35" s="41">
        <v>53</v>
      </c>
      <c r="L35" s="42">
        <v>816</v>
      </c>
      <c r="M35" s="43">
        <v>793</v>
      </c>
      <c r="N35" s="44">
        <f>(L35-M35)*2.2735</f>
        <v>52.290499999999994</v>
      </c>
      <c r="O35" s="45">
        <f>N35*10^3/$S$3</f>
        <v>583.41380184251977</v>
      </c>
      <c r="P35" s="46"/>
      <c r="Q35" s="47">
        <f>($O$38-O35)^2</f>
        <v>643.42469599308913</v>
      </c>
      <c r="S35" s="72">
        <v>53</v>
      </c>
      <c r="T35" s="42">
        <v>714</v>
      </c>
      <c r="U35" s="43">
        <v>696</v>
      </c>
      <c r="V35" s="44">
        <f>(T35-U35)*2.2735</f>
        <v>40.922999999999995</v>
      </c>
      <c r="W35" s="45">
        <f>V35*10^3/$Z$3</f>
        <v>649.59357769122425</v>
      </c>
      <c r="X35" s="46"/>
      <c r="Y35" s="47">
        <f>($W$38-W35)^2</f>
        <v>2315.3460421272166</v>
      </c>
    </row>
    <row r="36" spans="11:25" ht="15.75" thickBot="1" x14ac:dyDescent="0.3">
      <c r="K36" s="48">
        <v>55</v>
      </c>
      <c r="L36" s="50">
        <v>817</v>
      </c>
      <c r="M36" s="51">
        <v>793</v>
      </c>
      <c r="N36" s="44">
        <f t="shared" ref="N36:N37" si="13">(L36-M36)*2.2735</f>
        <v>54.563999999999993</v>
      </c>
      <c r="O36" s="45">
        <f>N36*10^3/$S$3</f>
        <v>608.77961931393361</v>
      </c>
      <c r="P36" s="46"/>
      <c r="Q36" s="47">
        <f>($O$38-O36)^2</f>
        <v>1.2924697071141057E-26</v>
      </c>
      <c r="S36" s="73">
        <v>55</v>
      </c>
      <c r="T36" s="50">
        <v>714</v>
      </c>
      <c r="U36" s="51">
        <v>696</v>
      </c>
      <c r="V36" s="44">
        <f t="shared" ref="V36:V37" si="14">(T36-U36)*2.2735</f>
        <v>40.922999999999995</v>
      </c>
      <c r="W36" s="45">
        <f>V36*10^3/$Z$3</f>
        <v>649.59357769122425</v>
      </c>
      <c r="X36" s="46"/>
      <c r="Y36" s="47">
        <f>($W$38-W36)^2</f>
        <v>2315.3460421272166</v>
      </c>
    </row>
    <row r="37" spans="11:25" ht="15.75" thickBot="1" x14ac:dyDescent="0.3">
      <c r="K37" s="48">
        <v>57</v>
      </c>
      <c r="L37" s="50">
        <v>817</v>
      </c>
      <c r="M37" s="51">
        <v>792</v>
      </c>
      <c r="N37" s="44">
        <f t="shared" si="13"/>
        <v>56.837499999999999</v>
      </c>
      <c r="O37" s="45">
        <f>N37*10^3/$S$3</f>
        <v>634.14543678534767</v>
      </c>
      <c r="P37" s="46"/>
      <c r="Q37" s="47">
        <f>($O$38-O37)^2</f>
        <v>643.42469599308913</v>
      </c>
      <c r="S37" s="73">
        <v>57</v>
      </c>
      <c r="T37" s="50">
        <v>711</v>
      </c>
      <c r="U37" s="51">
        <v>697</v>
      </c>
      <c r="V37" s="44">
        <f t="shared" si="14"/>
        <v>31.828999999999997</v>
      </c>
      <c r="W37" s="45">
        <f>V37*10^3/$Z$3</f>
        <v>505.23944931539666</v>
      </c>
      <c r="X37" s="46"/>
      <c r="Y37" s="47">
        <f>($W$38-W37)^2</f>
        <v>9261.3841685088446</v>
      </c>
    </row>
    <row r="38" spans="11:25" ht="15.75" thickBot="1" x14ac:dyDescent="0.3">
      <c r="K38" s="54"/>
      <c r="L38" s="55"/>
      <c r="M38" s="55"/>
      <c r="N38" s="55"/>
      <c r="O38" s="52">
        <f>SUM(O35:O37)/3</f>
        <v>608.77961931393372</v>
      </c>
      <c r="P38" s="49" t="s">
        <v>11</v>
      </c>
      <c r="Q38" s="53">
        <f>SQRT(SUM(Q35:Q36))/2</f>
        <v>12.682908735706974</v>
      </c>
      <c r="S38" s="54"/>
      <c r="T38" s="55"/>
      <c r="U38" s="55"/>
      <c r="V38" s="55"/>
      <c r="W38" s="52">
        <f>SUM(W35:W37)/3</f>
        <v>601.47553489928168</v>
      </c>
      <c r="X38" s="49" t="s">
        <v>11</v>
      </c>
      <c r="Y38" s="53">
        <f>SQRT(SUM(Y35:Y36))/2</f>
        <v>34.024594355607064</v>
      </c>
    </row>
    <row r="39" spans="11:25" ht="15.75" thickBot="1" x14ac:dyDescent="0.3"/>
    <row r="40" spans="11:25" ht="45.75" thickBot="1" x14ac:dyDescent="0.3">
      <c r="K40" s="33" t="s">
        <v>28</v>
      </c>
      <c r="L40" s="34" t="s">
        <v>33</v>
      </c>
      <c r="M40" s="35" t="s">
        <v>34</v>
      </c>
      <c r="N40" s="36" t="s">
        <v>15</v>
      </c>
      <c r="O40" s="38" t="s">
        <v>21</v>
      </c>
      <c r="P40" s="39"/>
      <c r="Q40" s="40"/>
      <c r="S40" s="66" t="s">
        <v>28</v>
      </c>
      <c r="T40" s="67" t="s">
        <v>36</v>
      </c>
      <c r="U40" s="68" t="s">
        <v>37</v>
      </c>
      <c r="V40" s="69" t="s">
        <v>15</v>
      </c>
      <c r="W40" s="71" t="s">
        <v>21</v>
      </c>
      <c r="X40" s="39"/>
      <c r="Y40" s="40"/>
    </row>
    <row r="41" spans="11:25" x14ac:dyDescent="0.25">
      <c r="K41" s="41">
        <v>12</v>
      </c>
      <c r="L41" s="42">
        <v>813</v>
      </c>
      <c r="M41" s="43">
        <v>799</v>
      </c>
      <c r="N41" s="44">
        <f>(L41-M41)*2.2735</f>
        <v>31.828999999999997</v>
      </c>
      <c r="O41" s="45">
        <f>N41*10^3/$S$3</f>
        <v>355.12144459979464</v>
      </c>
      <c r="P41" s="46"/>
      <c r="Q41" s="47">
        <f>($O$44-O41)^2</f>
        <v>71.491632888121003</v>
      </c>
      <c r="S41" s="72">
        <v>12</v>
      </c>
      <c r="T41" s="42">
        <v>717</v>
      </c>
      <c r="U41" s="43">
        <v>705</v>
      </c>
      <c r="V41" s="44">
        <f>(T41-U41)*2.2735</f>
        <v>27.281999999999996</v>
      </c>
      <c r="W41" s="45">
        <f>V41*10^3/$Z$3</f>
        <v>433.0623851274828</v>
      </c>
      <c r="X41" s="46"/>
      <c r="Y41" s="47">
        <f>($W$44-W41)^2</f>
        <v>2315.3460421272111</v>
      </c>
    </row>
    <row r="42" spans="11:25" ht="15.75" thickBot="1" x14ac:dyDescent="0.3">
      <c r="K42" s="48">
        <v>10</v>
      </c>
      <c r="L42" s="50">
        <v>815</v>
      </c>
      <c r="M42" s="51">
        <v>801</v>
      </c>
      <c r="N42" s="44">
        <f t="shared" ref="N42:N43" si="15">(L42-M42)*2.2735</f>
        <v>31.828999999999997</v>
      </c>
      <c r="O42" s="45">
        <f>N42*10^3/$S$3</f>
        <v>355.12144459979464</v>
      </c>
      <c r="P42" s="46"/>
      <c r="Q42" s="47">
        <f>($O$44-O42)^2</f>
        <v>71.491632888121003</v>
      </c>
      <c r="S42" s="73">
        <v>10</v>
      </c>
      <c r="T42" s="50">
        <v>718</v>
      </c>
      <c r="U42" s="51">
        <v>707</v>
      </c>
      <c r="V42" s="44">
        <f t="shared" ref="V42:V43" si="16">(T42-U42)*2.2735</f>
        <v>25.008499999999998</v>
      </c>
      <c r="W42" s="45">
        <f>V42*10^3/$Z$3</f>
        <v>396.97385303352593</v>
      </c>
      <c r="X42" s="46"/>
      <c r="Y42" s="47">
        <f>($W$44-W42)^2</f>
        <v>144.70912763295104</v>
      </c>
    </row>
    <row r="43" spans="11:25" ht="15.75" thickBot="1" x14ac:dyDescent="0.3">
      <c r="K43" s="48">
        <v>8</v>
      </c>
      <c r="L43" s="50">
        <v>815</v>
      </c>
      <c r="M43" s="51">
        <v>802</v>
      </c>
      <c r="N43" s="44">
        <f t="shared" si="15"/>
        <v>29.555499999999999</v>
      </c>
      <c r="O43" s="45">
        <f>N43*10^3/$S$3</f>
        <v>329.75562712838075</v>
      </c>
      <c r="P43" s="46"/>
      <c r="Q43" s="47">
        <f>($O$44-O43)^2</f>
        <v>285.96653155248214</v>
      </c>
      <c r="S43" s="73">
        <v>8</v>
      </c>
      <c r="T43" s="50">
        <v>717</v>
      </c>
      <c r="U43" s="51">
        <v>708</v>
      </c>
      <c r="V43" s="44">
        <f t="shared" si="16"/>
        <v>20.461499999999997</v>
      </c>
      <c r="W43" s="45">
        <f>V43*10^3/$Z$3</f>
        <v>324.79678884561213</v>
      </c>
      <c r="X43" s="46"/>
      <c r="Y43" s="47">
        <f>($W$44-W43)^2</f>
        <v>3617.7281908237687</v>
      </c>
    </row>
    <row r="44" spans="11:25" ht="15.75" thickBot="1" x14ac:dyDescent="0.3">
      <c r="K44" s="54"/>
      <c r="L44" s="55"/>
      <c r="M44" s="55"/>
      <c r="N44" s="55"/>
      <c r="O44" s="52">
        <f>SUM(O41:O43)/3</f>
        <v>346.66617210932333</v>
      </c>
      <c r="P44" s="49" t="s">
        <v>11</v>
      </c>
      <c r="Q44" s="53">
        <f>SQRT(SUM(Q41:Q42))/2</f>
        <v>5.9787805147923354</v>
      </c>
      <c r="S44" s="54"/>
      <c r="T44" s="55"/>
      <c r="U44" s="55"/>
      <c r="V44" s="55"/>
      <c r="W44" s="52">
        <f>SUM(W41:W43)/3</f>
        <v>384.94434233554028</v>
      </c>
      <c r="X44" s="49" t="s">
        <v>11</v>
      </c>
      <c r="Y44" s="53">
        <f>SQRT(SUM(Y41:Y42))/2</f>
        <v>24.799471616146192</v>
      </c>
    </row>
    <row r="45" spans="11:25" ht="15.75" thickBot="1" x14ac:dyDescent="0.3"/>
    <row r="46" spans="11:25" ht="45.75" thickBot="1" x14ac:dyDescent="0.3">
      <c r="K46" s="33" t="s">
        <v>29</v>
      </c>
      <c r="L46" s="34" t="s">
        <v>33</v>
      </c>
      <c r="M46" s="35" t="s">
        <v>34</v>
      </c>
      <c r="N46" s="36" t="s">
        <v>15</v>
      </c>
      <c r="O46" s="38" t="s">
        <v>21</v>
      </c>
      <c r="P46" s="39"/>
      <c r="Q46" s="40"/>
      <c r="S46" s="66" t="s">
        <v>29</v>
      </c>
      <c r="T46" s="67" t="s">
        <v>36</v>
      </c>
      <c r="U46" s="68" t="s">
        <v>37</v>
      </c>
      <c r="V46" s="69" t="s">
        <v>15</v>
      </c>
      <c r="W46" s="71" t="s">
        <v>21</v>
      </c>
      <c r="X46" s="39"/>
      <c r="Y46" s="40"/>
    </row>
    <row r="47" spans="11:25" x14ac:dyDescent="0.25">
      <c r="K47" s="41">
        <v>24</v>
      </c>
      <c r="L47" s="42">
        <v>813</v>
      </c>
      <c r="M47" s="43">
        <v>792</v>
      </c>
      <c r="N47" s="44">
        <f>(L47-M47)*2.2735</f>
        <v>47.743499999999997</v>
      </c>
      <c r="O47" s="45">
        <f>N47*10^3/$S$3</f>
        <v>532.68216689969199</v>
      </c>
      <c r="P47" s="46"/>
      <c r="Q47" s="47">
        <f>($O$50-O47)^2</f>
        <v>285.96653155248401</v>
      </c>
      <c r="S47" s="72">
        <v>24</v>
      </c>
      <c r="T47" s="42">
        <v>714</v>
      </c>
      <c r="U47" s="43">
        <v>698</v>
      </c>
      <c r="V47" s="44">
        <f>(T47-U47)*2.2735</f>
        <v>36.375999999999998</v>
      </c>
      <c r="W47" s="45">
        <f>V47*10^3/$Z$3</f>
        <v>577.41651350331051</v>
      </c>
      <c r="X47" s="46"/>
      <c r="Y47" s="47">
        <f>($W$50-W47)^2</f>
        <v>2315.3460421272166</v>
      </c>
    </row>
    <row r="48" spans="11:25" ht="15.75" thickBot="1" x14ac:dyDescent="0.3">
      <c r="K48" s="48">
        <v>22</v>
      </c>
      <c r="L48" s="50">
        <v>813</v>
      </c>
      <c r="M48" s="51">
        <v>793</v>
      </c>
      <c r="N48" s="44">
        <f t="shared" ref="N48:N49" si="17">(L48-M48)*2.2735</f>
        <v>45.47</v>
      </c>
      <c r="O48" s="45">
        <f>N48*10^3/$S$3</f>
        <v>507.3163494282781</v>
      </c>
      <c r="P48" s="46"/>
      <c r="Q48" s="47">
        <f>($O$50-O48)^2</f>
        <v>71.491632888120051</v>
      </c>
      <c r="S48" s="73">
        <v>22</v>
      </c>
      <c r="T48" s="50">
        <v>713</v>
      </c>
      <c r="U48" s="51">
        <v>698</v>
      </c>
      <c r="V48" s="44">
        <f t="shared" ref="V48:V49" si="18">(T48-U48)*2.2735</f>
        <v>34.102499999999999</v>
      </c>
      <c r="W48" s="45">
        <f>V48*10^3/$Z$3</f>
        <v>541.32798140935358</v>
      </c>
      <c r="X48" s="46"/>
      <c r="Y48" s="47">
        <f>($W$50-W48)^2</f>
        <v>144.70912763295104</v>
      </c>
    </row>
    <row r="49" spans="11:25" ht="15.75" thickBot="1" x14ac:dyDescent="0.3">
      <c r="K49" s="48">
        <v>20</v>
      </c>
      <c r="L49" s="50">
        <v>813</v>
      </c>
      <c r="M49" s="51">
        <v>793</v>
      </c>
      <c r="N49" s="44">
        <f t="shared" si="17"/>
        <v>45.47</v>
      </c>
      <c r="O49" s="45">
        <f>N49*10^3/$S$3</f>
        <v>507.3163494282781</v>
      </c>
      <c r="P49" s="46"/>
      <c r="Q49" s="47">
        <f>($O$50-O49)^2</f>
        <v>71.491632888120051</v>
      </c>
      <c r="S49" s="73">
        <v>20</v>
      </c>
      <c r="T49" s="50">
        <v>712</v>
      </c>
      <c r="U49" s="51">
        <v>699</v>
      </c>
      <c r="V49" s="44">
        <f t="shared" si="18"/>
        <v>29.555499999999999</v>
      </c>
      <c r="W49" s="45">
        <f>V49*10^3/$Z$3</f>
        <v>469.15091722143978</v>
      </c>
      <c r="X49" s="46"/>
      <c r="Y49" s="47">
        <f>($W$50-W49)^2</f>
        <v>3617.7281908237687</v>
      </c>
    </row>
    <row r="50" spans="11:25" ht="15.75" thickBot="1" x14ac:dyDescent="0.3">
      <c r="K50" s="54"/>
      <c r="L50" s="55"/>
      <c r="M50" s="55"/>
      <c r="N50" s="55"/>
      <c r="O50" s="52">
        <f>SUM(O47:O49)/3</f>
        <v>515.77162191874936</v>
      </c>
      <c r="P50" s="49" t="s">
        <v>11</v>
      </c>
      <c r="Q50" s="53">
        <f>SQRT(SUM(Q47:Q48))/2</f>
        <v>9.4532820284888892</v>
      </c>
      <c r="S50" s="54"/>
      <c r="T50" s="55"/>
      <c r="U50" s="55"/>
      <c r="V50" s="55"/>
      <c r="W50" s="52">
        <f>SUM(W47:W49)/3</f>
        <v>529.29847071136794</v>
      </c>
      <c r="X50" s="49" t="s">
        <v>11</v>
      </c>
      <c r="Y50" s="53">
        <f>SQRT(SUM(Y47:Y48))/2</f>
        <v>24.799471616146217</v>
      </c>
    </row>
    <row r="51" spans="11:25" ht="15.75" thickBot="1" x14ac:dyDescent="0.3"/>
    <row r="52" spans="11:25" ht="45.75" thickBot="1" x14ac:dyDescent="0.3">
      <c r="K52" s="33" t="s">
        <v>30</v>
      </c>
      <c r="L52" s="34" t="s">
        <v>33</v>
      </c>
      <c r="M52" s="35" t="s">
        <v>34</v>
      </c>
      <c r="N52" s="36" t="s">
        <v>15</v>
      </c>
      <c r="O52" s="38" t="s">
        <v>21</v>
      </c>
      <c r="P52" s="39"/>
      <c r="Q52" s="40"/>
      <c r="S52" s="66" t="s">
        <v>30</v>
      </c>
      <c r="T52" s="67" t="s">
        <v>36</v>
      </c>
      <c r="U52" s="68" t="s">
        <v>37</v>
      </c>
      <c r="V52" s="69" t="s">
        <v>15</v>
      </c>
      <c r="W52" s="71" t="s">
        <v>21</v>
      </c>
      <c r="X52" s="39"/>
      <c r="Y52" s="40"/>
    </row>
    <row r="53" spans="11:25" x14ac:dyDescent="0.25">
      <c r="K53" s="41">
        <v>36</v>
      </c>
      <c r="L53" s="42">
        <v>813</v>
      </c>
      <c r="M53" s="43">
        <v>790</v>
      </c>
      <c r="N53" s="44">
        <f>(L53-M53)*2.2735</f>
        <v>52.290499999999994</v>
      </c>
      <c r="O53" s="45">
        <f>N53*10^3/$S$3</f>
        <v>583.41380184251977</v>
      </c>
      <c r="P53" s="46"/>
      <c r="Q53" s="47">
        <f>($O$56-O53)^2</f>
        <v>285.96653155248401</v>
      </c>
      <c r="S53" s="72">
        <v>36</v>
      </c>
      <c r="T53" s="42">
        <v>712</v>
      </c>
      <c r="U53" s="43">
        <v>696</v>
      </c>
      <c r="V53" s="44">
        <f>(T53-U53)*2.2735</f>
        <v>36.375999999999998</v>
      </c>
      <c r="W53" s="45">
        <f>V53*10^3/$Z$3</f>
        <v>577.41651350331051</v>
      </c>
      <c r="X53" s="46"/>
      <c r="Y53" s="47">
        <f>($W$56-W53)^2</f>
        <v>144.70912763294828</v>
      </c>
    </row>
    <row r="54" spans="11:25" ht="15.75" thickBot="1" x14ac:dyDescent="0.3">
      <c r="K54" s="48">
        <v>34</v>
      </c>
      <c r="L54" s="50">
        <v>813</v>
      </c>
      <c r="M54" s="51">
        <v>791</v>
      </c>
      <c r="N54" s="44">
        <f t="shared" ref="N54:N55" si="19">(L54-M54)*2.2735</f>
        <v>50.016999999999996</v>
      </c>
      <c r="O54" s="45">
        <f>N54*10^3/$S$3</f>
        <v>558.04798437110583</v>
      </c>
      <c r="P54" s="46"/>
      <c r="Q54" s="47">
        <f>($O$56-O54)^2</f>
        <v>71.491632888121003</v>
      </c>
      <c r="S54" s="73">
        <v>34</v>
      </c>
      <c r="T54" s="50">
        <v>712</v>
      </c>
      <c r="U54" s="51">
        <v>695</v>
      </c>
      <c r="V54" s="44">
        <f t="shared" ref="V54:V55" si="20">(T54-U54)*2.2735</f>
        <v>38.649499999999996</v>
      </c>
      <c r="W54" s="45">
        <f>V54*10^3/$Z$3</f>
        <v>613.50504559726733</v>
      </c>
      <c r="X54" s="46"/>
      <c r="Y54" s="47">
        <f>($W$56-W54)^2</f>
        <v>578.83651053180415</v>
      </c>
    </row>
    <row r="55" spans="11:25" ht="15.75" thickBot="1" x14ac:dyDescent="0.3">
      <c r="K55" s="48">
        <v>32</v>
      </c>
      <c r="L55" s="50">
        <v>813</v>
      </c>
      <c r="M55" s="51">
        <v>791</v>
      </c>
      <c r="N55" s="44">
        <f t="shared" si="19"/>
        <v>50.016999999999996</v>
      </c>
      <c r="O55" s="45">
        <f>N55*10^3/$S$3</f>
        <v>558.04798437110583</v>
      </c>
      <c r="P55" s="46"/>
      <c r="Q55" s="47">
        <f>($O$56-O55)^2</f>
        <v>71.491632888121003</v>
      </c>
      <c r="S55" s="73">
        <v>32</v>
      </c>
      <c r="T55" s="50">
        <v>713</v>
      </c>
      <c r="U55" s="51">
        <v>697</v>
      </c>
      <c r="V55" s="44">
        <f t="shared" si="20"/>
        <v>36.375999999999998</v>
      </c>
      <c r="W55" s="45">
        <f>V55*10^3/$Z$3</f>
        <v>577.41651350331051</v>
      </c>
      <c r="X55" s="46"/>
      <c r="Y55" s="47">
        <f>($W$56-W55)^2</f>
        <v>144.70912763294828</v>
      </c>
    </row>
    <row r="56" spans="11:25" ht="15.75" thickBot="1" x14ac:dyDescent="0.3">
      <c r="K56" s="54"/>
      <c r="L56" s="55"/>
      <c r="M56" s="55"/>
      <c r="N56" s="55"/>
      <c r="O56" s="52">
        <f>SUM(O53:O55)/3</f>
        <v>566.50325686157714</v>
      </c>
      <c r="P56" s="49" t="s">
        <v>11</v>
      </c>
      <c r="Q56" s="53">
        <f>SQRT(SUM(Q53:Q54))/2</f>
        <v>9.4532820284889016</v>
      </c>
      <c r="S56" s="54"/>
      <c r="T56" s="55"/>
      <c r="U56" s="55"/>
      <c r="V56" s="55"/>
      <c r="W56" s="52">
        <f>SUM(W53:W55)/3</f>
        <v>589.44602420129604</v>
      </c>
      <c r="X56" s="49" t="s">
        <v>11</v>
      </c>
      <c r="Y56" s="53">
        <f>SQRT(SUM(Y53:Y54))/2</f>
        <v>13.449401828378395</v>
      </c>
    </row>
    <row r="57" spans="11:25" ht="15.75" thickBot="1" x14ac:dyDescent="0.3"/>
    <row r="58" spans="11:25" ht="45.75" thickBot="1" x14ac:dyDescent="0.3">
      <c r="K58" s="33" t="s">
        <v>31</v>
      </c>
      <c r="L58" s="34" t="s">
        <v>33</v>
      </c>
      <c r="M58" s="35" t="s">
        <v>34</v>
      </c>
      <c r="N58" s="36" t="s">
        <v>15</v>
      </c>
      <c r="O58" s="38" t="s">
        <v>21</v>
      </c>
      <c r="P58" s="39"/>
      <c r="Q58" s="40"/>
      <c r="S58" s="66" t="s">
        <v>31</v>
      </c>
      <c r="T58" s="67" t="s">
        <v>36</v>
      </c>
      <c r="U58" s="68" t="s">
        <v>37</v>
      </c>
      <c r="V58" s="69" t="s">
        <v>15</v>
      </c>
      <c r="W58" s="71" t="s">
        <v>21</v>
      </c>
      <c r="X58" s="39"/>
      <c r="Y58" s="40"/>
    </row>
    <row r="59" spans="11:25" x14ac:dyDescent="0.25">
      <c r="K59" s="41">
        <v>48</v>
      </c>
      <c r="L59" s="42">
        <v>813</v>
      </c>
      <c r="M59" s="43">
        <v>793</v>
      </c>
      <c r="N59" s="44">
        <f>(L59-M59)*2.2735</f>
        <v>45.47</v>
      </c>
      <c r="O59" s="45">
        <f>N59*10^3/$S$3</f>
        <v>507.3163494282781</v>
      </c>
      <c r="P59" s="46"/>
      <c r="Q59" s="47">
        <f>($O$62-O59)^2</f>
        <v>71.491632888120051</v>
      </c>
      <c r="S59" s="72">
        <v>48</v>
      </c>
      <c r="T59" s="42">
        <v>714</v>
      </c>
      <c r="U59" s="43">
        <v>698</v>
      </c>
      <c r="V59" s="44">
        <f>(T59-U59)*2.2735</f>
        <v>36.375999999999998</v>
      </c>
      <c r="W59" s="45">
        <f>V59*10^3/$Z$3</f>
        <v>577.41651350331051</v>
      </c>
      <c r="X59" s="46"/>
      <c r="Y59" s="47">
        <f>($W$62-W59)^2</f>
        <v>578.83651053180415</v>
      </c>
    </row>
    <row r="60" spans="11:25" ht="15.75" thickBot="1" x14ac:dyDescent="0.3">
      <c r="K60" s="48">
        <v>46</v>
      </c>
      <c r="L60" s="50">
        <v>813</v>
      </c>
      <c r="M60" s="51">
        <v>792</v>
      </c>
      <c r="N60" s="44">
        <f t="shared" ref="N60:N61" si="21">(L60-M60)*2.2735</f>
        <v>47.743499999999997</v>
      </c>
      <c r="O60" s="45">
        <f>N60*10^3/$S$3</f>
        <v>532.68216689969199</v>
      </c>
      <c r="P60" s="46"/>
      <c r="Q60" s="47">
        <f>($O$62-O60)^2</f>
        <v>285.96653155248401</v>
      </c>
      <c r="S60" s="73">
        <v>46</v>
      </c>
      <c r="T60" s="50">
        <v>711</v>
      </c>
      <c r="U60" s="51">
        <v>697</v>
      </c>
      <c r="V60" s="44">
        <f t="shared" ref="V60:V61" si="22">(T60-U60)*2.2735</f>
        <v>31.828999999999997</v>
      </c>
      <c r="W60" s="45">
        <f>V60*10^3/$Z$3</f>
        <v>505.23944931539666</v>
      </c>
      <c r="X60" s="46"/>
      <c r="Y60" s="47">
        <f>($W$62-W60)^2</f>
        <v>2315.3460421272166</v>
      </c>
    </row>
    <row r="61" spans="11:25" ht="15.75" thickBot="1" x14ac:dyDescent="0.3">
      <c r="K61" s="48">
        <v>44</v>
      </c>
      <c r="L61" s="50">
        <v>812</v>
      </c>
      <c r="M61" s="51">
        <v>792</v>
      </c>
      <c r="N61" s="44">
        <f t="shared" si="21"/>
        <v>45.47</v>
      </c>
      <c r="O61" s="45">
        <f>N61*10^3/$S$3</f>
        <v>507.3163494282781</v>
      </c>
      <c r="P61" s="46"/>
      <c r="Q61" s="47">
        <f>($O$62-O61)^2</f>
        <v>71.491632888120051</v>
      </c>
      <c r="S61" s="73">
        <v>44</v>
      </c>
      <c r="T61" s="50">
        <v>713</v>
      </c>
      <c r="U61" s="51">
        <v>697</v>
      </c>
      <c r="V61" s="44">
        <f t="shared" si="22"/>
        <v>36.375999999999998</v>
      </c>
      <c r="W61" s="45">
        <f>V61*10^3/$Z$3</f>
        <v>577.41651350331051</v>
      </c>
      <c r="X61" s="46"/>
      <c r="Y61" s="47">
        <f>($W$62-W61)^2</f>
        <v>578.83651053180415</v>
      </c>
    </row>
    <row r="62" spans="11:25" ht="15.75" thickBot="1" x14ac:dyDescent="0.3">
      <c r="K62" s="54"/>
      <c r="L62" s="55"/>
      <c r="M62" s="55"/>
      <c r="N62" s="55"/>
      <c r="O62" s="52">
        <f>SUM(O59:O61)/3</f>
        <v>515.77162191874936</v>
      </c>
      <c r="P62" s="49" t="s">
        <v>11</v>
      </c>
      <c r="Q62" s="53">
        <f>SQRT(SUM(Q59:Q60))/2</f>
        <v>9.4532820284888892</v>
      </c>
      <c r="S62" s="54"/>
      <c r="T62" s="55"/>
      <c r="U62" s="55"/>
      <c r="V62" s="55"/>
      <c r="W62" s="52">
        <f>SUM(W59:W61)/3</f>
        <v>553.35749210733923</v>
      </c>
      <c r="X62" s="49" t="s">
        <v>11</v>
      </c>
      <c r="Y62" s="53">
        <f>SQRT(SUM(Y59:Y60))/2</f>
        <v>26.898803656756844</v>
      </c>
    </row>
    <row r="63" spans="11:25" ht="15.75" thickBot="1" x14ac:dyDescent="0.3"/>
    <row r="64" spans="11:25" ht="45.75" thickBot="1" x14ac:dyDescent="0.3">
      <c r="K64" s="33" t="s">
        <v>32</v>
      </c>
      <c r="L64" s="34" t="s">
        <v>33</v>
      </c>
      <c r="M64" s="35" t="s">
        <v>34</v>
      </c>
      <c r="N64" s="36" t="s">
        <v>15</v>
      </c>
      <c r="O64" s="38" t="s">
        <v>21</v>
      </c>
      <c r="P64" s="39"/>
      <c r="Q64" s="40"/>
      <c r="S64" s="66" t="s">
        <v>32</v>
      </c>
      <c r="T64" s="67" t="s">
        <v>36</v>
      </c>
      <c r="U64" s="68" t="s">
        <v>37</v>
      </c>
      <c r="V64" s="69" t="s">
        <v>15</v>
      </c>
      <c r="W64" s="71" t="s">
        <v>21</v>
      </c>
      <c r="X64" s="39"/>
      <c r="Y64" s="40"/>
    </row>
    <row r="65" spans="11:25" x14ac:dyDescent="0.25">
      <c r="K65" s="41">
        <v>62</v>
      </c>
      <c r="L65" s="42">
        <v>812</v>
      </c>
      <c r="M65" s="43">
        <v>780</v>
      </c>
      <c r="N65" s="44">
        <f>(L65-M65)*2.2735</f>
        <v>72.751999999999995</v>
      </c>
      <c r="O65" s="45">
        <f>N65*10^3/$S$3</f>
        <v>811.70615908524496</v>
      </c>
      <c r="P65" s="46"/>
      <c r="Q65" s="47">
        <f>($O$68-O65)^2</f>
        <v>643.42469599308333</v>
      </c>
      <c r="S65" s="72">
        <v>62</v>
      </c>
      <c r="T65" s="42">
        <v>704</v>
      </c>
      <c r="U65" s="43">
        <v>683</v>
      </c>
      <c r="V65" s="44">
        <f>(T65-U65)*2.2735</f>
        <v>47.743499999999997</v>
      </c>
      <c r="W65" s="45">
        <f>V65*10^3/$Z$3</f>
        <v>757.85917397309504</v>
      </c>
      <c r="X65" s="46"/>
      <c r="Y65" s="47">
        <f>($W$68-W65)^2</f>
        <v>144.70912763295104</v>
      </c>
    </row>
    <row r="66" spans="11:25" ht="15.75" thickBot="1" x14ac:dyDescent="0.3">
      <c r="K66" s="48">
        <v>60</v>
      </c>
      <c r="L66" s="50">
        <v>812</v>
      </c>
      <c r="M66" s="51">
        <v>781</v>
      </c>
      <c r="N66" s="44">
        <f t="shared" ref="N66:N67" si="23">(L66-M66)*2.2735</f>
        <v>70.478499999999997</v>
      </c>
      <c r="O66" s="45">
        <f>N66*10^3/$S$3</f>
        <v>786.34034161383101</v>
      </c>
      <c r="P66" s="46"/>
      <c r="Q66" s="47">
        <f>($O$68-O66)^2</f>
        <v>1.2924697071141057E-26</v>
      </c>
      <c r="S66" s="73">
        <v>60</v>
      </c>
      <c r="T66" s="50">
        <v>707</v>
      </c>
      <c r="U66" s="51">
        <v>686</v>
      </c>
      <c r="V66" s="44">
        <f t="shared" ref="V66:V67" si="24">(T66-U66)*2.2735</f>
        <v>47.743499999999997</v>
      </c>
      <c r="W66" s="45">
        <f>V66*10^3/$Z$3</f>
        <v>757.85917397309504</v>
      </c>
      <c r="X66" s="46"/>
      <c r="Y66" s="47">
        <f>($W$68-W66)^2</f>
        <v>144.70912763295104</v>
      </c>
    </row>
    <row r="67" spans="11:25" ht="15.75" thickBot="1" x14ac:dyDescent="0.3">
      <c r="K67" s="48">
        <v>58</v>
      </c>
      <c r="L67" s="50">
        <v>813</v>
      </c>
      <c r="M67" s="51">
        <v>783</v>
      </c>
      <c r="N67" s="44">
        <f t="shared" si="23"/>
        <v>68.204999999999998</v>
      </c>
      <c r="O67" s="45">
        <f>N67*10^3/$S$3</f>
        <v>760.97452414241718</v>
      </c>
      <c r="P67" s="46"/>
      <c r="Q67" s="47">
        <f>($O$68-O67)^2</f>
        <v>643.42469599308913</v>
      </c>
      <c r="S67" s="73">
        <v>58</v>
      </c>
      <c r="T67" s="50">
        <v>707</v>
      </c>
      <c r="U67" s="51">
        <v>685</v>
      </c>
      <c r="V67" s="44">
        <f t="shared" si="24"/>
        <v>50.016999999999996</v>
      </c>
      <c r="W67" s="45">
        <f>V67*10^3/$Z$3</f>
        <v>793.94770606705185</v>
      </c>
      <c r="X67" s="46"/>
      <c r="Y67" s="47">
        <f>($W$68-W67)^2</f>
        <v>578.83651053179858</v>
      </c>
    </row>
    <row r="68" spans="11:25" ht="15.75" thickBot="1" x14ac:dyDescent="0.3">
      <c r="K68" s="54"/>
      <c r="L68" s="55"/>
      <c r="M68" s="55"/>
      <c r="N68" s="55"/>
      <c r="O68" s="52">
        <f>SUM(O65:O67)/3</f>
        <v>786.34034161383113</v>
      </c>
      <c r="P68" s="49" t="s">
        <v>11</v>
      </c>
      <c r="Q68" s="53">
        <f>SQRT(SUM(Q65:Q66))/2</f>
        <v>12.682908735706917</v>
      </c>
      <c r="S68" s="54"/>
      <c r="T68" s="55"/>
      <c r="U68" s="55"/>
      <c r="V68" s="55"/>
      <c r="W68" s="52">
        <f>SUM(W65:W67)/3</f>
        <v>769.88868467108068</v>
      </c>
      <c r="X68" s="49" t="s">
        <v>11</v>
      </c>
      <c r="Y68" s="53">
        <f>SQRT(SUM(Y65:Y66))/2</f>
        <v>8.5061485889017661</v>
      </c>
    </row>
  </sheetData>
  <conditionalFormatting sqref="L6:L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O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T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:W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A25"/>
  <sheetViews>
    <sheetView workbookViewId="0">
      <selection activeCell="L12" sqref="L12:L13"/>
    </sheetView>
  </sheetViews>
  <sheetFormatPr defaultRowHeight="15" x14ac:dyDescent="0.25"/>
  <sheetData>
    <row r="2" spans="3:27" x14ac:dyDescent="0.25">
      <c r="H2" s="78" t="s">
        <v>24</v>
      </c>
      <c r="U2" s="79" t="s">
        <v>35</v>
      </c>
    </row>
    <row r="3" spans="3:27" ht="15.75" thickBot="1" x14ac:dyDescent="0.3"/>
    <row r="4" spans="3:27" x14ac:dyDescent="0.25">
      <c r="C4" s="151" t="s">
        <v>38</v>
      </c>
      <c r="D4" s="142"/>
      <c r="E4" s="169"/>
      <c r="F4" s="170"/>
      <c r="G4" s="152"/>
      <c r="H4" s="160">
        <v>549.59271188063462</v>
      </c>
      <c r="I4" s="147"/>
      <c r="J4" s="162" t="s">
        <v>38</v>
      </c>
      <c r="K4" s="164" t="s">
        <v>38</v>
      </c>
      <c r="L4" s="158">
        <v>515.77162191874936</v>
      </c>
      <c r="M4" s="131" t="s">
        <v>38</v>
      </c>
      <c r="N4" s="132"/>
      <c r="P4" s="151" t="s">
        <v>38</v>
      </c>
      <c r="Q4" s="142"/>
      <c r="R4" s="169"/>
      <c r="S4" s="170"/>
      <c r="T4" s="152"/>
      <c r="U4" s="160">
        <v>777.94954384438824</v>
      </c>
      <c r="V4" s="147"/>
      <c r="W4" s="162" t="s">
        <v>38</v>
      </c>
      <c r="X4" s="164" t="s">
        <v>38</v>
      </c>
      <c r="Y4" s="158">
        <v>534.84031139301703</v>
      </c>
      <c r="Z4" s="131" t="s">
        <v>38</v>
      </c>
      <c r="AA4" s="132"/>
    </row>
    <row r="5" spans="3:27" ht="15.75" thickBot="1" x14ac:dyDescent="0.3">
      <c r="C5" s="143"/>
      <c r="D5" s="144"/>
      <c r="E5" s="171"/>
      <c r="F5" s="172"/>
      <c r="G5" s="153"/>
      <c r="H5" s="161"/>
      <c r="I5" s="148"/>
      <c r="J5" s="163"/>
      <c r="K5" s="165"/>
      <c r="L5" s="159"/>
      <c r="M5" s="133"/>
      <c r="N5" s="134"/>
      <c r="P5" s="143"/>
      <c r="Q5" s="144"/>
      <c r="R5" s="171"/>
      <c r="S5" s="172"/>
      <c r="T5" s="153"/>
      <c r="U5" s="161"/>
      <c r="V5" s="148"/>
      <c r="W5" s="163"/>
      <c r="X5" s="165"/>
      <c r="Y5" s="159"/>
      <c r="Z5" s="133"/>
      <c r="AA5" s="134"/>
    </row>
    <row r="6" spans="3:27" x14ac:dyDescent="0.25">
      <c r="C6" s="143"/>
      <c r="D6" s="144"/>
      <c r="E6" s="137">
        <v>608.77961931393372</v>
      </c>
      <c r="F6" s="138"/>
      <c r="G6" s="141"/>
      <c r="H6" s="142"/>
      <c r="I6" s="147"/>
      <c r="J6" s="149">
        <v>786.34034161383113</v>
      </c>
      <c r="K6" s="131" t="s">
        <v>38</v>
      </c>
      <c r="L6" s="132"/>
      <c r="M6" s="133"/>
      <c r="N6" s="134"/>
      <c r="P6" s="143"/>
      <c r="Q6" s="144"/>
      <c r="R6" s="137">
        <v>607.7730811284282</v>
      </c>
      <c r="S6" s="138"/>
      <c r="T6" s="141"/>
      <c r="U6" s="142"/>
      <c r="V6" s="147"/>
      <c r="W6" s="149">
        <v>777.94954384438824</v>
      </c>
      <c r="X6" s="131" t="s">
        <v>38</v>
      </c>
      <c r="Y6" s="132"/>
      <c r="Z6" s="133"/>
      <c r="AA6" s="134"/>
    </row>
    <row r="7" spans="3:27" ht="15.75" thickBot="1" x14ac:dyDescent="0.3">
      <c r="C7" s="143"/>
      <c r="D7" s="144"/>
      <c r="E7" s="139"/>
      <c r="F7" s="140"/>
      <c r="G7" s="143"/>
      <c r="H7" s="144"/>
      <c r="I7" s="148"/>
      <c r="J7" s="150"/>
      <c r="K7" s="133"/>
      <c r="L7" s="134"/>
      <c r="M7" s="133"/>
      <c r="N7" s="134"/>
      <c r="P7" s="143"/>
      <c r="Q7" s="144"/>
      <c r="R7" s="139"/>
      <c r="S7" s="140"/>
      <c r="T7" s="143"/>
      <c r="U7" s="144"/>
      <c r="V7" s="148"/>
      <c r="W7" s="150"/>
      <c r="X7" s="133"/>
      <c r="Y7" s="134"/>
      <c r="Z7" s="133"/>
      <c r="AA7" s="134"/>
    </row>
    <row r="8" spans="3:27" x14ac:dyDescent="0.25">
      <c r="C8" s="143"/>
      <c r="D8" s="144"/>
      <c r="E8" s="151" t="s">
        <v>38</v>
      </c>
      <c r="F8" s="142"/>
      <c r="G8" s="143"/>
      <c r="H8" s="144"/>
      <c r="I8" s="147"/>
      <c r="J8" s="147"/>
      <c r="K8" s="133"/>
      <c r="L8" s="134"/>
      <c r="M8" s="133"/>
      <c r="N8" s="134"/>
      <c r="P8" s="143"/>
      <c r="Q8" s="144"/>
      <c r="R8" s="151" t="s">
        <v>38</v>
      </c>
      <c r="S8" s="142"/>
      <c r="T8" s="143"/>
      <c r="U8" s="144"/>
      <c r="V8" s="147"/>
      <c r="W8" s="147"/>
      <c r="X8" s="133"/>
      <c r="Y8" s="134"/>
      <c r="Z8" s="133"/>
      <c r="AA8" s="134"/>
    </row>
    <row r="9" spans="3:27" ht="15.75" thickBot="1" x14ac:dyDescent="0.3">
      <c r="C9" s="143"/>
      <c r="D9" s="144"/>
      <c r="E9" s="143"/>
      <c r="F9" s="144"/>
      <c r="G9" s="143"/>
      <c r="H9" s="144"/>
      <c r="I9" s="148"/>
      <c r="J9" s="148"/>
      <c r="K9" s="135"/>
      <c r="L9" s="136"/>
      <c r="M9" s="133"/>
      <c r="N9" s="134"/>
      <c r="P9" s="143"/>
      <c r="Q9" s="144"/>
      <c r="R9" s="143"/>
      <c r="S9" s="144"/>
      <c r="T9" s="143"/>
      <c r="U9" s="144"/>
      <c r="V9" s="148"/>
      <c r="W9" s="148"/>
      <c r="X9" s="135"/>
      <c r="Y9" s="136"/>
      <c r="Z9" s="133"/>
      <c r="AA9" s="134"/>
    </row>
    <row r="10" spans="3:27" x14ac:dyDescent="0.25">
      <c r="C10" s="143"/>
      <c r="D10" s="144"/>
      <c r="E10" s="143"/>
      <c r="F10" s="144"/>
      <c r="G10" s="143"/>
      <c r="H10" s="144"/>
      <c r="I10" s="158">
        <v>515.77162191874936</v>
      </c>
      <c r="J10" s="158">
        <v>566.50325686157714</v>
      </c>
      <c r="K10" s="147"/>
      <c r="L10" s="147"/>
      <c r="M10" s="133"/>
      <c r="N10" s="134"/>
      <c r="P10" s="143"/>
      <c r="Q10" s="144"/>
      <c r="R10" s="143"/>
      <c r="S10" s="144"/>
      <c r="T10" s="143"/>
      <c r="U10" s="144"/>
      <c r="V10" s="158">
        <v>559.15123463815405</v>
      </c>
      <c r="W10" s="158">
        <v>595.61761950585969</v>
      </c>
      <c r="X10" s="147"/>
      <c r="Y10" s="147"/>
      <c r="Z10" s="133"/>
      <c r="AA10" s="134"/>
    </row>
    <row r="11" spans="3:27" ht="15.75" thickBot="1" x14ac:dyDescent="0.3">
      <c r="C11" s="145"/>
      <c r="D11" s="146"/>
      <c r="E11" s="143"/>
      <c r="F11" s="144"/>
      <c r="G11" s="145"/>
      <c r="H11" s="146"/>
      <c r="I11" s="159"/>
      <c r="J11" s="159"/>
      <c r="K11" s="148"/>
      <c r="L11" s="148"/>
      <c r="M11" s="133"/>
      <c r="N11" s="134"/>
      <c r="P11" s="145"/>
      <c r="Q11" s="146"/>
      <c r="R11" s="143"/>
      <c r="S11" s="144"/>
      <c r="T11" s="145"/>
      <c r="U11" s="146"/>
      <c r="V11" s="159"/>
      <c r="W11" s="159"/>
      <c r="X11" s="148"/>
      <c r="Y11" s="148"/>
      <c r="Z11" s="133"/>
      <c r="AA11" s="134"/>
    </row>
    <row r="12" spans="3:27" x14ac:dyDescent="0.25">
      <c r="C12" s="166">
        <v>236.74762973319642</v>
      </c>
      <c r="D12" s="167"/>
      <c r="E12" s="143"/>
      <c r="F12" s="144"/>
      <c r="G12" s="152"/>
      <c r="H12" s="160">
        <v>473.49525946639284</v>
      </c>
      <c r="I12" s="154" t="s">
        <v>38</v>
      </c>
      <c r="J12" s="155"/>
      <c r="K12" s="147"/>
      <c r="L12" s="158">
        <v>346.66617210932333</v>
      </c>
      <c r="M12" s="133"/>
      <c r="N12" s="134"/>
      <c r="P12" s="166">
        <v>328.19746380935123</v>
      </c>
      <c r="Q12" s="167"/>
      <c r="R12" s="143"/>
      <c r="S12" s="144"/>
      <c r="T12" s="152"/>
      <c r="U12" s="152"/>
      <c r="V12" s="154" t="s">
        <v>38</v>
      </c>
      <c r="W12" s="155"/>
      <c r="X12" s="147"/>
      <c r="Y12" s="158">
        <v>388.97477192219412</v>
      </c>
      <c r="Z12" s="133"/>
      <c r="AA12" s="134"/>
    </row>
    <row r="13" spans="3:27" ht="15.75" thickBot="1" x14ac:dyDescent="0.3">
      <c r="C13" s="139"/>
      <c r="D13" s="168"/>
      <c r="E13" s="145"/>
      <c r="F13" s="146"/>
      <c r="G13" s="153"/>
      <c r="H13" s="161"/>
      <c r="I13" s="156"/>
      <c r="J13" s="157"/>
      <c r="K13" s="148"/>
      <c r="L13" s="159"/>
      <c r="M13" s="135"/>
      <c r="N13" s="136"/>
      <c r="P13" s="139"/>
      <c r="Q13" s="168"/>
      <c r="R13" s="145"/>
      <c r="S13" s="146"/>
      <c r="T13" s="153"/>
      <c r="U13" s="153"/>
      <c r="V13" s="156"/>
      <c r="W13" s="157"/>
      <c r="X13" s="148"/>
      <c r="Y13" s="159"/>
      <c r="Z13" s="135"/>
      <c r="AA13" s="136"/>
    </row>
    <row r="15" spans="3:27" ht="15.75" thickBot="1" x14ac:dyDescent="0.3"/>
    <row r="16" spans="3:27" x14ac:dyDescent="0.25">
      <c r="C16" s="151" t="s">
        <v>38</v>
      </c>
      <c r="D16" s="142"/>
      <c r="E16" s="169" t="s">
        <v>40</v>
      </c>
      <c r="F16" s="170"/>
      <c r="G16" s="152" t="s">
        <v>39</v>
      </c>
      <c r="H16" s="152" t="s">
        <v>25</v>
      </c>
      <c r="I16" s="147" t="s">
        <v>42</v>
      </c>
      <c r="J16" s="177" t="s">
        <v>43</v>
      </c>
      <c r="K16" s="164" t="s">
        <v>38</v>
      </c>
      <c r="L16" s="147" t="s">
        <v>29</v>
      </c>
      <c r="M16" s="131" t="s">
        <v>38</v>
      </c>
      <c r="N16" s="132"/>
    </row>
    <row r="17" spans="3:14" ht="15.75" thickBot="1" x14ac:dyDescent="0.3">
      <c r="C17" s="143"/>
      <c r="D17" s="144"/>
      <c r="E17" s="171"/>
      <c r="F17" s="172"/>
      <c r="G17" s="153"/>
      <c r="H17" s="153"/>
      <c r="I17" s="148"/>
      <c r="J17" s="178"/>
      <c r="K17" s="165"/>
      <c r="L17" s="148"/>
      <c r="M17" s="133"/>
      <c r="N17" s="134"/>
    </row>
    <row r="18" spans="3:14" x14ac:dyDescent="0.25">
      <c r="C18" s="143"/>
      <c r="D18" s="144"/>
      <c r="E18" s="169" t="s">
        <v>27</v>
      </c>
      <c r="F18" s="170"/>
      <c r="G18" s="141"/>
      <c r="H18" s="142"/>
      <c r="I18" s="147" t="s">
        <v>44</v>
      </c>
      <c r="J18" s="176" t="s">
        <v>32</v>
      </c>
      <c r="K18" s="131" t="s">
        <v>38</v>
      </c>
      <c r="L18" s="132"/>
      <c r="M18" s="133"/>
      <c r="N18" s="134"/>
    </row>
    <row r="19" spans="3:14" ht="15.75" thickBot="1" x14ac:dyDescent="0.3">
      <c r="C19" s="143"/>
      <c r="D19" s="144"/>
      <c r="E19" s="171"/>
      <c r="F19" s="172"/>
      <c r="G19" s="143"/>
      <c r="H19" s="144"/>
      <c r="I19" s="148"/>
      <c r="J19" s="144"/>
      <c r="K19" s="133"/>
      <c r="L19" s="134"/>
      <c r="M19" s="133"/>
      <c r="N19" s="134"/>
    </row>
    <row r="20" spans="3:14" x14ac:dyDescent="0.25">
      <c r="C20" s="143"/>
      <c r="D20" s="144"/>
      <c r="E20" s="151" t="s">
        <v>38</v>
      </c>
      <c r="F20" s="142"/>
      <c r="G20" s="143"/>
      <c r="H20" s="144"/>
      <c r="I20" s="147" t="s">
        <v>45</v>
      </c>
      <c r="J20" s="147" t="s">
        <v>46</v>
      </c>
      <c r="K20" s="133"/>
      <c r="L20" s="134"/>
      <c r="M20" s="133"/>
      <c r="N20" s="134"/>
    </row>
    <row r="21" spans="3:14" ht="15.75" thickBot="1" x14ac:dyDescent="0.3">
      <c r="C21" s="143"/>
      <c r="D21" s="144"/>
      <c r="E21" s="143"/>
      <c r="F21" s="144"/>
      <c r="G21" s="143"/>
      <c r="H21" s="144"/>
      <c r="I21" s="148"/>
      <c r="J21" s="148"/>
      <c r="K21" s="135"/>
      <c r="L21" s="136"/>
      <c r="M21" s="133"/>
      <c r="N21" s="134"/>
    </row>
    <row r="22" spans="3:14" x14ac:dyDescent="0.25">
      <c r="C22" s="143"/>
      <c r="D22" s="144"/>
      <c r="E22" s="143"/>
      <c r="F22" s="144"/>
      <c r="G22" s="143"/>
      <c r="H22" s="144"/>
      <c r="I22" s="147" t="s">
        <v>31</v>
      </c>
      <c r="J22" s="147" t="s">
        <v>30</v>
      </c>
      <c r="K22" s="147" t="s">
        <v>47</v>
      </c>
      <c r="L22" s="147" t="s">
        <v>49</v>
      </c>
      <c r="M22" s="133"/>
      <c r="N22" s="134"/>
    </row>
    <row r="23" spans="3:14" ht="15.75" thickBot="1" x14ac:dyDescent="0.3">
      <c r="C23" s="145"/>
      <c r="D23" s="146"/>
      <c r="E23" s="143"/>
      <c r="F23" s="144"/>
      <c r="G23" s="145"/>
      <c r="H23" s="146"/>
      <c r="I23" s="148"/>
      <c r="J23" s="148"/>
      <c r="K23" s="148"/>
      <c r="L23" s="148"/>
      <c r="M23" s="133"/>
      <c r="N23" s="134"/>
    </row>
    <row r="24" spans="3:14" x14ac:dyDescent="0.25">
      <c r="C24" s="173" t="s">
        <v>26</v>
      </c>
      <c r="D24" s="174"/>
      <c r="E24" s="143"/>
      <c r="F24" s="144"/>
      <c r="G24" s="152" t="s">
        <v>41</v>
      </c>
      <c r="H24" s="152" t="s">
        <v>23</v>
      </c>
      <c r="I24" s="154" t="s">
        <v>38</v>
      </c>
      <c r="J24" s="155"/>
      <c r="K24" s="147" t="s">
        <v>48</v>
      </c>
      <c r="L24" s="147" t="s">
        <v>28</v>
      </c>
      <c r="M24" s="133"/>
      <c r="N24" s="134"/>
    </row>
    <row r="25" spans="3:14" ht="15.75" thickBot="1" x14ac:dyDescent="0.3">
      <c r="C25" s="171"/>
      <c r="D25" s="175"/>
      <c r="E25" s="145"/>
      <c r="F25" s="146"/>
      <c r="G25" s="153"/>
      <c r="H25" s="153"/>
      <c r="I25" s="156"/>
      <c r="J25" s="157"/>
      <c r="K25" s="148"/>
      <c r="L25" s="148"/>
      <c r="M25" s="135"/>
      <c r="N25" s="136"/>
    </row>
  </sheetData>
  <mergeCells count="81">
    <mergeCell ref="I12:J13"/>
    <mergeCell ref="K4:K5"/>
    <mergeCell ref="L4:L5"/>
    <mergeCell ref="K6:L9"/>
    <mergeCell ref="K10:K11"/>
    <mergeCell ref="L10:L11"/>
    <mergeCell ref="L12:L13"/>
    <mergeCell ref="K12:K13"/>
    <mergeCell ref="I4:I5"/>
    <mergeCell ref="J4:J5"/>
    <mergeCell ref="I8:I9"/>
    <mergeCell ref="J8:J9"/>
    <mergeCell ref="I10:I11"/>
    <mergeCell ref="J10:J11"/>
    <mergeCell ref="I6:I7"/>
    <mergeCell ref="J6:J7"/>
    <mergeCell ref="C4:D11"/>
    <mergeCell ref="E8:F13"/>
    <mergeCell ref="G6:H11"/>
    <mergeCell ref="C16:D23"/>
    <mergeCell ref="E16:F17"/>
    <mergeCell ref="G16:G17"/>
    <mergeCell ref="H16:H17"/>
    <mergeCell ref="C12:D13"/>
    <mergeCell ref="E4:F5"/>
    <mergeCell ref="E6:F7"/>
    <mergeCell ref="G4:G5"/>
    <mergeCell ref="H4:H5"/>
    <mergeCell ref="G12:G13"/>
    <mergeCell ref="H12:H13"/>
    <mergeCell ref="K16:K17"/>
    <mergeCell ref="L16:L17"/>
    <mergeCell ref="M16:N25"/>
    <mergeCell ref="E18:F19"/>
    <mergeCell ref="G18:H23"/>
    <mergeCell ref="I18:I19"/>
    <mergeCell ref="J18:J19"/>
    <mergeCell ref="K18:L21"/>
    <mergeCell ref="E20:F25"/>
    <mergeCell ref="I20:I21"/>
    <mergeCell ref="I16:I17"/>
    <mergeCell ref="J16:J17"/>
    <mergeCell ref="J20:J21"/>
    <mergeCell ref="I22:I23"/>
    <mergeCell ref="J22:J23"/>
    <mergeCell ref="K22:K23"/>
    <mergeCell ref="C24:D25"/>
    <mergeCell ref="G24:G25"/>
    <mergeCell ref="H24:H25"/>
    <mergeCell ref="I24:J25"/>
    <mergeCell ref="K24:K25"/>
    <mergeCell ref="L22:L23"/>
    <mergeCell ref="L24:L25"/>
    <mergeCell ref="P4:Q11"/>
    <mergeCell ref="R4:S5"/>
    <mergeCell ref="T4:T5"/>
    <mergeCell ref="U4:U5"/>
    <mergeCell ref="M4:N13"/>
    <mergeCell ref="W4:W5"/>
    <mergeCell ref="X4:X5"/>
    <mergeCell ref="Y4:Y5"/>
    <mergeCell ref="P12:Q13"/>
    <mergeCell ref="W10:W11"/>
    <mergeCell ref="X10:X11"/>
    <mergeCell ref="Y10:Y11"/>
    <mergeCell ref="Z4:AA13"/>
    <mergeCell ref="R6:S7"/>
    <mergeCell ref="T6:U11"/>
    <mergeCell ref="V6:V7"/>
    <mergeCell ref="W6:W7"/>
    <mergeCell ref="X6:Y9"/>
    <mergeCell ref="R8:S13"/>
    <mergeCell ref="V4:V5"/>
    <mergeCell ref="V8:V9"/>
    <mergeCell ref="T12:T13"/>
    <mergeCell ref="U12:U13"/>
    <mergeCell ref="V12:W13"/>
    <mergeCell ref="X12:X13"/>
    <mergeCell ref="Y12:Y13"/>
    <mergeCell ref="W8:W9"/>
    <mergeCell ref="V10:V11"/>
  </mergeCells>
  <conditionalFormatting sqref="C4:N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AA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Ta-Nb-V Calib - RBS1 - Protoes</vt:lpstr>
      <vt:lpstr>Thicknesses Heatmap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Pires</dc:creator>
  <dc:description/>
  <cp:lastModifiedBy>Ricardo Pires</cp:lastModifiedBy>
  <cp:revision>27</cp:revision>
  <dcterms:created xsi:type="dcterms:W3CDTF">2022-08-29T11:45:38Z</dcterms:created>
  <dcterms:modified xsi:type="dcterms:W3CDTF">2023-08-09T11:25:12Z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