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/>
  </bookViews>
  <sheets>
    <sheet name="Входящие данные" sheetId="2" r:id="rId1"/>
    <sheet name="Бизнес модель" sheetId="1" r:id="rId2"/>
    <sheet name="Списки" sheetId="3" r:id="rId3"/>
  </sheets>
  <calcPr calcId="145621"/>
</workbook>
</file>

<file path=xl/calcChain.xml><?xml version="1.0" encoding="utf-8"?>
<calcChain xmlns="http://schemas.openxmlformats.org/spreadsheetml/2006/main">
  <c r="C31" i="2" l="1"/>
  <c r="C31" i="1" s="1"/>
  <c r="C38" i="2"/>
  <c r="C36" i="2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C14" i="2"/>
  <c r="C10" i="2"/>
  <c r="C12" i="2" s="1"/>
  <c r="C30" i="2"/>
  <c r="C30" i="1" s="1"/>
  <c r="C6" i="1"/>
  <c r="C7" i="2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C16" i="2"/>
  <c r="G16" i="1" s="1"/>
  <c r="C15" i="2"/>
  <c r="C5" i="2"/>
  <c r="C4" i="1" s="1"/>
  <c r="C8" i="2" l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C26" i="2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Z16" i="1"/>
  <c r="V16" i="1"/>
  <c r="N16" i="1"/>
  <c r="F16" i="1"/>
  <c r="Y16" i="1"/>
  <c r="Q16" i="1"/>
  <c r="I16" i="1"/>
  <c r="E16" i="1"/>
  <c r="X16" i="1"/>
  <c r="T16" i="1"/>
  <c r="P16" i="1"/>
  <c r="L16" i="1"/>
  <c r="H16" i="1"/>
  <c r="D16" i="1"/>
  <c r="R16" i="1"/>
  <c r="J16" i="1"/>
  <c r="U16" i="1"/>
  <c r="M16" i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C16" i="1"/>
  <c r="W16" i="1"/>
  <c r="S16" i="1"/>
  <c r="O16" i="1"/>
  <c r="K16" i="1"/>
  <c r="C29" i="2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C32" i="2"/>
  <c r="C32" i="1" s="1"/>
  <c r="C5" i="1"/>
  <c r="C7" i="1" s="1"/>
  <c r="C34" i="1" l="1"/>
  <c r="C14" i="1" s="1"/>
  <c r="C35" i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D34" i="1" l="1"/>
  <c r="D14" i="1" s="1"/>
  <c r="D35" i="1"/>
  <c r="D15" i="1" s="1"/>
  <c r="C15" i="1"/>
  <c r="C17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C40" i="1"/>
  <c r="C42" i="1" s="1"/>
  <c r="C23" i="1" s="1"/>
  <c r="E35" i="1"/>
  <c r="E15" i="1" s="1"/>
  <c r="D40" i="1" l="1"/>
  <c r="E40" i="1" s="1"/>
  <c r="F41" i="1" s="1"/>
  <c r="E34" i="1"/>
  <c r="E14" i="1" s="1"/>
  <c r="C38" i="1"/>
  <c r="D41" i="1"/>
  <c r="C43" i="1"/>
  <c r="E41" i="1"/>
  <c r="E42" i="1" s="1"/>
  <c r="D17" i="1"/>
  <c r="C25" i="1"/>
  <c r="C26" i="1" s="1"/>
  <c r="F35" i="1"/>
  <c r="F15" i="1" s="1"/>
  <c r="F40" i="1"/>
  <c r="D42" i="1" l="1"/>
  <c r="C44" i="1"/>
  <c r="F34" i="1"/>
  <c r="F14" i="1" s="1"/>
  <c r="D38" i="1"/>
  <c r="E38" i="1" s="1"/>
  <c r="D23" i="1"/>
  <c r="D25" i="1" s="1"/>
  <c r="D26" i="1" s="1"/>
  <c r="D47" i="1" s="1"/>
  <c r="E23" i="1"/>
  <c r="C27" i="1"/>
  <c r="C47" i="1"/>
  <c r="C48" i="1" s="1"/>
  <c r="E17" i="1"/>
  <c r="F42" i="1"/>
  <c r="G34" i="1"/>
  <c r="G14" i="1" s="1"/>
  <c r="F38" i="1"/>
  <c r="G35" i="1"/>
  <c r="G15" i="1" s="1"/>
  <c r="D43" i="1"/>
  <c r="E43" i="1" s="1"/>
  <c r="G40" i="1"/>
  <c r="G41" i="1"/>
  <c r="D48" i="1" l="1"/>
  <c r="F23" i="1"/>
  <c r="D27" i="1"/>
  <c r="F17" i="1"/>
  <c r="E25" i="1"/>
  <c r="E26" i="1" s="1"/>
  <c r="E47" i="1" s="1"/>
  <c r="G42" i="1"/>
  <c r="F43" i="1"/>
  <c r="E44" i="1"/>
  <c r="G38" i="1"/>
  <c r="H35" i="1"/>
  <c r="H15" i="1" s="1"/>
  <c r="D44" i="1"/>
  <c r="H34" i="1"/>
  <c r="H14" i="1" s="1"/>
  <c r="H40" i="1"/>
  <c r="H41" i="1"/>
  <c r="E27" i="1" l="1"/>
  <c r="G23" i="1"/>
  <c r="E48" i="1"/>
  <c r="G17" i="1"/>
  <c r="F25" i="1"/>
  <c r="F26" i="1" s="1"/>
  <c r="F47" i="1" s="1"/>
  <c r="G43" i="1"/>
  <c r="G44" i="1" s="1"/>
  <c r="F44" i="1"/>
  <c r="I34" i="1"/>
  <c r="I14" i="1" s="1"/>
  <c r="I35" i="1"/>
  <c r="I15" i="1" s="1"/>
  <c r="H42" i="1"/>
  <c r="H38" i="1"/>
  <c r="I40" i="1"/>
  <c r="I41" i="1"/>
  <c r="F27" i="1" l="1"/>
  <c r="F48" i="1"/>
  <c r="H17" i="1"/>
  <c r="G25" i="1"/>
  <c r="G26" i="1" s="1"/>
  <c r="G47" i="1" s="1"/>
  <c r="I38" i="1"/>
  <c r="H23" i="1"/>
  <c r="H43" i="1"/>
  <c r="J34" i="1"/>
  <c r="J14" i="1" s="1"/>
  <c r="I42" i="1"/>
  <c r="J35" i="1"/>
  <c r="J15" i="1" s="1"/>
  <c r="J40" i="1"/>
  <c r="J41" i="1"/>
  <c r="I43" i="1" l="1"/>
  <c r="I44" i="1" s="1"/>
  <c r="I23" i="1"/>
  <c r="G48" i="1"/>
  <c r="G27" i="1"/>
  <c r="I17" i="1"/>
  <c r="H25" i="1"/>
  <c r="H26" i="1" s="1"/>
  <c r="H47" i="1" s="1"/>
  <c r="K35" i="1"/>
  <c r="K15" i="1" s="1"/>
  <c r="H44" i="1"/>
  <c r="J42" i="1"/>
  <c r="K34" i="1"/>
  <c r="K14" i="1" s="1"/>
  <c r="J38" i="1"/>
  <c r="K40" i="1"/>
  <c r="K41" i="1"/>
  <c r="H27" i="1" l="1"/>
  <c r="H48" i="1"/>
  <c r="J23" i="1"/>
  <c r="J17" i="1"/>
  <c r="I25" i="1"/>
  <c r="I26" i="1" s="1"/>
  <c r="I47" i="1" s="1"/>
  <c r="K38" i="1"/>
  <c r="J43" i="1"/>
  <c r="J44" i="1" s="1"/>
  <c r="K42" i="1"/>
  <c r="L41" i="1"/>
  <c r="L34" i="1"/>
  <c r="L14" i="1" s="1"/>
  <c r="L35" i="1"/>
  <c r="L15" i="1" s="1"/>
  <c r="L40" i="1"/>
  <c r="I48" i="1" l="1"/>
  <c r="I27" i="1"/>
  <c r="K23" i="1"/>
  <c r="K17" i="1"/>
  <c r="J25" i="1"/>
  <c r="J26" i="1" s="1"/>
  <c r="J47" i="1" s="1"/>
  <c r="J48" i="1" s="1"/>
  <c r="M40" i="1"/>
  <c r="L42" i="1"/>
  <c r="M41" i="1"/>
  <c r="L38" i="1"/>
  <c r="M35" i="1"/>
  <c r="M15" i="1" s="1"/>
  <c r="M34" i="1"/>
  <c r="M14" i="1" s="1"/>
  <c r="K43" i="1"/>
  <c r="L23" i="1" l="1"/>
  <c r="J27" i="1"/>
  <c r="L17" i="1"/>
  <c r="K25" i="1"/>
  <c r="K26" i="1" s="1"/>
  <c r="K47" i="1" s="1"/>
  <c r="K48" i="1" s="1"/>
  <c r="L43" i="1"/>
  <c r="L44" i="1" s="1"/>
  <c r="N35" i="1"/>
  <c r="N15" i="1" s="1"/>
  <c r="N40" i="1"/>
  <c r="N41" i="1"/>
  <c r="M42" i="1"/>
  <c r="N34" i="1"/>
  <c r="N14" i="1" s="1"/>
  <c r="M38" i="1"/>
  <c r="K44" i="1"/>
  <c r="M23" i="1" l="1"/>
  <c r="K27" i="1"/>
  <c r="M17" i="1"/>
  <c r="L25" i="1"/>
  <c r="L26" i="1" s="1"/>
  <c r="L47" i="1" s="1"/>
  <c r="L48" i="1" s="1"/>
  <c r="O34" i="1"/>
  <c r="O14" i="1" s="1"/>
  <c r="O35" i="1"/>
  <c r="O15" i="1" s="1"/>
  <c r="N38" i="1"/>
  <c r="M43" i="1"/>
  <c r="O40" i="1"/>
  <c r="N42" i="1"/>
  <c r="O41" i="1"/>
  <c r="L27" i="1" l="1"/>
  <c r="N23" i="1"/>
  <c r="N17" i="1"/>
  <c r="M25" i="1"/>
  <c r="M26" i="1" s="1"/>
  <c r="M47" i="1" s="1"/>
  <c r="M48" i="1" s="1"/>
  <c r="N43" i="1"/>
  <c r="N44" i="1" s="1"/>
  <c r="P35" i="1"/>
  <c r="P15" i="1" s="1"/>
  <c r="M44" i="1"/>
  <c r="O38" i="1"/>
  <c r="P34" i="1"/>
  <c r="P14" i="1" s="1"/>
  <c r="P40" i="1"/>
  <c r="O42" i="1"/>
  <c r="P41" i="1"/>
  <c r="M27" i="1" l="1"/>
  <c r="O23" i="1"/>
  <c r="O17" i="1"/>
  <c r="N25" i="1"/>
  <c r="N26" i="1" s="1"/>
  <c r="N47" i="1" s="1"/>
  <c r="N48" i="1" s="1"/>
  <c r="Q34" i="1"/>
  <c r="Q14" i="1" s="1"/>
  <c r="Q35" i="1"/>
  <c r="Q15" i="1" s="1"/>
  <c r="Q40" i="1"/>
  <c r="P42" i="1"/>
  <c r="Q41" i="1"/>
  <c r="P38" i="1"/>
  <c r="O43" i="1"/>
  <c r="P23" i="1" l="1"/>
  <c r="N27" i="1"/>
  <c r="P17" i="1"/>
  <c r="O25" i="1"/>
  <c r="O26" i="1" s="1"/>
  <c r="O47" i="1" s="1"/>
  <c r="O48" i="1" s="1"/>
  <c r="P43" i="1"/>
  <c r="P44" i="1" s="1"/>
  <c r="R35" i="1"/>
  <c r="R15" i="1" s="1"/>
  <c r="O44" i="1"/>
  <c r="R40" i="1"/>
  <c r="R41" i="1"/>
  <c r="Q42" i="1"/>
  <c r="R34" i="1"/>
  <c r="R14" i="1" s="1"/>
  <c r="Q38" i="1"/>
  <c r="O27" i="1" l="1"/>
  <c r="Q23" i="1"/>
  <c r="Q17" i="1"/>
  <c r="P25" i="1"/>
  <c r="P26" i="1" s="1"/>
  <c r="P47" i="1" s="1"/>
  <c r="P48" i="1" s="1"/>
  <c r="Q43" i="1"/>
  <c r="Q44" i="1" s="1"/>
  <c r="R38" i="1"/>
  <c r="S40" i="1"/>
  <c r="R42" i="1"/>
  <c r="S41" i="1"/>
  <c r="S35" i="1"/>
  <c r="S15" i="1" s="1"/>
  <c r="S34" i="1"/>
  <c r="S14" i="1" s="1"/>
  <c r="R23" i="1" l="1"/>
  <c r="P27" i="1"/>
  <c r="R17" i="1"/>
  <c r="Q25" i="1"/>
  <c r="Q26" i="1" s="1"/>
  <c r="Q47" i="1" s="1"/>
  <c r="Q48" i="1" s="1"/>
  <c r="T34" i="1"/>
  <c r="T14" i="1" s="1"/>
  <c r="T40" i="1"/>
  <c r="S42" i="1"/>
  <c r="T41" i="1"/>
  <c r="T35" i="1"/>
  <c r="T15" i="1" s="1"/>
  <c r="S38" i="1"/>
  <c r="R43" i="1"/>
  <c r="R44" i="1" s="1"/>
  <c r="Q27" i="1" l="1"/>
  <c r="S23" i="1"/>
  <c r="S17" i="1"/>
  <c r="R25" i="1"/>
  <c r="R26" i="1" s="1"/>
  <c r="R47" i="1" s="1"/>
  <c r="R48" i="1" s="1"/>
  <c r="U34" i="1"/>
  <c r="U14" i="1" s="1"/>
  <c r="U40" i="1"/>
  <c r="T42" i="1"/>
  <c r="U41" i="1"/>
  <c r="T38" i="1"/>
  <c r="S43" i="1"/>
  <c r="U35" i="1"/>
  <c r="U15" i="1" s="1"/>
  <c r="T23" i="1" l="1"/>
  <c r="R27" i="1"/>
  <c r="T43" i="1"/>
  <c r="T44" i="1" s="1"/>
  <c r="T17" i="1"/>
  <c r="S25" i="1"/>
  <c r="S26" i="1" s="1"/>
  <c r="S47" i="1" s="1"/>
  <c r="S48" i="1" s="1"/>
  <c r="S44" i="1"/>
  <c r="V40" i="1"/>
  <c r="V41" i="1"/>
  <c r="U42" i="1"/>
  <c r="V35" i="1"/>
  <c r="V15" i="1" s="1"/>
  <c r="V34" i="1"/>
  <c r="V14" i="1" s="1"/>
  <c r="U38" i="1"/>
  <c r="S27" i="1" l="1"/>
  <c r="U23" i="1"/>
  <c r="U17" i="1"/>
  <c r="T25" i="1"/>
  <c r="T26" i="1" s="1"/>
  <c r="T47" i="1" s="1"/>
  <c r="T48" i="1" s="1"/>
  <c r="W40" i="1"/>
  <c r="V42" i="1"/>
  <c r="W41" i="1"/>
  <c r="W34" i="1"/>
  <c r="W14" i="1" s="1"/>
  <c r="V38" i="1"/>
  <c r="W35" i="1"/>
  <c r="W15" i="1" s="1"/>
  <c r="U43" i="1"/>
  <c r="T27" i="1" l="1"/>
  <c r="V23" i="1"/>
  <c r="V43" i="1"/>
  <c r="V44" i="1" s="1"/>
  <c r="V17" i="1"/>
  <c r="U25" i="1"/>
  <c r="U26" i="1" s="1"/>
  <c r="U47" i="1" s="1"/>
  <c r="U48" i="1" s="1"/>
  <c r="U44" i="1"/>
  <c r="X35" i="1"/>
  <c r="X15" i="1" s="1"/>
  <c r="X34" i="1"/>
  <c r="X14" i="1" s="1"/>
  <c r="W38" i="1"/>
  <c r="X40" i="1"/>
  <c r="W42" i="1"/>
  <c r="X41" i="1"/>
  <c r="U27" i="1" l="1"/>
  <c r="W23" i="1"/>
  <c r="W17" i="1"/>
  <c r="V25" i="1"/>
  <c r="V26" i="1" s="1"/>
  <c r="V47" i="1" s="1"/>
  <c r="V48" i="1" s="1"/>
  <c r="Y34" i="1"/>
  <c r="Y14" i="1" s="1"/>
  <c r="X38" i="1"/>
  <c r="Y40" i="1"/>
  <c r="X42" i="1"/>
  <c r="Y41" i="1"/>
  <c r="W43" i="1"/>
  <c r="Y35" i="1"/>
  <c r="Y15" i="1" s="1"/>
  <c r="V27" i="1" l="1"/>
  <c r="X23" i="1"/>
  <c r="X17" i="1"/>
  <c r="W25" i="1"/>
  <c r="W26" i="1" s="1"/>
  <c r="W47" i="1" s="1"/>
  <c r="W48" i="1" s="1"/>
  <c r="X43" i="1"/>
  <c r="X44" i="1" s="1"/>
  <c r="W44" i="1"/>
  <c r="Y38" i="1"/>
  <c r="Z35" i="1"/>
  <c r="Z15" i="1" s="1"/>
  <c r="Z40" i="1"/>
  <c r="Z41" i="1"/>
  <c r="Y42" i="1"/>
  <c r="Z34" i="1"/>
  <c r="Z14" i="1" s="1"/>
  <c r="W27" i="1" l="1"/>
  <c r="Y23" i="1"/>
  <c r="Y17" i="1"/>
  <c r="X25" i="1"/>
  <c r="X26" i="1" s="1"/>
  <c r="X47" i="1" s="1"/>
  <c r="X48" i="1" s="1"/>
  <c r="Z38" i="1"/>
  <c r="Z42" i="1"/>
  <c r="Y43" i="1"/>
  <c r="Z23" i="1" l="1"/>
  <c r="X27" i="1"/>
  <c r="Z43" i="1"/>
  <c r="Z44" i="1" s="1"/>
  <c r="Z17" i="1"/>
  <c r="Y25" i="1"/>
  <c r="Y26" i="1" s="1"/>
  <c r="Y47" i="1" s="1"/>
  <c r="Y48" i="1" s="1"/>
  <c r="Y44" i="1"/>
  <c r="Z25" i="1" l="1"/>
  <c r="Z26" i="1" s="1"/>
  <c r="Z47" i="1" s="1"/>
  <c r="Z48" i="1" s="1"/>
  <c r="Y27" i="1"/>
  <c r="Z27" i="1" l="1"/>
</calcChain>
</file>

<file path=xl/sharedStrings.xml><?xml version="1.0" encoding="utf-8"?>
<sst xmlns="http://schemas.openxmlformats.org/spreadsheetml/2006/main" count="136" uniqueCount="129">
  <si>
    <t>1 мес.</t>
  </si>
  <si>
    <t>2 мес.</t>
  </si>
  <si>
    <t>Период</t>
  </si>
  <si>
    <t>3 мес.</t>
  </si>
  <si>
    <t>4 мес.</t>
  </si>
  <si>
    <t>5 мес.</t>
  </si>
  <si>
    <t>6 мес.</t>
  </si>
  <si>
    <t>7 мес.</t>
  </si>
  <si>
    <t>8 мес.</t>
  </si>
  <si>
    <t>9 мес.</t>
  </si>
  <si>
    <t>10 мес.</t>
  </si>
  <si>
    <t>11 мес.</t>
  </si>
  <si>
    <t>12 мес.</t>
  </si>
  <si>
    <t>13 мес.</t>
  </si>
  <si>
    <t>14 мес.</t>
  </si>
  <si>
    <t>15 мес.</t>
  </si>
  <si>
    <t>16 мес.</t>
  </si>
  <si>
    <t>17 мес.</t>
  </si>
  <si>
    <t>18 мес.</t>
  </si>
  <si>
    <t>19 мес.</t>
  </si>
  <si>
    <t>20 мес.</t>
  </si>
  <si>
    <t>21 мес.</t>
  </si>
  <si>
    <t>22 мес.</t>
  </si>
  <si>
    <t>23 мес.</t>
  </si>
  <si>
    <t>24 мес.</t>
  </si>
  <si>
    <t>Инвестиционные расходы</t>
  </si>
  <si>
    <t>Пакет франчайзинга</t>
  </si>
  <si>
    <t>Оборудование рабочих мест</t>
  </si>
  <si>
    <t>Операционные расходы</t>
  </si>
  <si>
    <t>Аренда офиса</t>
  </si>
  <si>
    <t>Интернет</t>
  </si>
  <si>
    <t>Телефония (связь)</t>
  </si>
  <si>
    <t>CRM система</t>
  </si>
  <si>
    <t>Заработная плата МПО</t>
  </si>
  <si>
    <t>Заработная плата МПП</t>
  </si>
  <si>
    <t>Рекламные расходы</t>
  </si>
  <si>
    <t>Лидогенерация</t>
  </si>
  <si>
    <t>Доходы</t>
  </si>
  <si>
    <t>Количество лидов</t>
  </si>
  <si>
    <t>Количество сделок</t>
  </si>
  <si>
    <t>Конверсия во встречу</t>
  </si>
  <si>
    <t>Сумма по договорам</t>
  </si>
  <si>
    <t>Процент отказов</t>
  </si>
  <si>
    <t>Прибыль</t>
  </si>
  <si>
    <t>Сальдо накопительное</t>
  </si>
  <si>
    <t>Укажите пакет франчайзинга</t>
  </si>
  <si>
    <t>Бизнес-Партнер</t>
  </si>
  <si>
    <t>Представитель</t>
  </si>
  <si>
    <t>Региональный офис</t>
  </si>
  <si>
    <t xml:space="preserve">Домашний офис </t>
  </si>
  <si>
    <t>не выбран</t>
  </si>
  <si>
    <t>Цена пакета:</t>
  </si>
  <si>
    <t>Рекомендуемая площадь офиса (от кв.м.)</t>
  </si>
  <si>
    <t>Цена аренды одного кв.м. в вашем регионе</t>
  </si>
  <si>
    <t>Не указано</t>
  </si>
  <si>
    <t>Примерная стоимость аренды офиса в месяц</t>
  </si>
  <si>
    <t>Заработная плата МКС</t>
  </si>
  <si>
    <t>Рекомендуемое количество менеджеров первичной обработки (МПО)</t>
  </si>
  <si>
    <t>Рекомендуемое количество менеджеров по продажам (МПП)</t>
  </si>
  <si>
    <t>Рекомендуемое количество менеджеров клиентского сервиса (МКС)</t>
  </si>
  <si>
    <t>Рабочее место:</t>
  </si>
  <si>
    <t>Стул (цена)</t>
  </si>
  <si>
    <t>Стол (цена)</t>
  </si>
  <si>
    <t>Моноблок (цена)</t>
  </si>
  <si>
    <t>МФУ (цена)</t>
  </si>
  <si>
    <t>Гарнитура (цена)</t>
  </si>
  <si>
    <t>Интернет (цена)</t>
  </si>
  <si>
    <t>Связь</t>
  </si>
  <si>
    <t>Пакет CRM:</t>
  </si>
  <si>
    <t>Не выбрано</t>
  </si>
  <si>
    <t>CRM FemidaForce</t>
  </si>
  <si>
    <t>Персональная CRM, базовая настройка</t>
  </si>
  <si>
    <t>Персональная CRM, мультиворонка</t>
  </si>
  <si>
    <t>Персональная CRM, копия FemidaForce</t>
  </si>
  <si>
    <t>Аренда CRM в месяц:</t>
  </si>
  <si>
    <t>Цена настройки CRM:</t>
  </si>
  <si>
    <t>CRM система (настройка)</t>
  </si>
  <si>
    <t>ИТОГО:</t>
  </si>
  <si>
    <t>Цена лида:</t>
  </si>
  <si>
    <t>Минимальный объем лидов</t>
  </si>
  <si>
    <t>Количество встреч (видео встреч)</t>
  </si>
  <si>
    <t>Конверсия в сделку (с лида)</t>
  </si>
  <si>
    <t>Конверсия в сделку (со встречи)</t>
  </si>
  <si>
    <t>Средний чек БФЛ</t>
  </si>
  <si>
    <t>Расходы на исполнение</t>
  </si>
  <si>
    <t>Сумма в кассе новых продаж</t>
  </si>
  <si>
    <t>Сумма в кассе доплат</t>
  </si>
  <si>
    <t>Удаленное исполнение</t>
  </si>
  <si>
    <t>Касса вал (общая касса)</t>
  </si>
  <si>
    <t>Оплата работы юристов</t>
  </si>
  <si>
    <t>Вал по договорам (накопительный)</t>
  </si>
  <si>
    <t>Дебиторка накопительная</t>
  </si>
  <si>
    <t>Рассрочка месяцев</t>
  </si>
  <si>
    <t>Платеж по рассрочке в месяц</t>
  </si>
  <si>
    <t xml:space="preserve">Касса накопительно </t>
  </si>
  <si>
    <t>Ставка удаленных юристов</t>
  </si>
  <si>
    <t>Ставка МПО</t>
  </si>
  <si>
    <t>Ставка МПП</t>
  </si>
  <si>
    <t>ставка МКС</t>
  </si>
  <si>
    <t>Расход постоянный итого</t>
  </si>
  <si>
    <t>Расход инвестиционный и текущий</t>
  </si>
  <si>
    <t>Расход накопительно</t>
  </si>
  <si>
    <t>Сальдо дохода / расхода (текущая)</t>
  </si>
  <si>
    <t>Заполните модель бюджета офиса</t>
  </si>
  <si>
    <t xml:space="preserve">Желтые ячейки можно менять </t>
  </si>
  <si>
    <t>пакет франшизы по прайсу</t>
  </si>
  <si>
    <t>цена пакета франшизы по прайсу</t>
  </si>
  <si>
    <t>вы хотите использовать CRM FemidaForce и работать в одной системе? Или настроить своб персональную систему?</t>
  </si>
  <si>
    <t>цена настройки CRM</t>
  </si>
  <si>
    <t>аренда за использование CRM или оплата лицензии (цена учитывает годовую подписку со скидкой 24%)</t>
  </si>
  <si>
    <t>рекомендуемая площадь офиса в зависимости от пакета франшизы</t>
  </si>
  <si>
    <t>укажите аренду кв.м. у себя в регионе</t>
  </si>
  <si>
    <t>расчет цены офиса (пакете Домашний офис мы закладываем 5 000 руб. за аренду рабочего места или обустройство домашнего места)</t>
  </si>
  <si>
    <t>Количество сотрудников, которые назначают встречи по лидам (звонари / операторы встреч / специалисты контакт-центра)</t>
  </si>
  <si>
    <t>Количество сотрудников, которые проводят встречи с клиентами и продают услуги (подписывают договор). Также занимаются сбором доплат в некоторых пакетах франшизы</t>
  </si>
  <si>
    <t>Количество менеджеров, которые сопровождают сделки уже после продажи услуг, а также уменьшают процент отказов и собирают доплаты</t>
  </si>
  <si>
    <t>расчет идет в зависимости от количества сотрудников!</t>
  </si>
  <si>
    <t>цену лиды Вы можете уточнить у менеджера FemidaForce (в каждом регионе свои цены на рекламу)</t>
  </si>
  <si>
    <t>минимальное количество лидов в месяц для выхода на адекватные показатели прибыли с учетом МПО</t>
  </si>
  <si>
    <t>Рекомендуемая цена договора с учетом всех расходов</t>
  </si>
  <si>
    <t>Обязательные расходы на процедуру</t>
  </si>
  <si>
    <t>Процент сделок, которые перестанут платить после подписания договора</t>
  </si>
  <si>
    <t>количество платежей в месяц по договору</t>
  </si>
  <si>
    <t>сумма платежа в месяц по договору БФЛ</t>
  </si>
  <si>
    <t>комиссия центрального офиса за полное сопровождение клиентов (от подготовки документов до подачи в суд)</t>
  </si>
  <si>
    <t>Оплата работы МПО за одну состоявшуюся встречу</t>
  </si>
  <si>
    <t>Оплата работы МПП за один договор с авансом</t>
  </si>
  <si>
    <t>Оклад МКС (возможна система KPI)</t>
  </si>
  <si>
    <t xml:space="preserve">Фин модель не учитывает кросс-продаж других услуг офиса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</si>
</sst>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₽&quot;_-;\-* #,##0.00\ &quot;₽&quot;_-;_-* &quot;-&quot;??\ &quot;₽&quot;_-;_-@_-"/>
    <numFmt numFmtId="164" formatCode="#,##0_ ;\-#,##0\ "/>
    <numFmt numFmtId="166" formatCode="0.00_ ;[Red]\-0.00\ "/>
    <numFmt numFmtId="167" formatCode="#,##0.00_ ;[Red]\-#,##0.00\ 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3" applyFont="1" applyAlignment="1">
      <alignment horizontal="left" vertical="top" wrapText="1"/>
    </xf>
    <xf numFmtId="44" fontId="2" fillId="0" borderId="0" xfId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44" fontId="2" fillId="0" borderId="0" xfId="1" applyFont="1" applyAlignment="1">
      <alignment horizontal="center" vertical="top" wrapText="1"/>
    </xf>
    <xf numFmtId="0" fontId="2" fillId="0" borderId="0" xfId="1" applyNumberFormat="1" applyFont="1" applyAlignment="1">
      <alignment horizontal="right" vertical="top" wrapText="1"/>
    </xf>
    <xf numFmtId="164" fontId="2" fillId="0" borderId="0" xfId="1" applyNumberFormat="1" applyFont="1" applyAlignment="1">
      <alignment horizontal="right" vertical="top" wrapText="1"/>
    </xf>
    <xf numFmtId="44" fontId="2" fillId="0" borderId="0" xfId="1" applyFont="1" applyAlignment="1">
      <alignment horizontal="right" vertical="top" wrapText="1"/>
    </xf>
    <xf numFmtId="44" fontId="2" fillId="0" borderId="0" xfId="1" applyFont="1"/>
    <xf numFmtId="9" fontId="2" fillId="0" borderId="0" xfId="2" applyFont="1" applyAlignment="1">
      <alignment horizontal="right" vertical="top" wrapText="1"/>
    </xf>
    <xf numFmtId="0" fontId="4" fillId="0" borderId="1" xfId="3" applyFont="1" applyBorder="1" applyAlignment="1">
      <alignment horizontal="left" vertical="center" wrapText="1"/>
    </xf>
    <xf numFmtId="0" fontId="4" fillId="0" borderId="1" xfId="3" applyFont="1" applyBorder="1" applyAlignment="1">
      <alignment horizontal="left" vertical="center" wrapText="1"/>
    </xf>
    <xf numFmtId="9" fontId="2" fillId="0" borderId="0" xfId="0" applyNumberFormat="1" applyFont="1" applyAlignment="1">
      <alignment horizontal="right" vertical="top" wrapText="1"/>
    </xf>
    <xf numFmtId="166" fontId="2" fillId="0" borderId="0" xfId="0" applyNumberFormat="1" applyFont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0" borderId="5" xfId="0" applyFont="1" applyBorder="1"/>
    <xf numFmtId="0" fontId="2" fillId="0" borderId="0" xfId="0" applyFont="1" applyBorder="1"/>
    <xf numFmtId="0" fontId="2" fillId="0" borderId="6" xfId="0" applyFont="1" applyBorder="1"/>
    <xf numFmtId="0" fontId="2" fillId="0" borderId="5" xfId="0" applyFont="1" applyBorder="1"/>
    <xf numFmtId="44" fontId="2" fillId="0" borderId="0" xfId="0" applyNumberFormat="1" applyFont="1" applyBorder="1"/>
    <xf numFmtId="44" fontId="2" fillId="0" borderId="6" xfId="0" applyNumberFormat="1" applyFont="1" applyBorder="1"/>
    <xf numFmtId="44" fontId="2" fillId="0" borderId="0" xfId="1" applyFont="1" applyBorder="1"/>
    <xf numFmtId="44" fontId="2" fillId="0" borderId="5" xfId="1" applyFont="1" applyBorder="1"/>
    <xf numFmtId="44" fontId="2" fillId="0" borderId="6" xfId="1" applyFont="1" applyBorder="1"/>
    <xf numFmtId="0" fontId="6" fillId="2" borderId="5" xfId="0" applyFont="1" applyFill="1" applyBorder="1"/>
    <xf numFmtId="44" fontId="2" fillId="2" borderId="0" xfId="0" applyNumberFormat="1" applyFont="1" applyFill="1" applyBorder="1"/>
    <xf numFmtId="44" fontId="2" fillId="2" borderId="6" xfId="0" applyNumberFormat="1" applyFont="1" applyFill="1" applyBorder="1"/>
    <xf numFmtId="0" fontId="6" fillId="2" borderId="7" xfId="0" applyFont="1" applyFill="1" applyBorder="1"/>
    <xf numFmtId="44" fontId="2" fillId="2" borderId="8" xfId="0" applyNumberFormat="1" applyFont="1" applyFill="1" applyBorder="1"/>
    <xf numFmtId="44" fontId="2" fillId="2" borderId="9" xfId="0" applyNumberFormat="1" applyFont="1" applyFill="1" applyBorder="1"/>
    <xf numFmtId="0" fontId="6" fillId="0" borderId="2" xfId="0" applyFont="1" applyBorder="1"/>
    <xf numFmtId="0" fontId="2" fillId="0" borderId="3" xfId="0" applyFont="1" applyBorder="1"/>
    <xf numFmtId="0" fontId="2" fillId="0" borderId="4" xfId="0" applyFont="1" applyBorder="1"/>
    <xf numFmtId="9" fontId="2" fillId="0" borderId="0" xfId="2" applyFont="1" applyBorder="1"/>
    <xf numFmtId="1" fontId="2" fillId="0" borderId="0" xfId="0" applyNumberFormat="1" applyFont="1" applyBorder="1"/>
    <xf numFmtId="1" fontId="2" fillId="0" borderId="6" xfId="0" applyNumberFormat="1" applyFont="1" applyBorder="1"/>
    <xf numFmtId="9" fontId="2" fillId="0" borderId="0" xfId="0" applyNumberFormat="1" applyFont="1" applyBorder="1"/>
    <xf numFmtId="9" fontId="2" fillId="0" borderId="6" xfId="0" applyNumberFormat="1" applyFont="1" applyBorder="1"/>
    <xf numFmtId="0" fontId="6" fillId="3" borderId="5" xfId="0" applyFont="1" applyFill="1" applyBorder="1"/>
    <xf numFmtId="44" fontId="6" fillId="3" borderId="0" xfId="0" applyNumberFormat="1" applyFont="1" applyFill="1" applyBorder="1"/>
    <xf numFmtId="44" fontId="6" fillId="3" borderId="6" xfId="0" applyNumberFormat="1" applyFont="1" applyFill="1" applyBorder="1"/>
    <xf numFmtId="0" fontId="6" fillId="3" borderId="0" xfId="0" applyFont="1" applyFill="1" applyBorder="1"/>
    <xf numFmtId="0" fontId="2" fillId="0" borderId="7" xfId="0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166" fontId="2" fillId="0" borderId="5" xfId="0" applyNumberFormat="1" applyFont="1" applyBorder="1"/>
    <xf numFmtId="167" fontId="2" fillId="0" borderId="0" xfId="1" applyNumberFormat="1" applyFont="1" applyBorder="1"/>
    <xf numFmtId="167" fontId="2" fillId="0" borderId="6" xfId="1" applyNumberFormat="1" applyFont="1" applyBorder="1"/>
    <xf numFmtId="166" fontId="2" fillId="0" borderId="7" xfId="0" applyNumberFormat="1" applyFont="1" applyBorder="1"/>
    <xf numFmtId="166" fontId="2" fillId="0" borderId="8" xfId="0" applyNumberFormat="1" applyFont="1" applyBorder="1"/>
    <xf numFmtId="44" fontId="2" fillId="0" borderId="9" xfId="1" applyFont="1" applyBorder="1"/>
    <xf numFmtId="0" fontId="6" fillId="0" borderId="0" xfId="0" applyFont="1" applyAlignment="1">
      <alignment horizontal="left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right" vertical="top" wrapText="1"/>
    </xf>
    <xf numFmtId="44" fontId="2" fillId="2" borderId="11" xfId="1" applyFont="1" applyFill="1" applyBorder="1" applyAlignment="1">
      <alignment horizontal="left" vertical="top" wrapText="1"/>
    </xf>
    <xf numFmtId="44" fontId="2" fillId="2" borderId="12" xfId="1" applyFont="1" applyFill="1" applyBorder="1" applyAlignment="1">
      <alignment horizontal="left" vertical="top" wrapText="1"/>
    </xf>
    <xf numFmtId="44" fontId="2" fillId="2" borderId="13" xfId="1" applyFont="1" applyFill="1" applyBorder="1" applyAlignment="1">
      <alignment horizontal="left" vertical="top" wrapText="1"/>
    </xf>
    <xf numFmtId="44" fontId="2" fillId="2" borderId="10" xfId="1" applyFont="1" applyFill="1" applyBorder="1" applyAlignment="1">
      <alignment horizontal="left" vertical="top" wrapText="1"/>
    </xf>
    <xf numFmtId="44" fontId="2" fillId="2" borderId="13" xfId="1" applyFont="1" applyFill="1" applyBorder="1" applyAlignment="1">
      <alignment horizontal="right" vertical="top" wrapText="1"/>
    </xf>
    <xf numFmtId="0" fontId="7" fillId="0" borderId="0" xfId="0" applyFont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</cellXfs>
  <cellStyles count="6">
    <cellStyle name="Денежный" xfId="1" builtinId="4"/>
    <cellStyle name="Денежный 2" xfId="4"/>
    <cellStyle name="Обычный" xfId="0" builtinId="0"/>
    <cellStyle name="Обычный 2" xfId="3"/>
    <cellStyle name="Процентный" xfId="2" builtinId="5"/>
    <cellStyle name="Процентный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6"/>
  <sheetViews>
    <sheetView tabSelected="1" workbookViewId="0">
      <selection activeCell="B47" sqref="B47"/>
    </sheetView>
  </sheetViews>
  <sheetFormatPr defaultRowHeight="12.75" x14ac:dyDescent="0.25"/>
  <cols>
    <col min="1" max="1" width="9.140625" style="3"/>
    <col min="2" max="2" width="37.5703125" style="3" customWidth="1"/>
    <col min="3" max="3" width="19.28515625" style="3" customWidth="1"/>
    <col min="4" max="4" width="54.5703125" style="67" customWidth="1"/>
    <col min="5" max="16384" width="9.140625" style="3"/>
  </cols>
  <sheetData>
    <row r="1" spans="2:4" ht="15.75" x14ac:dyDescent="0.25">
      <c r="B1" s="65" t="s">
        <v>103</v>
      </c>
    </row>
    <row r="2" spans="2:4" x14ac:dyDescent="0.25">
      <c r="B2" s="66" t="s">
        <v>104</v>
      </c>
    </row>
    <row r="3" spans="2:4" ht="13.5" thickBot="1" x14ac:dyDescent="0.3"/>
    <row r="4" spans="2:4" ht="13.5" thickBot="1" x14ac:dyDescent="0.3">
      <c r="B4" s="56" t="s">
        <v>45</v>
      </c>
      <c r="C4" s="57" t="s">
        <v>46</v>
      </c>
      <c r="D4" s="67" t="s">
        <v>105</v>
      </c>
    </row>
    <row r="5" spans="2:4" ht="13.5" thickBot="1" x14ac:dyDescent="0.3">
      <c r="B5" s="3" t="s">
        <v>51</v>
      </c>
      <c r="C5" s="7">
        <f>IF($C$4="не выбран",0,(IF($C$4="Бизнес-Партнер",119000,(IF($C$4="Представитель",225000,(IF($C$4="Региональный офис",349000,(IF($C$4="Домашний офис ",69000,)))))))))</f>
        <v>119000</v>
      </c>
      <c r="D5" s="67" t="s">
        <v>106</v>
      </c>
    </row>
    <row r="6" spans="2:4" ht="23.25" thickBot="1" x14ac:dyDescent="0.3">
      <c r="B6" s="3" t="s">
        <v>68</v>
      </c>
      <c r="C6" s="58" t="s">
        <v>70</v>
      </c>
      <c r="D6" s="67" t="s">
        <v>107</v>
      </c>
    </row>
    <row r="7" spans="2:4" x14ac:dyDescent="0.25">
      <c r="B7" s="3" t="s">
        <v>75</v>
      </c>
      <c r="C7" s="7">
        <f>IF($C$6="не выбран",0,(IF($C$6="CRM FemidaForce",0,(IF($C$6="Персональная CRM, базовая настройка",25000,(IF($C$6="Персональная CRM, мультиворонка",44000,(IF($C$6="Персональная CRM, копия FemidaForce",99000,)))))))))</f>
        <v>0</v>
      </c>
      <c r="D7" s="67" t="s">
        <v>108</v>
      </c>
    </row>
    <row r="8" spans="2:4" ht="22.5" x14ac:dyDescent="0.25">
      <c r="B8" s="3" t="s">
        <v>74</v>
      </c>
      <c r="C8" s="7">
        <f>IF($C$6="не выбран",0,(IF($C$6="CRM FemidaForce",IF(C4="Домашний офис ",3900,((C14+C15+C16)*500)),(IF($C$6="Персональная CRM, базовая настройка",4550,(IF($C$6="Персональная CRM, мультиворонка",4550,(IF($C$6="Персональная CRM, копия FemidaForce",4550,)))))))))</f>
        <v>1000</v>
      </c>
      <c r="D8" s="67" t="s">
        <v>109</v>
      </c>
    </row>
    <row r="10" spans="2:4" ht="13.5" thickBot="1" x14ac:dyDescent="0.3">
      <c r="B10" s="3" t="s">
        <v>52</v>
      </c>
      <c r="C10" s="8">
        <f>IF($C$4="не выбран",0,(IF($C$4="Бизнес-Партнер",20,(IF($C$4="Представитель",40,(IF($C$4="Региональный офис",60,(IF($C$4="Домашний офис ","Офис не обязателен",)))))))))</f>
        <v>20</v>
      </c>
      <c r="D10" s="67" t="s">
        <v>110</v>
      </c>
    </row>
    <row r="11" spans="2:4" ht="13.5" thickBot="1" x14ac:dyDescent="0.3">
      <c r="B11" s="3" t="s">
        <v>53</v>
      </c>
      <c r="C11" s="59">
        <v>600</v>
      </c>
      <c r="D11" s="67" t="s">
        <v>111</v>
      </c>
    </row>
    <row r="12" spans="2:4" ht="25.5" x14ac:dyDescent="0.25">
      <c r="B12" s="3" t="s">
        <v>55</v>
      </c>
      <c r="C12" s="5">
        <f>IF(C4="Домашний офис ",5000,C10*C11)</f>
        <v>12000</v>
      </c>
      <c r="D12" s="67" t="s">
        <v>112</v>
      </c>
    </row>
    <row r="14" spans="2:4" ht="25.5" x14ac:dyDescent="0.25">
      <c r="B14" s="3" t="s">
        <v>57</v>
      </c>
      <c r="C14" s="9">
        <f>IF($C$4="не выбран",0,(IF($C$4="Бизнес-Партнер",1,(IF($C$4="Представитель",2,(IF($C$4="Региональный офис",3,(IF($C$4="Домашний офис ",0,)))))))))</f>
        <v>1</v>
      </c>
      <c r="D14" s="67" t="s">
        <v>113</v>
      </c>
    </row>
    <row r="15" spans="2:4" ht="33.75" x14ac:dyDescent="0.25">
      <c r="B15" s="3" t="s">
        <v>58</v>
      </c>
      <c r="C15" s="9">
        <f>IF($C$4="не выбран",0,(IF($C$4="Бизнес-Партнер",1,(IF($C$4="Представитель",2,(IF($C$4="Региональный офис",2,(IF($C$4="Домашний офис ",0,)))))))))</f>
        <v>1</v>
      </c>
      <c r="D15" s="67" t="s">
        <v>114</v>
      </c>
    </row>
    <row r="16" spans="2:4" ht="25.5" x14ac:dyDescent="0.25">
      <c r="B16" s="3" t="s">
        <v>59</v>
      </c>
      <c r="C16" s="9">
        <f>IF($C$4="не выбран",0,(IF($C$4="Бизнес-Партнер",0,(IF($C$4="Представитель",0,(IF($C$4="Региональный офис",1,(IF($C$4="Домашний офис ",0,)))))))))</f>
        <v>0</v>
      </c>
      <c r="D16" s="67" t="s">
        <v>115</v>
      </c>
    </row>
    <row r="18" spans="2:4" ht="13.5" thickBot="1" x14ac:dyDescent="0.3">
      <c r="B18" s="3" t="s">
        <v>60</v>
      </c>
    </row>
    <row r="19" spans="2:4" x14ac:dyDescent="0.25">
      <c r="B19" s="3" t="s">
        <v>61</v>
      </c>
      <c r="C19" s="60">
        <v>2500</v>
      </c>
    </row>
    <row r="20" spans="2:4" x14ac:dyDescent="0.25">
      <c r="B20" s="3" t="s">
        <v>62</v>
      </c>
      <c r="C20" s="61">
        <v>2000</v>
      </c>
    </row>
    <row r="21" spans="2:4" x14ac:dyDescent="0.25">
      <c r="B21" s="3" t="s">
        <v>63</v>
      </c>
      <c r="C21" s="61">
        <v>30000</v>
      </c>
    </row>
    <row r="22" spans="2:4" x14ac:dyDescent="0.25">
      <c r="B22" s="3" t="s">
        <v>64</v>
      </c>
      <c r="C22" s="61">
        <v>9000</v>
      </c>
    </row>
    <row r="23" spans="2:4" ht="13.5" thickBot="1" x14ac:dyDescent="0.3">
      <c r="B23" s="3" t="s">
        <v>65</v>
      </c>
      <c r="C23" s="62">
        <v>2500</v>
      </c>
    </row>
    <row r="24" spans="2:4" ht="13.5" thickBot="1" x14ac:dyDescent="0.3"/>
    <row r="25" spans="2:4" ht="13.5" thickBot="1" x14ac:dyDescent="0.3">
      <c r="B25" s="3" t="s">
        <v>66</v>
      </c>
      <c r="C25" s="63">
        <v>3000</v>
      </c>
    </row>
    <row r="26" spans="2:4" x14ac:dyDescent="0.25">
      <c r="B26" s="3" t="s">
        <v>67</v>
      </c>
      <c r="C26" s="10">
        <f>(C14+C15+C16)*2000+IF(C4="Домашний офис ",1500)</f>
        <v>4000</v>
      </c>
      <c r="D26" s="67" t="s">
        <v>116</v>
      </c>
    </row>
    <row r="27" spans="2:4" ht="13.5" thickBot="1" x14ac:dyDescent="0.3"/>
    <row r="28" spans="2:4" ht="23.25" thickBot="1" x14ac:dyDescent="0.3">
      <c r="B28" s="3" t="s">
        <v>78</v>
      </c>
      <c r="C28" s="63">
        <v>600</v>
      </c>
      <c r="D28" s="67" t="s">
        <v>117</v>
      </c>
    </row>
    <row r="29" spans="2:4" ht="22.5" x14ac:dyDescent="0.25">
      <c r="B29" s="3" t="s">
        <v>79</v>
      </c>
      <c r="C29" s="6">
        <f>C14*150+IF(C4="Домашний офис ",100)</f>
        <v>150</v>
      </c>
      <c r="D29" s="67" t="s">
        <v>118</v>
      </c>
    </row>
    <row r="30" spans="2:4" x14ac:dyDescent="0.2">
      <c r="B30" s="1" t="s">
        <v>40</v>
      </c>
      <c r="C30" s="12">
        <f>IF($C$4="не выбран",0,(IF($C$4="Бизнес-Партнер",13%,(IF($C$4="Представитель",15%,(IF($C$4="Региональный офис",17%,(IF($C$4="Домашний офис ",10%,)))))))))</f>
        <v>0.13</v>
      </c>
    </row>
    <row r="31" spans="2:4" x14ac:dyDescent="0.2">
      <c r="B31" s="1" t="s">
        <v>81</v>
      </c>
      <c r="C31" s="12">
        <f>IF($C$4="не выбран",0,(IF($C$4="Бизнес-Партнер",8%,(IF($C$4="Представитель",9%,(IF($C$4="Региональный офис",11%,(IF($C$4="Домашний офис ",6%,)))))))))</f>
        <v>0.08</v>
      </c>
    </row>
    <row r="32" spans="2:4" x14ac:dyDescent="0.2">
      <c r="B32" s="1" t="s">
        <v>82</v>
      </c>
      <c r="C32" s="15">
        <f>C31/C30</f>
        <v>0.61538461538461542</v>
      </c>
    </row>
    <row r="33" spans="2:4" ht="13.5" thickBot="1" x14ac:dyDescent="0.3"/>
    <row r="34" spans="2:4" ht="13.5" thickBot="1" x14ac:dyDescent="0.3">
      <c r="B34" s="3" t="s">
        <v>83</v>
      </c>
      <c r="C34" s="63">
        <v>134000</v>
      </c>
      <c r="D34" s="67" t="s">
        <v>119</v>
      </c>
    </row>
    <row r="35" spans="2:4" ht="13.5" thickBot="1" x14ac:dyDescent="0.3">
      <c r="B35" s="3" t="s">
        <v>84</v>
      </c>
      <c r="C35" s="63">
        <v>55000</v>
      </c>
      <c r="D35" s="67" t="s">
        <v>120</v>
      </c>
    </row>
    <row r="36" spans="2:4" x14ac:dyDescent="0.25">
      <c r="B36" s="3" t="s">
        <v>42</v>
      </c>
      <c r="C36" s="12">
        <f>IF($C$4="не выбран",0,(IF($C$4="Бизнес-Партнер",8%,(IF($C$4="Представитель",7%,(IF($C$4="Региональный офис",5%,(IF($C$4="Домашний офис ",10%,)))))))))</f>
        <v>0.08</v>
      </c>
      <c r="D36" s="67" t="s">
        <v>121</v>
      </c>
    </row>
    <row r="37" spans="2:4" x14ac:dyDescent="0.25">
      <c r="B37" s="3" t="s">
        <v>92</v>
      </c>
      <c r="C37" s="6">
        <v>10</v>
      </c>
      <c r="D37" s="67" t="s">
        <v>122</v>
      </c>
    </row>
    <row r="38" spans="2:4" x14ac:dyDescent="0.25">
      <c r="B38" s="3" t="s">
        <v>93</v>
      </c>
      <c r="C38" s="5">
        <f>(C34-C35)/C37</f>
        <v>7900</v>
      </c>
      <c r="D38" s="67" t="s">
        <v>123</v>
      </c>
    </row>
    <row r="40" spans="2:4" ht="22.5" x14ac:dyDescent="0.25">
      <c r="B40" s="3" t="s">
        <v>95</v>
      </c>
      <c r="C40" s="15">
        <v>0.2</v>
      </c>
      <c r="D40" s="67" t="s">
        <v>124</v>
      </c>
    </row>
    <row r="41" spans="2:4" ht="13.5" thickBot="1" x14ac:dyDescent="0.3"/>
    <row r="42" spans="2:4" x14ac:dyDescent="0.25">
      <c r="B42" s="3" t="s">
        <v>96</v>
      </c>
      <c r="C42" s="60">
        <v>1000</v>
      </c>
      <c r="D42" s="67" t="s">
        <v>125</v>
      </c>
    </row>
    <row r="43" spans="2:4" x14ac:dyDescent="0.25">
      <c r="B43" s="3" t="s">
        <v>97</v>
      </c>
      <c r="C43" s="61">
        <v>3500</v>
      </c>
      <c r="D43" s="67" t="s">
        <v>126</v>
      </c>
    </row>
    <row r="44" spans="2:4" ht="13.5" thickBot="1" x14ac:dyDescent="0.3">
      <c r="B44" s="3" t="s">
        <v>98</v>
      </c>
      <c r="C44" s="64">
        <v>20000</v>
      </c>
      <c r="D44" s="67" t="s">
        <v>127</v>
      </c>
    </row>
    <row r="46" spans="2:4" ht="25.5" x14ac:dyDescent="0.25">
      <c r="B46" s="68" t="s">
        <v>128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Списки!$B$1:$B$5</xm:f>
          </x14:formula1>
          <xm:sqref>C4</xm:sqref>
        </x14:dataValidation>
        <x14:dataValidation type="list" allowBlank="1" showInputMessage="1" showErrorMessage="1">
          <x14:formula1>
            <xm:f>Списки!$C$1:$C$14</xm:f>
          </x14:formula1>
          <xm:sqref>C11</xm:sqref>
        </x14:dataValidation>
        <x14:dataValidation type="list" allowBlank="1" showInputMessage="1" showErrorMessage="1">
          <x14:formula1>
            <xm:f>Списки!$E$1:$E$5</xm:f>
          </x14:formula1>
          <xm:sqref>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48"/>
  <sheetViews>
    <sheetView topLeftCell="A13" workbookViewId="0">
      <selection activeCell="D44" sqref="D44"/>
    </sheetView>
  </sheetViews>
  <sheetFormatPr defaultRowHeight="12.75" x14ac:dyDescent="0.2"/>
  <cols>
    <col min="1" max="1" width="9.140625" style="1"/>
    <col min="2" max="2" width="30.5703125" style="1" bestFit="1" customWidth="1"/>
    <col min="3" max="3" width="18.5703125" style="1" customWidth="1"/>
    <col min="4" max="4" width="14" style="1" bestFit="1" customWidth="1"/>
    <col min="5" max="26" width="15" style="1" bestFit="1" customWidth="1"/>
    <col min="27" max="16384" width="9.140625" style="1"/>
  </cols>
  <sheetData>
    <row r="1" spans="2:26" ht="13.5" thickBot="1" x14ac:dyDescent="0.25"/>
    <row r="2" spans="2:26" x14ac:dyDescent="0.2">
      <c r="B2" s="17" t="s">
        <v>2</v>
      </c>
      <c r="C2" s="18" t="s">
        <v>0</v>
      </c>
      <c r="D2" s="18" t="s">
        <v>1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8" t="s">
        <v>10</v>
      </c>
      <c r="M2" s="18" t="s">
        <v>11</v>
      </c>
      <c r="N2" s="18" t="s">
        <v>12</v>
      </c>
      <c r="O2" s="18" t="s">
        <v>13</v>
      </c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8" t="s">
        <v>20</v>
      </c>
      <c r="W2" s="18" t="s">
        <v>21</v>
      </c>
      <c r="X2" s="18" t="s">
        <v>22</v>
      </c>
      <c r="Y2" s="18" t="s">
        <v>23</v>
      </c>
      <c r="Z2" s="19" t="s">
        <v>24</v>
      </c>
    </row>
    <row r="3" spans="2:26" x14ac:dyDescent="0.2">
      <c r="B3" s="20" t="s">
        <v>25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2"/>
    </row>
    <row r="4" spans="2:26" x14ac:dyDescent="0.2">
      <c r="B4" s="23" t="s">
        <v>26</v>
      </c>
      <c r="C4" s="24">
        <f>'Входящие данные'!C5</f>
        <v>119000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2"/>
    </row>
    <row r="5" spans="2:26" x14ac:dyDescent="0.2">
      <c r="B5" s="23" t="s">
        <v>27</v>
      </c>
      <c r="C5" s="24">
        <f>('Входящие данные'!C14+'Входящие данные'!C15+'Входящие данные'!C16)*('Входящие данные'!C19+'Входящие данные'!C20+'Входящие данные'!C21+'Входящие данные'!C23)+'Входящие данные'!C22</f>
        <v>83000</v>
      </c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2"/>
    </row>
    <row r="6" spans="2:26" x14ac:dyDescent="0.2">
      <c r="B6" s="23" t="s">
        <v>76</v>
      </c>
      <c r="C6" s="24">
        <f>'Входящие данные'!C7</f>
        <v>0</v>
      </c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2"/>
    </row>
    <row r="7" spans="2:26" x14ac:dyDescent="0.2">
      <c r="B7" s="23" t="s">
        <v>77</v>
      </c>
      <c r="C7" s="24">
        <f>SUM(C4:C6)</f>
        <v>202000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2"/>
    </row>
    <row r="8" spans="2:26" x14ac:dyDescent="0.2">
      <c r="B8" s="23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2"/>
    </row>
    <row r="9" spans="2:26" x14ac:dyDescent="0.2">
      <c r="B9" s="20" t="s">
        <v>28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2"/>
    </row>
    <row r="10" spans="2:26" x14ac:dyDescent="0.2">
      <c r="B10" s="23" t="s">
        <v>29</v>
      </c>
      <c r="C10" s="24">
        <f>'Входящие данные'!C12</f>
        <v>12000</v>
      </c>
      <c r="D10" s="24">
        <f>C10</f>
        <v>12000</v>
      </c>
      <c r="E10" s="24">
        <f t="shared" ref="E10:Z10" si="0">D10</f>
        <v>12000</v>
      </c>
      <c r="F10" s="24">
        <f t="shared" si="0"/>
        <v>12000</v>
      </c>
      <c r="G10" s="24">
        <f t="shared" si="0"/>
        <v>12000</v>
      </c>
      <c r="H10" s="24">
        <f t="shared" si="0"/>
        <v>12000</v>
      </c>
      <c r="I10" s="24">
        <f t="shared" si="0"/>
        <v>12000</v>
      </c>
      <c r="J10" s="24">
        <f t="shared" si="0"/>
        <v>12000</v>
      </c>
      <c r="K10" s="24">
        <f t="shared" si="0"/>
        <v>12000</v>
      </c>
      <c r="L10" s="24">
        <f t="shared" si="0"/>
        <v>12000</v>
      </c>
      <c r="M10" s="24">
        <f t="shared" si="0"/>
        <v>12000</v>
      </c>
      <c r="N10" s="24">
        <f t="shared" si="0"/>
        <v>12000</v>
      </c>
      <c r="O10" s="24">
        <f t="shared" si="0"/>
        <v>12000</v>
      </c>
      <c r="P10" s="24">
        <f t="shared" si="0"/>
        <v>12000</v>
      </c>
      <c r="Q10" s="24">
        <f t="shared" si="0"/>
        <v>12000</v>
      </c>
      <c r="R10" s="24">
        <f t="shared" si="0"/>
        <v>12000</v>
      </c>
      <c r="S10" s="24">
        <f t="shared" si="0"/>
        <v>12000</v>
      </c>
      <c r="T10" s="24">
        <f t="shared" si="0"/>
        <v>12000</v>
      </c>
      <c r="U10" s="24">
        <f t="shared" si="0"/>
        <v>12000</v>
      </c>
      <c r="V10" s="24">
        <f t="shared" si="0"/>
        <v>12000</v>
      </c>
      <c r="W10" s="24">
        <f t="shared" si="0"/>
        <v>12000</v>
      </c>
      <c r="X10" s="24">
        <f t="shared" si="0"/>
        <v>12000</v>
      </c>
      <c r="Y10" s="24">
        <f t="shared" si="0"/>
        <v>12000</v>
      </c>
      <c r="Z10" s="25">
        <f t="shared" si="0"/>
        <v>12000</v>
      </c>
    </row>
    <row r="11" spans="2:26" x14ac:dyDescent="0.2">
      <c r="B11" s="23" t="s">
        <v>30</v>
      </c>
      <c r="C11" s="24">
        <f>'Входящие данные'!C25</f>
        <v>3000</v>
      </c>
      <c r="D11" s="24">
        <f>C11</f>
        <v>3000</v>
      </c>
      <c r="E11" s="24">
        <f t="shared" ref="E11:Z11" si="1">D11</f>
        <v>3000</v>
      </c>
      <c r="F11" s="24">
        <f t="shared" si="1"/>
        <v>3000</v>
      </c>
      <c r="G11" s="24">
        <f t="shared" si="1"/>
        <v>3000</v>
      </c>
      <c r="H11" s="24">
        <f t="shared" si="1"/>
        <v>3000</v>
      </c>
      <c r="I11" s="24">
        <f t="shared" si="1"/>
        <v>3000</v>
      </c>
      <c r="J11" s="24">
        <f t="shared" si="1"/>
        <v>3000</v>
      </c>
      <c r="K11" s="24">
        <f t="shared" si="1"/>
        <v>3000</v>
      </c>
      <c r="L11" s="24">
        <f t="shared" si="1"/>
        <v>3000</v>
      </c>
      <c r="M11" s="24">
        <f t="shared" si="1"/>
        <v>3000</v>
      </c>
      <c r="N11" s="24">
        <f t="shared" si="1"/>
        <v>3000</v>
      </c>
      <c r="O11" s="24">
        <f t="shared" si="1"/>
        <v>3000</v>
      </c>
      <c r="P11" s="24">
        <f t="shared" si="1"/>
        <v>3000</v>
      </c>
      <c r="Q11" s="24">
        <f t="shared" si="1"/>
        <v>3000</v>
      </c>
      <c r="R11" s="24">
        <f t="shared" si="1"/>
        <v>3000</v>
      </c>
      <c r="S11" s="24">
        <f t="shared" si="1"/>
        <v>3000</v>
      </c>
      <c r="T11" s="24">
        <f t="shared" si="1"/>
        <v>3000</v>
      </c>
      <c r="U11" s="24">
        <f t="shared" si="1"/>
        <v>3000</v>
      </c>
      <c r="V11" s="24">
        <f t="shared" si="1"/>
        <v>3000</v>
      </c>
      <c r="W11" s="24">
        <f t="shared" si="1"/>
        <v>3000</v>
      </c>
      <c r="X11" s="24">
        <f t="shared" si="1"/>
        <v>3000</v>
      </c>
      <c r="Y11" s="24">
        <f t="shared" si="1"/>
        <v>3000</v>
      </c>
      <c r="Z11" s="25">
        <f t="shared" si="1"/>
        <v>3000</v>
      </c>
    </row>
    <row r="12" spans="2:26" x14ac:dyDescent="0.2">
      <c r="B12" s="23" t="s">
        <v>31</v>
      </c>
      <c r="C12" s="24">
        <f>'Входящие данные'!C26</f>
        <v>4000</v>
      </c>
      <c r="D12" s="24">
        <f>C12</f>
        <v>4000</v>
      </c>
      <c r="E12" s="24">
        <f t="shared" ref="E12:Z12" si="2">D12</f>
        <v>4000</v>
      </c>
      <c r="F12" s="24">
        <f t="shared" si="2"/>
        <v>4000</v>
      </c>
      <c r="G12" s="24">
        <f t="shared" si="2"/>
        <v>4000</v>
      </c>
      <c r="H12" s="24">
        <f t="shared" si="2"/>
        <v>4000</v>
      </c>
      <c r="I12" s="24">
        <f t="shared" si="2"/>
        <v>4000</v>
      </c>
      <c r="J12" s="24">
        <f t="shared" si="2"/>
        <v>4000</v>
      </c>
      <c r="K12" s="24">
        <f t="shared" si="2"/>
        <v>4000</v>
      </c>
      <c r="L12" s="24">
        <f t="shared" si="2"/>
        <v>4000</v>
      </c>
      <c r="M12" s="24">
        <f t="shared" si="2"/>
        <v>4000</v>
      </c>
      <c r="N12" s="24">
        <f t="shared" si="2"/>
        <v>4000</v>
      </c>
      <c r="O12" s="24">
        <f t="shared" si="2"/>
        <v>4000</v>
      </c>
      <c r="P12" s="24">
        <f t="shared" si="2"/>
        <v>4000</v>
      </c>
      <c r="Q12" s="24">
        <f t="shared" si="2"/>
        <v>4000</v>
      </c>
      <c r="R12" s="24">
        <f t="shared" si="2"/>
        <v>4000</v>
      </c>
      <c r="S12" s="24">
        <f t="shared" si="2"/>
        <v>4000</v>
      </c>
      <c r="T12" s="24">
        <f t="shared" si="2"/>
        <v>4000</v>
      </c>
      <c r="U12" s="24">
        <f t="shared" si="2"/>
        <v>4000</v>
      </c>
      <c r="V12" s="24">
        <f t="shared" si="2"/>
        <v>4000</v>
      </c>
      <c r="W12" s="24">
        <f t="shared" si="2"/>
        <v>4000</v>
      </c>
      <c r="X12" s="24">
        <f t="shared" si="2"/>
        <v>4000</v>
      </c>
      <c r="Y12" s="24">
        <f t="shared" si="2"/>
        <v>4000</v>
      </c>
      <c r="Z12" s="25">
        <f t="shared" si="2"/>
        <v>4000</v>
      </c>
    </row>
    <row r="13" spans="2:26" x14ac:dyDescent="0.2">
      <c r="B13" s="23" t="s">
        <v>32</v>
      </c>
      <c r="C13" s="26">
        <f>'Входящие данные'!C8</f>
        <v>1000</v>
      </c>
      <c r="D13" s="24">
        <f>C13</f>
        <v>1000</v>
      </c>
      <c r="E13" s="24">
        <f t="shared" ref="E13:Z13" si="3">D13</f>
        <v>1000</v>
      </c>
      <c r="F13" s="24">
        <f t="shared" si="3"/>
        <v>1000</v>
      </c>
      <c r="G13" s="24">
        <f t="shared" si="3"/>
        <v>1000</v>
      </c>
      <c r="H13" s="24">
        <f t="shared" si="3"/>
        <v>1000</v>
      </c>
      <c r="I13" s="24">
        <f t="shared" si="3"/>
        <v>1000</v>
      </c>
      <c r="J13" s="24">
        <f t="shared" si="3"/>
        <v>1000</v>
      </c>
      <c r="K13" s="24">
        <f t="shared" si="3"/>
        <v>1000</v>
      </c>
      <c r="L13" s="24">
        <f t="shared" si="3"/>
        <v>1000</v>
      </c>
      <c r="M13" s="24">
        <f t="shared" si="3"/>
        <v>1000</v>
      </c>
      <c r="N13" s="24">
        <f t="shared" si="3"/>
        <v>1000</v>
      </c>
      <c r="O13" s="24">
        <f t="shared" si="3"/>
        <v>1000</v>
      </c>
      <c r="P13" s="24">
        <f t="shared" si="3"/>
        <v>1000</v>
      </c>
      <c r="Q13" s="24">
        <f t="shared" si="3"/>
        <v>1000</v>
      </c>
      <c r="R13" s="24">
        <f t="shared" si="3"/>
        <v>1000</v>
      </c>
      <c r="S13" s="24">
        <f t="shared" si="3"/>
        <v>1000</v>
      </c>
      <c r="T13" s="24">
        <f t="shared" si="3"/>
        <v>1000</v>
      </c>
      <c r="U13" s="24">
        <f t="shared" si="3"/>
        <v>1000</v>
      </c>
      <c r="V13" s="24">
        <f t="shared" si="3"/>
        <v>1000</v>
      </c>
      <c r="W13" s="24">
        <f t="shared" si="3"/>
        <v>1000</v>
      </c>
      <c r="X13" s="24">
        <f t="shared" si="3"/>
        <v>1000</v>
      </c>
      <c r="Y13" s="24">
        <f t="shared" si="3"/>
        <v>1000</v>
      </c>
      <c r="Z13" s="25">
        <f t="shared" si="3"/>
        <v>1000</v>
      </c>
    </row>
    <row r="14" spans="2:26" s="11" customFormat="1" x14ac:dyDescent="0.2">
      <c r="B14" s="27" t="s">
        <v>33</v>
      </c>
      <c r="C14" s="26">
        <f>IF('Входящие данные'!$C$4="Домашний офис ",0,C34*'Входящие данные'!$C$42*'Входящие данные'!$C$14/'Входящие данные'!$C$14)</f>
        <v>19500</v>
      </c>
      <c r="D14" s="26">
        <f>IF('Входящие данные'!$C$4="Домашний офис ",0,D34*'Входящие данные'!$C$42*'Входящие данные'!$C$14/'Входящие данные'!$C$14)</f>
        <v>19500</v>
      </c>
      <c r="E14" s="26">
        <f>IF('Входящие данные'!$C$4="Домашний офис ",0,E34*'Входящие данные'!$C$42*'Входящие данные'!$C$14/'Входящие данные'!$C$14)</f>
        <v>19500</v>
      </c>
      <c r="F14" s="26">
        <f>IF('Входящие данные'!$C$4="Домашний офис ",0,F34*'Входящие данные'!$C$42*'Входящие данные'!$C$14/'Входящие данные'!$C$14)</f>
        <v>19500</v>
      </c>
      <c r="G14" s="26">
        <f>IF('Входящие данные'!$C$4="Домашний офис ",0,G34*'Входящие данные'!$C$42*'Входящие данные'!$C$14/'Входящие данные'!$C$14)</f>
        <v>19500</v>
      </c>
      <c r="H14" s="26">
        <f>IF('Входящие данные'!$C$4="Домашний офис ",0,H34*'Входящие данные'!$C$42*'Входящие данные'!$C$14/'Входящие данные'!$C$14)</f>
        <v>19500</v>
      </c>
      <c r="I14" s="26">
        <f>IF('Входящие данные'!$C$4="Домашний офис ",0,I34*'Входящие данные'!$C$42*'Входящие данные'!$C$14/'Входящие данные'!$C$14)</f>
        <v>19500</v>
      </c>
      <c r="J14" s="26">
        <f>IF('Входящие данные'!$C$4="Домашний офис ",0,J34*'Входящие данные'!$C$42*'Входящие данные'!$C$14/'Входящие данные'!$C$14)</f>
        <v>19500</v>
      </c>
      <c r="K14" s="26">
        <f>IF('Входящие данные'!$C$4="Домашний офис ",0,K34*'Входящие данные'!$C$42*'Входящие данные'!$C$14/'Входящие данные'!$C$14)</f>
        <v>19500</v>
      </c>
      <c r="L14" s="26">
        <f>IF('Входящие данные'!$C$4="Домашний офис ",0,L34*'Входящие данные'!$C$42*'Входящие данные'!$C$14/'Входящие данные'!$C$14)</f>
        <v>19500</v>
      </c>
      <c r="M14" s="26">
        <f>IF('Входящие данные'!$C$4="Домашний офис ",0,M34*'Входящие данные'!$C$42*'Входящие данные'!$C$14/'Входящие данные'!$C$14)</f>
        <v>19500</v>
      </c>
      <c r="N14" s="26">
        <f>IF('Входящие данные'!$C$4="Домашний офис ",0,N34*'Входящие данные'!$C$42*'Входящие данные'!$C$14/'Входящие данные'!$C$14)</f>
        <v>19500</v>
      </c>
      <c r="O14" s="26">
        <f>IF('Входящие данные'!$C$4="Домашний офис ",0,O34*'Входящие данные'!$C$42*'Входящие данные'!$C$14/'Входящие данные'!$C$14)</f>
        <v>19500</v>
      </c>
      <c r="P14" s="26">
        <f>IF('Входящие данные'!$C$4="Домашний офис ",0,P34*'Входящие данные'!$C$42*'Входящие данные'!$C$14/'Входящие данные'!$C$14)</f>
        <v>19500</v>
      </c>
      <c r="Q14" s="26">
        <f>IF('Входящие данные'!$C$4="Домашний офис ",0,Q34*'Входящие данные'!$C$42*'Входящие данные'!$C$14/'Входящие данные'!$C$14)</f>
        <v>19500</v>
      </c>
      <c r="R14" s="26">
        <f>IF('Входящие данные'!$C$4="Домашний офис ",0,R34*'Входящие данные'!$C$42*'Входящие данные'!$C$14/'Входящие данные'!$C$14)</f>
        <v>19500</v>
      </c>
      <c r="S14" s="26">
        <f>IF('Входящие данные'!$C$4="Домашний офис ",0,S34*'Входящие данные'!$C$42*'Входящие данные'!$C$14/'Входящие данные'!$C$14)</f>
        <v>19500</v>
      </c>
      <c r="T14" s="26">
        <f>IF('Входящие данные'!$C$4="Домашний офис ",0,T34*'Входящие данные'!$C$42*'Входящие данные'!$C$14/'Входящие данные'!$C$14)</f>
        <v>19500</v>
      </c>
      <c r="U14" s="26">
        <f>IF('Входящие данные'!$C$4="Домашний офис ",0,U34*'Входящие данные'!$C$42*'Входящие данные'!$C$14/'Входящие данные'!$C$14)</f>
        <v>19500</v>
      </c>
      <c r="V14" s="26">
        <f>IF('Входящие данные'!$C$4="Домашний офис ",0,V34*'Входящие данные'!$C$42*'Входящие данные'!$C$14/'Входящие данные'!$C$14)</f>
        <v>19500</v>
      </c>
      <c r="W14" s="26">
        <f>IF('Входящие данные'!$C$4="Домашний офис ",0,W34*'Входящие данные'!$C$42*'Входящие данные'!$C$14/'Входящие данные'!$C$14)</f>
        <v>19500</v>
      </c>
      <c r="X14" s="26">
        <f>IF('Входящие данные'!$C$4="Домашний офис ",0,X34*'Входящие данные'!$C$42*'Входящие данные'!$C$14/'Входящие данные'!$C$14)</f>
        <v>19500</v>
      </c>
      <c r="Y14" s="26">
        <f>IF('Входящие данные'!$C$4="Домашний офис ",0,Y34*'Входящие данные'!$C$42*'Входящие данные'!$C$14/'Входящие данные'!$C$14)</f>
        <v>19500</v>
      </c>
      <c r="Z14" s="28">
        <f>IF('Входящие данные'!$C$4="Домашний офис ",0,Z34*'Входящие данные'!$C$42*'Входящие данные'!$C$14/'Входящие данные'!$C$14)</f>
        <v>19500</v>
      </c>
    </row>
    <row r="15" spans="2:26" x14ac:dyDescent="0.2">
      <c r="B15" s="23" t="s">
        <v>34</v>
      </c>
      <c r="C15" s="24">
        <f>IF('Входящие данные'!$C$4="Домашний офис ",0,C35*'Входящие данные'!$C$43*'Входящие данные'!$C$15/'Входящие данные'!$C$15)</f>
        <v>42000</v>
      </c>
      <c r="D15" s="24">
        <f>IF('Входящие данные'!$C$4="Домашний офис ",0,D35*'Входящие данные'!$C$43*'Входящие данные'!$C$15/'Входящие данные'!$C$15)</f>
        <v>42000</v>
      </c>
      <c r="E15" s="24">
        <f>IF('Входящие данные'!$C$4="Домашний офис ",0,E35*'Входящие данные'!$C$43*'Входящие данные'!$C$15/'Входящие данные'!$C$15)</f>
        <v>42000</v>
      </c>
      <c r="F15" s="24">
        <f>IF('Входящие данные'!$C$4="Домашний офис ",0,F35*'Входящие данные'!$C$43*'Входящие данные'!$C$15/'Входящие данные'!$C$15)</f>
        <v>42000</v>
      </c>
      <c r="G15" s="24">
        <f>IF('Входящие данные'!$C$4="Домашний офис ",0,G35*'Входящие данные'!$C$43*'Входящие данные'!$C$15/'Входящие данные'!$C$15)</f>
        <v>42000</v>
      </c>
      <c r="H15" s="24">
        <f>IF('Входящие данные'!$C$4="Домашний офис ",0,H35*'Входящие данные'!$C$43*'Входящие данные'!$C$15/'Входящие данные'!$C$15)</f>
        <v>42000</v>
      </c>
      <c r="I15" s="24">
        <f>IF('Входящие данные'!$C$4="Домашний офис ",0,I35*'Входящие данные'!$C$43*'Входящие данные'!$C$15/'Входящие данные'!$C$15)</f>
        <v>42000</v>
      </c>
      <c r="J15" s="24">
        <f>IF('Входящие данные'!$C$4="Домашний офис ",0,J35*'Входящие данные'!$C$43*'Входящие данные'!$C$15/'Входящие данные'!$C$15)</f>
        <v>42000</v>
      </c>
      <c r="K15" s="24">
        <f>IF('Входящие данные'!$C$4="Домашний офис ",0,K35*'Входящие данные'!$C$43*'Входящие данные'!$C$15/'Входящие данные'!$C$15)</f>
        <v>42000</v>
      </c>
      <c r="L15" s="24">
        <f>IF('Входящие данные'!$C$4="Домашний офис ",0,L35*'Входящие данные'!$C$43*'Входящие данные'!$C$15/'Входящие данные'!$C$15)</f>
        <v>42000</v>
      </c>
      <c r="M15" s="24">
        <f>IF('Входящие данные'!$C$4="Домашний офис ",0,M35*'Входящие данные'!$C$43*'Входящие данные'!$C$15/'Входящие данные'!$C$15)</f>
        <v>42000</v>
      </c>
      <c r="N15" s="24">
        <f>IF('Входящие данные'!$C$4="Домашний офис ",0,N35*'Входящие данные'!$C$43*'Входящие данные'!$C$15/'Входящие данные'!$C$15)</f>
        <v>42000</v>
      </c>
      <c r="O15" s="24">
        <f>IF('Входящие данные'!$C$4="Домашний офис ",0,O35*'Входящие данные'!$C$43*'Входящие данные'!$C$15/'Входящие данные'!$C$15)</f>
        <v>42000</v>
      </c>
      <c r="P15" s="24">
        <f>IF('Входящие данные'!$C$4="Домашний офис ",0,P35*'Входящие данные'!$C$43*'Входящие данные'!$C$15/'Входящие данные'!$C$15)</f>
        <v>42000</v>
      </c>
      <c r="Q15" s="24">
        <f>IF('Входящие данные'!$C$4="Домашний офис ",0,Q35*'Входящие данные'!$C$43*'Входящие данные'!$C$15/'Входящие данные'!$C$15)</f>
        <v>42000</v>
      </c>
      <c r="R15" s="24">
        <f>IF('Входящие данные'!$C$4="Домашний офис ",0,R35*'Входящие данные'!$C$43*'Входящие данные'!$C$15/'Входящие данные'!$C$15)</f>
        <v>42000</v>
      </c>
      <c r="S15" s="24">
        <f>IF('Входящие данные'!$C$4="Домашний офис ",0,S35*'Входящие данные'!$C$43*'Входящие данные'!$C$15/'Входящие данные'!$C$15)</f>
        <v>42000</v>
      </c>
      <c r="T15" s="24">
        <f>IF('Входящие данные'!$C$4="Домашний офис ",0,T35*'Входящие данные'!$C$43*'Входящие данные'!$C$15/'Входящие данные'!$C$15)</f>
        <v>42000</v>
      </c>
      <c r="U15" s="24">
        <f>IF('Входящие данные'!$C$4="Домашний офис ",0,U35*'Входящие данные'!$C$43*'Входящие данные'!$C$15/'Входящие данные'!$C$15)</f>
        <v>42000</v>
      </c>
      <c r="V15" s="24">
        <f>IF('Входящие данные'!$C$4="Домашний офис ",0,V35*'Входящие данные'!$C$43*'Входящие данные'!$C$15/'Входящие данные'!$C$15)</f>
        <v>42000</v>
      </c>
      <c r="W15" s="24">
        <f>IF('Входящие данные'!$C$4="Домашний офис ",0,W35*'Входящие данные'!$C$43*'Входящие данные'!$C$15/'Входящие данные'!$C$15)</f>
        <v>42000</v>
      </c>
      <c r="X15" s="24">
        <f>IF('Входящие данные'!$C$4="Домашний офис ",0,X35*'Входящие данные'!$C$43*'Входящие данные'!$C$15/'Входящие данные'!$C$15)</f>
        <v>42000</v>
      </c>
      <c r="Y15" s="24">
        <f>IF('Входящие данные'!$C$4="Домашний офис ",0,Y35*'Входящие данные'!$C$43*'Входящие данные'!$C$15/'Входящие данные'!$C$15)</f>
        <v>42000</v>
      </c>
      <c r="Z15" s="25">
        <f>IF('Входящие данные'!$C$4="Домашний офис ",0,Z35*'Входящие данные'!$C$43*'Входящие данные'!$C$15/'Входящие данные'!$C$15)</f>
        <v>42000</v>
      </c>
    </row>
    <row r="16" spans="2:26" x14ac:dyDescent="0.2">
      <c r="B16" s="23" t="s">
        <v>56</v>
      </c>
      <c r="C16" s="26">
        <f>'Входящие данные'!$C$16*'Входящие данные'!$C$44</f>
        <v>0</v>
      </c>
      <c r="D16" s="26">
        <f>'Входящие данные'!$C$16*'Входящие данные'!$C$44</f>
        <v>0</v>
      </c>
      <c r="E16" s="26">
        <f>'Входящие данные'!$C$16*'Входящие данные'!$C$44</f>
        <v>0</v>
      </c>
      <c r="F16" s="26">
        <f>'Входящие данные'!$C$16*'Входящие данные'!$C$44</f>
        <v>0</v>
      </c>
      <c r="G16" s="26">
        <f>'Входящие данные'!$C$16*'Входящие данные'!$C$44</f>
        <v>0</v>
      </c>
      <c r="H16" s="26">
        <f>'Входящие данные'!$C$16*'Входящие данные'!$C$44</f>
        <v>0</v>
      </c>
      <c r="I16" s="26">
        <f>'Входящие данные'!$C$16*'Входящие данные'!$C$44</f>
        <v>0</v>
      </c>
      <c r="J16" s="26">
        <f>'Входящие данные'!$C$16*'Входящие данные'!$C$44</f>
        <v>0</v>
      </c>
      <c r="K16" s="26">
        <f>'Входящие данные'!$C$16*'Входящие данные'!$C$44</f>
        <v>0</v>
      </c>
      <c r="L16" s="26">
        <f>'Входящие данные'!$C$16*'Входящие данные'!$C$44</f>
        <v>0</v>
      </c>
      <c r="M16" s="26">
        <f>'Входящие данные'!$C$16*'Входящие данные'!$C$44</f>
        <v>0</v>
      </c>
      <c r="N16" s="26">
        <f>'Входящие данные'!$C$16*'Входящие данные'!$C$44</f>
        <v>0</v>
      </c>
      <c r="O16" s="26">
        <f>'Входящие данные'!$C$16*'Входящие данные'!$C$44</f>
        <v>0</v>
      </c>
      <c r="P16" s="26">
        <f>'Входящие данные'!$C$16*'Входящие данные'!$C$44</f>
        <v>0</v>
      </c>
      <c r="Q16" s="26">
        <f>'Входящие данные'!$C$16*'Входящие данные'!$C$44</f>
        <v>0</v>
      </c>
      <c r="R16" s="26">
        <f>'Входящие данные'!$C$16*'Входящие данные'!$C$44</f>
        <v>0</v>
      </c>
      <c r="S16" s="26">
        <f>'Входящие данные'!$C$16*'Входящие данные'!$C$44</f>
        <v>0</v>
      </c>
      <c r="T16" s="26">
        <f>'Входящие данные'!$C$16*'Входящие данные'!$C$44</f>
        <v>0</v>
      </c>
      <c r="U16" s="26">
        <f>'Входящие данные'!$C$16*'Входящие данные'!$C$44</f>
        <v>0</v>
      </c>
      <c r="V16" s="26">
        <f>'Входящие данные'!$C$16*'Входящие данные'!$C$44</f>
        <v>0</v>
      </c>
      <c r="W16" s="26">
        <f>'Входящие данные'!$C$16*'Входящие данные'!$C$44</f>
        <v>0</v>
      </c>
      <c r="X16" s="26">
        <f>'Входящие данные'!$C$16*'Входящие данные'!$C$44</f>
        <v>0</v>
      </c>
      <c r="Y16" s="26">
        <f>'Входящие данные'!$C$16*'Входящие данные'!$C$44</f>
        <v>0</v>
      </c>
      <c r="Z16" s="28">
        <f>'Входящие данные'!$C$16*'Входящие данные'!$C$44</f>
        <v>0</v>
      </c>
    </row>
    <row r="17" spans="2:26" x14ac:dyDescent="0.2">
      <c r="B17" s="23" t="s">
        <v>77</v>
      </c>
      <c r="C17" s="24">
        <f>SUM(C10:C16)</f>
        <v>81500</v>
      </c>
      <c r="D17" s="24">
        <f>C17</f>
        <v>81500</v>
      </c>
      <c r="E17" s="24">
        <f t="shared" ref="E17:Z17" si="4">D17</f>
        <v>81500</v>
      </c>
      <c r="F17" s="24">
        <f t="shared" si="4"/>
        <v>81500</v>
      </c>
      <c r="G17" s="24">
        <f t="shared" si="4"/>
        <v>81500</v>
      </c>
      <c r="H17" s="24">
        <f t="shared" si="4"/>
        <v>81500</v>
      </c>
      <c r="I17" s="24">
        <f t="shared" si="4"/>
        <v>81500</v>
      </c>
      <c r="J17" s="24">
        <f t="shared" si="4"/>
        <v>81500</v>
      </c>
      <c r="K17" s="24">
        <f t="shared" si="4"/>
        <v>81500</v>
      </c>
      <c r="L17" s="24">
        <f t="shared" si="4"/>
        <v>81500</v>
      </c>
      <c r="M17" s="24">
        <f t="shared" si="4"/>
        <v>81500</v>
      </c>
      <c r="N17" s="24">
        <f t="shared" si="4"/>
        <v>81500</v>
      </c>
      <c r="O17" s="24">
        <f t="shared" si="4"/>
        <v>81500</v>
      </c>
      <c r="P17" s="24">
        <f t="shared" si="4"/>
        <v>81500</v>
      </c>
      <c r="Q17" s="24">
        <f t="shared" si="4"/>
        <v>81500</v>
      </c>
      <c r="R17" s="24">
        <f t="shared" si="4"/>
        <v>81500</v>
      </c>
      <c r="S17" s="24">
        <f t="shared" si="4"/>
        <v>81500</v>
      </c>
      <c r="T17" s="24">
        <f t="shared" si="4"/>
        <v>81500</v>
      </c>
      <c r="U17" s="24">
        <f t="shared" si="4"/>
        <v>81500</v>
      </c>
      <c r="V17" s="24">
        <f t="shared" si="4"/>
        <v>81500</v>
      </c>
      <c r="W17" s="24">
        <f t="shared" si="4"/>
        <v>81500</v>
      </c>
      <c r="X17" s="24">
        <f t="shared" si="4"/>
        <v>81500</v>
      </c>
      <c r="Y17" s="24">
        <f t="shared" si="4"/>
        <v>81500</v>
      </c>
      <c r="Z17" s="25">
        <f t="shared" si="4"/>
        <v>81500</v>
      </c>
    </row>
    <row r="18" spans="2:26" x14ac:dyDescent="0.2">
      <c r="B18" s="23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2"/>
    </row>
    <row r="19" spans="2:26" x14ac:dyDescent="0.2">
      <c r="B19" s="20" t="s">
        <v>35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2"/>
    </row>
    <row r="20" spans="2:26" x14ac:dyDescent="0.2">
      <c r="B20" s="23" t="s">
        <v>36</v>
      </c>
      <c r="C20" s="24">
        <f>'Входящие данные'!C29*'Входящие данные'!C28</f>
        <v>90000</v>
      </c>
      <c r="D20" s="24">
        <f>C20</f>
        <v>90000</v>
      </c>
      <c r="E20" s="24">
        <f t="shared" ref="E20:Z20" si="5">D20</f>
        <v>90000</v>
      </c>
      <c r="F20" s="24">
        <f t="shared" si="5"/>
        <v>90000</v>
      </c>
      <c r="G20" s="24">
        <f t="shared" si="5"/>
        <v>90000</v>
      </c>
      <c r="H20" s="24">
        <f t="shared" si="5"/>
        <v>90000</v>
      </c>
      <c r="I20" s="24">
        <f t="shared" si="5"/>
        <v>90000</v>
      </c>
      <c r="J20" s="24">
        <f t="shared" si="5"/>
        <v>90000</v>
      </c>
      <c r="K20" s="24">
        <f t="shared" si="5"/>
        <v>90000</v>
      </c>
      <c r="L20" s="24">
        <f t="shared" si="5"/>
        <v>90000</v>
      </c>
      <c r="M20" s="24">
        <f t="shared" si="5"/>
        <v>90000</v>
      </c>
      <c r="N20" s="24">
        <f t="shared" si="5"/>
        <v>90000</v>
      </c>
      <c r="O20" s="24">
        <f t="shared" si="5"/>
        <v>90000</v>
      </c>
      <c r="P20" s="24">
        <f t="shared" si="5"/>
        <v>90000</v>
      </c>
      <c r="Q20" s="24">
        <f t="shared" si="5"/>
        <v>90000</v>
      </c>
      <c r="R20" s="24">
        <f t="shared" si="5"/>
        <v>90000</v>
      </c>
      <c r="S20" s="24">
        <f t="shared" si="5"/>
        <v>90000</v>
      </c>
      <c r="T20" s="24">
        <f t="shared" si="5"/>
        <v>90000</v>
      </c>
      <c r="U20" s="24">
        <f t="shared" si="5"/>
        <v>90000</v>
      </c>
      <c r="V20" s="24">
        <f t="shared" si="5"/>
        <v>90000</v>
      </c>
      <c r="W20" s="24">
        <f t="shared" si="5"/>
        <v>90000</v>
      </c>
      <c r="X20" s="24">
        <f t="shared" si="5"/>
        <v>90000</v>
      </c>
      <c r="Y20" s="24">
        <f t="shared" si="5"/>
        <v>90000</v>
      </c>
      <c r="Z20" s="25">
        <f t="shared" si="5"/>
        <v>90000</v>
      </c>
    </row>
    <row r="21" spans="2:26" x14ac:dyDescent="0.2">
      <c r="B21" s="23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2"/>
    </row>
    <row r="22" spans="2:26" x14ac:dyDescent="0.2">
      <c r="B22" s="20" t="s">
        <v>87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2"/>
    </row>
    <row r="23" spans="2:26" x14ac:dyDescent="0.2">
      <c r="B23" s="23" t="s">
        <v>89</v>
      </c>
      <c r="C23" s="24">
        <f>C42*'Входящие данные'!$C$40</f>
        <v>18960</v>
      </c>
      <c r="D23" s="24">
        <f>D42*'Входящие данные'!$C$40</f>
        <v>36403.200000000004</v>
      </c>
      <c r="E23" s="24">
        <f>E42*'Входящие данные'!$C$40</f>
        <v>53846.400000000001</v>
      </c>
      <c r="F23" s="24">
        <f>F42*'Входящие данные'!$C$40</f>
        <v>71289.600000000006</v>
      </c>
      <c r="G23" s="24">
        <f>G42*'Входящие данные'!$C$40</f>
        <v>88732.800000000017</v>
      </c>
      <c r="H23" s="24">
        <f>H42*'Входящие данные'!$C$40</f>
        <v>106176.00000000003</v>
      </c>
      <c r="I23" s="24">
        <f>I42*'Входящие данные'!$C$40</f>
        <v>123619.20000000001</v>
      </c>
      <c r="J23" s="24">
        <f>J42*'Входящие данные'!$C$40</f>
        <v>141062.39999999999</v>
      </c>
      <c r="K23" s="24">
        <f>K42*'Входящие данные'!$C$40</f>
        <v>158505.60000000003</v>
      </c>
      <c r="L23" s="24">
        <f>L42*'Входящие данные'!$C$40</f>
        <v>175948.80000000005</v>
      </c>
      <c r="M23" s="24">
        <f>M42*'Входящие данные'!$C$40</f>
        <v>174432.00000000003</v>
      </c>
      <c r="N23" s="24">
        <f>N42*'Входящие данные'!$C$40</f>
        <v>174432.00000000003</v>
      </c>
      <c r="O23" s="24">
        <f>O42*'Входящие данные'!$C$40</f>
        <v>174432.00000000003</v>
      </c>
      <c r="P23" s="24">
        <f>P42*'Входящие данные'!$C$40</f>
        <v>174432.00000000003</v>
      </c>
      <c r="Q23" s="24">
        <f>Q42*'Входящие данные'!$C$40</f>
        <v>174432.00000000003</v>
      </c>
      <c r="R23" s="24">
        <f>R42*'Входящие данные'!$C$40</f>
        <v>174432.00000000003</v>
      </c>
      <c r="S23" s="24">
        <f>S42*'Входящие данные'!$C$40</f>
        <v>174432.00000000003</v>
      </c>
      <c r="T23" s="24">
        <f>T42*'Входящие данные'!$C$40</f>
        <v>174432.00000000003</v>
      </c>
      <c r="U23" s="24">
        <f>U42*'Входящие данные'!$C$40</f>
        <v>174432.00000000003</v>
      </c>
      <c r="V23" s="24">
        <f>V42*'Входящие данные'!$C$40</f>
        <v>174432.00000000003</v>
      </c>
      <c r="W23" s="24">
        <f>W42*'Входящие данные'!$C$40</f>
        <v>174432.00000000003</v>
      </c>
      <c r="X23" s="24">
        <f>X42*'Входящие данные'!$C$40</f>
        <v>174432.00000000003</v>
      </c>
      <c r="Y23" s="24">
        <f>Y42*'Входящие данные'!$C$40</f>
        <v>174432.00000000003</v>
      </c>
      <c r="Z23" s="25">
        <f>Z42*'Входящие данные'!$C$40</f>
        <v>174432.00000000003</v>
      </c>
    </row>
    <row r="24" spans="2:26" x14ac:dyDescent="0.2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5"/>
    </row>
    <row r="25" spans="2:26" x14ac:dyDescent="0.2">
      <c r="B25" s="29" t="s">
        <v>99</v>
      </c>
      <c r="C25" s="30">
        <f>C17+C20+C23</f>
        <v>190460</v>
      </c>
      <c r="D25" s="30">
        <f t="shared" ref="D25:Z25" si="6">D17+D20+D23</f>
        <v>207903.2</v>
      </c>
      <c r="E25" s="30">
        <f t="shared" si="6"/>
        <v>225346.4</v>
      </c>
      <c r="F25" s="30">
        <f t="shared" si="6"/>
        <v>242789.6</v>
      </c>
      <c r="G25" s="30">
        <f t="shared" si="6"/>
        <v>260232.80000000002</v>
      </c>
      <c r="H25" s="30">
        <f t="shared" si="6"/>
        <v>277676</v>
      </c>
      <c r="I25" s="30">
        <f t="shared" si="6"/>
        <v>295119.2</v>
      </c>
      <c r="J25" s="30">
        <f t="shared" si="6"/>
        <v>312562.40000000002</v>
      </c>
      <c r="K25" s="30">
        <f t="shared" si="6"/>
        <v>330005.60000000003</v>
      </c>
      <c r="L25" s="30">
        <f t="shared" si="6"/>
        <v>347448.80000000005</v>
      </c>
      <c r="M25" s="30">
        <f t="shared" si="6"/>
        <v>345932</v>
      </c>
      <c r="N25" s="30">
        <f t="shared" si="6"/>
        <v>345932</v>
      </c>
      <c r="O25" s="30">
        <f t="shared" si="6"/>
        <v>345932</v>
      </c>
      <c r="P25" s="30">
        <f t="shared" si="6"/>
        <v>345932</v>
      </c>
      <c r="Q25" s="30">
        <f t="shared" si="6"/>
        <v>345932</v>
      </c>
      <c r="R25" s="30">
        <f t="shared" si="6"/>
        <v>345932</v>
      </c>
      <c r="S25" s="30">
        <f t="shared" si="6"/>
        <v>345932</v>
      </c>
      <c r="T25" s="30">
        <f t="shared" si="6"/>
        <v>345932</v>
      </c>
      <c r="U25" s="30">
        <f t="shared" si="6"/>
        <v>345932</v>
      </c>
      <c r="V25" s="30">
        <f t="shared" si="6"/>
        <v>345932</v>
      </c>
      <c r="W25" s="30">
        <f t="shared" si="6"/>
        <v>345932</v>
      </c>
      <c r="X25" s="30">
        <f t="shared" si="6"/>
        <v>345932</v>
      </c>
      <c r="Y25" s="30">
        <f t="shared" si="6"/>
        <v>345932</v>
      </c>
      <c r="Z25" s="31">
        <f t="shared" si="6"/>
        <v>345932</v>
      </c>
    </row>
    <row r="26" spans="2:26" x14ac:dyDescent="0.2">
      <c r="B26" s="29" t="s">
        <v>100</v>
      </c>
      <c r="C26" s="30">
        <f>C25+C7</f>
        <v>392460</v>
      </c>
      <c r="D26" s="30">
        <f t="shared" ref="D26:Z26" si="7">D25+D7</f>
        <v>207903.2</v>
      </c>
      <c r="E26" s="30">
        <f t="shared" si="7"/>
        <v>225346.4</v>
      </c>
      <c r="F26" s="30">
        <f t="shared" si="7"/>
        <v>242789.6</v>
      </c>
      <c r="G26" s="30">
        <f t="shared" si="7"/>
        <v>260232.80000000002</v>
      </c>
      <c r="H26" s="30">
        <f t="shared" si="7"/>
        <v>277676</v>
      </c>
      <c r="I26" s="30">
        <f t="shared" si="7"/>
        <v>295119.2</v>
      </c>
      <c r="J26" s="30">
        <f t="shared" si="7"/>
        <v>312562.40000000002</v>
      </c>
      <c r="K26" s="30">
        <f t="shared" si="7"/>
        <v>330005.60000000003</v>
      </c>
      <c r="L26" s="30">
        <f t="shared" si="7"/>
        <v>347448.80000000005</v>
      </c>
      <c r="M26" s="30">
        <f t="shared" si="7"/>
        <v>345932</v>
      </c>
      <c r="N26" s="30">
        <f t="shared" si="7"/>
        <v>345932</v>
      </c>
      <c r="O26" s="30">
        <f t="shared" si="7"/>
        <v>345932</v>
      </c>
      <c r="P26" s="30">
        <f t="shared" si="7"/>
        <v>345932</v>
      </c>
      <c r="Q26" s="30">
        <f t="shared" si="7"/>
        <v>345932</v>
      </c>
      <c r="R26" s="30">
        <f t="shared" si="7"/>
        <v>345932</v>
      </c>
      <c r="S26" s="30">
        <f t="shared" si="7"/>
        <v>345932</v>
      </c>
      <c r="T26" s="30">
        <f t="shared" si="7"/>
        <v>345932</v>
      </c>
      <c r="U26" s="30">
        <f t="shared" si="7"/>
        <v>345932</v>
      </c>
      <c r="V26" s="30">
        <f t="shared" si="7"/>
        <v>345932</v>
      </c>
      <c r="W26" s="30">
        <f t="shared" si="7"/>
        <v>345932</v>
      </c>
      <c r="X26" s="30">
        <f t="shared" si="7"/>
        <v>345932</v>
      </c>
      <c r="Y26" s="30">
        <f t="shared" si="7"/>
        <v>345932</v>
      </c>
      <c r="Z26" s="31">
        <f t="shared" si="7"/>
        <v>345932</v>
      </c>
    </row>
    <row r="27" spans="2:26" ht="13.5" thickBot="1" x14ac:dyDescent="0.25">
      <c r="B27" s="32" t="s">
        <v>101</v>
      </c>
      <c r="C27" s="33">
        <f>C26</f>
        <v>392460</v>
      </c>
      <c r="D27" s="33">
        <f>C27+D26</f>
        <v>600363.19999999995</v>
      </c>
      <c r="E27" s="33">
        <f t="shared" ref="E27:Z27" si="8">D27+E26</f>
        <v>825709.6</v>
      </c>
      <c r="F27" s="33">
        <f t="shared" si="8"/>
        <v>1068499.2</v>
      </c>
      <c r="G27" s="33">
        <f t="shared" si="8"/>
        <v>1328732</v>
      </c>
      <c r="H27" s="33">
        <f t="shared" si="8"/>
        <v>1606408</v>
      </c>
      <c r="I27" s="33">
        <f t="shared" si="8"/>
        <v>1901527.2</v>
      </c>
      <c r="J27" s="33">
        <f t="shared" si="8"/>
        <v>2214089.6</v>
      </c>
      <c r="K27" s="33">
        <f t="shared" si="8"/>
        <v>2544095.2000000002</v>
      </c>
      <c r="L27" s="33">
        <f t="shared" si="8"/>
        <v>2891544</v>
      </c>
      <c r="M27" s="33">
        <f t="shared" si="8"/>
        <v>3237476</v>
      </c>
      <c r="N27" s="33">
        <f t="shared" si="8"/>
        <v>3583408</v>
      </c>
      <c r="O27" s="33">
        <f t="shared" si="8"/>
        <v>3929340</v>
      </c>
      <c r="P27" s="33">
        <f t="shared" si="8"/>
        <v>4275272</v>
      </c>
      <c r="Q27" s="33">
        <f t="shared" si="8"/>
        <v>4621204</v>
      </c>
      <c r="R27" s="33">
        <f t="shared" si="8"/>
        <v>4967136</v>
      </c>
      <c r="S27" s="33">
        <f t="shared" si="8"/>
        <v>5313068</v>
      </c>
      <c r="T27" s="33">
        <f t="shared" si="8"/>
        <v>5659000</v>
      </c>
      <c r="U27" s="33">
        <f t="shared" si="8"/>
        <v>6004932</v>
      </c>
      <c r="V27" s="33">
        <f t="shared" si="8"/>
        <v>6350864</v>
      </c>
      <c r="W27" s="33">
        <f t="shared" si="8"/>
        <v>6696796</v>
      </c>
      <c r="X27" s="33">
        <f t="shared" si="8"/>
        <v>7042728</v>
      </c>
      <c r="Y27" s="33">
        <f t="shared" si="8"/>
        <v>7388660</v>
      </c>
      <c r="Z27" s="34">
        <f t="shared" si="8"/>
        <v>7734592</v>
      </c>
    </row>
    <row r="28" spans="2:26" ht="13.5" thickBot="1" x14ac:dyDescent="0.25"/>
    <row r="29" spans="2:26" x14ac:dyDescent="0.2">
      <c r="B29" s="35" t="s">
        <v>37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7"/>
    </row>
    <row r="30" spans="2:26" x14ac:dyDescent="0.2">
      <c r="B30" s="23" t="s">
        <v>40</v>
      </c>
      <c r="C30" s="38">
        <f>'Входящие данные'!C30</f>
        <v>0.13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2"/>
    </row>
    <row r="31" spans="2:26" x14ac:dyDescent="0.2">
      <c r="B31" s="23" t="s">
        <v>81</v>
      </c>
      <c r="C31" s="38">
        <f>'Входящие данные'!C31</f>
        <v>0.08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2"/>
    </row>
    <row r="32" spans="2:26" x14ac:dyDescent="0.2">
      <c r="B32" s="23" t="s">
        <v>82</v>
      </c>
      <c r="C32" s="38">
        <f>'Входящие данные'!C32</f>
        <v>0.61538461538461542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2"/>
    </row>
    <row r="33" spans="2:26" x14ac:dyDescent="0.2">
      <c r="B33" s="23" t="s">
        <v>38</v>
      </c>
      <c r="C33" s="21">
        <f>'Входящие данные'!C29</f>
        <v>150</v>
      </c>
      <c r="D33" s="21">
        <f>C33</f>
        <v>150</v>
      </c>
      <c r="E33" s="21">
        <f t="shared" ref="E33:Z33" si="9">D33</f>
        <v>150</v>
      </c>
      <c r="F33" s="21">
        <f t="shared" si="9"/>
        <v>150</v>
      </c>
      <c r="G33" s="21">
        <f t="shared" si="9"/>
        <v>150</v>
      </c>
      <c r="H33" s="21">
        <f t="shared" si="9"/>
        <v>150</v>
      </c>
      <c r="I33" s="21">
        <f t="shared" si="9"/>
        <v>150</v>
      </c>
      <c r="J33" s="21">
        <f t="shared" si="9"/>
        <v>150</v>
      </c>
      <c r="K33" s="21">
        <f t="shared" si="9"/>
        <v>150</v>
      </c>
      <c r="L33" s="21">
        <f t="shared" si="9"/>
        <v>150</v>
      </c>
      <c r="M33" s="21">
        <f t="shared" si="9"/>
        <v>150</v>
      </c>
      <c r="N33" s="21">
        <f t="shared" si="9"/>
        <v>150</v>
      </c>
      <c r="O33" s="21">
        <f t="shared" si="9"/>
        <v>150</v>
      </c>
      <c r="P33" s="21">
        <f t="shared" si="9"/>
        <v>150</v>
      </c>
      <c r="Q33" s="21">
        <f t="shared" si="9"/>
        <v>150</v>
      </c>
      <c r="R33" s="21">
        <f t="shared" si="9"/>
        <v>150</v>
      </c>
      <c r="S33" s="21">
        <f t="shared" si="9"/>
        <v>150</v>
      </c>
      <c r="T33" s="21">
        <f t="shared" si="9"/>
        <v>150</v>
      </c>
      <c r="U33" s="21">
        <f t="shared" si="9"/>
        <v>150</v>
      </c>
      <c r="V33" s="21">
        <f t="shared" si="9"/>
        <v>150</v>
      </c>
      <c r="W33" s="21">
        <f t="shared" si="9"/>
        <v>150</v>
      </c>
      <c r="X33" s="21">
        <f t="shared" si="9"/>
        <v>150</v>
      </c>
      <c r="Y33" s="21">
        <f t="shared" si="9"/>
        <v>150</v>
      </c>
      <c r="Z33" s="22">
        <f t="shared" si="9"/>
        <v>150</v>
      </c>
    </row>
    <row r="34" spans="2:26" x14ac:dyDescent="0.2">
      <c r="B34" s="23" t="s">
        <v>80</v>
      </c>
      <c r="C34" s="39">
        <f>C33*C30</f>
        <v>19.5</v>
      </c>
      <c r="D34" s="39">
        <f>C34</f>
        <v>19.5</v>
      </c>
      <c r="E34" s="39">
        <f t="shared" ref="E34:Z34" si="10">D34</f>
        <v>19.5</v>
      </c>
      <c r="F34" s="39">
        <f t="shared" si="10"/>
        <v>19.5</v>
      </c>
      <c r="G34" s="39">
        <f t="shared" si="10"/>
        <v>19.5</v>
      </c>
      <c r="H34" s="39">
        <f t="shared" si="10"/>
        <v>19.5</v>
      </c>
      <c r="I34" s="39">
        <f t="shared" si="10"/>
        <v>19.5</v>
      </c>
      <c r="J34" s="39">
        <f t="shared" si="10"/>
        <v>19.5</v>
      </c>
      <c r="K34" s="39">
        <f t="shared" si="10"/>
        <v>19.5</v>
      </c>
      <c r="L34" s="39">
        <f t="shared" si="10"/>
        <v>19.5</v>
      </c>
      <c r="M34" s="39">
        <f t="shared" si="10"/>
        <v>19.5</v>
      </c>
      <c r="N34" s="39">
        <f t="shared" si="10"/>
        <v>19.5</v>
      </c>
      <c r="O34" s="39">
        <f t="shared" si="10"/>
        <v>19.5</v>
      </c>
      <c r="P34" s="39">
        <f t="shared" si="10"/>
        <v>19.5</v>
      </c>
      <c r="Q34" s="39">
        <f t="shared" si="10"/>
        <v>19.5</v>
      </c>
      <c r="R34" s="39">
        <f t="shared" si="10"/>
        <v>19.5</v>
      </c>
      <c r="S34" s="39">
        <f t="shared" si="10"/>
        <v>19.5</v>
      </c>
      <c r="T34" s="39">
        <f t="shared" si="10"/>
        <v>19.5</v>
      </c>
      <c r="U34" s="39">
        <f t="shared" si="10"/>
        <v>19.5</v>
      </c>
      <c r="V34" s="39">
        <f t="shared" si="10"/>
        <v>19.5</v>
      </c>
      <c r="W34" s="39">
        <f t="shared" si="10"/>
        <v>19.5</v>
      </c>
      <c r="X34" s="39">
        <f t="shared" si="10"/>
        <v>19.5</v>
      </c>
      <c r="Y34" s="39">
        <f t="shared" si="10"/>
        <v>19.5</v>
      </c>
      <c r="Z34" s="40">
        <f t="shared" si="10"/>
        <v>19.5</v>
      </c>
    </row>
    <row r="35" spans="2:26" x14ac:dyDescent="0.2">
      <c r="B35" s="23" t="s">
        <v>39</v>
      </c>
      <c r="C35" s="39">
        <f>C33*C31</f>
        <v>12</v>
      </c>
      <c r="D35" s="39">
        <f>C35</f>
        <v>12</v>
      </c>
      <c r="E35" s="39">
        <f t="shared" ref="E35:Z35" si="11">D35</f>
        <v>12</v>
      </c>
      <c r="F35" s="39">
        <f t="shared" si="11"/>
        <v>12</v>
      </c>
      <c r="G35" s="39">
        <f t="shared" si="11"/>
        <v>12</v>
      </c>
      <c r="H35" s="39">
        <f t="shared" si="11"/>
        <v>12</v>
      </c>
      <c r="I35" s="39">
        <f t="shared" si="11"/>
        <v>12</v>
      </c>
      <c r="J35" s="39">
        <f t="shared" si="11"/>
        <v>12</v>
      </c>
      <c r="K35" s="39">
        <f t="shared" si="11"/>
        <v>12</v>
      </c>
      <c r="L35" s="39">
        <f t="shared" si="11"/>
        <v>12</v>
      </c>
      <c r="M35" s="39">
        <f t="shared" si="11"/>
        <v>12</v>
      </c>
      <c r="N35" s="39">
        <f t="shared" si="11"/>
        <v>12</v>
      </c>
      <c r="O35" s="39">
        <f t="shared" si="11"/>
        <v>12</v>
      </c>
      <c r="P35" s="39">
        <f t="shared" si="11"/>
        <v>12</v>
      </c>
      <c r="Q35" s="39">
        <f t="shared" si="11"/>
        <v>12</v>
      </c>
      <c r="R35" s="39">
        <f t="shared" si="11"/>
        <v>12</v>
      </c>
      <c r="S35" s="39">
        <f t="shared" si="11"/>
        <v>12</v>
      </c>
      <c r="T35" s="39">
        <f t="shared" si="11"/>
        <v>12</v>
      </c>
      <c r="U35" s="39">
        <f t="shared" si="11"/>
        <v>12</v>
      </c>
      <c r="V35" s="39">
        <f t="shared" si="11"/>
        <v>12</v>
      </c>
      <c r="W35" s="39">
        <f t="shared" si="11"/>
        <v>12</v>
      </c>
      <c r="X35" s="39">
        <f t="shared" si="11"/>
        <v>12</v>
      </c>
      <c r="Y35" s="39">
        <f t="shared" si="11"/>
        <v>12</v>
      </c>
      <c r="Z35" s="40">
        <f t="shared" si="11"/>
        <v>12</v>
      </c>
    </row>
    <row r="36" spans="2:26" x14ac:dyDescent="0.2">
      <c r="B36" s="23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2"/>
    </row>
    <row r="37" spans="2:26" x14ac:dyDescent="0.2">
      <c r="B37" s="23" t="s">
        <v>41</v>
      </c>
      <c r="C37" s="24">
        <f>C35*('Входящие данные'!C34-'Входящие данные'!C35)</f>
        <v>948000</v>
      </c>
      <c r="D37" s="24">
        <f>C37*(100%-D39)</f>
        <v>872160</v>
      </c>
      <c r="E37" s="24">
        <f t="shared" ref="E37:Z37" si="12">D37</f>
        <v>872160</v>
      </c>
      <c r="F37" s="24">
        <f t="shared" si="12"/>
        <v>872160</v>
      </c>
      <c r="G37" s="24">
        <f t="shared" si="12"/>
        <v>872160</v>
      </c>
      <c r="H37" s="24">
        <f t="shared" si="12"/>
        <v>872160</v>
      </c>
      <c r="I37" s="24">
        <f t="shared" si="12"/>
        <v>872160</v>
      </c>
      <c r="J37" s="24">
        <f t="shared" si="12"/>
        <v>872160</v>
      </c>
      <c r="K37" s="24">
        <f t="shared" si="12"/>
        <v>872160</v>
      </c>
      <c r="L37" s="24">
        <f t="shared" si="12"/>
        <v>872160</v>
      </c>
      <c r="M37" s="24">
        <f t="shared" si="12"/>
        <v>872160</v>
      </c>
      <c r="N37" s="24">
        <f t="shared" si="12"/>
        <v>872160</v>
      </c>
      <c r="O37" s="24">
        <f t="shared" si="12"/>
        <v>872160</v>
      </c>
      <c r="P37" s="24">
        <f t="shared" si="12"/>
        <v>872160</v>
      </c>
      <c r="Q37" s="24">
        <f t="shared" si="12"/>
        <v>872160</v>
      </c>
      <c r="R37" s="24">
        <f t="shared" si="12"/>
        <v>872160</v>
      </c>
      <c r="S37" s="24">
        <f t="shared" si="12"/>
        <v>872160</v>
      </c>
      <c r="T37" s="24">
        <f t="shared" si="12"/>
        <v>872160</v>
      </c>
      <c r="U37" s="24">
        <f t="shared" si="12"/>
        <v>872160</v>
      </c>
      <c r="V37" s="24">
        <f t="shared" si="12"/>
        <v>872160</v>
      </c>
      <c r="W37" s="24">
        <f t="shared" si="12"/>
        <v>872160</v>
      </c>
      <c r="X37" s="24">
        <f t="shared" si="12"/>
        <v>872160</v>
      </c>
      <c r="Y37" s="24">
        <f t="shared" si="12"/>
        <v>872160</v>
      </c>
      <c r="Z37" s="25">
        <f t="shared" si="12"/>
        <v>872160</v>
      </c>
    </row>
    <row r="38" spans="2:26" x14ac:dyDescent="0.2">
      <c r="B38" s="23" t="s">
        <v>90</v>
      </c>
      <c r="C38" s="24">
        <f>C37</f>
        <v>948000</v>
      </c>
      <c r="D38" s="24">
        <f>C38+D37</f>
        <v>1820160</v>
      </c>
      <c r="E38" s="24">
        <f t="shared" ref="E38:Z38" si="13">D38+E37</f>
        <v>2692320</v>
      </c>
      <c r="F38" s="24">
        <f t="shared" si="13"/>
        <v>3564480</v>
      </c>
      <c r="G38" s="24">
        <f t="shared" si="13"/>
        <v>4436640</v>
      </c>
      <c r="H38" s="24">
        <f t="shared" si="13"/>
        <v>5308800</v>
      </c>
      <c r="I38" s="24">
        <f t="shared" si="13"/>
        <v>6180960</v>
      </c>
      <c r="J38" s="24">
        <f t="shared" si="13"/>
        <v>7053120</v>
      </c>
      <c r="K38" s="24">
        <f t="shared" si="13"/>
        <v>7925280</v>
      </c>
      <c r="L38" s="24">
        <f t="shared" si="13"/>
        <v>8797440</v>
      </c>
      <c r="M38" s="24">
        <f t="shared" si="13"/>
        <v>9669600</v>
      </c>
      <c r="N38" s="24">
        <f t="shared" si="13"/>
        <v>10541760</v>
      </c>
      <c r="O38" s="24">
        <f t="shared" si="13"/>
        <v>11413920</v>
      </c>
      <c r="P38" s="24">
        <f t="shared" si="13"/>
        <v>12286080</v>
      </c>
      <c r="Q38" s="24">
        <f t="shared" si="13"/>
        <v>13158240</v>
      </c>
      <c r="R38" s="24">
        <f t="shared" si="13"/>
        <v>14030400</v>
      </c>
      <c r="S38" s="24">
        <f t="shared" si="13"/>
        <v>14902560</v>
      </c>
      <c r="T38" s="24">
        <f t="shared" si="13"/>
        <v>15774720</v>
      </c>
      <c r="U38" s="24">
        <f t="shared" si="13"/>
        <v>16646880</v>
      </c>
      <c r="V38" s="24">
        <f t="shared" si="13"/>
        <v>17519040</v>
      </c>
      <c r="W38" s="24">
        <f t="shared" si="13"/>
        <v>18391200</v>
      </c>
      <c r="X38" s="24">
        <f t="shared" si="13"/>
        <v>19263360</v>
      </c>
      <c r="Y38" s="24">
        <f t="shared" si="13"/>
        <v>20135520</v>
      </c>
      <c r="Z38" s="25">
        <f t="shared" si="13"/>
        <v>21007680</v>
      </c>
    </row>
    <row r="39" spans="2:26" x14ac:dyDescent="0.2">
      <c r="B39" s="23" t="s">
        <v>42</v>
      </c>
      <c r="C39" s="41">
        <v>0</v>
      </c>
      <c r="D39" s="41">
        <f>'Входящие данные'!C36</f>
        <v>0.08</v>
      </c>
      <c r="E39" s="41">
        <f>D39</f>
        <v>0.08</v>
      </c>
      <c r="F39" s="41">
        <f t="shared" ref="F39:Z39" si="14">E39</f>
        <v>0.08</v>
      </c>
      <c r="G39" s="41">
        <f t="shared" si="14"/>
        <v>0.08</v>
      </c>
      <c r="H39" s="41">
        <f t="shared" si="14"/>
        <v>0.08</v>
      </c>
      <c r="I39" s="41">
        <f t="shared" si="14"/>
        <v>0.08</v>
      </c>
      <c r="J39" s="41">
        <f t="shared" si="14"/>
        <v>0.08</v>
      </c>
      <c r="K39" s="41">
        <f t="shared" si="14"/>
        <v>0.08</v>
      </c>
      <c r="L39" s="41">
        <f t="shared" si="14"/>
        <v>0.08</v>
      </c>
      <c r="M39" s="41">
        <f t="shared" si="14"/>
        <v>0.08</v>
      </c>
      <c r="N39" s="41">
        <f t="shared" si="14"/>
        <v>0.08</v>
      </c>
      <c r="O39" s="41">
        <f t="shared" si="14"/>
        <v>0.08</v>
      </c>
      <c r="P39" s="41">
        <f t="shared" si="14"/>
        <v>0.08</v>
      </c>
      <c r="Q39" s="41">
        <f t="shared" si="14"/>
        <v>0.08</v>
      </c>
      <c r="R39" s="41">
        <f t="shared" si="14"/>
        <v>0.08</v>
      </c>
      <c r="S39" s="41">
        <f t="shared" si="14"/>
        <v>0.08</v>
      </c>
      <c r="T39" s="41">
        <f t="shared" si="14"/>
        <v>0.08</v>
      </c>
      <c r="U39" s="41">
        <f t="shared" si="14"/>
        <v>0.08</v>
      </c>
      <c r="V39" s="41">
        <f t="shared" si="14"/>
        <v>0.08</v>
      </c>
      <c r="W39" s="41">
        <f t="shared" si="14"/>
        <v>0.08</v>
      </c>
      <c r="X39" s="41">
        <f t="shared" si="14"/>
        <v>0.08</v>
      </c>
      <c r="Y39" s="41">
        <f t="shared" si="14"/>
        <v>0.08</v>
      </c>
      <c r="Z39" s="42">
        <f t="shared" si="14"/>
        <v>0.08</v>
      </c>
    </row>
    <row r="40" spans="2:26" x14ac:dyDescent="0.2">
      <c r="B40" s="43" t="s">
        <v>85</v>
      </c>
      <c r="C40" s="44">
        <f>C35*(100%-C39)*'Входящие данные'!C38</f>
        <v>94800</v>
      </c>
      <c r="D40" s="44">
        <f>D35*(100%-D39)*'Входящие данные'!C38</f>
        <v>87216.000000000015</v>
      </c>
      <c r="E40" s="44">
        <f t="shared" ref="E40:Z40" si="15">D40</f>
        <v>87216.000000000015</v>
      </c>
      <c r="F40" s="44">
        <f t="shared" si="15"/>
        <v>87216.000000000015</v>
      </c>
      <c r="G40" s="44">
        <f t="shared" si="15"/>
        <v>87216.000000000015</v>
      </c>
      <c r="H40" s="44">
        <f t="shared" si="15"/>
        <v>87216.000000000015</v>
      </c>
      <c r="I40" s="44">
        <f t="shared" si="15"/>
        <v>87216.000000000015</v>
      </c>
      <c r="J40" s="44">
        <f t="shared" si="15"/>
        <v>87216.000000000015</v>
      </c>
      <c r="K40" s="44">
        <f t="shared" si="15"/>
        <v>87216.000000000015</v>
      </c>
      <c r="L40" s="44">
        <f t="shared" si="15"/>
        <v>87216.000000000015</v>
      </c>
      <c r="M40" s="44">
        <f t="shared" si="15"/>
        <v>87216.000000000015</v>
      </c>
      <c r="N40" s="44">
        <f t="shared" si="15"/>
        <v>87216.000000000015</v>
      </c>
      <c r="O40" s="44">
        <f t="shared" si="15"/>
        <v>87216.000000000015</v>
      </c>
      <c r="P40" s="44">
        <f t="shared" si="15"/>
        <v>87216.000000000015</v>
      </c>
      <c r="Q40" s="44">
        <f t="shared" si="15"/>
        <v>87216.000000000015</v>
      </c>
      <c r="R40" s="44">
        <f t="shared" si="15"/>
        <v>87216.000000000015</v>
      </c>
      <c r="S40" s="44">
        <f t="shared" si="15"/>
        <v>87216.000000000015</v>
      </c>
      <c r="T40" s="44">
        <f t="shared" si="15"/>
        <v>87216.000000000015</v>
      </c>
      <c r="U40" s="44">
        <f t="shared" si="15"/>
        <v>87216.000000000015</v>
      </c>
      <c r="V40" s="44">
        <f t="shared" si="15"/>
        <v>87216.000000000015</v>
      </c>
      <c r="W40" s="44">
        <f t="shared" si="15"/>
        <v>87216.000000000015</v>
      </c>
      <c r="X40" s="44">
        <f t="shared" si="15"/>
        <v>87216.000000000015</v>
      </c>
      <c r="Y40" s="44">
        <f t="shared" si="15"/>
        <v>87216.000000000015</v>
      </c>
      <c r="Z40" s="45">
        <f t="shared" si="15"/>
        <v>87216.000000000015</v>
      </c>
    </row>
    <row r="41" spans="2:26" x14ac:dyDescent="0.2">
      <c r="B41" s="43" t="s">
        <v>86</v>
      </c>
      <c r="C41" s="46">
        <v>0</v>
      </c>
      <c r="D41" s="44">
        <f>C40</f>
        <v>94800</v>
      </c>
      <c r="E41" s="44">
        <f>D40+C40</f>
        <v>182016</v>
      </c>
      <c r="F41" s="44">
        <f>E40+D40+C40</f>
        <v>269232</v>
      </c>
      <c r="G41" s="44">
        <f>F40+E40+D40+C40</f>
        <v>356448.00000000006</v>
      </c>
      <c r="H41" s="44">
        <f>G40+F40+E40+D40+C40</f>
        <v>443664.00000000006</v>
      </c>
      <c r="I41" s="44">
        <f>H40+G40+F40+E40+D40+C40</f>
        <v>530880</v>
      </c>
      <c r="J41" s="44">
        <f>I40+H40+G40+F40+E40+D40+C40</f>
        <v>618096</v>
      </c>
      <c r="K41" s="44">
        <f>J40+I40+H40+G40+F40+E40+D40+C40</f>
        <v>705312.00000000012</v>
      </c>
      <c r="L41" s="44">
        <f>K40+J40+I40+H40+G40+F40+E40+D40+C40</f>
        <v>792528.00000000012</v>
      </c>
      <c r="M41" s="44">
        <f t="shared" ref="M41:Z41" si="16">L40+K40+J40+I40+H40+G40+F40+E40+D40</f>
        <v>784944.00000000012</v>
      </c>
      <c r="N41" s="44">
        <f t="shared" si="16"/>
        <v>784944.00000000012</v>
      </c>
      <c r="O41" s="44">
        <f t="shared" si="16"/>
        <v>784944.00000000012</v>
      </c>
      <c r="P41" s="44">
        <f t="shared" si="16"/>
        <v>784944.00000000012</v>
      </c>
      <c r="Q41" s="44">
        <f t="shared" si="16"/>
        <v>784944.00000000012</v>
      </c>
      <c r="R41" s="44">
        <f t="shared" si="16"/>
        <v>784944.00000000012</v>
      </c>
      <c r="S41" s="44">
        <f t="shared" si="16"/>
        <v>784944.00000000012</v>
      </c>
      <c r="T41" s="44">
        <f t="shared" si="16"/>
        <v>784944.00000000012</v>
      </c>
      <c r="U41" s="44">
        <f t="shared" si="16"/>
        <v>784944.00000000012</v>
      </c>
      <c r="V41" s="44">
        <f t="shared" si="16"/>
        <v>784944.00000000012</v>
      </c>
      <c r="W41" s="44">
        <f t="shared" si="16"/>
        <v>784944.00000000012</v>
      </c>
      <c r="X41" s="44">
        <f t="shared" si="16"/>
        <v>784944.00000000012</v>
      </c>
      <c r="Y41" s="44">
        <f t="shared" si="16"/>
        <v>784944.00000000012</v>
      </c>
      <c r="Z41" s="45">
        <f t="shared" si="16"/>
        <v>784944.00000000012</v>
      </c>
    </row>
    <row r="42" spans="2:26" x14ac:dyDescent="0.2">
      <c r="B42" s="23" t="s">
        <v>88</v>
      </c>
      <c r="C42" s="24">
        <f>C40+C41</f>
        <v>94800</v>
      </c>
      <c r="D42" s="24">
        <f t="shared" ref="D42:Z42" si="17">D40+D41</f>
        <v>182016</v>
      </c>
      <c r="E42" s="24">
        <f t="shared" si="17"/>
        <v>269232</v>
      </c>
      <c r="F42" s="24">
        <f t="shared" si="17"/>
        <v>356448</v>
      </c>
      <c r="G42" s="24">
        <f t="shared" si="17"/>
        <v>443664.00000000006</v>
      </c>
      <c r="H42" s="24">
        <f t="shared" si="17"/>
        <v>530880.00000000012</v>
      </c>
      <c r="I42" s="24">
        <f t="shared" si="17"/>
        <v>618096</v>
      </c>
      <c r="J42" s="24">
        <f t="shared" si="17"/>
        <v>705312</v>
      </c>
      <c r="K42" s="24">
        <f t="shared" si="17"/>
        <v>792528.00000000012</v>
      </c>
      <c r="L42" s="24">
        <f t="shared" si="17"/>
        <v>879744.00000000012</v>
      </c>
      <c r="M42" s="24">
        <f t="shared" si="17"/>
        <v>872160.00000000012</v>
      </c>
      <c r="N42" s="24">
        <f t="shared" si="17"/>
        <v>872160.00000000012</v>
      </c>
      <c r="O42" s="24">
        <f t="shared" si="17"/>
        <v>872160.00000000012</v>
      </c>
      <c r="P42" s="24">
        <f t="shared" si="17"/>
        <v>872160.00000000012</v>
      </c>
      <c r="Q42" s="24">
        <f t="shared" si="17"/>
        <v>872160.00000000012</v>
      </c>
      <c r="R42" s="24">
        <f t="shared" si="17"/>
        <v>872160.00000000012</v>
      </c>
      <c r="S42" s="24">
        <f t="shared" si="17"/>
        <v>872160.00000000012</v>
      </c>
      <c r="T42" s="24">
        <f t="shared" si="17"/>
        <v>872160.00000000012</v>
      </c>
      <c r="U42" s="24">
        <f t="shared" si="17"/>
        <v>872160.00000000012</v>
      </c>
      <c r="V42" s="24">
        <f t="shared" si="17"/>
        <v>872160.00000000012</v>
      </c>
      <c r="W42" s="24">
        <f t="shared" si="17"/>
        <v>872160.00000000012</v>
      </c>
      <c r="X42" s="24">
        <f t="shared" si="17"/>
        <v>872160.00000000012</v>
      </c>
      <c r="Y42" s="24">
        <f t="shared" si="17"/>
        <v>872160.00000000012</v>
      </c>
      <c r="Z42" s="25">
        <f t="shared" si="17"/>
        <v>872160.00000000012</v>
      </c>
    </row>
    <row r="43" spans="2:26" x14ac:dyDescent="0.2">
      <c r="B43" s="23" t="s">
        <v>94</v>
      </c>
      <c r="C43" s="24">
        <f>C42</f>
        <v>94800</v>
      </c>
      <c r="D43" s="24">
        <f>C43+D42</f>
        <v>276816</v>
      </c>
      <c r="E43" s="24">
        <f t="shared" ref="E43:Z43" si="18">D43+E42</f>
        <v>546048</v>
      </c>
      <c r="F43" s="24">
        <f t="shared" si="18"/>
        <v>902496</v>
      </c>
      <c r="G43" s="24">
        <f t="shared" si="18"/>
        <v>1346160</v>
      </c>
      <c r="H43" s="24">
        <f t="shared" si="18"/>
        <v>1877040</v>
      </c>
      <c r="I43" s="24">
        <f t="shared" si="18"/>
        <v>2495136</v>
      </c>
      <c r="J43" s="24">
        <f t="shared" si="18"/>
        <v>3200448</v>
      </c>
      <c r="K43" s="24">
        <f t="shared" si="18"/>
        <v>3992976</v>
      </c>
      <c r="L43" s="24">
        <f t="shared" si="18"/>
        <v>4872720</v>
      </c>
      <c r="M43" s="24">
        <f t="shared" si="18"/>
        <v>5744880</v>
      </c>
      <c r="N43" s="24">
        <f t="shared" si="18"/>
        <v>6617040</v>
      </c>
      <c r="O43" s="24">
        <f t="shared" si="18"/>
        <v>7489200</v>
      </c>
      <c r="P43" s="24">
        <f t="shared" si="18"/>
        <v>8361360</v>
      </c>
      <c r="Q43" s="24">
        <f t="shared" si="18"/>
        <v>9233520</v>
      </c>
      <c r="R43" s="24">
        <f t="shared" si="18"/>
        <v>10105680</v>
      </c>
      <c r="S43" s="24">
        <f t="shared" si="18"/>
        <v>10977840</v>
      </c>
      <c r="T43" s="24">
        <f t="shared" si="18"/>
        <v>11850000</v>
      </c>
      <c r="U43" s="24">
        <f t="shared" si="18"/>
        <v>12722160</v>
      </c>
      <c r="V43" s="24">
        <f t="shared" si="18"/>
        <v>13594320</v>
      </c>
      <c r="W43" s="24">
        <f t="shared" si="18"/>
        <v>14466480</v>
      </c>
      <c r="X43" s="24">
        <f t="shared" si="18"/>
        <v>15338640</v>
      </c>
      <c r="Y43" s="24">
        <f t="shared" si="18"/>
        <v>16210800</v>
      </c>
      <c r="Z43" s="25">
        <f t="shared" si="18"/>
        <v>17082960</v>
      </c>
    </row>
    <row r="44" spans="2:26" ht="13.5" thickBot="1" x14ac:dyDescent="0.25">
      <c r="B44" s="47" t="s">
        <v>91</v>
      </c>
      <c r="C44" s="48">
        <f>C38-C43</f>
        <v>853200</v>
      </c>
      <c r="D44" s="48">
        <f>D38-D43</f>
        <v>1543344</v>
      </c>
      <c r="E44" s="48">
        <f>E38-E43</f>
        <v>2146272</v>
      </c>
      <c r="F44" s="48">
        <f t="shared" ref="F44:Z44" si="19">F38-F43</f>
        <v>2661984</v>
      </c>
      <c r="G44" s="48">
        <f t="shared" si="19"/>
        <v>3090480</v>
      </c>
      <c r="H44" s="48">
        <f t="shared" si="19"/>
        <v>3431760</v>
      </c>
      <c r="I44" s="48">
        <f t="shared" si="19"/>
        <v>3685824</v>
      </c>
      <c r="J44" s="48">
        <f t="shared" si="19"/>
        <v>3852672</v>
      </c>
      <c r="K44" s="48">
        <f t="shared" si="19"/>
        <v>3932304</v>
      </c>
      <c r="L44" s="48">
        <f t="shared" si="19"/>
        <v>3924720</v>
      </c>
      <c r="M44" s="48">
        <f t="shared" si="19"/>
        <v>3924720</v>
      </c>
      <c r="N44" s="48">
        <f t="shared" si="19"/>
        <v>3924720</v>
      </c>
      <c r="O44" s="48">
        <f t="shared" si="19"/>
        <v>3924720</v>
      </c>
      <c r="P44" s="48">
        <f t="shared" si="19"/>
        <v>3924720</v>
      </c>
      <c r="Q44" s="48">
        <f t="shared" si="19"/>
        <v>3924720</v>
      </c>
      <c r="R44" s="48">
        <f t="shared" si="19"/>
        <v>3924720</v>
      </c>
      <c r="S44" s="48">
        <f t="shared" si="19"/>
        <v>3924720</v>
      </c>
      <c r="T44" s="48">
        <f t="shared" si="19"/>
        <v>3924720</v>
      </c>
      <c r="U44" s="48">
        <f t="shared" si="19"/>
        <v>3924720</v>
      </c>
      <c r="V44" s="48">
        <f t="shared" si="19"/>
        <v>3924720</v>
      </c>
      <c r="W44" s="48">
        <f t="shared" si="19"/>
        <v>3924720</v>
      </c>
      <c r="X44" s="48">
        <f t="shared" si="19"/>
        <v>3924720</v>
      </c>
      <c r="Y44" s="48">
        <f t="shared" si="19"/>
        <v>3924720</v>
      </c>
      <c r="Z44" s="49">
        <f t="shared" si="19"/>
        <v>3924720</v>
      </c>
    </row>
    <row r="45" spans="2:26" ht="13.5" thickBot="1" x14ac:dyDescent="0.25"/>
    <row r="46" spans="2:26" x14ac:dyDescent="0.2">
      <c r="B46" s="35" t="s">
        <v>43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7"/>
    </row>
    <row r="47" spans="2:26" s="16" customFormat="1" x14ac:dyDescent="0.2">
      <c r="B47" s="50" t="s">
        <v>102</v>
      </c>
      <c r="C47" s="51">
        <f>C42-C26</f>
        <v>-297660</v>
      </c>
      <c r="D47" s="51">
        <f>D42-D26</f>
        <v>-25887.200000000012</v>
      </c>
      <c r="E47" s="51">
        <f>E42-E26</f>
        <v>43885.600000000006</v>
      </c>
      <c r="F47" s="51">
        <f>F42-F26</f>
        <v>113658.4</v>
      </c>
      <c r="G47" s="51">
        <f>G42-G26</f>
        <v>183431.20000000004</v>
      </c>
      <c r="H47" s="51">
        <f>H42-H26</f>
        <v>253204.00000000012</v>
      </c>
      <c r="I47" s="51">
        <f>I42-I26</f>
        <v>322976.8</v>
      </c>
      <c r="J47" s="51">
        <f>J42-J26</f>
        <v>392749.6</v>
      </c>
      <c r="K47" s="51">
        <f>K42-K26</f>
        <v>462522.40000000008</v>
      </c>
      <c r="L47" s="51">
        <f>L42-L26</f>
        <v>532295.20000000007</v>
      </c>
      <c r="M47" s="51">
        <f>M42-M26</f>
        <v>526228.00000000012</v>
      </c>
      <c r="N47" s="51">
        <f>N42-N26</f>
        <v>526228.00000000012</v>
      </c>
      <c r="O47" s="51">
        <f>O42-O26</f>
        <v>526228.00000000012</v>
      </c>
      <c r="P47" s="51">
        <f>P42-P26</f>
        <v>526228.00000000012</v>
      </c>
      <c r="Q47" s="51">
        <f>Q42-Q26</f>
        <v>526228.00000000012</v>
      </c>
      <c r="R47" s="51">
        <f>R42-R26</f>
        <v>526228.00000000012</v>
      </c>
      <c r="S47" s="51">
        <f>S42-S26</f>
        <v>526228.00000000012</v>
      </c>
      <c r="T47" s="51">
        <f>T42-T26</f>
        <v>526228.00000000012</v>
      </c>
      <c r="U47" s="51">
        <f>U42-U26</f>
        <v>526228.00000000012</v>
      </c>
      <c r="V47" s="51">
        <f>V42-V26</f>
        <v>526228.00000000012</v>
      </c>
      <c r="W47" s="51">
        <f>W42-W26</f>
        <v>526228.00000000012</v>
      </c>
      <c r="X47" s="51">
        <f>X42-X26</f>
        <v>526228.00000000012</v>
      </c>
      <c r="Y47" s="51">
        <f>Y42-Y26</f>
        <v>526228.00000000012</v>
      </c>
      <c r="Z47" s="52">
        <f>Z42-Z26</f>
        <v>526228.00000000012</v>
      </c>
    </row>
    <row r="48" spans="2:26" s="16" customFormat="1" ht="13.5" thickBot="1" x14ac:dyDescent="0.25">
      <c r="B48" s="53" t="s">
        <v>44</v>
      </c>
      <c r="C48" s="54">
        <f>C47</f>
        <v>-297660</v>
      </c>
      <c r="D48" s="54">
        <f>C48+D47</f>
        <v>-323547.2</v>
      </c>
      <c r="E48" s="54">
        <f>D48+E47</f>
        <v>-279661.59999999998</v>
      </c>
      <c r="F48" s="54">
        <f t="shared" ref="F48:Z48" si="20">E48+F47</f>
        <v>-166003.19999999998</v>
      </c>
      <c r="G48" s="54">
        <f t="shared" si="20"/>
        <v>17428.000000000058</v>
      </c>
      <c r="H48" s="54">
        <f t="shared" si="20"/>
        <v>270632.00000000017</v>
      </c>
      <c r="I48" s="54">
        <f t="shared" si="20"/>
        <v>593608.80000000016</v>
      </c>
      <c r="J48" s="54">
        <f t="shared" si="20"/>
        <v>986358.40000000014</v>
      </c>
      <c r="K48" s="54">
        <f t="shared" si="20"/>
        <v>1448880.8000000003</v>
      </c>
      <c r="L48" s="54">
        <f t="shared" si="20"/>
        <v>1981176.0000000005</v>
      </c>
      <c r="M48" s="54">
        <f t="shared" si="20"/>
        <v>2507404.0000000005</v>
      </c>
      <c r="N48" s="54">
        <f t="shared" si="20"/>
        <v>3033632.0000000005</v>
      </c>
      <c r="O48" s="54">
        <f t="shared" si="20"/>
        <v>3559860.0000000005</v>
      </c>
      <c r="P48" s="54">
        <f t="shared" si="20"/>
        <v>4086088.0000000005</v>
      </c>
      <c r="Q48" s="54">
        <f t="shared" si="20"/>
        <v>4612316.0000000009</v>
      </c>
      <c r="R48" s="54">
        <f t="shared" si="20"/>
        <v>5138544.0000000009</v>
      </c>
      <c r="S48" s="54">
        <f t="shared" si="20"/>
        <v>5664772.0000000009</v>
      </c>
      <c r="T48" s="54">
        <f t="shared" si="20"/>
        <v>6191000.0000000009</v>
      </c>
      <c r="U48" s="54">
        <f t="shared" si="20"/>
        <v>6717228.0000000009</v>
      </c>
      <c r="V48" s="54">
        <f t="shared" si="20"/>
        <v>7243456.0000000009</v>
      </c>
      <c r="W48" s="54">
        <f t="shared" si="20"/>
        <v>7769684.0000000009</v>
      </c>
      <c r="X48" s="54">
        <f t="shared" si="20"/>
        <v>8295912.0000000009</v>
      </c>
      <c r="Y48" s="54">
        <f t="shared" si="20"/>
        <v>8822140.0000000019</v>
      </c>
      <c r="Z48" s="55">
        <f t="shared" si="20"/>
        <v>9348368.0000000019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E10" sqref="E10"/>
    </sheetView>
  </sheetViews>
  <sheetFormatPr defaultRowHeight="15" x14ac:dyDescent="0.25"/>
  <cols>
    <col min="2" max="2" width="25.85546875" customWidth="1"/>
    <col min="3" max="3" width="11" bestFit="1" customWidth="1"/>
    <col min="5" max="5" width="31.28515625" customWidth="1"/>
  </cols>
  <sheetData>
    <row r="1" spans="2:5" x14ac:dyDescent="0.25">
      <c r="B1" s="2" t="s">
        <v>50</v>
      </c>
      <c r="C1" t="s">
        <v>54</v>
      </c>
      <c r="E1" t="s">
        <v>69</v>
      </c>
    </row>
    <row r="2" spans="2:5" x14ac:dyDescent="0.25">
      <c r="B2" s="4" t="s">
        <v>46</v>
      </c>
      <c r="C2">
        <v>300</v>
      </c>
      <c r="E2" s="14" t="s">
        <v>70</v>
      </c>
    </row>
    <row r="3" spans="2:5" x14ac:dyDescent="0.25">
      <c r="B3" s="4" t="s">
        <v>47</v>
      </c>
      <c r="C3">
        <v>400</v>
      </c>
      <c r="E3" s="13" t="s">
        <v>71</v>
      </c>
    </row>
    <row r="4" spans="2:5" x14ac:dyDescent="0.25">
      <c r="B4" s="4" t="s">
        <v>48</v>
      </c>
      <c r="C4">
        <v>500</v>
      </c>
      <c r="E4" s="13" t="s">
        <v>72</v>
      </c>
    </row>
    <row r="5" spans="2:5" x14ac:dyDescent="0.25">
      <c r="B5" s="4" t="s">
        <v>49</v>
      </c>
      <c r="C5">
        <v>600</v>
      </c>
      <c r="E5" s="13" t="s">
        <v>73</v>
      </c>
    </row>
    <row r="6" spans="2:5" x14ac:dyDescent="0.25">
      <c r="C6">
        <v>700</v>
      </c>
    </row>
    <row r="7" spans="2:5" x14ac:dyDescent="0.25">
      <c r="C7">
        <v>800</v>
      </c>
    </row>
    <row r="8" spans="2:5" x14ac:dyDescent="0.25">
      <c r="C8">
        <v>900</v>
      </c>
    </row>
    <row r="9" spans="2:5" x14ac:dyDescent="0.25">
      <c r="C9">
        <v>1000</v>
      </c>
    </row>
    <row r="10" spans="2:5" x14ac:dyDescent="0.25">
      <c r="C10">
        <v>1200</v>
      </c>
    </row>
    <row r="11" spans="2:5" x14ac:dyDescent="0.25">
      <c r="C11">
        <v>1500</v>
      </c>
    </row>
    <row r="12" spans="2:5" x14ac:dyDescent="0.25">
      <c r="C12">
        <v>2000</v>
      </c>
    </row>
    <row r="13" spans="2:5" x14ac:dyDescent="0.25">
      <c r="C13">
        <v>2500</v>
      </c>
    </row>
    <row r="14" spans="2:5" x14ac:dyDescent="0.25">
      <c r="C14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Входящие данные</vt:lpstr>
      <vt:lpstr>Бизнес модель</vt:lpstr>
      <vt:lpstr>Списки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79604</dc:creator>
  <cp:lastModifiedBy>79604</cp:lastModifiedBy>
  <dcterms:created xsi:type="dcterms:W3CDTF">2020-07-21T04:11:18Z</dcterms:created>
  <dcterms:modified xsi:type="dcterms:W3CDTF">2020-07-21T06:07:12Z</dcterms:modified>
</cp:coreProperties>
</file>