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rsonal\FMWC\"/>
    </mc:Choice>
  </mc:AlternateContent>
  <xr:revisionPtr revIDLastSave="0" documentId="13_ncr:1_{940B386C-11C1-4231-8061-A129093752F0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Cover" sheetId="4" r:id="rId1"/>
    <sheet name="BaseModel" sheetId="2" r:id="rId2"/>
    <sheet name="Question12" sheetId="9" r:id="rId3"/>
    <sheet name="Question13" sheetId="10" r:id="rId4"/>
    <sheet name="Question14" sheetId="11" r:id="rId5"/>
    <sheet name="Question15" sheetId="12" r:id="rId6"/>
  </sheets>
  <definedNames>
    <definedName name="Annual_Int" localSheetId="2">Question12!$N$18</definedName>
    <definedName name="Annual_Int" localSheetId="3">Question13!$N$18</definedName>
    <definedName name="Annual_Int" localSheetId="4">Question14!$N$18</definedName>
    <definedName name="Annual_Int" localSheetId="5">Question15!$N$18</definedName>
    <definedName name="Annual_Int">BaseModel!$N$18</definedName>
    <definedName name="forest_growth_rate" localSheetId="2">Question12!$G$16</definedName>
    <definedName name="forest_growth_rate" localSheetId="3">Question13!$G$16</definedName>
    <definedName name="forest_growth_rate" localSheetId="4">Question14!$G$16</definedName>
    <definedName name="forest_growth_rate" localSheetId="5">Question15!$G$16</definedName>
    <definedName name="forest_growth_rate">BaseModel!$G$16</definedName>
    <definedName name="inflation_rate" localSheetId="2">Question12!$G$9</definedName>
    <definedName name="inflation_rate" localSheetId="3">Question13!$G$9</definedName>
    <definedName name="inflation_rate" localSheetId="4">Question14!$G$9</definedName>
    <definedName name="inflation_rate" localSheetId="5">Question15!$G$9</definedName>
    <definedName name="inflation_rate">BaseModel!$G$9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  <definedName name="loan_amount" localSheetId="2">Question12!$N$17</definedName>
    <definedName name="loan_amount" localSheetId="3">Question13!$N$17</definedName>
    <definedName name="loan_amount" localSheetId="4">Question14!$N$17</definedName>
    <definedName name="loan_amount" localSheetId="5">Question15!$N$17</definedName>
    <definedName name="loan_amount">BaseModel!$N$17</definedName>
    <definedName name="management_fee" localSheetId="2">Question12!$G$17</definedName>
    <definedName name="management_fee" localSheetId="3">Question13!$G$17</definedName>
    <definedName name="management_fee" localSheetId="4">Question14!$G$17</definedName>
    <definedName name="management_fee" localSheetId="5">Question15!$G$17</definedName>
    <definedName name="management_fee">BaseModel!$G$17</definedName>
    <definedName name="origination" localSheetId="2">Question12!$N$16</definedName>
    <definedName name="origination" localSheetId="3">Question13!$N$16</definedName>
    <definedName name="origination" localSheetId="4">Question14!$N$16</definedName>
    <definedName name="origination" localSheetId="5">Question15!$N$16</definedName>
    <definedName name="origination">BaseModel!$N$16</definedName>
    <definedName name="_xlnm.Print_Area" localSheetId="1">BaseModel!$A$1:$N$85</definedName>
    <definedName name="_xlnm.Print_Area" localSheetId="0">Cover!$B$1:$O$39</definedName>
    <definedName name="_xlnm.Print_Area" localSheetId="2">Question12!$A$1:$N$87</definedName>
    <definedName name="_xlnm.Print_Area" localSheetId="3">Question13!$A$1:$N$87</definedName>
    <definedName name="_xlnm.Print_Area" localSheetId="4">Question14!$A$1:$N$87</definedName>
    <definedName name="_xlnm.Print_Area" localSheetId="5">Question15!$A$1:$N$90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4" l="1"/>
  <c r="F79" i="12"/>
  <c r="E85" i="12"/>
  <c r="F83" i="12"/>
  <c r="G83" i="12" s="1"/>
  <c r="H83" i="12" s="1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S83" i="12" s="1"/>
  <c r="T83" i="12" s="1"/>
  <c r="E64" i="12"/>
  <c r="F64" i="12" s="1"/>
  <c r="G64" i="12" s="1"/>
  <c r="H64" i="12" s="1"/>
  <c r="I64" i="12" s="1"/>
  <c r="J64" i="12" s="1"/>
  <c r="K64" i="12" s="1"/>
  <c r="L64" i="12" s="1"/>
  <c r="M64" i="12" s="1"/>
  <c r="N64" i="12" s="1"/>
  <c r="O64" i="12" s="1"/>
  <c r="P64" i="12" s="1"/>
  <c r="Q64" i="12" s="1"/>
  <c r="R64" i="12" s="1"/>
  <c r="S64" i="12" s="1"/>
  <c r="T64" i="12" s="1"/>
  <c r="E63" i="12"/>
  <c r="F63" i="12" s="1"/>
  <c r="G63" i="12" s="1"/>
  <c r="H63" i="12" s="1"/>
  <c r="I63" i="12" s="1"/>
  <c r="J63" i="12" s="1"/>
  <c r="K63" i="12" s="1"/>
  <c r="L63" i="12" s="1"/>
  <c r="M63" i="12" s="1"/>
  <c r="N63" i="12" s="1"/>
  <c r="O63" i="12" s="1"/>
  <c r="P63" i="12" s="1"/>
  <c r="Q63" i="12" s="1"/>
  <c r="R63" i="12" s="1"/>
  <c r="S63" i="12" s="1"/>
  <c r="T63" i="12" s="1"/>
  <c r="E62" i="12"/>
  <c r="E61" i="12"/>
  <c r="F61" i="12" s="1"/>
  <c r="G61" i="12" s="1"/>
  <c r="H61" i="12" s="1"/>
  <c r="I61" i="12" s="1"/>
  <c r="J61" i="12" s="1"/>
  <c r="K61" i="12" s="1"/>
  <c r="L61" i="12" s="1"/>
  <c r="M61" i="12" s="1"/>
  <c r="N61" i="12" s="1"/>
  <c r="O61" i="12" s="1"/>
  <c r="P61" i="12" s="1"/>
  <c r="Q61" i="12" s="1"/>
  <c r="R61" i="12" s="1"/>
  <c r="S61" i="12" s="1"/>
  <c r="T61" i="12" s="1"/>
  <c r="G60" i="12"/>
  <c r="H60" i="12" s="1"/>
  <c r="F59" i="12"/>
  <c r="G59" i="12" s="1"/>
  <c r="H59" i="12" s="1"/>
  <c r="I59" i="12" s="1"/>
  <c r="J59" i="12" s="1"/>
  <c r="K59" i="12" s="1"/>
  <c r="L59" i="12" s="1"/>
  <c r="M59" i="12" s="1"/>
  <c r="N59" i="12" s="1"/>
  <c r="O59" i="12" s="1"/>
  <c r="P59" i="12" s="1"/>
  <c r="Q59" i="12" s="1"/>
  <c r="R59" i="12" s="1"/>
  <c r="S59" i="12" s="1"/>
  <c r="T59" i="12" s="1"/>
  <c r="B24" i="12"/>
  <c r="B27" i="12" s="1"/>
  <c r="N17" i="12" s="1"/>
  <c r="N9" i="12"/>
  <c r="B2" i="12"/>
  <c r="E82" i="11"/>
  <c r="F80" i="11"/>
  <c r="G80" i="11" s="1"/>
  <c r="H80" i="11" s="1"/>
  <c r="I80" i="11" s="1"/>
  <c r="J80" i="11" s="1"/>
  <c r="K80" i="11" s="1"/>
  <c r="L80" i="11" s="1"/>
  <c r="M80" i="11" s="1"/>
  <c r="N80" i="11" s="1"/>
  <c r="O80" i="11" s="1"/>
  <c r="P80" i="11" s="1"/>
  <c r="Q80" i="11" s="1"/>
  <c r="R80" i="11" s="1"/>
  <c r="S80" i="11" s="1"/>
  <c r="T80" i="11" s="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62" i="11"/>
  <c r="F62" i="11" s="1"/>
  <c r="G62" i="11" s="1"/>
  <c r="H62" i="11" s="1"/>
  <c r="I62" i="11" s="1"/>
  <c r="J62" i="11" s="1"/>
  <c r="K62" i="11" s="1"/>
  <c r="L62" i="11" s="1"/>
  <c r="M62" i="11" s="1"/>
  <c r="N62" i="11" s="1"/>
  <c r="O62" i="11" s="1"/>
  <c r="P62" i="11" s="1"/>
  <c r="Q62" i="11" s="1"/>
  <c r="R62" i="11" s="1"/>
  <c r="S62" i="11" s="1"/>
  <c r="T62" i="11" s="1"/>
  <c r="E61" i="11"/>
  <c r="F61" i="11" s="1"/>
  <c r="G61" i="11" s="1"/>
  <c r="H61" i="11" s="1"/>
  <c r="I61" i="11" s="1"/>
  <c r="J61" i="11" s="1"/>
  <c r="K61" i="11" s="1"/>
  <c r="L61" i="11" s="1"/>
  <c r="M61" i="11" s="1"/>
  <c r="N61" i="11" s="1"/>
  <c r="O61" i="11" s="1"/>
  <c r="P61" i="11" s="1"/>
  <c r="Q61" i="11" s="1"/>
  <c r="R61" i="11" s="1"/>
  <c r="S61" i="11" s="1"/>
  <c r="T61" i="11" s="1"/>
  <c r="E60" i="11"/>
  <c r="E59" i="11"/>
  <c r="G58" i="11"/>
  <c r="H58" i="11" s="1"/>
  <c r="F57" i="11"/>
  <c r="G57" i="11" s="1"/>
  <c r="H57" i="11" s="1"/>
  <c r="I57" i="11" s="1"/>
  <c r="J57" i="11" s="1"/>
  <c r="K57" i="11" s="1"/>
  <c r="L57" i="11" s="1"/>
  <c r="M57" i="11" s="1"/>
  <c r="N57" i="11" s="1"/>
  <c r="O57" i="11" s="1"/>
  <c r="P57" i="11" s="1"/>
  <c r="Q57" i="11" s="1"/>
  <c r="R57" i="11" s="1"/>
  <c r="S57" i="11" s="1"/>
  <c r="T57" i="11" s="1"/>
  <c r="B24" i="11"/>
  <c r="N9" i="11"/>
  <c r="B2" i="11"/>
  <c r="AD57" i="10"/>
  <c r="AC57" i="10"/>
  <c r="AB57" i="10"/>
  <c r="AA57" i="10"/>
  <c r="AD75" i="10"/>
  <c r="AD81" i="10"/>
  <c r="AD80" i="10"/>
  <c r="AD58" i="10"/>
  <c r="AC81" i="10"/>
  <c r="AC80" i="10"/>
  <c r="AC76" i="10"/>
  <c r="AC62" i="10"/>
  <c r="AD62" i="10" s="1"/>
  <c r="AC58" i="10"/>
  <c r="AB81" i="10"/>
  <c r="AB80" i="10"/>
  <c r="AB76" i="10"/>
  <c r="AB58" i="10"/>
  <c r="T80" i="10"/>
  <c r="U80" i="10" s="1"/>
  <c r="V80" i="10" s="1"/>
  <c r="W80" i="10" s="1"/>
  <c r="X80" i="10" s="1"/>
  <c r="Y80" i="10" s="1"/>
  <c r="Z80" i="10" s="1"/>
  <c r="AA80" i="10" s="1"/>
  <c r="AA76" i="10"/>
  <c r="Z76" i="10"/>
  <c r="Y76" i="10"/>
  <c r="X76" i="10"/>
  <c r="W76" i="10"/>
  <c r="V76" i="10"/>
  <c r="U76" i="10"/>
  <c r="T76" i="10"/>
  <c r="E82" i="10"/>
  <c r="F80" i="10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62" i="10"/>
  <c r="F62" i="10" s="1"/>
  <c r="G62" i="10" s="1"/>
  <c r="H62" i="10" s="1"/>
  <c r="I62" i="10" s="1"/>
  <c r="J62" i="10" s="1"/>
  <c r="K62" i="10" s="1"/>
  <c r="L62" i="10" s="1"/>
  <c r="M62" i="10" s="1"/>
  <c r="N62" i="10" s="1"/>
  <c r="O62" i="10" s="1"/>
  <c r="P62" i="10" s="1"/>
  <c r="Q62" i="10" s="1"/>
  <c r="R62" i="10" s="1"/>
  <c r="S62" i="10" s="1"/>
  <c r="T62" i="10" s="1"/>
  <c r="U62" i="10" s="1"/>
  <c r="V62" i="10" s="1"/>
  <c r="W62" i="10" s="1"/>
  <c r="X62" i="10" s="1"/>
  <c r="Y62" i="10" s="1"/>
  <c r="Z62" i="10" s="1"/>
  <c r="AA62" i="10" s="1"/>
  <c r="AB62" i="10" s="1"/>
  <c r="E61" i="10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E60" i="10"/>
  <c r="E63" i="10" s="1"/>
  <c r="E85" i="10" s="1"/>
  <c r="E86" i="10" s="1"/>
  <c r="E59" i="10"/>
  <c r="G58" i="10"/>
  <c r="H58" i="10" s="1"/>
  <c r="F57" i="10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B24" i="10"/>
  <c r="N9" i="10"/>
  <c r="B2" i="10"/>
  <c r="E82" i="9"/>
  <c r="F80" i="9"/>
  <c r="G80" i="9" s="1"/>
  <c r="H80" i="9" s="1"/>
  <c r="I80" i="9" s="1"/>
  <c r="J80" i="9" s="1"/>
  <c r="K80" i="9" s="1"/>
  <c r="L80" i="9" s="1"/>
  <c r="M80" i="9" s="1"/>
  <c r="N80" i="9" s="1"/>
  <c r="O80" i="9" s="1"/>
  <c r="P80" i="9" s="1"/>
  <c r="Q80" i="9" s="1"/>
  <c r="R80" i="9" s="1"/>
  <c r="S80" i="9" s="1"/>
  <c r="T80" i="9" s="1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62" i="9"/>
  <c r="F62" i="9" s="1"/>
  <c r="G62" i="9" s="1"/>
  <c r="H62" i="9" s="1"/>
  <c r="I62" i="9" s="1"/>
  <c r="J62" i="9" s="1"/>
  <c r="K62" i="9" s="1"/>
  <c r="L62" i="9" s="1"/>
  <c r="M62" i="9" s="1"/>
  <c r="N62" i="9" s="1"/>
  <c r="O62" i="9" s="1"/>
  <c r="P62" i="9" s="1"/>
  <c r="Q62" i="9" s="1"/>
  <c r="R62" i="9" s="1"/>
  <c r="S62" i="9" s="1"/>
  <c r="T62" i="9" s="1"/>
  <c r="E61" i="9"/>
  <c r="F61" i="9" s="1"/>
  <c r="G61" i="9" s="1"/>
  <c r="H61" i="9" s="1"/>
  <c r="I61" i="9" s="1"/>
  <c r="J61" i="9" s="1"/>
  <c r="K61" i="9" s="1"/>
  <c r="L61" i="9" s="1"/>
  <c r="M61" i="9" s="1"/>
  <c r="N61" i="9" s="1"/>
  <c r="O61" i="9" s="1"/>
  <c r="P61" i="9" s="1"/>
  <c r="Q61" i="9" s="1"/>
  <c r="R61" i="9" s="1"/>
  <c r="S61" i="9" s="1"/>
  <c r="T61" i="9" s="1"/>
  <c r="E60" i="9"/>
  <c r="E63" i="9" s="1"/>
  <c r="E59" i="9"/>
  <c r="G58" i="9"/>
  <c r="H58" i="9" s="1"/>
  <c r="F57" i="9"/>
  <c r="G57" i="9" s="1"/>
  <c r="H57" i="9" s="1"/>
  <c r="I57" i="9" s="1"/>
  <c r="J57" i="9" s="1"/>
  <c r="K57" i="9" s="1"/>
  <c r="L57" i="9" s="1"/>
  <c r="M57" i="9" s="1"/>
  <c r="N57" i="9" s="1"/>
  <c r="O57" i="9" s="1"/>
  <c r="P57" i="9" s="1"/>
  <c r="Q57" i="9" s="1"/>
  <c r="R57" i="9" s="1"/>
  <c r="S57" i="9" s="1"/>
  <c r="T57" i="9" s="1"/>
  <c r="B24" i="9"/>
  <c r="N9" i="9"/>
  <c r="B2" i="9"/>
  <c r="E62" i="2"/>
  <c r="S74" i="2"/>
  <c r="E65" i="12" l="1"/>
  <c r="E89" i="12" s="1"/>
  <c r="I60" i="12"/>
  <c r="J60" i="12" s="1"/>
  <c r="K60" i="12" s="1"/>
  <c r="F62" i="12"/>
  <c r="N18" i="12"/>
  <c r="T78" i="12"/>
  <c r="E75" i="12"/>
  <c r="E72" i="12"/>
  <c r="E79" i="12" s="1"/>
  <c r="E92" i="12" s="1"/>
  <c r="E66" i="12"/>
  <c r="F82" i="12" s="1"/>
  <c r="B40" i="12"/>
  <c r="E63" i="11"/>
  <c r="E64" i="11" s="1"/>
  <c r="F79" i="11" s="1"/>
  <c r="F60" i="11"/>
  <c r="I58" i="11"/>
  <c r="J58" i="11" s="1"/>
  <c r="K58" i="11" s="1"/>
  <c r="B27" i="11"/>
  <c r="N17" i="11" s="1"/>
  <c r="B40" i="11"/>
  <c r="T57" i="10"/>
  <c r="U57" i="10" s="1"/>
  <c r="V57" i="10" s="1"/>
  <c r="W57" i="10" s="1"/>
  <c r="X57" i="10" s="1"/>
  <c r="Y57" i="10" s="1"/>
  <c r="Z57" i="10" s="1"/>
  <c r="T61" i="10"/>
  <c r="U61" i="10" s="1"/>
  <c r="V61" i="10" s="1"/>
  <c r="W61" i="10" s="1"/>
  <c r="X61" i="10" s="1"/>
  <c r="Y61" i="10" s="1"/>
  <c r="Z61" i="10" s="1"/>
  <c r="AA61" i="10" s="1"/>
  <c r="AB61" i="10" s="1"/>
  <c r="AC61" i="10" s="1"/>
  <c r="AD61" i="10" s="1"/>
  <c r="E64" i="10"/>
  <c r="F79" i="10" s="1"/>
  <c r="I58" i="10"/>
  <c r="J58" i="10" s="1"/>
  <c r="K58" i="10" s="1"/>
  <c r="F60" i="10"/>
  <c r="B27" i="10"/>
  <c r="N17" i="10" s="1"/>
  <c r="B40" i="10"/>
  <c r="F60" i="9"/>
  <c r="F63" i="9" s="1"/>
  <c r="I58" i="9"/>
  <c r="J58" i="9" s="1"/>
  <c r="K58" i="9" s="1"/>
  <c r="E85" i="9"/>
  <c r="E86" i="9" s="1"/>
  <c r="E64" i="9"/>
  <c r="F79" i="9" s="1"/>
  <c r="B27" i="9"/>
  <c r="N17" i="9" s="1"/>
  <c r="B40" i="9"/>
  <c r="F65" i="12" l="1"/>
  <c r="G62" i="12"/>
  <c r="T84" i="12"/>
  <c r="I84" i="12"/>
  <c r="S84" i="12"/>
  <c r="R84" i="12"/>
  <c r="L84" i="12"/>
  <c r="J84" i="12"/>
  <c r="Q84" i="12"/>
  <c r="P84" i="12"/>
  <c r="O84" i="12"/>
  <c r="N84" i="12"/>
  <c r="M84" i="12"/>
  <c r="K84" i="12"/>
  <c r="H84" i="12"/>
  <c r="G84" i="12"/>
  <c r="F84" i="12"/>
  <c r="F85" i="12" s="1"/>
  <c r="L60" i="12"/>
  <c r="B43" i="12"/>
  <c r="E85" i="11"/>
  <c r="E86" i="11" s="1"/>
  <c r="T75" i="11"/>
  <c r="N18" i="11"/>
  <c r="E72" i="11"/>
  <c r="E70" i="11"/>
  <c r="L58" i="11"/>
  <c r="F63" i="11"/>
  <c r="G60" i="11"/>
  <c r="E72" i="10"/>
  <c r="E70" i="10"/>
  <c r="N18" i="10"/>
  <c r="F63" i="10"/>
  <c r="G60" i="10"/>
  <c r="L58" i="10"/>
  <c r="G60" i="9"/>
  <c r="G63" i="9" s="1"/>
  <c r="L58" i="9"/>
  <c r="T75" i="9"/>
  <c r="E72" i="9"/>
  <c r="E70" i="9"/>
  <c r="N18" i="9"/>
  <c r="B46" i="12" l="1"/>
  <c r="F68" i="12"/>
  <c r="M60" i="12"/>
  <c r="E76" i="11"/>
  <c r="E89" i="11" s="1"/>
  <c r="H62" i="12"/>
  <c r="G65" i="12"/>
  <c r="G63" i="11"/>
  <c r="H60" i="11"/>
  <c r="M58" i="11"/>
  <c r="N58" i="11" s="1"/>
  <c r="O58" i="11" s="1"/>
  <c r="P58" i="11" s="1"/>
  <c r="S81" i="11"/>
  <c r="L81" i="11"/>
  <c r="K81" i="11"/>
  <c r="T81" i="11"/>
  <c r="I81" i="11"/>
  <c r="R81" i="11"/>
  <c r="N81" i="11"/>
  <c r="Q81" i="11"/>
  <c r="P81" i="11"/>
  <c r="O81" i="11"/>
  <c r="M81" i="11"/>
  <c r="J81" i="11"/>
  <c r="H81" i="11"/>
  <c r="G81" i="11"/>
  <c r="F81" i="11"/>
  <c r="F82" i="11" s="1"/>
  <c r="B43" i="11"/>
  <c r="B46" i="11" s="1"/>
  <c r="H60" i="9"/>
  <c r="I60" i="9" s="1"/>
  <c r="X81" i="10"/>
  <c r="T81" i="10"/>
  <c r="AA81" i="10"/>
  <c r="U81" i="10"/>
  <c r="Z81" i="10"/>
  <c r="Y81" i="10"/>
  <c r="W81" i="10"/>
  <c r="V81" i="10"/>
  <c r="E76" i="10"/>
  <c r="E89" i="10" s="1"/>
  <c r="M58" i="10"/>
  <c r="N58" i="10" s="1"/>
  <c r="O58" i="10" s="1"/>
  <c r="P58" i="10" s="1"/>
  <c r="G63" i="10"/>
  <c r="H60" i="10"/>
  <c r="M81" i="10"/>
  <c r="L81" i="10"/>
  <c r="S81" i="10"/>
  <c r="K81" i="10"/>
  <c r="R81" i="10"/>
  <c r="Q81" i="10"/>
  <c r="P81" i="10"/>
  <c r="O81" i="10"/>
  <c r="N81" i="10"/>
  <c r="F81" i="10"/>
  <c r="F82" i="10" s="1"/>
  <c r="J81" i="10"/>
  <c r="H81" i="10"/>
  <c r="G81" i="10"/>
  <c r="I81" i="10"/>
  <c r="B43" i="10"/>
  <c r="B46" i="10" s="1"/>
  <c r="E76" i="9"/>
  <c r="E89" i="9" s="1"/>
  <c r="M81" i="9"/>
  <c r="I81" i="9"/>
  <c r="T81" i="9"/>
  <c r="S81" i="9"/>
  <c r="R81" i="9"/>
  <c r="J81" i="9"/>
  <c r="K81" i="9"/>
  <c r="Q81" i="9"/>
  <c r="P81" i="9"/>
  <c r="O81" i="9"/>
  <c r="N81" i="9"/>
  <c r="L81" i="9"/>
  <c r="G81" i="9"/>
  <c r="H81" i="9"/>
  <c r="F81" i="9"/>
  <c r="F82" i="9" s="1"/>
  <c r="B43" i="9"/>
  <c r="B46" i="9" s="1"/>
  <c r="M58" i="9"/>
  <c r="N58" i="9" s="1"/>
  <c r="O58" i="9" s="1"/>
  <c r="P58" i="9" s="1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F78" i="2"/>
  <c r="G78" i="2" s="1"/>
  <c r="E80" i="2"/>
  <c r="F55" i="2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E60" i="2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E59" i="2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E58" i="2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E57" i="2"/>
  <c r="B24" i="2"/>
  <c r="B27" i="2" s="1"/>
  <c r="N17" i="2" s="1"/>
  <c r="T73" i="2" s="1"/>
  <c r="G56" i="2"/>
  <c r="N9" i="2"/>
  <c r="I62" i="12" l="1"/>
  <c r="H65" i="12"/>
  <c r="F69" i="12"/>
  <c r="F89" i="12"/>
  <c r="F92" i="12" s="1"/>
  <c r="N60" i="12"/>
  <c r="H63" i="9"/>
  <c r="Q58" i="11"/>
  <c r="I60" i="11"/>
  <c r="H63" i="11"/>
  <c r="F66" i="11"/>
  <c r="F66" i="10"/>
  <c r="H63" i="10"/>
  <c r="I60" i="10"/>
  <c r="Q58" i="10"/>
  <c r="Q58" i="9"/>
  <c r="R58" i="9" s="1"/>
  <c r="S58" i="9" s="1"/>
  <c r="T58" i="9" s="1"/>
  <c r="I63" i="9"/>
  <c r="J60" i="9"/>
  <c r="F66" i="9"/>
  <c r="H56" i="2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S61" i="2"/>
  <c r="T58" i="2"/>
  <c r="T61" i="2" s="1"/>
  <c r="B34" i="2" s="1"/>
  <c r="H78" i="2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N18" i="2"/>
  <c r="O79" i="2" s="1"/>
  <c r="E70" i="2"/>
  <c r="E68" i="2"/>
  <c r="E61" i="2"/>
  <c r="E83" i="2" s="1"/>
  <c r="E84" i="2" s="1"/>
  <c r="R61" i="2"/>
  <c r="F61" i="2"/>
  <c r="G61" i="2"/>
  <c r="H61" i="2"/>
  <c r="I61" i="2"/>
  <c r="J61" i="2"/>
  <c r="K61" i="2"/>
  <c r="L61" i="2"/>
  <c r="M61" i="2"/>
  <c r="N61" i="2"/>
  <c r="O61" i="2"/>
  <c r="P61" i="2"/>
  <c r="Q61" i="2"/>
  <c r="B40" i="2"/>
  <c r="B2" i="2"/>
  <c r="O60" i="12" l="1"/>
  <c r="F66" i="12"/>
  <c r="I65" i="12"/>
  <c r="J62" i="12"/>
  <c r="F67" i="11"/>
  <c r="F85" i="11"/>
  <c r="F86" i="11" s="1"/>
  <c r="F89" i="11" s="1"/>
  <c r="F59" i="11"/>
  <c r="J60" i="11"/>
  <c r="I63" i="11"/>
  <c r="R58" i="11"/>
  <c r="R58" i="10"/>
  <c r="I63" i="10"/>
  <c r="J60" i="10"/>
  <c r="F67" i="10"/>
  <c r="F85" i="10"/>
  <c r="F86" i="10" s="1"/>
  <c r="F89" i="10" s="1"/>
  <c r="F59" i="10"/>
  <c r="J63" i="9"/>
  <c r="K60" i="9"/>
  <c r="F67" i="9"/>
  <c r="F85" i="9"/>
  <c r="F86" i="9" s="1"/>
  <c r="F89" i="9" s="1"/>
  <c r="F59" i="9"/>
  <c r="B37" i="9"/>
  <c r="B31" i="2"/>
  <c r="T78" i="2"/>
  <c r="R79" i="2"/>
  <c r="B43" i="2"/>
  <c r="B46" i="2" s="1"/>
  <c r="S79" i="2"/>
  <c r="T79" i="2"/>
  <c r="Q79" i="2"/>
  <c r="P79" i="2"/>
  <c r="L79" i="2"/>
  <c r="K79" i="2"/>
  <c r="J79" i="2"/>
  <c r="N79" i="2"/>
  <c r="I79" i="2"/>
  <c r="F79" i="2"/>
  <c r="H79" i="2"/>
  <c r="G79" i="2"/>
  <c r="M79" i="2"/>
  <c r="E74" i="2"/>
  <c r="E87" i="2" s="1"/>
  <c r="F77" i="2"/>
  <c r="G82" i="12" l="1"/>
  <c r="G85" i="12" s="1"/>
  <c r="P60" i="12"/>
  <c r="J65" i="12"/>
  <c r="K62" i="12"/>
  <c r="F64" i="11"/>
  <c r="G79" i="11" s="1"/>
  <c r="G82" i="11" s="1"/>
  <c r="S58" i="11"/>
  <c r="J63" i="11"/>
  <c r="K60" i="11"/>
  <c r="S58" i="10"/>
  <c r="F64" i="10"/>
  <c r="G79" i="10" s="1"/>
  <c r="G82" i="10" s="1"/>
  <c r="K60" i="10"/>
  <c r="J63" i="10"/>
  <c r="K63" i="9"/>
  <c r="L60" i="9"/>
  <c r="F64" i="9"/>
  <c r="G79" i="9" s="1"/>
  <c r="G82" i="9" s="1"/>
  <c r="B37" i="2"/>
  <c r="F80" i="2"/>
  <c r="G79" i="12" l="1"/>
  <c r="G68" i="12"/>
  <c r="G69" i="12" s="1"/>
  <c r="K65" i="12"/>
  <c r="L62" i="12"/>
  <c r="Q60" i="12"/>
  <c r="G89" i="12"/>
  <c r="G66" i="11"/>
  <c r="T58" i="11"/>
  <c r="B37" i="11" s="1"/>
  <c r="K63" i="11"/>
  <c r="L60" i="11"/>
  <c r="T58" i="10"/>
  <c r="U58" i="10" s="1"/>
  <c r="V58" i="10" s="1"/>
  <c r="W58" i="10" s="1"/>
  <c r="X58" i="10" s="1"/>
  <c r="Y58" i="10" s="1"/>
  <c r="Z58" i="10" s="1"/>
  <c r="AA58" i="10" s="1"/>
  <c r="B37" i="10"/>
  <c r="K63" i="10"/>
  <c r="L60" i="10"/>
  <c r="G66" i="10"/>
  <c r="G66" i="9"/>
  <c r="L63" i="9"/>
  <c r="M60" i="9"/>
  <c r="F64" i="2"/>
  <c r="G92" i="12" l="1"/>
  <c r="G66" i="12"/>
  <c r="H82" i="12" s="1"/>
  <c r="H85" i="12" s="1"/>
  <c r="H79" i="12" s="1"/>
  <c r="R60" i="12"/>
  <c r="L65" i="12"/>
  <c r="M62" i="12"/>
  <c r="L63" i="11"/>
  <c r="M60" i="11"/>
  <c r="G85" i="11"/>
  <c r="G86" i="11" s="1"/>
  <c r="G89" i="11" s="1"/>
  <c r="G67" i="11"/>
  <c r="G59" i="11"/>
  <c r="L63" i="10"/>
  <c r="M60" i="10"/>
  <c r="G85" i="10"/>
  <c r="G86" i="10" s="1"/>
  <c r="G89" i="10" s="1"/>
  <c r="G59" i="10"/>
  <c r="G67" i="10"/>
  <c r="M63" i="9"/>
  <c r="N60" i="9"/>
  <c r="G85" i="9"/>
  <c r="G86" i="9" s="1"/>
  <c r="G89" i="9" s="1"/>
  <c r="G67" i="9"/>
  <c r="G59" i="9"/>
  <c r="F57" i="2"/>
  <c r="F62" i="2" s="1"/>
  <c r="F83" i="2"/>
  <c r="F84" i="2" s="1"/>
  <c r="F87" i="2" s="1"/>
  <c r="M65" i="12" l="1"/>
  <c r="N62" i="12"/>
  <c r="S60" i="12"/>
  <c r="T60" i="12" s="1"/>
  <c r="B37" i="12"/>
  <c r="H68" i="12"/>
  <c r="G64" i="11"/>
  <c r="H79" i="11" s="1"/>
  <c r="H82" i="11" s="1"/>
  <c r="M63" i="11"/>
  <c r="N60" i="11"/>
  <c r="G64" i="10"/>
  <c r="H79" i="10" s="1"/>
  <c r="H82" i="10" s="1"/>
  <c r="M63" i="10"/>
  <c r="N60" i="10"/>
  <c r="G64" i="9"/>
  <c r="H79" i="9" s="1"/>
  <c r="H82" i="9" s="1"/>
  <c r="N63" i="9"/>
  <c r="O60" i="9"/>
  <c r="H89" i="12" l="1"/>
  <c r="H92" i="12" s="1"/>
  <c r="H69" i="12"/>
  <c r="N65" i="12"/>
  <c r="O62" i="12"/>
  <c r="H66" i="11"/>
  <c r="N63" i="11"/>
  <c r="O60" i="11"/>
  <c r="N63" i="10"/>
  <c r="O60" i="10"/>
  <c r="H66" i="10"/>
  <c r="O63" i="9"/>
  <c r="P60" i="9"/>
  <c r="H66" i="9"/>
  <c r="O65" i="12" l="1"/>
  <c r="P62" i="12"/>
  <c r="H66" i="12"/>
  <c r="I82" i="12" s="1"/>
  <c r="I85" i="12" s="1"/>
  <c r="I79" i="12" s="1"/>
  <c r="O63" i="11"/>
  <c r="P60" i="11"/>
  <c r="H85" i="11"/>
  <c r="H86" i="11" s="1"/>
  <c r="H89" i="11" s="1"/>
  <c r="H67" i="11"/>
  <c r="H59" i="11"/>
  <c r="H85" i="10"/>
  <c r="H86" i="10" s="1"/>
  <c r="H89" i="10" s="1"/>
  <c r="H67" i="10"/>
  <c r="H59" i="10"/>
  <c r="O63" i="10"/>
  <c r="P60" i="10"/>
  <c r="H85" i="9"/>
  <c r="H86" i="9" s="1"/>
  <c r="H89" i="9" s="1"/>
  <c r="H59" i="9"/>
  <c r="H67" i="9"/>
  <c r="Q60" i="9"/>
  <c r="P63" i="9"/>
  <c r="G77" i="2"/>
  <c r="F65" i="2"/>
  <c r="I68" i="12" l="1"/>
  <c r="P65" i="12"/>
  <c r="Q62" i="12"/>
  <c r="H64" i="11"/>
  <c r="I79" i="11" s="1"/>
  <c r="I82" i="11" s="1"/>
  <c r="P63" i="11"/>
  <c r="Q60" i="11"/>
  <c r="P63" i="10"/>
  <c r="Q60" i="10"/>
  <c r="H64" i="10"/>
  <c r="I79" i="10" s="1"/>
  <c r="I82" i="10" s="1"/>
  <c r="R60" i="9"/>
  <c r="Q63" i="9"/>
  <c r="H64" i="9"/>
  <c r="I79" i="9" s="1"/>
  <c r="I82" i="9" s="1"/>
  <c r="G80" i="2"/>
  <c r="R62" i="12" l="1"/>
  <c r="Q65" i="12"/>
  <c r="I89" i="12"/>
  <c r="I92" i="12" s="1"/>
  <c r="I69" i="12"/>
  <c r="R60" i="11"/>
  <c r="Q63" i="11"/>
  <c r="I66" i="11"/>
  <c r="I66" i="10"/>
  <c r="R60" i="10"/>
  <c r="Q63" i="10"/>
  <c r="I66" i="9"/>
  <c r="S60" i="9"/>
  <c r="R63" i="9"/>
  <c r="G64" i="2"/>
  <c r="G65" i="2" s="1"/>
  <c r="I66" i="12" l="1"/>
  <c r="J82" i="12" s="1"/>
  <c r="J85" i="12" s="1"/>
  <c r="J79" i="12" s="1"/>
  <c r="S62" i="12"/>
  <c r="R65" i="12"/>
  <c r="S60" i="11"/>
  <c r="R63" i="11"/>
  <c r="I85" i="11"/>
  <c r="I86" i="11" s="1"/>
  <c r="I89" i="11" s="1"/>
  <c r="I59" i="11"/>
  <c r="I67" i="11"/>
  <c r="I85" i="10"/>
  <c r="I86" i="10" s="1"/>
  <c r="I89" i="10" s="1"/>
  <c r="I59" i="10"/>
  <c r="I67" i="10"/>
  <c r="S60" i="10"/>
  <c r="T60" i="10" s="1"/>
  <c r="R63" i="10"/>
  <c r="I85" i="9"/>
  <c r="I86" i="9" s="1"/>
  <c r="I89" i="9" s="1"/>
  <c r="I67" i="9"/>
  <c r="I59" i="9"/>
  <c r="T60" i="9"/>
  <c r="S63" i="9"/>
  <c r="G57" i="2"/>
  <c r="G83" i="2"/>
  <c r="G84" i="2" s="1"/>
  <c r="G87" i="2" s="1"/>
  <c r="T62" i="12" l="1"/>
  <c r="T65" i="12" s="1"/>
  <c r="T89" i="12" s="1"/>
  <c r="S65" i="12"/>
  <c r="J68" i="12"/>
  <c r="I64" i="11"/>
  <c r="J79" i="11" s="1"/>
  <c r="J82" i="11" s="1"/>
  <c r="T60" i="11"/>
  <c r="S63" i="11"/>
  <c r="T63" i="10"/>
  <c r="U60" i="10"/>
  <c r="S63" i="10"/>
  <c r="I64" i="10"/>
  <c r="J79" i="10" s="1"/>
  <c r="J82" i="10" s="1"/>
  <c r="T63" i="9"/>
  <c r="B31" i="9"/>
  <c r="I64" i="9"/>
  <c r="J79" i="9" s="1"/>
  <c r="J82" i="9" s="1"/>
  <c r="G62" i="2"/>
  <c r="H77" i="2" s="1"/>
  <c r="H80" i="2" s="1"/>
  <c r="J89" i="12" l="1"/>
  <c r="J92" i="12" s="1"/>
  <c r="J69" i="12"/>
  <c r="J66" i="11"/>
  <c r="T63" i="11"/>
  <c r="T85" i="11" s="1"/>
  <c r="T86" i="11" s="1"/>
  <c r="B31" i="11"/>
  <c r="U63" i="10"/>
  <c r="V60" i="10"/>
  <c r="J66" i="10"/>
  <c r="J66" i="9"/>
  <c r="T85" i="9"/>
  <c r="T86" i="9" s="1"/>
  <c r="B34" i="9"/>
  <c r="H64" i="2"/>
  <c r="J66" i="12" l="1"/>
  <c r="K82" i="12" s="1"/>
  <c r="K85" i="12" s="1"/>
  <c r="K79" i="12" s="1"/>
  <c r="J85" i="11"/>
  <c r="J86" i="11" s="1"/>
  <c r="J89" i="11" s="1"/>
  <c r="J67" i="11"/>
  <c r="J59" i="11"/>
  <c r="W60" i="10"/>
  <c r="V63" i="10"/>
  <c r="J85" i="10"/>
  <c r="J86" i="10" s="1"/>
  <c r="J89" i="10" s="1"/>
  <c r="J59" i="10"/>
  <c r="J67" i="10"/>
  <c r="J85" i="9"/>
  <c r="J86" i="9" s="1"/>
  <c r="J89" i="9" s="1"/>
  <c r="J59" i="9"/>
  <c r="J67" i="9"/>
  <c r="H65" i="2"/>
  <c r="H57" i="2"/>
  <c r="H62" i="2" s="1"/>
  <c r="H83" i="2"/>
  <c r="H84" i="2" s="1"/>
  <c r="H87" i="2" s="1"/>
  <c r="I77" i="2"/>
  <c r="K68" i="12" l="1"/>
  <c r="J64" i="11"/>
  <c r="K79" i="11" s="1"/>
  <c r="K82" i="11" s="1"/>
  <c r="W63" i="10"/>
  <c r="X60" i="10"/>
  <c r="J64" i="10"/>
  <c r="K79" i="10" s="1"/>
  <c r="K82" i="10" s="1"/>
  <c r="J64" i="9"/>
  <c r="K79" i="9" s="1"/>
  <c r="K82" i="9" s="1"/>
  <c r="I80" i="2"/>
  <c r="K89" i="12" l="1"/>
  <c r="K92" i="12" s="1"/>
  <c r="K69" i="12"/>
  <c r="K66" i="11"/>
  <c r="X63" i="10"/>
  <c r="Y60" i="10"/>
  <c r="K66" i="10"/>
  <c r="K66" i="9"/>
  <c r="I64" i="2"/>
  <c r="I83" i="2" s="1"/>
  <c r="I84" i="2" s="1"/>
  <c r="I87" i="2" s="1"/>
  <c r="K66" i="12" l="1"/>
  <c r="L82" i="12" s="1"/>
  <c r="L85" i="12" s="1"/>
  <c r="L79" i="12" s="1"/>
  <c r="K85" i="11"/>
  <c r="K86" i="11" s="1"/>
  <c r="K89" i="11" s="1"/>
  <c r="K59" i="11"/>
  <c r="K67" i="11"/>
  <c r="Y63" i="10"/>
  <c r="Z60" i="10"/>
  <c r="K85" i="10"/>
  <c r="K86" i="10" s="1"/>
  <c r="K89" i="10" s="1"/>
  <c r="K59" i="10"/>
  <c r="K67" i="10"/>
  <c r="K85" i="9"/>
  <c r="K86" i="9" s="1"/>
  <c r="K89" i="9" s="1"/>
  <c r="K59" i="9"/>
  <c r="K67" i="9"/>
  <c r="I65" i="2"/>
  <c r="I57" i="2"/>
  <c r="I62" i="2" s="1"/>
  <c r="J77" i="2" s="1"/>
  <c r="L68" i="12" l="1"/>
  <c r="K64" i="11"/>
  <c r="L79" i="11" s="1"/>
  <c r="L82" i="11" s="1"/>
  <c r="Z63" i="10"/>
  <c r="AA60" i="10"/>
  <c r="AB60" i="10" s="1"/>
  <c r="K64" i="10"/>
  <c r="L79" i="10" s="1"/>
  <c r="L82" i="10" s="1"/>
  <c r="K64" i="9"/>
  <c r="L79" i="9" s="1"/>
  <c r="L82" i="9" s="1"/>
  <c r="J80" i="2"/>
  <c r="L89" i="12" l="1"/>
  <c r="L92" i="12" s="1"/>
  <c r="L69" i="12"/>
  <c r="AB63" i="10"/>
  <c r="AC60" i="10"/>
  <c r="L66" i="11"/>
  <c r="AA63" i="10"/>
  <c r="L66" i="10"/>
  <c r="L66" i="9"/>
  <c r="J64" i="2"/>
  <c r="J57" i="2"/>
  <c r="J62" i="2" s="1"/>
  <c r="L66" i="12" l="1"/>
  <c r="M82" i="12" s="1"/>
  <c r="M85" i="12" s="1"/>
  <c r="M79" i="12" s="1"/>
  <c r="L85" i="11"/>
  <c r="L86" i="11" s="1"/>
  <c r="L89" i="11" s="1"/>
  <c r="L67" i="11"/>
  <c r="L59" i="11"/>
  <c r="AC63" i="10"/>
  <c r="AD60" i="10"/>
  <c r="AD63" i="10" s="1"/>
  <c r="AD85" i="10" s="1"/>
  <c r="AD86" i="10" s="1"/>
  <c r="L85" i="10"/>
  <c r="L86" i="10" s="1"/>
  <c r="L89" i="10" s="1"/>
  <c r="L59" i="10"/>
  <c r="L67" i="10"/>
  <c r="L85" i="9"/>
  <c r="L86" i="9" s="1"/>
  <c r="L89" i="9" s="1"/>
  <c r="L59" i="9"/>
  <c r="L67" i="9"/>
  <c r="J65" i="2"/>
  <c r="J83" i="2"/>
  <c r="J84" i="2" s="1"/>
  <c r="J87" i="2" s="1"/>
  <c r="K77" i="2"/>
  <c r="M68" i="12" l="1"/>
  <c r="L64" i="11"/>
  <c r="M79" i="11" s="1"/>
  <c r="M82" i="11" s="1"/>
  <c r="L64" i="10"/>
  <c r="M79" i="10" s="1"/>
  <c r="M82" i="10" s="1"/>
  <c r="L64" i="9"/>
  <c r="M79" i="9" s="1"/>
  <c r="M82" i="9" s="1"/>
  <c r="K80" i="2"/>
  <c r="M89" i="12" l="1"/>
  <c r="M92" i="12" s="1"/>
  <c r="M69" i="12"/>
  <c r="M66" i="11"/>
  <c r="M66" i="10"/>
  <c r="M66" i="9"/>
  <c r="K64" i="2"/>
  <c r="K83" i="2" s="1"/>
  <c r="K84" i="2" s="1"/>
  <c r="K87" i="2" s="1"/>
  <c r="M66" i="12" l="1"/>
  <c r="N82" i="12" s="1"/>
  <c r="N85" i="12" s="1"/>
  <c r="N79" i="12" s="1"/>
  <c r="M85" i="11"/>
  <c r="M86" i="11" s="1"/>
  <c r="M89" i="11" s="1"/>
  <c r="M59" i="11"/>
  <c r="M67" i="11"/>
  <c r="M85" i="10"/>
  <c r="M86" i="10" s="1"/>
  <c r="M89" i="10" s="1"/>
  <c r="M59" i="10"/>
  <c r="M67" i="10"/>
  <c r="M85" i="9"/>
  <c r="M86" i="9" s="1"/>
  <c r="M89" i="9" s="1"/>
  <c r="M67" i="9"/>
  <c r="M59" i="9"/>
  <c r="K65" i="2"/>
  <c r="K57" i="2"/>
  <c r="K62" i="2" s="1"/>
  <c r="L77" i="2" s="1"/>
  <c r="N68" i="12" l="1"/>
  <c r="M64" i="11"/>
  <c r="N79" i="11" s="1"/>
  <c r="N82" i="11" s="1"/>
  <c r="M64" i="10"/>
  <c r="N79" i="10" s="1"/>
  <c r="N82" i="10" s="1"/>
  <c r="M64" i="9"/>
  <c r="N79" i="9" s="1"/>
  <c r="N82" i="9" s="1"/>
  <c r="L80" i="2"/>
  <c r="L64" i="2" s="1"/>
  <c r="L83" i="2" s="1"/>
  <c r="L84" i="2" s="1"/>
  <c r="L87" i="2" s="1"/>
  <c r="N89" i="12" l="1"/>
  <c r="N92" i="12" s="1"/>
  <c r="N69" i="12"/>
  <c r="N66" i="11"/>
  <c r="N66" i="10"/>
  <c r="N66" i="9"/>
  <c r="L65" i="2"/>
  <c r="L57" i="2"/>
  <c r="L62" i="2" s="1"/>
  <c r="N66" i="12" l="1"/>
  <c r="O82" i="12" s="1"/>
  <c r="O85" i="12" s="1"/>
  <c r="O79" i="12" s="1"/>
  <c r="N85" i="11"/>
  <c r="N86" i="11" s="1"/>
  <c r="N89" i="11" s="1"/>
  <c r="N59" i="11"/>
  <c r="N67" i="11"/>
  <c r="N85" i="10"/>
  <c r="N86" i="10" s="1"/>
  <c r="N89" i="10" s="1"/>
  <c r="N67" i="10"/>
  <c r="N59" i="10"/>
  <c r="N85" i="9"/>
  <c r="N86" i="9" s="1"/>
  <c r="N89" i="9" s="1"/>
  <c r="N59" i="9"/>
  <c r="N67" i="9"/>
  <c r="M77" i="2"/>
  <c r="O68" i="12" l="1"/>
  <c r="N64" i="11"/>
  <c r="O79" i="11" s="1"/>
  <c r="O82" i="11" s="1"/>
  <c r="N64" i="10"/>
  <c r="O79" i="10" s="1"/>
  <c r="O82" i="10" s="1"/>
  <c r="N64" i="9"/>
  <c r="O79" i="9" s="1"/>
  <c r="O82" i="9" s="1"/>
  <c r="M80" i="2"/>
  <c r="M64" i="2" s="1"/>
  <c r="M65" i="2" s="1"/>
  <c r="O89" i="12" l="1"/>
  <c r="O92" i="12" s="1"/>
  <c r="O69" i="12"/>
  <c r="O66" i="11"/>
  <c r="O66" i="10"/>
  <c r="O66" i="9"/>
  <c r="M57" i="2"/>
  <c r="M62" i="2" s="1"/>
  <c r="M83" i="2"/>
  <c r="M84" i="2" s="1"/>
  <c r="M87" i="2" s="1"/>
  <c r="O66" i="12" l="1"/>
  <c r="P82" i="12" s="1"/>
  <c r="P85" i="12" s="1"/>
  <c r="P79" i="12" s="1"/>
  <c r="O85" i="11"/>
  <c r="O86" i="11" s="1"/>
  <c r="O89" i="11" s="1"/>
  <c r="O67" i="11"/>
  <c r="O59" i="11"/>
  <c r="O85" i="10"/>
  <c r="O86" i="10" s="1"/>
  <c r="O89" i="10" s="1"/>
  <c r="O67" i="10"/>
  <c r="O59" i="10"/>
  <c r="O85" i="9"/>
  <c r="O86" i="9" s="1"/>
  <c r="O89" i="9" s="1"/>
  <c r="O67" i="9"/>
  <c r="O59" i="9"/>
  <c r="N77" i="2"/>
  <c r="P68" i="12" l="1"/>
  <c r="O64" i="11"/>
  <c r="P79" i="11" s="1"/>
  <c r="P82" i="11" s="1"/>
  <c r="O64" i="10"/>
  <c r="P79" i="10" s="1"/>
  <c r="P82" i="10" s="1"/>
  <c r="O64" i="9"/>
  <c r="P79" i="9" s="1"/>
  <c r="P82" i="9" s="1"/>
  <c r="N80" i="2"/>
  <c r="P89" i="12" l="1"/>
  <c r="P92" i="12" s="1"/>
  <c r="P69" i="12"/>
  <c r="P66" i="11"/>
  <c r="P66" i="10"/>
  <c r="P66" i="9"/>
  <c r="N64" i="2"/>
  <c r="N83" i="2" s="1"/>
  <c r="N84" i="2" s="1"/>
  <c r="N87" i="2" s="1"/>
  <c r="P66" i="12" l="1"/>
  <c r="Q82" i="12" s="1"/>
  <c r="Q85" i="12" s="1"/>
  <c r="Q79" i="12" s="1"/>
  <c r="P85" i="11"/>
  <c r="P86" i="11" s="1"/>
  <c r="P89" i="11" s="1"/>
  <c r="P67" i="11"/>
  <c r="P59" i="11"/>
  <c r="P85" i="10"/>
  <c r="P86" i="10" s="1"/>
  <c r="P89" i="10" s="1"/>
  <c r="P67" i="10"/>
  <c r="P59" i="10"/>
  <c r="P85" i="9"/>
  <c r="P86" i="9" s="1"/>
  <c r="P89" i="9" s="1"/>
  <c r="P59" i="9"/>
  <c r="P67" i="9"/>
  <c r="N57" i="2"/>
  <c r="N62" i="2" s="1"/>
  <c r="O77" i="2" s="1"/>
  <c r="N65" i="2"/>
  <c r="Q68" i="12" l="1"/>
  <c r="P64" i="11"/>
  <c r="Q79" i="11" s="1"/>
  <c r="Q82" i="11" s="1"/>
  <c r="P64" i="10"/>
  <c r="Q79" i="10" s="1"/>
  <c r="Q82" i="10" s="1"/>
  <c r="P64" i="9"/>
  <c r="Q79" i="9" s="1"/>
  <c r="Q82" i="9" s="1"/>
  <c r="O80" i="2"/>
  <c r="O64" i="2" s="1"/>
  <c r="O83" i="2" s="1"/>
  <c r="O84" i="2" s="1"/>
  <c r="O87" i="2" s="1"/>
  <c r="Q89" i="12" l="1"/>
  <c r="Q92" i="12" s="1"/>
  <c r="Q69" i="12"/>
  <c r="Q66" i="11"/>
  <c r="Q66" i="10"/>
  <c r="Q66" i="9"/>
  <c r="O57" i="2"/>
  <c r="O62" i="2" s="1"/>
  <c r="O65" i="2"/>
  <c r="Q66" i="12" l="1"/>
  <c r="R82" i="12" s="1"/>
  <c r="R85" i="12" s="1"/>
  <c r="R79" i="12" s="1"/>
  <c r="Q85" i="11"/>
  <c r="Q86" i="11" s="1"/>
  <c r="Q89" i="11" s="1"/>
  <c r="Q67" i="11"/>
  <c r="Q59" i="11"/>
  <c r="Q85" i="10"/>
  <c r="Q86" i="10" s="1"/>
  <c r="Q89" i="10" s="1"/>
  <c r="Q67" i="10"/>
  <c r="Q59" i="10"/>
  <c r="Q85" i="9"/>
  <c r="Q86" i="9" s="1"/>
  <c r="Q89" i="9" s="1"/>
  <c r="Q67" i="9"/>
  <c r="Q59" i="9"/>
  <c r="P77" i="2"/>
  <c r="R68" i="12" l="1"/>
  <c r="Q64" i="11"/>
  <c r="R79" i="11" s="1"/>
  <c r="R82" i="11" s="1"/>
  <c r="Q64" i="10"/>
  <c r="R79" i="10" s="1"/>
  <c r="R82" i="10" s="1"/>
  <c r="Q64" i="9"/>
  <c r="R79" i="9" s="1"/>
  <c r="R82" i="9" s="1"/>
  <c r="P80" i="2"/>
  <c r="R89" i="12" l="1"/>
  <c r="R92" i="12" s="1"/>
  <c r="R69" i="12"/>
  <c r="R66" i="11"/>
  <c r="R66" i="10"/>
  <c r="R66" i="9"/>
  <c r="P64" i="2"/>
  <c r="P83" i="2" s="1"/>
  <c r="P84" i="2" s="1"/>
  <c r="P87" i="2" s="1"/>
  <c r="R66" i="12" l="1"/>
  <c r="S82" i="12" s="1"/>
  <c r="S85" i="12" s="1"/>
  <c r="S79" i="12" s="1"/>
  <c r="R85" i="11"/>
  <c r="R86" i="11" s="1"/>
  <c r="R89" i="11" s="1"/>
  <c r="R67" i="11"/>
  <c r="R59" i="11"/>
  <c r="R85" i="10"/>
  <c r="R86" i="10" s="1"/>
  <c r="R89" i="10" s="1"/>
  <c r="R67" i="10"/>
  <c r="R59" i="10"/>
  <c r="R85" i="9"/>
  <c r="R86" i="9" s="1"/>
  <c r="R89" i="9" s="1"/>
  <c r="R67" i="9"/>
  <c r="R59" i="9"/>
  <c r="P65" i="2"/>
  <c r="P57" i="2"/>
  <c r="P62" i="2" s="1"/>
  <c r="Q77" i="2" s="1"/>
  <c r="S68" i="12" l="1"/>
  <c r="R64" i="11"/>
  <c r="S79" i="11" s="1"/>
  <c r="S82" i="11" s="1"/>
  <c r="R64" i="10"/>
  <c r="S79" i="10" s="1"/>
  <c r="S82" i="10" s="1"/>
  <c r="R64" i="9"/>
  <c r="S79" i="9" s="1"/>
  <c r="S82" i="9" s="1"/>
  <c r="Q80" i="2"/>
  <c r="Q64" i="2" s="1"/>
  <c r="Q65" i="2" s="1"/>
  <c r="S89" i="12" l="1"/>
  <c r="S92" i="12" s="1"/>
  <c r="S69" i="12"/>
  <c r="T69" i="12" s="1"/>
  <c r="S66" i="11"/>
  <c r="S66" i="10"/>
  <c r="S66" i="9"/>
  <c r="Q57" i="2"/>
  <c r="Q62" i="2" s="1"/>
  <c r="Q83" i="2"/>
  <c r="Q84" i="2" s="1"/>
  <c r="Q87" i="2" s="1"/>
  <c r="T66" i="12" l="1"/>
  <c r="S66" i="12"/>
  <c r="T82" i="12" s="1"/>
  <c r="S85" i="11"/>
  <c r="S86" i="11" s="1"/>
  <c r="S89" i="11" s="1"/>
  <c r="S59" i="11"/>
  <c r="S67" i="11"/>
  <c r="T67" i="11" s="1"/>
  <c r="S85" i="10"/>
  <c r="S86" i="10" s="1"/>
  <c r="S89" i="10" s="1"/>
  <c r="S59" i="10"/>
  <c r="S67" i="10"/>
  <c r="S85" i="9"/>
  <c r="S86" i="9" s="1"/>
  <c r="S89" i="9" s="1"/>
  <c r="S67" i="9"/>
  <c r="S59" i="9"/>
  <c r="R77" i="2"/>
  <c r="T85" i="12" l="1"/>
  <c r="B49" i="12"/>
  <c r="T76" i="12"/>
  <c r="B31" i="12"/>
  <c r="B34" i="12"/>
  <c r="T59" i="11"/>
  <c r="T64" i="11" s="1"/>
  <c r="S64" i="11"/>
  <c r="T79" i="11" s="1"/>
  <c r="S64" i="10"/>
  <c r="T67" i="9"/>
  <c r="B49" i="9"/>
  <c r="S64" i="9"/>
  <c r="T79" i="9" s="1"/>
  <c r="T82" i="9" s="1"/>
  <c r="T59" i="9"/>
  <c r="T64" i="9" s="1"/>
  <c r="R80" i="2"/>
  <c r="B52" i="12" l="1"/>
  <c r="T77" i="12"/>
  <c r="T79" i="12" s="1"/>
  <c r="T92" i="12" s="1"/>
  <c r="E93" i="12" s="1"/>
  <c r="T82" i="11"/>
  <c r="B52" i="11" s="1"/>
  <c r="B49" i="11"/>
  <c r="T73" i="11"/>
  <c r="B34" i="11"/>
  <c r="T79" i="10"/>
  <c r="T82" i="10" s="1"/>
  <c r="T66" i="10" s="1"/>
  <c r="B49" i="10"/>
  <c r="B31" i="10"/>
  <c r="B34" i="10"/>
  <c r="T73" i="9"/>
  <c r="B52" i="9"/>
  <c r="R64" i="2"/>
  <c r="R57" i="2" s="1"/>
  <c r="T74" i="11" l="1"/>
  <c r="T76" i="11" s="1"/>
  <c r="T89" i="11" s="1"/>
  <c r="E90" i="11" s="1"/>
  <c r="T85" i="10"/>
  <c r="T86" i="10" s="1"/>
  <c r="T89" i="10" s="1"/>
  <c r="T59" i="10"/>
  <c r="T67" i="10"/>
  <c r="T74" i="9"/>
  <c r="T76" i="9" s="1"/>
  <c r="T89" i="9" s="1"/>
  <c r="E90" i="9" s="1"/>
  <c r="R62" i="2"/>
  <c r="S77" i="2" s="1"/>
  <c r="S80" i="2" s="1"/>
  <c r="R65" i="2"/>
  <c r="R83" i="2"/>
  <c r="R84" i="2" s="1"/>
  <c r="R87" i="2" s="1"/>
  <c r="T64" i="10" l="1"/>
  <c r="S64" i="2"/>
  <c r="U79" i="10" l="1"/>
  <c r="U82" i="10" s="1"/>
  <c r="U66" i="10" s="1"/>
  <c r="B52" i="10"/>
  <c r="S83" i="2"/>
  <c r="S84" i="2" s="1"/>
  <c r="S87" i="2" s="1"/>
  <c r="S57" i="2"/>
  <c r="S65" i="2"/>
  <c r="B49" i="2"/>
  <c r="U85" i="10" l="1"/>
  <c r="U86" i="10" s="1"/>
  <c r="U89" i="10" s="1"/>
  <c r="U59" i="10"/>
  <c r="U67" i="10"/>
  <c r="S62" i="2"/>
  <c r="T77" i="2" s="1"/>
  <c r="T80" i="2" s="1"/>
  <c r="T83" i="2" s="1"/>
  <c r="T84" i="2" s="1"/>
  <c r="U64" i="10" l="1"/>
  <c r="V79" i="10" s="1"/>
  <c r="V82" i="10" s="1"/>
  <c r="V66" i="10" s="1"/>
  <c r="V85" i="10" s="1"/>
  <c r="V86" i="10" s="1"/>
  <c r="V89" i="10" s="1"/>
  <c r="T57" i="2"/>
  <c r="T62" i="2" s="1"/>
  <c r="T71" i="2" s="1"/>
  <c r="T65" i="2"/>
  <c r="V59" i="10" l="1"/>
  <c r="V64" i="10"/>
  <c r="W79" i="10" s="1"/>
  <c r="W82" i="10" s="1"/>
  <c r="W66" i="10" s="1"/>
  <c r="W85" i="10" s="1"/>
  <c r="W86" i="10" s="1"/>
  <c r="W89" i="10" s="1"/>
  <c r="W59" i="10"/>
  <c r="V67" i="10"/>
  <c r="W67" i="10" s="1"/>
  <c r="T72" i="2"/>
  <c r="T74" i="2" s="1"/>
  <c r="T87" i="2" s="1"/>
  <c r="W64" i="10" l="1"/>
  <c r="X79" i="10" s="1"/>
  <c r="X82" i="10" s="1"/>
  <c r="X66" i="10" s="1"/>
  <c r="X85" i="10" s="1"/>
  <c r="X86" i="10" s="1"/>
  <c r="X89" i="10" s="1"/>
  <c r="B52" i="2"/>
  <c r="X59" i="10" l="1"/>
  <c r="X64" i="10"/>
  <c r="Y79" i="10" s="1"/>
  <c r="Y82" i="10" s="1"/>
  <c r="Y66" i="10" s="1"/>
  <c r="Y85" i="10" s="1"/>
  <c r="Y86" i="10" s="1"/>
  <c r="Y89" i="10" s="1"/>
  <c r="X67" i="10"/>
  <c r="Y67" i="10" l="1"/>
  <c r="Y59" i="10"/>
  <c r="Y64" i="10"/>
  <c r="Z79" i="10" s="1"/>
  <c r="Z82" i="10" s="1"/>
  <c r="Z66" i="10" s="1"/>
  <c r="Z85" i="10" s="1"/>
  <c r="Z86" i="10" s="1"/>
  <c r="Z89" i="10" s="1"/>
  <c r="Z59" i="10"/>
  <c r="Z64" i="10" l="1"/>
  <c r="AA79" i="10" s="1"/>
  <c r="AA82" i="10" s="1"/>
  <c r="AA66" i="10" s="1"/>
  <c r="AA85" i="10" s="1"/>
  <c r="AA86" i="10" s="1"/>
  <c r="AA89" i="10" s="1"/>
  <c r="AA59" i="10"/>
  <c r="Z67" i="10"/>
  <c r="AA67" i="10" s="1"/>
  <c r="AA64" i="10" l="1"/>
  <c r="AB79" i="10" l="1"/>
  <c r="AB82" i="10" s="1"/>
  <c r="AB66" i="10" s="1"/>
  <c r="E88" i="2"/>
  <c r="AB85" i="10" l="1"/>
  <c r="AB86" i="10" s="1"/>
  <c r="AB67" i="10"/>
  <c r="AB59" i="10"/>
  <c r="AB64" i="10" l="1"/>
  <c r="AC79" i="10" s="1"/>
  <c r="AC82" i="10" s="1"/>
  <c r="AC66" i="10" l="1"/>
  <c r="AC85" i="10" l="1"/>
  <c r="AC86" i="10" s="1"/>
  <c r="AC89" i="10" s="1"/>
  <c r="AC59" i="10"/>
  <c r="AC67" i="10"/>
  <c r="AD67" i="10" s="1"/>
  <c r="AC64" i="10" l="1"/>
  <c r="AD79" i="10" s="1"/>
  <c r="AD82" i="10" s="1"/>
  <c r="AD59" i="10"/>
  <c r="AD64" i="10" s="1"/>
  <c r="AD73" i="10" s="1"/>
  <c r="AD74" i="10" l="1"/>
  <c r="AD76" i="10"/>
  <c r="AD89" i="10" s="1"/>
  <c r="E90" i="10" s="1"/>
</calcChain>
</file>

<file path=xl/sharedStrings.xml><?xml version="1.0" encoding="utf-8"?>
<sst xmlns="http://schemas.openxmlformats.org/spreadsheetml/2006/main" count="458" uniqueCount="90">
  <si>
    <t>Case Author: Andrew Grigolyunovich, CFA, CFM, FMVA</t>
  </si>
  <si>
    <t>Company Name:</t>
  </si>
  <si>
    <r>
      <rPr>
        <sz val="8"/>
        <rFont val="Calibri"/>
        <family val="2"/>
      </rPr>
      <t>[%</t>
    </r>
    <r>
      <rPr>
        <sz val="8"/>
        <rFont val="Roboto"/>
      </rPr>
      <t>]</t>
    </r>
  </si>
  <si>
    <t>Origination Fee</t>
  </si>
  <si>
    <t>Disposition Fee</t>
  </si>
  <si>
    <t>Interest Rate</t>
  </si>
  <si>
    <t>Loan-to-Value (LTV)</t>
  </si>
  <si>
    <t>Forest Investment</t>
  </si>
  <si>
    <t>Case Assumptions</t>
  </si>
  <si>
    <t>Perpetual Growth Capital</t>
  </si>
  <si>
    <r>
      <rPr>
        <sz val="8"/>
        <rFont val="Calibri"/>
        <family val="2"/>
      </rPr>
      <t>[Year</t>
    </r>
    <r>
      <rPr>
        <sz val="8"/>
        <rFont val="Roboto"/>
      </rPr>
      <t>]</t>
    </r>
  </si>
  <si>
    <t>Model Start Year</t>
  </si>
  <si>
    <t>Property Sale (Year of Operations)</t>
  </si>
  <si>
    <t>Property Sale (Calendar Year)</t>
  </si>
  <si>
    <t>Bank Loan</t>
  </si>
  <si>
    <t>Operating Assumptions</t>
  </si>
  <si>
    <t>Management fee</t>
  </si>
  <si>
    <t>Cutting Costs</t>
  </si>
  <si>
    <t>Forest Annual Growth Rate</t>
  </si>
  <si>
    <t>Planting Costs</t>
  </si>
  <si>
    <t>Annual Inflation Rate</t>
  </si>
  <si>
    <t>Acquisition and Disposition Assumptions</t>
  </si>
  <si>
    <t>Acquisition Price</t>
  </si>
  <si>
    <r>
      <rPr>
        <sz val="8"/>
        <rFont val="Calibri"/>
        <family val="2"/>
      </rPr>
      <t>[$</t>
    </r>
    <r>
      <rPr>
        <sz val="8"/>
        <rFont val="Roboto"/>
      </rPr>
      <t>]</t>
    </r>
  </si>
  <si>
    <r>
      <rPr>
        <sz val="8"/>
        <rFont val="Calibri"/>
        <family val="2"/>
      </rPr>
      <t>[#</t>
    </r>
    <r>
      <rPr>
        <sz val="8"/>
        <rFont val="Roboto"/>
      </rPr>
      <t>]</t>
    </r>
  </si>
  <si>
    <t>Initial Wood Volume</t>
  </si>
  <si>
    <r>
      <rPr>
        <sz val="8"/>
        <rFont val="Calibri"/>
        <family val="2"/>
      </rPr>
      <t>[M</t>
    </r>
    <r>
      <rPr>
        <vertAlign val="superscript"/>
        <sz val="8"/>
        <rFont val="Calibri"/>
        <family val="2"/>
      </rPr>
      <t>3</t>
    </r>
    <r>
      <rPr>
        <sz val="8"/>
        <rFont val="Roboto"/>
      </rPr>
      <t>]</t>
    </r>
  </si>
  <si>
    <t>Wood Price at Acquisition</t>
  </si>
  <si>
    <r>
      <rPr>
        <sz val="8"/>
        <rFont val="Calibri"/>
        <family val="2"/>
      </rPr>
      <t>[$/M</t>
    </r>
    <r>
      <rPr>
        <vertAlign val="superscript"/>
        <sz val="8"/>
        <rFont val="Calibri"/>
        <family val="2"/>
      </rPr>
      <t>3</t>
    </r>
    <r>
      <rPr>
        <sz val="8"/>
        <rFont val="Roboto"/>
      </rPr>
      <t>]</t>
    </r>
  </si>
  <si>
    <r>
      <rPr>
        <sz val="8"/>
        <rFont val="Calibri"/>
        <family val="2"/>
      </rPr>
      <t>[% p.a.</t>
    </r>
    <r>
      <rPr>
        <sz val="8"/>
        <rFont val="Roboto"/>
      </rPr>
      <t>]</t>
    </r>
  </si>
  <si>
    <r>
      <rPr>
        <sz val="8"/>
        <rFont val="Calibri"/>
        <family val="2"/>
      </rPr>
      <t>[% of Value</t>
    </r>
    <r>
      <rPr>
        <sz val="8"/>
        <rFont val="Roboto"/>
      </rPr>
      <t>]</t>
    </r>
  </si>
  <si>
    <t>RE Tax</t>
  </si>
  <si>
    <r>
      <rPr>
        <sz val="8"/>
        <rFont val="Calibri"/>
        <family val="2"/>
      </rPr>
      <t>[$/Year</t>
    </r>
    <r>
      <rPr>
        <sz val="8"/>
        <rFont val="Roboto"/>
      </rPr>
      <t>]</t>
    </r>
  </si>
  <si>
    <t>General &amp; Macroeconomy Assumptions</t>
  </si>
  <si>
    <t>Intrinsic Value at Acquisition (Volume * (Price - Cutting Cost - Planting Costs)</t>
  </si>
  <si>
    <t>Wood Price at EOY</t>
  </si>
  <si>
    <t>Wood Volume at EOY</t>
  </si>
  <si>
    <t>Cutting Costs at EOY</t>
  </si>
  <si>
    <t>Planting Costs at EOY</t>
  </si>
  <si>
    <t>a</t>
  </si>
  <si>
    <t>What amount of loan will PGC be able to attract?</t>
  </si>
  <si>
    <t>d</t>
  </si>
  <si>
    <t>c</t>
  </si>
  <si>
    <t>b</t>
  </si>
  <si>
    <t>How much will be the real estate tax payment for the Year...?</t>
  </si>
  <si>
    <t>Projected price of wood net of cutting and planting expenses at the end of Year…</t>
  </si>
  <si>
    <t>Projected market price of wood at the end of Year…</t>
  </si>
  <si>
    <t>(Compound Growth  = Price * (1 + 0.02)^year)</t>
  </si>
  <si>
    <t>Value</t>
  </si>
  <si>
    <t>Annual Interest</t>
  </si>
  <si>
    <t>Loan Amount</t>
  </si>
  <si>
    <t>Fixed Expenses for Year  ...?</t>
  </si>
  <si>
    <t>M3 of wood will PGC need to cut and sell to finance these costs in Year …</t>
  </si>
  <si>
    <t>Net Wood Price at EOY</t>
  </si>
  <si>
    <t>Wood cut overall during the lifetime of the project</t>
  </si>
  <si>
    <t>Fixed Expense EOY</t>
  </si>
  <si>
    <t>Annual Cut Minimum</t>
  </si>
  <si>
    <t>Cum Cut Minimum</t>
  </si>
  <si>
    <t>e</t>
  </si>
  <si>
    <t>f</t>
  </si>
  <si>
    <t>Project Value EOY…</t>
  </si>
  <si>
    <t>Cash Flow</t>
  </si>
  <si>
    <t>Wood Sale</t>
  </si>
  <si>
    <t>Property Sale</t>
  </si>
  <si>
    <t>Revenue</t>
  </si>
  <si>
    <t>Loan Repayment</t>
  </si>
  <si>
    <t>Property Purchase</t>
  </si>
  <si>
    <t>Acquisition &amp; Disposition</t>
  </si>
  <si>
    <t>Loan Withdrawal</t>
  </si>
  <si>
    <t>Operating Expenses</t>
  </si>
  <si>
    <t>Loan Interest</t>
  </si>
  <si>
    <t>IRR - to equity</t>
  </si>
  <si>
    <t>Revenue Total</t>
  </si>
  <si>
    <t>Property management fee for Year ...?</t>
  </si>
  <si>
    <t>Equity Injection</t>
  </si>
  <si>
    <t>Net Transaction Amounts</t>
  </si>
  <si>
    <t>12. “What is the maximum acquisition price that we can pay for the project and still deliver a 9% IRR rate?”</t>
  </si>
  <si>
    <t>Data --&gt; What-If Analysis --&gt; Goal Seek (E90, .09, E71)</t>
  </si>
  <si>
    <t>“What happens if we hold the project for 25 years? What is the project IRR then?”</t>
  </si>
  <si>
    <t>Assume that last year no cutting, insert columns and adjust…off by .2% (rounding?)</t>
  </si>
  <si>
    <t>“What if the wood growth rate is not as good as we project? If it is 4% per year instead of 5%, what is the project IRR then?”</t>
  </si>
  <si>
    <t>Change Named Cell  "Forest_growth_rate" - Propogates automatically off by .01%(rounding?)</t>
  </si>
  <si>
    <t xml:space="preserve">“Let’s not cut the trees to finance operations but rather make equity injections every year. </t>
  </si>
  <si>
    <t>We will sell the property for more money at the end of Year 15!” While it is true that the property will be more expensive, will it be a better investment? What will be the project IRR in this case?</t>
  </si>
  <si>
    <t>Insert "Equity Injection"(B72)at all 0's to reconcile answers, Remove the Annual Cut Minimum adjustment to EOY volume, Remove Wood Sales</t>
  </si>
  <si>
    <t xml:space="preserve"> (unfortunately the problem is not realistic about the return on equity and doesn't appear to take on this new expense so I solved to match multiple choice, yuck…still rounding off by .01%)</t>
  </si>
  <si>
    <t>Solution Attempt By Brookes Blackburn</t>
  </si>
  <si>
    <t>Start Time:</t>
  </si>
  <si>
    <t>Finish Time:</t>
  </si>
  <si>
    <t>Total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</si>
</sst>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_-;\-* #,##0_-;_-* &quot;-&quot;??_-;_-@_-"/>
    <numFmt numFmtId="165" formatCode="0.0%"/>
    <numFmt numFmtId="169" formatCode="&quot;EOY &quot;\ #"/>
    <numFmt numFmtId="177" formatCode="0.00\ &quot; M^3&quot;"/>
    <numFmt numFmtId="181" formatCode="0\ &quot; M^3&quot;"/>
    <numFmt numFmtId="185" formatCode="#.#\ &quot;hrs&quot;"/>
  </numFmts>
  <fonts count="32">
    <font>
      <sz val="10"/>
      <name val="Arial"/>
      <family val="2"/>
    </font>
    <font>
      <sz val="10"/>
      <name val="Arial"/>
      <family val="2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sz val="11"/>
      <color rgb="FF3F3F76"/>
      <name val="Calibri"/>
      <family val="2"/>
      <scheme val="minor"/>
    </font>
    <font>
      <sz val="10"/>
      <name val="Roboto"/>
    </font>
    <font>
      <b/>
      <sz val="10"/>
      <name val="Roboto"/>
    </font>
    <font>
      <b/>
      <sz val="20"/>
      <color theme="0"/>
      <name val="Roboto"/>
    </font>
    <font>
      <b/>
      <sz val="28"/>
      <color theme="0"/>
      <name val="Roboto"/>
    </font>
    <font>
      <b/>
      <sz val="10"/>
      <color rgb="FF6C7079"/>
      <name val="Roboto"/>
    </font>
    <font>
      <u/>
      <sz val="10"/>
      <color theme="10"/>
      <name val="Arial"/>
      <family val="2"/>
    </font>
    <font>
      <b/>
      <u/>
      <sz val="10"/>
      <color rgb="FF6C7079"/>
      <name val="roboto"/>
    </font>
    <font>
      <sz val="10"/>
      <color rgb="FF0085B2"/>
      <name val="Roboto"/>
    </font>
    <font>
      <sz val="8"/>
      <name val="Roboto"/>
      <family val="2"/>
    </font>
    <font>
      <sz val="8"/>
      <name val="Calibri"/>
      <family val="2"/>
    </font>
    <font>
      <sz val="8"/>
      <name val="Roboto"/>
    </font>
    <font>
      <b/>
      <sz val="18"/>
      <name val="Roboto"/>
    </font>
    <font>
      <sz val="12"/>
      <name val="Roboto"/>
    </font>
    <font>
      <vertAlign val="superscript"/>
      <sz val="8"/>
      <name val="Calibri"/>
      <family val="2"/>
    </font>
    <font>
      <b/>
      <sz val="8"/>
      <name val="Roboto"/>
    </font>
    <font>
      <i/>
      <sz val="10"/>
      <name val="Roboto"/>
    </font>
    <font>
      <b/>
      <u/>
      <sz val="10"/>
      <name val="Roboto"/>
    </font>
    <font>
      <b/>
      <sz val="12"/>
      <name val="Roboto"/>
    </font>
    <font>
      <sz val="10"/>
      <color rgb="FF0000FF"/>
      <name val="Roboto"/>
    </font>
    <font>
      <b/>
      <sz val="10"/>
      <color rgb="FF0000FF"/>
      <name val="Roboto"/>
    </font>
    <font>
      <b/>
      <sz val="12"/>
      <color rgb="FF0000FF"/>
      <name val="Roboto"/>
    </font>
    <font>
      <i/>
      <sz val="12"/>
      <color rgb="FF0000FF"/>
      <name val="Roboto"/>
    </font>
    <font>
      <i/>
      <sz val="10"/>
      <color rgb="FF0000FF"/>
      <name val="Roboto"/>
    </font>
    <font>
      <b/>
      <sz val="36"/>
      <color rgb="FF0085B2"/>
      <name val="Roboto"/>
    </font>
    <font>
      <sz val="16"/>
      <color rgb="FF0085B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208BB7"/>
        <bgColor indexed="64"/>
      </patternFill>
    </fill>
    <fill>
      <patternFill patternType="solid">
        <fgColor rgb="FF6C70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3" fillId="0" borderId="0" applyNumberFormat="0" applyFont="0" applyFill="0" applyBorder="0" applyProtection="0">
      <alignment horizontal="centerContinuous"/>
    </xf>
    <xf numFmtId="0" fontId="3" fillId="0" borderId="2" applyNumberFormat="0" applyFont="0" applyFill="0" applyAlignment="0" applyProtection="0"/>
    <xf numFmtId="0" fontId="3" fillId="0" borderId="0" applyNumberFormat="0" applyFont="0" applyFill="0" applyBorder="0" applyProtection="0">
      <alignment horizontal="center"/>
    </xf>
    <xf numFmtId="8" fontId="4" fillId="0" borderId="4">
      <protection locked="0"/>
    </xf>
    <xf numFmtId="0" fontId="3" fillId="0" borderId="5" applyNumberFormat="0" applyFont="0" applyFill="0" applyAlignment="0" applyProtection="0"/>
    <xf numFmtId="0" fontId="5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3" fillId="0" borderId="3" applyNumberFormat="0" applyFont="0" applyFill="0" applyAlignment="0" applyProtection="0"/>
    <xf numFmtId="9" fontId="1" fillId="0" borderId="0" applyFont="0" applyFill="0" applyBorder="0" applyAlignment="0" applyProtection="0"/>
    <xf numFmtId="0" fontId="6" fillId="2" borderId="6" applyNumberFormat="0" applyAlignment="0" applyProtection="0"/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5" fontId="11" fillId="0" borderId="0" xfId="0" applyNumberFormat="1" applyFont="1" applyAlignment="1">
      <alignment horizontal="right"/>
    </xf>
    <xf numFmtId="0" fontId="13" fillId="0" borderId="0" xfId="11" applyFont="1"/>
    <xf numFmtId="0" fontId="14" fillId="2" borderId="6" xfId="10" applyNumberFormat="1" applyFont="1" applyAlignment="1" applyProtection="1">
      <alignment horizontal="center"/>
      <protection locked="0"/>
    </xf>
    <xf numFmtId="0" fontId="8" fillId="0" borderId="2" xfId="0" applyFont="1" applyBorder="1"/>
    <xf numFmtId="0" fontId="7" fillId="0" borderId="2" xfId="0" applyFont="1" applyBorder="1"/>
    <xf numFmtId="0" fontId="7" fillId="0" borderId="0" xfId="0" applyFont="1" applyAlignment="1">
      <alignment horizontal="left" indent="1"/>
    </xf>
    <xf numFmtId="0" fontId="15" fillId="0" borderId="0" xfId="0" applyFont="1" applyAlignment="1">
      <alignment horizontal="center"/>
    </xf>
    <xf numFmtId="10" fontId="14" fillId="2" borderId="6" xfId="10" applyNumberFormat="1" applyFont="1" applyAlignment="1" applyProtection="1">
      <alignment horizontal="center"/>
      <protection locked="0"/>
    </xf>
    <xf numFmtId="3" fontId="18" fillId="0" borderId="0" xfId="0" applyNumberFormat="1" applyFont="1" applyAlignment="1">
      <alignment horizontal="centerContinuous"/>
    </xf>
    <xf numFmtId="0" fontId="19" fillId="0" borderId="1" xfId="0" applyFon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6" fontId="14" fillId="2" borderId="6" xfId="10" applyNumberFormat="1" applyFon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10" fontId="14" fillId="2" borderId="7" xfId="10" applyNumberFormat="1" applyFont="1" applyBorder="1" applyAlignment="1" applyProtection="1">
      <alignment horizontal="center"/>
      <protection locked="0"/>
    </xf>
    <xf numFmtId="165" fontId="14" fillId="2" borderId="6" xfId="10" applyNumberFormat="1" applyFont="1" applyAlignment="1" applyProtection="1">
      <alignment horizontal="center"/>
      <protection locked="0"/>
    </xf>
    <xf numFmtId="3" fontId="14" fillId="2" borderId="6" xfId="10" applyNumberFormat="1" applyFont="1" applyAlignment="1" applyProtection="1">
      <alignment horizontal="center"/>
      <protection locked="0"/>
    </xf>
    <xf numFmtId="0" fontId="10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0" borderId="0" xfId="0" applyFont="1" applyBorder="1"/>
    <xf numFmtId="0" fontId="7" fillId="0" borderId="0" xfId="0" applyFont="1" applyBorder="1"/>
    <xf numFmtId="169" fontId="7" fillId="0" borderId="0" xfId="0" applyNumberFormat="1" applyFont="1" applyBorder="1"/>
    <xf numFmtId="8" fontId="8" fillId="0" borderId="0" xfId="0" applyNumberFormat="1" applyFont="1" applyBorder="1"/>
    <xf numFmtId="0" fontId="8" fillId="0" borderId="0" xfId="0" applyFont="1" applyBorder="1" applyAlignment="1">
      <alignment horizontal="center"/>
    </xf>
    <xf numFmtId="44" fontId="8" fillId="0" borderId="0" xfId="0" applyNumberFormat="1" applyFont="1" applyBorder="1"/>
    <xf numFmtId="0" fontId="21" fillId="0" borderId="2" xfId="0" applyFont="1" applyBorder="1"/>
    <xf numFmtId="0" fontId="8" fillId="0" borderId="0" xfId="0" applyFont="1" applyAlignment="1">
      <alignment horizontal="left"/>
    </xf>
    <xf numFmtId="44" fontId="8" fillId="0" borderId="0" xfId="12" applyFont="1"/>
    <xf numFmtId="44" fontId="14" fillId="2" borderId="6" xfId="12" applyFont="1" applyFill="1" applyBorder="1" applyAlignment="1" applyProtection="1">
      <alignment horizontal="center"/>
      <protection locked="0"/>
    </xf>
    <xf numFmtId="44" fontId="8" fillId="0" borderId="0" xfId="12" applyFont="1" applyBorder="1"/>
    <xf numFmtId="44" fontId="7" fillId="0" borderId="0" xfId="0" applyNumberFormat="1" applyFont="1"/>
    <xf numFmtId="1" fontId="8" fillId="0" borderId="0" xfId="0" applyNumberFormat="1" applyFont="1" applyBorder="1"/>
    <xf numFmtId="0" fontId="22" fillId="0" borderId="0" xfId="0" applyFont="1" applyBorder="1"/>
    <xf numFmtId="0" fontId="8" fillId="0" borderId="0" xfId="0" applyFont="1" applyAlignment="1">
      <alignment horizontal="left" indent="1"/>
    </xf>
    <xf numFmtId="0" fontId="7" fillId="0" borderId="5" xfId="0" applyFont="1" applyBorder="1"/>
    <xf numFmtId="39" fontId="7" fillId="0" borderId="5" xfId="12" applyNumberFormat="1" applyFont="1" applyBorder="1"/>
    <xf numFmtId="44" fontId="7" fillId="0" borderId="5" xfId="0" applyNumberFormat="1" applyFont="1" applyBorder="1"/>
    <xf numFmtId="10" fontId="7" fillId="0" borderId="0" xfId="12" applyNumberFormat="1" applyFont="1"/>
    <xf numFmtId="0" fontId="7" fillId="0" borderId="0" xfId="0" applyFont="1" applyAlignment="1">
      <alignment horizontal="right"/>
    </xf>
    <xf numFmtId="44" fontId="7" fillId="0" borderId="5" xfId="12" applyFont="1" applyBorder="1"/>
    <xf numFmtId="0" fontId="8" fillId="0" borderId="0" xfId="0" applyFont="1" applyAlignment="1">
      <alignment horizontal="right"/>
    </xf>
    <xf numFmtId="44" fontId="8" fillId="0" borderId="5" xfId="0" applyNumberFormat="1" applyFont="1" applyBorder="1"/>
    <xf numFmtId="0" fontId="23" fillId="0" borderId="8" xfId="0" applyFont="1" applyBorder="1"/>
    <xf numFmtId="0" fontId="7" fillId="0" borderId="9" xfId="0" applyFont="1" applyBorder="1"/>
    <xf numFmtId="44" fontId="7" fillId="0" borderId="9" xfId="0" applyNumberFormat="1" applyFont="1" applyBorder="1"/>
    <xf numFmtId="44" fontId="7" fillId="0" borderId="10" xfId="0" applyNumberFormat="1" applyFont="1" applyBorder="1"/>
    <xf numFmtId="0" fontId="7" fillId="0" borderId="11" xfId="0" applyFont="1" applyBorder="1" applyAlignment="1">
      <alignment horizontal="left" indent="1"/>
    </xf>
    <xf numFmtId="44" fontId="8" fillId="0" borderId="12" xfId="0" applyNumberFormat="1" applyFont="1" applyBorder="1"/>
    <xf numFmtId="0" fontId="8" fillId="0" borderId="13" xfId="0" applyFont="1" applyBorder="1" applyAlignment="1">
      <alignment horizontal="left" indent="1"/>
    </xf>
    <xf numFmtId="0" fontId="7" fillId="0" borderId="1" xfId="0" applyFont="1" applyBorder="1"/>
    <xf numFmtId="44" fontId="7" fillId="0" borderId="1" xfId="0" applyNumberFormat="1" applyFont="1" applyBorder="1"/>
    <xf numFmtId="44" fontId="7" fillId="0" borderId="14" xfId="0" applyNumberFormat="1" applyFont="1" applyBorder="1"/>
    <xf numFmtId="0" fontId="23" fillId="0" borderId="8" xfId="0" applyFont="1" applyBorder="1" applyAlignment="1">
      <alignment horizontal="left"/>
    </xf>
    <xf numFmtId="44" fontId="7" fillId="0" borderId="9" xfId="12" applyFont="1" applyBorder="1"/>
    <xf numFmtId="44" fontId="8" fillId="0" borderId="9" xfId="12" applyFont="1" applyBorder="1"/>
    <xf numFmtId="44" fontId="8" fillId="0" borderId="10" xfId="12" applyFont="1" applyBorder="1"/>
    <xf numFmtId="0" fontId="7" fillId="0" borderId="15" xfId="0" applyFont="1" applyBorder="1" applyAlignment="1">
      <alignment horizontal="left" indent="1"/>
    </xf>
    <xf numFmtId="44" fontId="7" fillId="0" borderId="0" xfId="0" applyNumberFormat="1" applyFont="1" applyBorder="1"/>
    <xf numFmtId="44" fontId="7" fillId="0" borderId="0" xfId="12" applyFont="1" applyBorder="1"/>
    <xf numFmtId="44" fontId="7" fillId="0" borderId="16" xfId="12" applyFont="1" applyBorder="1"/>
    <xf numFmtId="44" fontId="7" fillId="0" borderId="12" xfId="12" applyFont="1" applyBorder="1"/>
    <xf numFmtId="44" fontId="8" fillId="0" borderId="1" xfId="0" applyNumberFormat="1" applyFont="1" applyBorder="1"/>
    <xf numFmtId="44" fontId="8" fillId="0" borderId="14" xfId="0" applyNumberFormat="1" applyFont="1" applyBorder="1"/>
    <xf numFmtId="39" fontId="7" fillId="0" borderId="0" xfId="12" applyNumberFormat="1" applyFont="1" applyBorder="1"/>
    <xf numFmtId="0" fontId="7" fillId="0" borderId="16" xfId="0" applyFont="1" applyBorder="1"/>
    <xf numFmtId="44" fontId="8" fillId="0" borderId="16" xfId="12" applyFont="1" applyBorder="1"/>
    <xf numFmtId="44" fontId="7" fillId="0" borderId="16" xfId="0" applyNumberFormat="1" applyFont="1" applyBorder="1"/>
    <xf numFmtId="0" fontId="8" fillId="0" borderId="1" xfId="0" applyFont="1" applyBorder="1"/>
    <xf numFmtId="44" fontId="8" fillId="0" borderId="1" xfId="12" applyFont="1" applyBorder="1"/>
    <xf numFmtId="44" fontId="8" fillId="0" borderId="14" xfId="12" applyFont="1" applyBorder="1"/>
    <xf numFmtId="0" fontId="7" fillId="0" borderId="8" xfId="0" applyFont="1" applyBorder="1" applyAlignment="1">
      <alignment horizontal="left" indent="1"/>
    </xf>
    <xf numFmtId="177" fontId="7" fillId="0" borderId="9" xfId="12" applyNumberFormat="1" applyFont="1" applyBorder="1"/>
    <xf numFmtId="181" fontId="7" fillId="0" borderId="9" xfId="12" applyNumberFormat="1" applyFont="1" applyBorder="1"/>
    <xf numFmtId="181" fontId="7" fillId="0" borderId="10" xfId="12" applyNumberFormat="1" applyFont="1" applyBorder="1"/>
    <xf numFmtId="0" fontId="8" fillId="0" borderId="15" xfId="0" applyFont="1" applyBorder="1" applyAlignment="1">
      <alignment horizontal="left"/>
    </xf>
    <xf numFmtId="1" fontId="7" fillId="0" borderId="0" xfId="0" applyNumberFormat="1" applyFont="1" applyBorder="1"/>
    <xf numFmtId="1" fontId="7" fillId="0" borderId="16" xfId="0" applyNumberFormat="1" applyFont="1" applyBorder="1"/>
    <xf numFmtId="0" fontId="7" fillId="0" borderId="13" xfId="0" applyFont="1" applyBorder="1" applyAlignment="1">
      <alignment horizontal="left" indent="1"/>
    </xf>
    <xf numFmtId="1" fontId="7" fillId="0" borderId="1" xfId="0" applyNumberFormat="1" applyFont="1" applyBorder="1"/>
    <xf numFmtId="1" fontId="7" fillId="0" borderId="14" xfId="0" applyNumberFormat="1" applyFont="1" applyBorder="1"/>
    <xf numFmtId="0" fontId="24" fillId="0" borderId="0" xfId="0" applyFont="1"/>
    <xf numFmtId="44" fontId="25" fillId="0" borderId="0" xfId="12" applyFont="1" applyBorder="1"/>
    <xf numFmtId="44" fontId="26" fillId="0" borderId="0" xfId="12" applyFont="1" applyBorder="1"/>
    <xf numFmtId="0" fontId="27" fillId="0" borderId="0" xfId="0" applyFont="1"/>
    <xf numFmtId="0" fontId="28" fillId="0" borderId="0" xfId="0" applyFont="1"/>
    <xf numFmtId="44" fontId="7" fillId="0" borderId="17" xfId="0" applyNumberFormat="1" applyFont="1" applyBorder="1"/>
    <xf numFmtId="44" fontId="8" fillId="0" borderId="17" xfId="12" applyFont="1" applyBorder="1"/>
    <xf numFmtId="44" fontId="26" fillId="0" borderId="16" xfId="12" applyFont="1" applyBorder="1"/>
    <xf numFmtId="44" fontId="25" fillId="0" borderId="16" xfId="0" applyNumberFormat="1" applyFont="1" applyBorder="1"/>
    <xf numFmtId="44" fontId="25" fillId="0" borderId="12" xfId="12" applyFont="1" applyBorder="1"/>
    <xf numFmtId="44" fontId="26" fillId="0" borderId="14" xfId="12" applyFont="1" applyBorder="1"/>
    <xf numFmtId="44" fontId="25" fillId="0" borderId="0" xfId="0" applyNumberFormat="1" applyFont="1"/>
    <xf numFmtId="10" fontId="26" fillId="0" borderId="0" xfId="12" applyNumberFormat="1" applyFont="1"/>
    <xf numFmtId="0" fontId="26" fillId="0" borderId="0" xfId="0" applyFont="1" applyBorder="1"/>
    <xf numFmtId="0" fontId="27" fillId="0" borderId="0" xfId="0" applyFont="1" applyBorder="1"/>
    <xf numFmtId="0" fontId="25" fillId="0" borderId="0" xfId="0" applyFont="1" applyBorder="1"/>
    <xf numFmtId="0" fontId="29" fillId="0" borderId="0" xfId="0" applyFont="1" applyBorder="1"/>
    <xf numFmtId="0" fontId="25" fillId="0" borderId="15" xfId="0" applyFont="1" applyBorder="1" applyAlignment="1">
      <alignment horizontal="left" indent="1"/>
    </xf>
    <xf numFmtId="44" fontId="25" fillId="0" borderId="16" xfId="12" applyFont="1" applyBorder="1"/>
    <xf numFmtId="181" fontId="25" fillId="0" borderId="9" xfId="12" applyNumberFormat="1" applyFont="1" applyBorder="1"/>
    <xf numFmtId="181" fontId="25" fillId="0" borderId="10" xfId="12" applyNumberFormat="1" applyFont="1" applyBorder="1"/>
    <xf numFmtId="44" fontId="26" fillId="0" borderId="5" xfId="0" applyNumberFormat="1" applyFont="1" applyBorder="1"/>
    <xf numFmtId="0" fontId="30" fillId="0" borderId="0" xfId="0" applyFont="1"/>
    <xf numFmtId="0" fontId="31" fillId="0" borderId="0" xfId="0" applyFont="1" applyAlignment="1">
      <alignment horizontal="right"/>
    </xf>
    <xf numFmtId="18" fontId="14" fillId="0" borderId="0" xfId="0" applyNumberFormat="1" applyFont="1"/>
    <xf numFmtId="185" fontId="31" fillId="0" borderId="0" xfId="0" applyNumberFormat="1" applyFont="1" applyAlignment="1">
      <alignment horizontal="right"/>
    </xf>
  </cellXfs>
  <cellStyles count="13">
    <cellStyle name="Across" xfId="1" xr:uid="{00000000-0005-0000-0000-000000000000}"/>
    <cellStyle name="Bottom" xfId="2" xr:uid="{00000000-0005-0000-0000-000001000000}"/>
    <cellStyle name="Center" xfId="3" xr:uid="{00000000-0005-0000-0000-000002000000}"/>
    <cellStyle name="Currency" xfId="12" builtinId="4"/>
    <cellStyle name="Currency [2]" xfId="4" xr:uid="{00000000-0005-0000-0000-000004000000}"/>
    <cellStyle name="Double" xfId="5" xr:uid="{00000000-0005-0000-0000-000005000000}"/>
    <cellStyle name="Hyperlink" xfId="11" builtinId="8"/>
    <cellStyle name="Input" xfId="10" builtinId="20"/>
    <cellStyle name="Normal" xfId="0" builtinId="0"/>
    <cellStyle name="Numbers" xfId="6" xr:uid="{00000000-0005-0000-0000-000007000000}"/>
    <cellStyle name="Numbers - Bold - Italic" xfId="7" xr:uid="{00000000-0005-0000-0000-000008000000}"/>
    <cellStyle name="Outline" xfId="8" xr:uid="{00000000-0005-0000-0000-000009000000}"/>
    <cellStyle name="Percent 2" xfId="9" xr:uid="{00000000-0005-0000-0000-00000B000000}"/>
  </cellStyles>
  <dxfs count="0"/>
  <tableStyles count="0" defaultTableStyle="TableStyleMedium2" defaultPivotStyle="PivotStyleLight16"/>
  <colors>
    <mruColors>
      <color rgb="FF0085B2"/>
      <color rgb="FF0000FF"/>
      <color rgb="FF208BB7"/>
      <color rgb="FF6C70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fmworldcup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127002</xdr:colOff>
      <xdr:row>2</xdr:row>
      <xdr:rowOff>161635</xdr:rowOff>
    </xdr:from>
    <xdr:to>
      <xdr:col>13</xdr:col>
      <xdr:colOff>568470</xdr:colOff>
      <xdr:row>24</xdr:row>
      <xdr:rowOff>39913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9093" y="484908"/>
          <a:ext cx="7172468" cy="4167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13073</xdr:colOff>
      <xdr:row>0</xdr:row>
      <xdr:rowOff>0</xdr:rowOff>
    </xdr:from>
    <xdr:to>
      <xdr:col>2</xdr:col>
      <xdr:colOff>27071</xdr:colOff>
      <xdr:row>2</xdr:row>
      <xdr:rowOff>191090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673" y="0"/>
          <a:ext cx="1072777" cy="641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13073</xdr:colOff>
      <xdr:row>0</xdr:row>
      <xdr:rowOff>0</xdr:rowOff>
    </xdr:from>
    <xdr:to>
      <xdr:col>2</xdr:col>
      <xdr:colOff>27071</xdr:colOff>
      <xdr:row>2</xdr:row>
      <xdr:rowOff>191090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B04898-43AC-49E2-8F0D-9FC944ADE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673" y="0"/>
          <a:ext cx="1057938" cy="6559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13073</xdr:colOff>
      <xdr:row>0</xdr:row>
      <xdr:rowOff>6865</xdr:rowOff>
    </xdr:from>
    <xdr:to>
      <xdr:col>2</xdr:col>
      <xdr:colOff>27071</xdr:colOff>
      <xdr:row>2</xdr:row>
      <xdr:rowOff>197955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E3C366-5836-4F10-A2CB-13076F9D0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614" y="6865"/>
          <a:ext cx="1057457" cy="6510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13073</xdr:colOff>
      <xdr:row>0</xdr:row>
      <xdr:rowOff>0</xdr:rowOff>
    </xdr:from>
    <xdr:to>
      <xdr:col>2</xdr:col>
      <xdr:colOff>27071</xdr:colOff>
      <xdr:row>2</xdr:row>
      <xdr:rowOff>191090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4168C-1694-4794-896D-4736205D4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673" y="0"/>
          <a:ext cx="1057938" cy="6559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13073</xdr:colOff>
      <xdr:row>0</xdr:row>
      <xdr:rowOff>0</xdr:rowOff>
    </xdr:from>
    <xdr:to>
      <xdr:col>2</xdr:col>
      <xdr:colOff>27071</xdr:colOff>
      <xdr:row>2</xdr:row>
      <xdr:rowOff>191090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5298A5-1D47-4C50-A273-2DEDC20B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673" y="0"/>
          <a:ext cx="1057938" cy="655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andrewgri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E294-DDE5-4897-92CE-3894C5676D91}">
  <dimension ref="B9:S39"/>
  <sheetViews>
    <sheetView showGridLines="0" tabSelected="1" topLeftCell="A7" zoomScale="70" zoomScaleNormal="70" workbookViewId="0">
      <selection activeCell="X26" sqref="X26"/>
    </sheetView>
  </sheetViews>
  <sheetFormatPr defaultColWidth="8.6640625" defaultRowHeight="13.2"/>
  <cols>
    <col min="1" max="1" width="4.33203125" style="1" customWidth="1"/>
    <col min="2" max="14" width="8.6640625" style="1"/>
    <col min="15" max="15" width="10.109375" style="1" bestFit="1" customWidth="1"/>
    <col min="16" max="16" width="3.33203125" style="1" customWidth="1"/>
    <col min="17" max="17" width="8.6640625" style="1"/>
    <col min="18" max="18" width="10.88671875" style="1" bestFit="1" customWidth="1"/>
    <col min="19" max="16384" width="8.6640625" style="1"/>
  </cols>
  <sheetData>
    <row r="9" spans="17:19" ht="45.6">
      <c r="Q9" s="106" t="s">
        <v>86</v>
      </c>
    </row>
    <row r="12" spans="17:19" ht="21">
      <c r="Q12" s="107" t="s">
        <v>87</v>
      </c>
      <c r="R12" s="108">
        <v>0.5</v>
      </c>
    </row>
    <row r="13" spans="17:19" ht="21">
      <c r="Q13" s="107" t="s">
        <v>88</v>
      </c>
      <c r="R13" s="108">
        <v>0.65625</v>
      </c>
    </row>
    <row r="14" spans="17:19" ht="21">
      <c r="Q14" s="107" t="s">
        <v>89</v>
      </c>
      <c r="R14" s="109">
        <f>(R13-R12)*24</f>
        <v>3.75</v>
      </c>
      <c r="S14" s="107"/>
    </row>
    <row r="20" spans="2:15">
      <c r="B20" s="2"/>
      <c r="C20" s="2"/>
      <c r="D20" s="2"/>
      <c r="E20" s="2"/>
      <c r="F20" s="2"/>
      <c r="G20" s="2"/>
      <c r="H20" s="2"/>
      <c r="I20" s="2"/>
    </row>
    <row r="21" spans="2:15">
      <c r="B21" s="3"/>
      <c r="C21" s="3"/>
      <c r="D21" s="3"/>
      <c r="E21" s="3"/>
      <c r="F21" s="3"/>
      <c r="G21" s="3"/>
      <c r="H21" s="3"/>
      <c r="I21" s="3"/>
      <c r="J21" s="4"/>
    </row>
    <row r="22" spans="2:15">
      <c r="B22" s="3"/>
    </row>
    <row r="24" spans="2:15" ht="12.9" customHeight="1"/>
    <row r="25" spans="2:15" ht="12.9" customHeight="1"/>
    <row r="26" spans="2:15" ht="12.9" customHeight="1"/>
    <row r="27" spans="2:15" ht="12.9" customHeight="1"/>
    <row r="28" spans="2:15" ht="12.9" customHeight="1"/>
    <row r="31" spans="2:15">
      <c r="B31" s="6" t="s">
        <v>0</v>
      </c>
      <c r="O31" s="5">
        <v>44077</v>
      </c>
    </row>
    <row r="32" spans="2:15">
      <c r="B32" s="21" t="s">
        <v>7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2:1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2:1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2:1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2:1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2:15">
      <c r="B37" s="22" t="s">
        <v>8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2:15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2:15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</sheetData>
  <mergeCells count="2">
    <mergeCell ref="B32:O36"/>
    <mergeCell ref="B37:O39"/>
  </mergeCells>
  <hyperlinks>
    <hyperlink ref="B31" r:id="rId1" xr:uid="{73D4DCAE-D521-4089-ABF4-5FF4BF9852F3}"/>
  </hyperlinks>
  <pageMargins left="0.7" right="0.7" top="0.75" bottom="0.75" header="0.3" footer="0.3"/>
  <pageSetup scale="99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2127-BC7E-4E6A-BF2F-F6F49C6F388E}">
  <dimension ref="B2:V89"/>
  <sheetViews>
    <sheetView showGridLines="0" zoomScale="130" zoomScaleNormal="190" workbookViewId="0">
      <selection activeCell="D21" sqref="D21"/>
    </sheetView>
  </sheetViews>
  <sheetFormatPr defaultColWidth="8.6640625" defaultRowHeight="13.2"/>
  <cols>
    <col min="1" max="1" width="3.33203125" style="1" customWidth="1"/>
    <col min="2" max="2" width="15.21875" style="1" customWidth="1"/>
    <col min="3" max="3" width="8.6640625" style="1"/>
    <col min="4" max="4" width="14.6640625" style="1" bestFit="1" customWidth="1"/>
    <col min="5" max="5" width="15.6640625" style="1" bestFit="1" customWidth="1"/>
    <col min="6" max="6" width="16.33203125" style="1" customWidth="1"/>
    <col min="7" max="7" width="21.6640625" style="1" bestFit="1" customWidth="1"/>
    <col min="8" max="8" width="16" style="1" bestFit="1" customWidth="1"/>
    <col min="9" max="9" width="17.77734375" style="1" customWidth="1"/>
    <col min="10" max="19" width="16" style="1" bestFit="1" customWidth="1"/>
    <col min="20" max="20" width="16" style="1" customWidth="1"/>
    <col min="21" max="16384" width="8.6640625" style="1"/>
  </cols>
  <sheetData>
    <row r="2" spans="2:14" ht="23.4">
      <c r="B2" s="13" t="str">
        <f>G7</f>
        <v>Perpetual Growth Capital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6.2" thickBot="1">
      <c r="B3" s="14" t="s">
        <v>86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6" spans="2:14">
      <c r="B6" s="8" t="s">
        <v>33</v>
      </c>
      <c r="C6" s="9"/>
      <c r="D6" s="9"/>
      <c r="E6" s="9"/>
      <c r="F6" s="9"/>
      <c r="G6" s="9"/>
      <c r="I6" s="8" t="s">
        <v>21</v>
      </c>
      <c r="J6" s="9"/>
      <c r="K6" s="9"/>
      <c r="L6" s="9"/>
      <c r="M6" s="9"/>
      <c r="N6" s="9"/>
    </row>
    <row r="7" spans="2:14">
      <c r="B7" s="10" t="s">
        <v>1</v>
      </c>
      <c r="G7" s="16" t="s">
        <v>9</v>
      </c>
      <c r="I7" s="10" t="s">
        <v>22</v>
      </c>
      <c r="M7" s="11" t="s">
        <v>23</v>
      </c>
      <c r="N7" s="32">
        <v>2000000</v>
      </c>
    </row>
    <row r="8" spans="2:14">
      <c r="B8" s="10" t="s">
        <v>11</v>
      </c>
      <c r="F8" s="11" t="s">
        <v>10</v>
      </c>
      <c r="G8" s="7">
        <v>2021</v>
      </c>
      <c r="I8" s="10" t="s">
        <v>12</v>
      </c>
      <c r="M8" s="11" t="s">
        <v>24</v>
      </c>
      <c r="N8" s="7">
        <v>15</v>
      </c>
    </row>
    <row r="9" spans="2:14">
      <c r="B9" s="10" t="s">
        <v>20</v>
      </c>
      <c r="F9" s="11" t="s">
        <v>2</v>
      </c>
      <c r="G9" s="19">
        <v>0.02</v>
      </c>
      <c r="I9" s="10" t="s">
        <v>13</v>
      </c>
      <c r="M9" s="11" t="s">
        <v>10</v>
      </c>
      <c r="N9" s="17">
        <f>G8+N8-1</f>
        <v>2035</v>
      </c>
    </row>
    <row r="10" spans="2:14">
      <c r="I10" s="10" t="s">
        <v>4</v>
      </c>
      <c r="M10" s="11" t="s">
        <v>2</v>
      </c>
      <c r="N10" s="12">
        <v>0.01</v>
      </c>
    </row>
    <row r="13" spans="2:14">
      <c r="B13" s="8" t="s">
        <v>15</v>
      </c>
      <c r="C13" s="9"/>
      <c r="D13" s="9"/>
      <c r="E13" s="9"/>
      <c r="F13" s="9"/>
      <c r="G13" s="9"/>
      <c r="I13" s="8" t="s">
        <v>14</v>
      </c>
      <c r="J13" s="9"/>
      <c r="K13" s="9"/>
      <c r="L13" s="9"/>
      <c r="M13" s="9"/>
      <c r="N13" s="9"/>
    </row>
    <row r="14" spans="2:14">
      <c r="B14" s="10" t="s">
        <v>25</v>
      </c>
      <c r="F14" s="11" t="s">
        <v>26</v>
      </c>
      <c r="G14" s="20">
        <v>50000</v>
      </c>
      <c r="I14" s="10" t="s">
        <v>6</v>
      </c>
      <c r="M14" s="11" t="s">
        <v>2</v>
      </c>
      <c r="N14" s="18">
        <v>0.6</v>
      </c>
    </row>
    <row r="15" spans="2:14">
      <c r="B15" s="10" t="s">
        <v>27</v>
      </c>
      <c r="F15" s="11" t="s">
        <v>28</v>
      </c>
      <c r="G15" s="32">
        <v>50</v>
      </c>
      <c r="I15" s="10" t="s">
        <v>5</v>
      </c>
      <c r="M15" s="11" t="s">
        <v>29</v>
      </c>
      <c r="N15" s="12">
        <v>0.03</v>
      </c>
    </row>
    <row r="16" spans="2:14">
      <c r="B16" s="10" t="s">
        <v>18</v>
      </c>
      <c r="F16" s="11" t="s">
        <v>29</v>
      </c>
      <c r="G16" s="19">
        <v>0.05</v>
      </c>
      <c r="I16" s="10" t="s">
        <v>3</v>
      </c>
      <c r="M16" s="11" t="s">
        <v>2</v>
      </c>
      <c r="N16" s="12">
        <v>0.01</v>
      </c>
    </row>
    <row r="17" spans="2:14">
      <c r="B17" s="10" t="s">
        <v>16</v>
      </c>
      <c r="F17" s="11" t="s">
        <v>30</v>
      </c>
      <c r="G17" s="19">
        <v>1.4999999999999999E-2</v>
      </c>
      <c r="I17" s="10" t="s">
        <v>50</v>
      </c>
      <c r="N17" s="32">
        <f>B27</f>
        <v>1312500</v>
      </c>
    </row>
    <row r="18" spans="2:14">
      <c r="B18" s="10" t="s">
        <v>31</v>
      </c>
      <c r="F18" s="11" t="s">
        <v>32</v>
      </c>
      <c r="G18" s="32">
        <v>1250</v>
      </c>
      <c r="I18" s="10" t="s">
        <v>49</v>
      </c>
      <c r="N18" s="32">
        <f>N17*N15</f>
        <v>39375</v>
      </c>
    </row>
    <row r="19" spans="2:14">
      <c r="B19" s="10" t="s">
        <v>17</v>
      </c>
      <c r="F19" s="11" t="s">
        <v>28</v>
      </c>
      <c r="G19" s="32">
        <v>4.75</v>
      </c>
    </row>
    <row r="20" spans="2:14">
      <c r="B20" s="10" t="s">
        <v>19</v>
      </c>
      <c r="F20" s="11" t="s">
        <v>28</v>
      </c>
      <c r="G20" s="32">
        <v>1.5</v>
      </c>
    </row>
    <row r="23" spans="2:14">
      <c r="B23" s="8" t="s">
        <v>34</v>
      </c>
      <c r="C23" s="9"/>
      <c r="D23" s="9"/>
      <c r="E23" s="9"/>
      <c r="F23" s="9"/>
      <c r="G23" s="9"/>
    </row>
    <row r="24" spans="2:14">
      <c r="B24" s="33">
        <f>G14*(G15-G19-G20)</f>
        <v>2187500</v>
      </c>
      <c r="C24" s="27" t="s">
        <v>39</v>
      </c>
      <c r="D24" s="24"/>
      <c r="E24" s="24"/>
      <c r="F24" s="24"/>
      <c r="G24" s="24"/>
      <c r="H24" s="34"/>
    </row>
    <row r="25" spans="2:14">
      <c r="B25" s="23"/>
      <c r="C25" s="24"/>
      <c r="D25" s="24"/>
      <c r="E25" s="24"/>
      <c r="F25" s="24"/>
      <c r="G25" s="24"/>
    </row>
    <row r="26" spans="2:14">
      <c r="B26" s="8" t="s">
        <v>40</v>
      </c>
      <c r="C26" s="9"/>
      <c r="D26" s="9"/>
      <c r="E26" s="9"/>
      <c r="F26" s="9"/>
      <c r="G26" s="9"/>
    </row>
    <row r="27" spans="2:14">
      <c r="B27" s="33">
        <f>B24*N14</f>
        <v>1312500</v>
      </c>
      <c r="C27" s="27" t="s">
        <v>42</v>
      </c>
      <c r="D27" s="24"/>
      <c r="E27" s="24"/>
      <c r="F27" s="24"/>
      <c r="G27" s="24"/>
    </row>
    <row r="28" spans="2:14">
      <c r="B28" s="23"/>
      <c r="C28" s="24"/>
      <c r="D28" s="24"/>
      <c r="E28" s="24"/>
      <c r="F28" s="24"/>
      <c r="G28" s="24"/>
    </row>
    <row r="29" spans="2:14">
      <c r="B29" s="23" t="s">
        <v>46</v>
      </c>
      <c r="C29" s="24"/>
      <c r="D29" s="24"/>
      <c r="E29" s="24"/>
      <c r="F29" s="24"/>
      <c r="G29" s="23">
        <v>15</v>
      </c>
    </row>
    <row r="30" spans="2:14">
      <c r="B30" s="8" t="s">
        <v>47</v>
      </c>
      <c r="C30" s="9"/>
      <c r="D30" s="9"/>
      <c r="E30" s="9"/>
      <c r="F30" s="9"/>
      <c r="G30" s="9"/>
    </row>
    <row r="31" spans="2:14">
      <c r="B31" s="28">
        <f>HLOOKUP(G29,B56:T62,MATCH(B58,B56:B62,0),0)</f>
        <v>67.293416916206496</v>
      </c>
      <c r="C31" s="27" t="s">
        <v>41</v>
      </c>
      <c r="D31" s="24"/>
      <c r="E31" s="24"/>
      <c r="F31" s="24"/>
      <c r="G31" s="24"/>
    </row>
    <row r="32" spans="2:14">
      <c r="B32" s="26"/>
      <c r="C32" s="24"/>
      <c r="D32" s="24"/>
      <c r="E32" s="24"/>
      <c r="F32" s="24"/>
      <c r="G32" s="24"/>
    </row>
    <row r="33" spans="2:7">
      <c r="B33" s="29" t="s">
        <v>45</v>
      </c>
      <c r="C33" s="9"/>
      <c r="D33" s="9"/>
      <c r="E33" s="9"/>
      <c r="F33" s="9"/>
      <c r="G33" s="8">
        <v>15</v>
      </c>
    </row>
    <row r="34" spans="2:7">
      <c r="B34" s="28">
        <f>HLOOKUP(G33,B56:T62,MATCH(B61,B56:B62,0),0)</f>
        <v>58.881739801680688</v>
      </c>
      <c r="C34" s="27" t="s">
        <v>43</v>
      </c>
      <c r="D34" s="24"/>
      <c r="E34" s="24"/>
      <c r="F34" s="24"/>
      <c r="G34" s="24"/>
    </row>
    <row r="35" spans="2:7">
      <c r="B35" s="23"/>
      <c r="C35" s="24"/>
      <c r="D35" s="24"/>
      <c r="E35" s="24"/>
      <c r="F35" s="24"/>
      <c r="G35" s="24"/>
    </row>
    <row r="36" spans="2:7">
      <c r="B36" s="8" t="s">
        <v>44</v>
      </c>
      <c r="C36" s="9"/>
      <c r="D36" s="9"/>
      <c r="E36" s="9"/>
      <c r="F36" s="9"/>
      <c r="G36" s="8">
        <v>15</v>
      </c>
    </row>
    <row r="37" spans="2:7">
      <c r="B37" s="28">
        <f>ROUND(HLOOKUP(G36,B56:T78,MATCH(B18,B56:B78,0)),0)</f>
        <v>-1682</v>
      </c>
      <c r="C37" s="27" t="s">
        <v>59</v>
      </c>
      <c r="D37" s="24"/>
      <c r="E37" s="24"/>
      <c r="F37" s="24"/>
      <c r="G37" s="24"/>
    </row>
    <row r="38" spans="2:7">
      <c r="B38" s="23"/>
      <c r="C38" s="24"/>
      <c r="D38" s="24"/>
      <c r="E38" s="24"/>
      <c r="F38" s="24"/>
      <c r="G38" s="24"/>
    </row>
    <row r="39" spans="2:7">
      <c r="B39" s="8" t="s">
        <v>73</v>
      </c>
      <c r="C39" s="9"/>
      <c r="D39" s="9"/>
      <c r="E39" s="9"/>
      <c r="F39" s="9"/>
      <c r="G39" s="8">
        <v>1</v>
      </c>
    </row>
    <row r="40" spans="2:7">
      <c r="B40" s="33">
        <f>ROUND(B24*0.015,0)</f>
        <v>32813</v>
      </c>
      <c r="C40" s="27" t="s">
        <v>39</v>
      </c>
      <c r="D40" s="24"/>
      <c r="E40" s="24"/>
      <c r="F40" s="24"/>
      <c r="G40" s="24"/>
    </row>
    <row r="41" spans="2:7">
      <c r="B41" s="23"/>
      <c r="C41" s="24"/>
      <c r="D41" s="24"/>
      <c r="E41" s="24"/>
      <c r="F41" s="24"/>
      <c r="G41" s="24"/>
    </row>
    <row r="42" spans="2:7">
      <c r="B42" s="8" t="s">
        <v>51</v>
      </c>
      <c r="C42" s="9"/>
      <c r="D42" s="9"/>
      <c r="E42" s="9"/>
      <c r="F42" s="9"/>
      <c r="G42" s="8">
        <v>1</v>
      </c>
    </row>
    <row r="43" spans="2:7">
      <c r="B43" s="28">
        <f>(B24*G17)+F78+N18</f>
        <v>70912.5</v>
      </c>
      <c r="C43" s="27" t="s">
        <v>43</v>
      </c>
      <c r="D43" s="24"/>
      <c r="E43" s="24"/>
      <c r="F43" s="24"/>
      <c r="G43" s="24"/>
    </row>
    <row r="44" spans="2:7">
      <c r="B44" s="23"/>
      <c r="C44" s="24"/>
      <c r="D44" s="24"/>
      <c r="E44" s="24"/>
      <c r="F44" s="24"/>
      <c r="G44" s="24"/>
    </row>
    <row r="45" spans="2:7">
      <c r="B45" s="8" t="s">
        <v>52</v>
      </c>
      <c r="C45" s="9"/>
      <c r="D45" s="9"/>
      <c r="E45" s="9"/>
      <c r="F45" s="9"/>
      <c r="G45" s="8">
        <v>1</v>
      </c>
    </row>
    <row r="46" spans="2:7">
      <c r="B46" s="35">
        <f>ROUND(B43/HLOOKUP(G45,B56:T78,MATCH(B61,B56:B78,0),0),0)</f>
        <v>1589</v>
      </c>
      <c r="C46" s="27" t="s">
        <v>58</v>
      </c>
      <c r="D46" s="24"/>
      <c r="E46" s="24"/>
      <c r="F46" s="24"/>
      <c r="G46" s="24"/>
    </row>
    <row r="47" spans="2:7">
      <c r="B47" s="23"/>
      <c r="C47" s="24"/>
      <c r="D47" s="24"/>
      <c r="E47" s="24"/>
      <c r="F47" s="24"/>
      <c r="G47" s="24"/>
    </row>
    <row r="48" spans="2:7">
      <c r="B48" s="8" t="s">
        <v>54</v>
      </c>
      <c r="C48" s="9"/>
      <c r="D48" s="9"/>
      <c r="E48" s="9"/>
      <c r="F48" s="9"/>
      <c r="G48" s="8">
        <v>14</v>
      </c>
    </row>
    <row r="49" spans="2:22">
      <c r="B49" s="35">
        <f>HLOOKUP(G48,B56:T78,MATCH(B65,B56:B78,0),0)</f>
        <v>-23007.531424260429</v>
      </c>
      <c r="C49" s="27" t="s">
        <v>43</v>
      </c>
      <c r="D49" s="24"/>
      <c r="E49" s="24"/>
      <c r="F49" s="24"/>
      <c r="G49" s="24"/>
    </row>
    <row r="50" spans="2:22">
      <c r="B50" s="23"/>
      <c r="C50" s="24"/>
      <c r="D50" s="24"/>
      <c r="E50" s="24"/>
      <c r="F50" s="24"/>
      <c r="G50" s="24"/>
    </row>
    <row r="51" spans="2:22">
      <c r="B51" s="8" t="s">
        <v>60</v>
      </c>
      <c r="C51" s="8"/>
      <c r="D51" s="8"/>
      <c r="E51" s="8"/>
      <c r="F51" s="8"/>
      <c r="G51" s="8">
        <v>15</v>
      </c>
    </row>
    <row r="52" spans="2:22">
      <c r="B52" s="33">
        <f>HLOOKUP(G51,B56:T80,MATCH(B62,B56:B80,0),0)</f>
        <v>4130766.1325932201</v>
      </c>
      <c r="C52" s="27" t="s">
        <v>58</v>
      </c>
      <c r="D52" s="24"/>
      <c r="E52" s="24"/>
      <c r="F52" s="24"/>
      <c r="G52" s="24"/>
    </row>
    <row r="53" spans="2:22">
      <c r="B53" s="23"/>
      <c r="C53" s="24"/>
      <c r="D53" s="24"/>
      <c r="E53" s="24"/>
      <c r="F53" s="24"/>
      <c r="G53" s="24"/>
    </row>
    <row r="54" spans="2:22">
      <c r="B54" s="23"/>
      <c r="C54" s="24"/>
      <c r="D54" s="24"/>
      <c r="E54" s="24"/>
      <c r="F54" s="24"/>
      <c r="G54" s="24"/>
    </row>
    <row r="55" spans="2:22">
      <c r="B55" s="23"/>
      <c r="C55" s="24"/>
      <c r="D55" s="24"/>
      <c r="E55" s="36">
        <v>2020</v>
      </c>
      <c r="F55" s="36">
        <f>E55+1</f>
        <v>2021</v>
      </c>
      <c r="G55" s="36">
        <f t="shared" ref="G55:S55" si="0">F55+1</f>
        <v>2022</v>
      </c>
      <c r="H55" s="36">
        <f t="shared" si="0"/>
        <v>2023</v>
      </c>
      <c r="I55" s="36">
        <f t="shared" si="0"/>
        <v>2024</v>
      </c>
      <c r="J55" s="36">
        <f t="shared" si="0"/>
        <v>2025</v>
      </c>
      <c r="K55" s="36">
        <f t="shared" si="0"/>
        <v>2026</v>
      </c>
      <c r="L55" s="36">
        <f t="shared" si="0"/>
        <v>2027</v>
      </c>
      <c r="M55" s="36">
        <f t="shared" si="0"/>
        <v>2028</v>
      </c>
      <c r="N55" s="36">
        <f t="shared" si="0"/>
        <v>2029</v>
      </c>
      <c r="O55" s="36">
        <f t="shared" si="0"/>
        <v>2030</v>
      </c>
      <c r="P55" s="36">
        <f t="shared" si="0"/>
        <v>2031</v>
      </c>
      <c r="Q55" s="36">
        <f t="shared" si="0"/>
        <v>2032</v>
      </c>
      <c r="R55" s="36">
        <f t="shared" si="0"/>
        <v>2033</v>
      </c>
      <c r="S55" s="36">
        <f t="shared" si="0"/>
        <v>2034</v>
      </c>
      <c r="T55" s="36">
        <f>S55+1</f>
        <v>2035</v>
      </c>
    </row>
    <row r="56" spans="2:22" ht="13.8" thickBot="1">
      <c r="B56" s="23"/>
      <c r="C56" s="24"/>
      <c r="D56" s="24"/>
      <c r="E56" s="25">
        <v>0</v>
      </c>
      <c r="F56" s="25">
        <v>1</v>
      </c>
      <c r="G56" s="25">
        <f>F56+1</f>
        <v>2</v>
      </c>
      <c r="H56" s="25">
        <f t="shared" ref="H56:S56" si="1">G56+1</f>
        <v>3</v>
      </c>
      <c r="I56" s="25">
        <f t="shared" si="1"/>
        <v>4</v>
      </c>
      <c r="J56" s="25">
        <f t="shared" si="1"/>
        <v>5</v>
      </c>
      <c r="K56" s="25">
        <f t="shared" si="1"/>
        <v>6</v>
      </c>
      <c r="L56" s="25">
        <f t="shared" si="1"/>
        <v>7</v>
      </c>
      <c r="M56" s="25">
        <f t="shared" si="1"/>
        <v>8</v>
      </c>
      <c r="N56" s="25">
        <f t="shared" si="1"/>
        <v>9</v>
      </c>
      <c r="O56" s="25">
        <f t="shared" si="1"/>
        <v>10</v>
      </c>
      <c r="P56" s="25">
        <f t="shared" si="1"/>
        <v>11</v>
      </c>
      <c r="Q56" s="25">
        <f t="shared" si="1"/>
        <v>12</v>
      </c>
      <c r="R56" s="25">
        <f t="shared" si="1"/>
        <v>13</v>
      </c>
      <c r="S56" s="25">
        <f t="shared" si="1"/>
        <v>14</v>
      </c>
      <c r="T56" s="25">
        <f>S56+1</f>
        <v>15</v>
      </c>
      <c r="U56" s="24"/>
      <c r="V56" s="24"/>
    </row>
    <row r="57" spans="2:22">
      <c r="B57" s="74" t="s">
        <v>36</v>
      </c>
      <c r="C57" s="47"/>
      <c r="D57" s="47"/>
      <c r="E57" s="75">
        <f>G14</f>
        <v>50000</v>
      </c>
      <c r="F57" s="76">
        <f>(E57*(1+forest_growth_rate))+F64</f>
        <v>50853.781512605041</v>
      </c>
      <c r="G57" s="76">
        <f>(F57*(1+forest_growth_rate))+G64</f>
        <v>51754.997528423133</v>
      </c>
      <c r="H57" s="76">
        <f>(G57*(1+forest_growth_rate))+H64</f>
        <v>52704.982970350771</v>
      </c>
      <c r="I57" s="76">
        <f>(H57*(1+forest_growth_rate))+I64</f>
        <v>53705.126527897271</v>
      </c>
      <c r="J57" s="76">
        <f>(I57*(1+forest_growth_rate))+J64</f>
        <v>54756.872424404712</v>
      </c>
      <c r="K57" s="76">
        <f>(J57*(1+forest_growth_rate))+K64</f>
        <v>55861.722249197643</v>
      </c>
      <c r="L57" s="76">
        <f>(K57*(1+forest_growth_rate))+L64</f>
        <v>57021.236856904194</v>
      </c>
      <c r="M57" s="76">
        <f>(L57*(1+forest_growth_rate))+M64</f>
        <v>58237.038336270052</v>
      </c>
      <c r="N57" s="76">
        <f>(M57*(1+forest_growth_rate))+N64</f>
        <v>59510.812050869819</v>
      </c>
      <c r="O57" s="76">
        <f>(N57*(1+forest_growth_rate))+O64</f>
        <v>60844.308754206162</v>
      </c>
      <c r="P57" s="76">
        <f>(O57*(1+forest_growth_rate))+P64</f>
        <v>62239.346781775705</v>
      </c>
      <c r="Q57" s="76">
        <f>(P57*(1+forest_growth_rate))+Q64</f>
        <v>63697.814322772872</v>
      </c>
      <c r="R57" s="76">
        <f>(Q57*(1+forest_growth_rate))+R64</f>
        <v>65221.67177419785</v>
      </c>
      <c r="S57" s="76">
        <f>(R57*(1+forest_growth_rate))+S64</f>
        <v>66812.954180233355</v>
      </c>
      <c r="T57" s="77">
        <f>(S57*(1+forest_growth_rate))+T64</f>
        <v>70153.601889245023</v>
      </c>
    </row>
    <row r="58" spans="2:22">
      <c r="B58" s="60" t="s">
        <v>35</v>
      </c>
      <c r="C58" s="24"/>
      <c r="D58" s="24"/>
      <c r="E58" s="61">
        <f>G15</f>
        <v>50</v>
      </c>
      <c r="F58" s="62">
        <f>E58*(1+inflation_rate)</f>
        <v>51</v>
      </c>
      <c r="G58" s="62">
        <f>F58*(1+inflation_rate)</f>
        <v>52.02</v>
      </c>
      <c r="H58" s="62">
        <f>G58*(1+inflation_rate)</f>
        <v>53.060400000000001</v>
      </c>
      <c r="I58" s="62">
        <f>H58*(1+inflation_rate)</f>
        <v>54.121608000000002</v>
      </c>
      <c r="J58" s="62">
        <f>I58*(1+inflation_rate)</f>
        <v>55.204040160000005</v>
      </c>
      <c r="K58" s="62">
        <f>J58*(1+inflation_rate)</f>
        <v>56.308120963200004</v>
      </c>
      <c r="L58" s="62">
        <f>K58*(1+inflation_rate)</f>
        <v>57.434283382464002</v>
      </c>
      <c r="M58" s="62">
        <f>L58*(1+inflation_rate)</f>
        <v>58.582969050113284</v>
      </c>
      <c r="N58" s="62">
        <f>M58*(1+inflation_rate)</f>
        <v>59.754628431115549</v>
      </c>
      <c r="O58" s="62">
        <f>N58*(1+inflation_rate)</f>
        <v>60.949720999737863</v>
      </c>
      <c r="P58" s="62">
        <f>O58*(1+inflation_rate)</f>
        <v>62.168715419732621</v>
      </c>
      <c r="Q58" s="62">
        <f>P58*(1+inflation_rate)</f>
        <v>63.412089728127278</v>
      </c>
      <c r="R58" s="62">
        <f>Q58*(1+inflation_rate)</f>
        <v>64.680331522689826</v>
      </c>
      <c r="S58" s="62">
        <f>R58*(1+inflation_rate)</f>
        <v>65.973938153143621</v>
      </c>
      <c r="T58" s="63">
        <f>S58*(1+inflation_rate)</f>
        <v>67.293416916206496</v>
      </c>
    </row>
    <row r="59" spans="2:22">
      <c r="B59" s="60" t="s">
        <v>37</v>
      </c>
      <c r="C59" s="24"/>
      <c r="D59" s="24"/>
      <c r="E59" s="61">
        <f>G19</f>
        <v>4.75</v>
      </c>
      <c r="F59" s="62">
        <f>E59*(1+inflation_rate)</f>
        <v>4.8449999999999998</v>
      </c>
      <c r="G59" s="62">
        <f>F59*(1+inflation_rate)</f>
        <v>4.9418999999999995</v>
      </c>
      <c r="H59" s="62">
        <f>G59*(1+inflation_rate)</f>
        <v>5.0407379999999993</v>
      </c>
      <c r="I59" s="62">
        <f>H59*(1+inflation_rate)</f>
        <v>5.1415527599999997</v>
      </c>
      <c r="J59" s="62">
        <f>I59*(1+inflation_rate)</f>
        <v>5.2443838152</v>
      </c>
      <c r="K59" s="62">
        <f>J59*(1+inflation_rate)</f>
        <v>5.3492714915040001</v>
      </c>
      <c r="L59" s="62">
        <f>K59*(1+inflation_rate)</f>
        <v>5.4562569213340799</v>
      </c>
      <c r="M59" s="62">
        <f>L59*(1+inflation_rate)</f>
        <v>5.5653820597607613</v>
      </c>
      <c r="N59" s="62">
        <f>M59*(1+inflation_rate)</f>
        <v>5.6766897009559765</v>
      </c>
      <c r="O59" s="62">
        <f>N59*(1+inflation_rate)</f>
        <v>5.7902234949750957</v>
      </c>
      <c r="P59" s="62">
        <f>O59*(1+inflation_rate)</f>
        <v>5.9060279648745979</v>
      </c>
      <c r="Q59" s="62">
        <f>P59*(1+inflation_rate)</f>
        <v>6.02414852417209</v>
      </c>
      <c r="R59" s="62">
        <f>Q59*(1+inflation_rate)</f>
        <v>6.144631494655532</v>
      </c>
      <c r="S59" s="62">
        <f>R59*(1+inflation_rate)</f>
        <v>6.2675241245486424</v>
      </c>
      <c r="T59" s="63">
        <f>S59*(1+inflation_rate)</f>
        <v>6.392874607039615</v>
      </c>
    </row>
    <row r="60" spans="2:22">
      <c r="B60" s="60" t="s">
        <v>38</v>
      </c>
      <c r="C60" s="24"/>
      <c r="D60" s="24"/>
      <c r="E60" s="61">
        <f>G20</f>
        <v>1.5</v>
      </c>
      <c r="F60" s="62">
        <f>E60*(1+inflation_rate)</f>
        <v>1.53</v>
      </c>
      <c r="G60" s="62">
        <f>F60*(1+inflation_rate)</f>
        <v>1.5606</v>
      </c>
      <c r="H60" s="62">
        <f>G60*(1+inflation_rate)</f>
        <v>1.591812</v>
      </c>
      <c r="I60" s="62">
        <f>H60*(1+inflation_rate)</f>
        <v>1.6236482400000001</v>
      </c>
      <c r="J60" s="62">
        <f>I60*(1+inflation_rate)</f>
        <v>1.6561212048</v>
      </c>
      <c r="K60" s="62">
        <f>J60*(1+inflation_rate)</f>
        <v>1.689243628896</v>
      </c>
      <c r="L60" s="62">
        <f>K60*(1+inflation_rate)</f>
        <v>1.7230285014739199</v>
      </c>
      <c r="M60" s="62">
        <f>L60*(1+inflation_rate)</f>
        <v>1.7574890715033984</v>
      </c>
      <c r="N60" s="62">
        <f>M60*(1+inflation_rate)</f>
        <v>1.7926388529334665</v>
      </c>
      <c r="O60" s="62">
        <f>N60*(1+inflation_rate)</f>
        <v>1.8284916299921359</v>
      </c>
      <c r="P60" s="62">
        <f>O60*(1+inflation_rate)</f>
        <v>1.8650614625919786</v>
      </c>
      <c r="Q60" s="62">
        <f>P60*(1+inflation_rate)</f>
        <v>1.9023626918438181</v>
      </c>
      <c r="R60" s="62">
        <f>Q60*(1+inflation_rate)</f>
        <v>1.9404099456806945</v>
      </c>
      <c r="S60" s="62">
        <f>R60*(1+inflation_rate)</f>
        <v>1.9792181445943084</v>
      </c>
      <c r="T60" s="63">
        <f>S60*(1+inflation_rate)</f>
        <v>2.0188025074861948</v>
      </c>
    </row>
    <row r="61" spans="2:22" ht="13.8" thickBot="1">
      <c r="B61" s="50" t="s">
        <v>53</v>
      </c>
      <c r="C61" s="38"/>
      <c r="D61" s="38"/>
      <c r="E61" s="43">
        <f>E58-E59-E60</f>
        <v>43.75</v>
      </c>
      <c r="F61" s="43">
        <f>F58-F59-F60</f>
        <v>44.625</v>
      </c>
      <c r="G61" s="43">
        <f t="shared" ref="G61:S61" si="2">G58-G59-G60</f>
        <v>45.517500000000005</v>
      </c>
      <c r="H61" s="43">
        <f t="shared" si="2"/>
        <v>46.427850000000007</v>
      </c>
      <c r="I61" s="43">
        <f t="shared" si="2"/>
        <v>47.356406999999997</v>
      </c>
      <c r="J61" s="43">
        <f t="shared" si="2"/>
        <v>48.303535140000001</v>
      </c>
      <c r="K61" s="43">
        <f t="shared" si="2"/>
        <v>49.269605842800004</v>
      </c>
      <c r="L61" s="43">
        <f t="shared" si="2"/>
        <v>50.254997959656002</v>
      </c>
      <c r="M61" s="43">
        <f t="shared" si="2"/>
        <v>51.260097918849127</v>
      </c>
      <c r="N61" s="43">
        <f t="shared" si="2"/>
        <v>52.285299877226109</v>
      </c>
      <c r="O61" s="43">
        <f t="shared" si="2"/>
        <v>53.331005874770632</v>
      </c>
      <c r="P61" s="43">
        <f t="shared" si="2"/>
        <v>54.397625992266043</v>
      </c>
      <c r="Q61" s="43">
        <f t="shared" si="2"/>
        <v>55.485578512111367</v>
      </c>
      <c r="R61" s="43">
        <f t="shared" si="2"/>
        <v>56.5952900823536</v>
      </c>
      <c r="S61" s="43">
        <f t="shared" si="2"/>
        <v>57.727195884000672</v>
      </c>
      <c r="T61" s="64">
        <f>T58-T59-T60</f>
        <v>58.881739801680688</v>
      </c>
    </row>
    <row r="62" spans="2:22" ht="13.8" thickTop="1">
      <c r="B62" s="78" t="s">
        <v>48</v>
      </c>
      <c r="C62" s="24"/>
      <c r="D62" s="24"/>
      <c r="E62" s="33">
        <f>E57*E61</f>
        <v>2187500</v>
      </c>
      <c r="F62" s="33">
        <f>F57*F61</f>
        <v>2269350</v>
      </c>
      <c r="G62" s="33">
        <f t="shared" ref="G62:S62" si="3">G57*G61</f>
        <v>2355758.1</v>
      </c>
      <c r="H62" s="33">
        <f>H57*H61</f>
        <v>2446979.0436000004</v>
      </c>
      <c r="I62" s="33">
        <f t="shared" si="3"/>
        <v>2543281.8298415998</v>
      </c>
      <c r="J62" s="33">
        <f t="shared" si="3"/>
        <v>2644950.5113087301</v>
      </c>
      <c r="K62" s="33">
        <f t="shared" si="3"/>
        <v>2752285.0369179393</v>
      </c>
      <c r="L62" s="33">
        <f t="shared" si="3"/>
        <v>2865602.141900782</v>
      </c>
      <c r="M62" s="33">
        <f t="shared" si="3"/>
        <v>2985236.2876209733</v>
      </c>
      <c r="N62" s="33">
        <f t="shared" si="3"/>
        <v>3111540.6540169697</v>
      </c>
      <c r="O62" s="33">
        <f t="shared" si="3"/>
        <v>3244888.1876169271</v>
      </c>
      <c r="P62" s="33">
        <f t="shared" si="3"/>
        <v>3385672.7082379819</v>
      </c>
      <c r="Q62" s="33">
        <f t="shared" si="3"/>
        <v>3534310.0776561061</v>
      </c>
      <c r="R62" s="33">
        <f t="shared" si="3"/>
        <v>3691239.4337167814</v>
      </c>
      <c r="S62" s="33">
        <f t="shared" si="3"/>
        <v>3856924.4935510922</v>
      </c>
      <c r="T62" s="69">
        <f>T57*T61</f>
        <v>4130766.1325932201</v>
      </c>
    </row>
    <row r="63" spans="2:22">
      <c r="B63" s="60"/>
      <c r="C63" s="24"/>
      <c r="D63" s="24"/>
      <c r="E63" s="62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69"/>
    </row>
    <row r="64" spans="2:22">
      <c r="B64" s="60" t="s">
        <v>56</v>
      </c>
      <c r="C64" s="24"/>
      <c r="D64" s="24"/>
      <c r="E64" s="24"/>
      <c r="F64" s="79">
        <f>F80/F61</f>
        <v>-1646.2184873949579</v>
      </c>
      <c r="G64" s="79">
        <f>G80/G61</f>
        <v>-1641.47305981216</v>
      </c>
      <c r="H64" s="79">
        <f>H80/H61</f>
        <v>-1637.7644344935204</v>
      </c>
      <c r="I64" s="79">
        <f>I80/I61</f>
        <v>-1635.1055909710385</v>
      </c>
      <c r="J64" s="79">
        <f>J80/J61</f>
        <v>-1633.5104298874303</v>
      </c>
      <c r="K64" s="79">
        <f>K80/K61</f>
        <v>-1632.9937964273058</v>
      </c>
      <c r="L64" s="79">
        <f>L80/L61</f>
        <v>-1633.5715047533281</v>
      </c>
      <c r="M64" s="79">
        <f>M80/M61</f>
        <v>-1635.2603634793552</v>
      </c>
      <c r="N64" s="79">
        <f>N80/N61</f>
        <v>-1638.0782022137334</v>
      </c>
      <c r="O64" s="79">
        <f>O80/O61</f>
        <v>-1642.0438992071538</v>
      </c>
      <c r="P64" s="79">
        <f>P80/P61</f>
        <v>-1647.1774101407736</v>
      </c>
      <c r="Q64" s="79">
        <f>Q80/Q61</f>
        <v>-1653.4997980916205</v>
      </c>
      <c r="R64" s="79">
        <f>R80/R61</f>
        <v>-1661.0332647136672</v>
      </c>
      <c r="S64" s="79">
        <f>S80/S61</f>
        <v>-1669.8011826743868</v>
      </c>
      <c r="T64" s="80">
        <v>0</v>
      </c>
    </row>
    <row r="65" spans="2:20" ht="13.8" thickBot="1">
      <c r="B65" s="81" t="s">
        <v>57</v>
      </c>
      <c r="C65" s="53"/>
      <c r="D65" s="53"/>
      <c r="E65" s="53"/>
      <c r="F65" s="82">
        <f>F64+E65</f>
        <v>-1646.2184873949579</v>
      </c>
      <c r="G65" s="82">
        <f>F65+G64</f>
        <v>-3287.6915472071178</v>
      </c>
      <c r="H65" s="82">
        <f>G65+H64</f>
        <v>-4925.4559817006384</v>
      </c>
      <c r="I65" s="82">
        <f>H65+I64</f>
        <v>-6560.5615726716769</v>
      </c>
      <c r="J65" s="82">
        <f>I65+J64</f>
        <v>-8194.0720025591072</v>
      </c>
      <c r="K65" s="82">
        <f>J65+K64</f>
        <v>-9827.0657989864121</v>
      </c>
      <c r="L65" s="82">
        <f>K65+L64</f>
        <v>-11460.637303739741</v>
      </c>
      <c r="M65" s="82">
        <f>L65+M64</f>
        <v>-13095.897667219097</v>
      </c>
      <c r="N65" s="82">
        <f>M65+N64</f>
        <v>-14733.97586943283</v>
      </c>
      <c r="O65" s="82">
        <f>N65+O64</f>
        <v>-16376.019768639984</v>
      </c>
      <c r="P65" s="82">
        <f>O65+P64</f>
        <v>-18023.197178780756</v>
      </c>
      <c r="Q65" s="82">
        <f>P65+Q64</f>
        <v>-19676.696976872376</v>
      </c>
      <c r="R65" s="82">
        <f>Q65+R64</f>
        <v>-21337.730241586043</v>
      </c>
      <c r="S65" s="82">
        <f>R65+S64</f>
        <v>-23007.531424260429</v>
      </c>
      <c r="T65" s="83">
        <f>S65+T64</f>
        <v>-23007.531424260429</v>
      </c>
    </row>
    <row r="66" spans="2:20" ht="13.8" thickBot="1">
      <c r="B66" s="30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2:20">
      <c r="B67" s="56" t="s">
        <v>67</v>
      </c>
      <c r="C67" s="47"/>
      <c r="D67" s="4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9"/>
    </row>
    <row r="68" spans="2:20">
      <c r="B68" s="60" t="s">
        <v>3</v>
      </c>
      <c r="C68" s="24"/>
      <c r="D68" s="24"/>
      <c r="E68" s="67">
        <f>-(origination*loan_amount)</f>
        <v>-13125</v>
      </c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68"/>
    </row>
    <row r="69" spans="2:20">
      <c r="B69" s="60" t="s">
        <v>66</v>
      </c>
      <c r="C69" s="24"/>
      <c r="D69" s="24"/>
      <c r="E69" s="62">
        <v>-2000000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69"/>
    </row>
    <row r="70" spans="2:20">
      <c r="B70" s="60" t="s">
        <v>68</v>
      </c>
      <c r="C70" s="24"/>
      <c r="D70" s="24"/>
      <c r="E70" s="62">
        <f>loan_amount</f>
        <v>1312500</v>
      </c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69"/>
    </row>
    <row r="71" spans="2:20">
      <c r="B71" s="60" t="s">
        <v>63</v>
      </c>
      <c r="C71" s="24"/>
      <c r="D71" s="24"/>
      <c r="E71" s="62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69">
        <f>T62</f>
        <v>4130766.1325932201</v>
      </c>
    </row>
    <row r="72" spans="2:20">
      <c r="B72" s="60" t="s">
        <v>4</v>
      </c>
      <c r="C72" s="24"/>
      <c r="D72" s="24"/>
      <c r="E72" s="67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70">
        <f>T71*-0.01</f>
        <v>-41307.661325932204</v>
      </c>
    </row>
    <row r="73" spans="2:20" ht="13.8" thickBot="1">
      <c r="B73" s="50" t="s">
        <v>65</v>
      </c>
      <c r="C73" s="38"/>
      <c r="D73" s="38"/>
      <c r="E73" s="39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64">
        <f>-loan_amount</f>
        <v>-1312500</v>
      </c>
    </row>
    <row r="74" spans="2:20" ht="14.4" thickTop="1" thickBot="1">
      <c r="B74" s="52" t="s">
        <v>75</v>
      </c>
      <c r="C74" s="71"/>
      <c r="D74" s="71"/>
      <c r="E74" s="72">
        <f>SUM(E68:E73)</f>
        <v>-700625</v>
      </c>
      <c r="F74" s="72">
        <f t="shared" ref="F74:T74" si="4">SUM(F68:F73)</f>
        <v>0</v>
      </c>
      <c r="G74" s="72">
        <f t="shared" si="4"/>
        <v>0</v>
      </c>
      <c r="H74" s="72">
        <f t="shared" si="4"/>
        <v>0</v>
      </c>
      <c r="I74" s="72">
        <f t="shared" si="4"/>
        <v>0</v>
      </c>
      <c r="J74" s="72">
        <f t="shared" si="4"/>
        <v>0</v>
      </c>
      <c r="K74" s="72">
        <f t="shared" si="4"/>
        <v>0</v>
      </c>
      <c r="L74" s="72">
        <f t="shared" si="4"/>
        <v>0</v>
      </c>
      <c r="M74" s="72">
        <f t="shared" si="4"/>
        <v>0</v>
      </c>
      <c r="N74" s="72">
        <f t="shared" si="4"/>
        <v>0</v>
      </c>
      <c r="O74" s="72">
        <f t="shared" si="4"/>
        <v>0</v>
      </c>
      <c r="P74" s="72">
        <f t="shared" si="4"/>
        <v>0</v>
      </c>
      <c r="Q74" s="72">
        <f t="shared" si="4"/>
        <v>0</v>
      </c>
      <c r="R74" s="72">
        <f t="shared" si="4"/>
        <v>0</v>
      </c>
      <c r="S74" s="72">
        <f t="shared" si="4"/>
        <v>0</v>
      </c>
      <c r="T74" s="73">
        <f t="shared" si="4"/>
        <v>2776958.4712672881</v>
      </c>
    </row>
    <row r="75" spans="2:20" ht="13.8" thickBot="1"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2:20">
      <c r="B76" s="56" t="s">
        <v>69</v>
      </c>
      <c r="C76" s="47"/>
      <c r="D76" s="47"/>
      <c r="E76" s="57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9"/>
    </row>
    <row r="77" spans="2:20">
      <c r="B77" s="60" t="s">
        <v>16</v>
      </c>
      <c r="C77" s="24"/>
      <c r="D77" s="24"/>
      <c r="E77" s="61"/>
      <c r="F77" s="62">
        <f>E62*-0.015</f>
        <v>-32812.5</v>
      </c>
      <c r="G77" s="62">
        <f>F62*-0.015</f>
        <v>-34040.25</v>
      </c>
      <c r="H77" s="62">
        <f>G62*-0.015</f>
        <v>-35336.371500000001</v>
      </c>
      <c r="I77" s="62">
        <f>H62*-0.015</f>
        <v>-36704.685654000008</v>
      </c>
      <c r="J77" s="62">
        <f>I62*-0.015</f>
        <v>-38149.227447623998</v>
      </c>
      <c r="K77" s="62">
        <f>J62*-0.015</f>
        <v>-39674.257669630948</v>
      </c>
      <c r="L77" s="62">
        <f>K62*-0.015</f>
        <v>-41284.27555376909</v>
      </c>
      <c r="M77" s="62">
        <f>L62*-0.015</f>
        <v>-42984.032128511732</v>
      </c>
      <c r="N77" s="62">
        <f>M62*-0.015</f>
        <v>-44778.544314314597</v>
      </c>
      <c r="O77" s="62">
        <f>N62*-0.015</f>
        <v>-46673.109810254544</v>
      </c>
      <c r="P77" s="62">
        <f>O62*-0.015</f>
        <v>-48673.322814253901</v>
      </c>
      <c r="Q77" s="62">
        <f>P62*-0.015</f>
        <v>-50785.090623569726</v>
      </c>
      <c r="R77" s="62">
        <f>Q62*-0.015</f>
        <v>-53014.651164841591</v>
      </c>
      <c r="S77" s="62">
        <f>R62*-0.015</f>
        <v>-55368.59150575172</v>
      </c>
      <c r="T77" s="63">
        <f>S62*-0.015</f>
        <v>-57853.867403266384</v>
      </c>
    </row>
    <row r="78" spans="2:20">
      <c r="B78" s="60" t="s">
        <v>31</v>
      </c>
      <c r="C78" s="24"/>
      <c r="D78" s="24"/>
      <c r="E78" s="61">
        <v>0</v>
      </c>
      <c r="F78" s="62">
        <f>$G$18*-(1+$G$9)</f>
        <v>-1275</v>
      </c>
      <c r="G78" s="62">
        <f>F$78*(1+$G$9)</f>
        <v>-1300.5</v>
      </c>
      <c r="H78" s="62">
        <f>G$78*(1+$G$9)</f>
        <v>-1326.51</v>
      </c>
      <c r="I78" s="62">
        <f>H$78*(1+$G$9)</f>
        <v>-1353.0401999999999</v>
      </c>
      <c r="J78" s="62">
        <f>I$78*(1+$G$9)</f>
        <v>-1380.1010039999999</v>
      </c>
      <c r="K78" s="62">
        <f>J$78*(1+$G$9)</f>
        <v>-1407.70302408</v>
      </c>
      <c r="L78" s="62">
        <f>K$78*(1+$G$9)</f>
        <v>-1435.8570845616</v>
      </c>
      <c r="M78" s="62">
        <f>L$78*(1+$G$9)</f>
        <v>-1464.574226252832</v>
      </c>
      <c r="N78" s="62">
        <f>M$78*(1+$G$9)</f>
        <v>-1493.8657107778886</v>
      </c>
      <c r="O78" s="62">
        <f>N$78*(1+$G$9)</f>
        <v>-1523.7430249934464</v>
      </c>
      <c r="P78" s="62">
        <f>O$78*(1+$G$9)</f>
        <v>-1554.2178854933154</v>
      </c>
      <c r="Q78" s="62">
        <f>P$78*(1+$G$9)</f>
        <v>-1585.3022432031817</v>
      </c>
      <c r="R78" s="62">
        <f>Q$78*(1+$G$9)</f>
        <v>-1617.0082880672453</v>
      </c>
      <c r="S78" s="62">
        <f>R$78*(1+$G$9)</f>
        <v>-1649.3484538285902</v>
      </c>
      <c r="T78" s="63">
        <f>S$78*(1+$G$9)</f>
        <v>-1682.335422905162</v>
      </c>
    </row>
    <row r="79" spans="2:20" ht="13.8" thickBot="1">
      <c r="B79" s="50" t="s">
        <v>70</v>
      </c>
      <c r="C79" s="38"/>
      <c r="D79" s="38"/>
      <c r="E79" s="40"/>
      <c r="F79" s="43">
        <f>-Annual_Int</f>
        <v>-39375</v>
      </c>
      <c r="G79" s="43">
        <f>-Annual_Int</f>
        <v>-39375</v>
      </c>
      <c r="H79" s="43">
        <f>-Annual_Int</f>
        <v>-39375</v>
      </c>
      <c r="I79" s="43">
        <f>-Annual_Int</f>
        <v>-39375</v>
      </c>
      <c r="J79" s="43">
        <f>-Annual_Int</f>
        <v>-39375</v>
      </c>
      <c r="K79" s="43">
        <f>-Annual_Int</f>
        <v>-39375</v>
      </c>
      <c r="L79" s="43">
        <f>-Annual_Int</f>
        <v>-39375</v>
      </c>
      <c r="M79" s="43">
        <f>-Annual_Int</f>
        <v>-39375</v>
      </c>
      <c r="N79" s="43">
        <f>-Annual_Int</f>
        <v>-39375</v>
      </c>
      <c r="O79" s="43">
        <f>-Annual_Int</f>
        <v>-39375</v>
      </c>
      <c r="P79" s="43">
        <f>-Annual_Int</f>
        <v>-39375</v>
      </c>
      <c r="Q79" s="43">
        <f>-Annual_Int</f>
        <v>-39375</v>
      </c>
      <c r="R79" s="43">
        <f>-Annual_Int</f>
        <v>-39375</v>
      </c>
      <c r="S79" s="43">
        <f>-Annual_Int</f>
        <v>-39375</v>
      </c>
      <c r="T79" s="64">
        <f>-Annual_Int</f>
        <v>-39375</v>
      </c>
    </row>
    <row r="80" spans="2:20" ht="14.4" thickTop="1" thickBot="1">
      <c r="B80" s="52" t="s">
        <v>55</v>
      </c>
      <c r="C80" s="53"/>
      <c r="D80" s="53"/>
      <c r="E80" s="65">
        <f>E77+E78</f>
        <v>0</v>
      </c>
      <c r="F80" s="65">
        <f>SUM(F77:F79)</f>
        <v>-73462.5</v>
      </c>
      <c r="G80" s="65">
        <f t="shared" ref="G80:T80" si="5">SUM(G77:G79)</f>
        <v>-74715.75</v>
      </c>
      <c r="H80" s="65">
        <f t="shared" si="5"/>
        <v>-76037.881500000003</v>
      </c>
      <c r="I80" s="65">
        <f t="shared" si="5"/>
        <v>-77432.725854000018</v>
      </c>
      <c r="J80" s="65">
        <f t="shared" si="5"/>
        <v>-78904.328451623995</v>
      </c>
      <c r="K80" s="65">
        <f t="shared" si="5"/>
        <v>-80456.960693710949</v>
      </c>
      <c r="L80" s="65">
        <f t="shared" si="5"/>
        <v>-82095.132638330688</v>
      </c>
      <c r="M80" s="65">
        <f t="shared" si="5"/>
        <v>-83823.606354764561</v>
      </c>
      <c r="N80" s="65">
        <f t="shared" si="5"/>
        <v>-85647.410025092482</v>
      </c>
      <c r="O80" s="65">
        <f t="shared" si="5"/>
        <v>-87571.852835247992</v>
      </c>
      <c r="P80" s="65">
        <f t="shared" si="5"/>
        <v>-89602.540699747216</v>
      </c>
      <c r="Q80" s="65">
        <f t="shared" si="5"/>
        <v>-91745.392866772905</v>
      </c>
      <c r="R80" s="65">
        <f t="shared" si="5"/>
        <v>-94006.659452908832</v>
      </c>
      <c r="S80" s="65">
        <f t="shared" si="5"/>
        <v>-96392.939959580312</v>
      </c>
      <c r="T80" s="66">
        <f t="shared" si="5"/>
        <v>-98911.202826171546</v>
      </c>
    </row>
    <row r="81" spans="2:20" ht="13.8" thickBot="1">
      <c r="B81" s="2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</row>
    <row r="82" spans="2:20">
      <c r="B82" s="46" t="s">
        <v>64</v>
      </c>
      <c r="C82" s="47"/>
      <c r="D82" s="47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9"/>
    </row>
    <row r="83" spans="2:20" ht="13.8" thickBot="1">
      <c r="B83" s="50" t="s">
        <v>62</v>
      </c>
      <c r="C83" s="38"/>
      <c r="D83" s="38"/>
      <c r="E83" s="45">
        <f>E64*E61</f>
        <v>0</v>
      </c>
      <c r="F83" s="45">
        <f>-F64*F61</f>
        <v>73462.5</v>
      </c>
      <c r="G83" s="45">
        <f>-G64*G61</f>
        <v>74715.75</v>
      </c>
      <c r="H83" s="45">
        <f>-H64*H61</f>
        <v>76037.881500000003</v>
      </c>
      <c r="I83" s="45">
        <f>-I64*I61</f>
        <v>77432.725854000018</v>
      </c>
      <c r="J83" s="45">
        <f>-J64*J61</f>
        <v>78904.328451623995</v>
      </c>
      <c r="K83" s="45">
        <f>-K64*K61</f>
        <v>80456.960693710949</v>
      </c>
      <c r="L83" s="45">
        <f>-L64*L61</f>
        <v>82095.132638330688</v>
      </c>
      <c r="M83" s="45">
        <f>-M64*M61</f>
        <v>83823.606354764561</v>
      </c>
      <c r="N83" s="45">
        <f>-N64*N61</f>
        <v>85647.410025092482</v>
      </c>
      <c r="O83" s="45">
        <f>-O64*O61</f>
        <v>87571.852835247992</v>
      </c>
      <c r="P83" s="45">
        <f>-P64*P61</f>
        <v>89602.540699747216</v>
      </c>
      <c r="Q83" s="45">
        <f>-Q64*Q61</f>
        <v>91745.392866772905</v>
      </c>
      <c r="R83" s="45">
        <f>-R64*R61</f>
        <v>94006.659452908832</v>
      </c>
      <c r="S83" s="45">
        <f>-S64*S61</f>
        <v>96392.939959580312</v>
      </c>
      <c r="T83" s="51">
        <f>-T64*T61</f>
        <v>0</v>
      </c>
    </row>
    <row r="84" spans="2:20" ht="14.4" thickTop="1" thickBot="1">
      <c r="B84" s="52" t="s">
        <v>72</v>
      </c>
      <c r="C84" s="53"/>
      <c r="D84" s="53"/>
      <c r="E84" s="54">
        <f>SUM(E83)</f>
        <v>0</v>
      </c>
      <c r="F84" s="54">
        <f t="shared" ref="F84:T84" si="6">SUM(F83)</f>
        <v>73462.5</v>
      </c>
      <c r="G84" s="54">
        <f t="shared" si="6"/>
        <v>74715.75</v>
      </c>
      <c r="H84" s="54">
        <f t="shared" si="6"/>
        <v>76037.881500000003</v>
      </c>
      <c r="I84" s="54">
        <f t="shared" si="6"/>
        <v>77432.725854000018</v>
      </c>
      <c r="J84" s="54">
        <f t="shared" si="6"/>
        <v>78904.328451623995</v>
      </c>
      <c r="K84" s="54">
        <f t="shared" si="6"/>
        <v>80456.960693710949</v>
      </c>
      <c r="L84" s="54">
        <f t="shared" si="6"/>
        <v>82095.132638330688</v>
      </c>
      <c r="M84" s="54">
        <f t="shared" si="6"/>
        <v>83823.606354764561</v>
      </c>
      <c r="N84" s="54">
        <f t="shared" si="6"/>
        <v>85647.410025092482</v>
      </c>
      <c r="O84" s="54">
        <f t="shared" si="6"/>
        <v>87571.852835247992</v>
      </c>
      <c r="P84" s="54">
        <f t="shared" si="6"/>
        <v>89602.540699747216</v>
      </c>
      <c r="Q84" s="54">
        <f t="shared" si="6"/>
        <v>91745.392866772905</v>
      </c>
      <c r="R84" s="54">
        <f t="shared" si="6"/>
        <v>94006.659452908832</v>
      </c>
      <c r="S84" s="54">
        <f t="shared" si="6"/>
        <v>96392.939959580312</v>
      </c>
      <c r="T84" s="55">
        <f t="shared" si="6"/>
        <v>0</v>
      </c>
    </row>
    <row r="85" spans="2:20">
      <c r="B85" s="2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</row>
    <row r="87" spans="2:20">
      <c r="B87" s="44" t="s">
        <v>61</v>
      </c>
      <c r="E87" s="34">
        <f>E74+E80+E84</f>
        <v>-700625</v>
      </c>
      <c r="F87" s="34">
        <f>F74+F80+F84</f>
        <v>0</v>
      </c>
      <c r="G87" s="34">
        <f>G74+G80+G84</f>
        <v>0</v>
      </c>
      <c r="H87" s="34">
        <f>H74+H80+H84</f>
        <v>0</v>
      </c>
      <c r="I87" s="34">
        <f>I74+I80+I84</f>
        <v>0</v>
      </c>
      <c r="J87" s="34">
        <f>J74+J80+J84</f>
        <v>0</v>
      </c>
      <c r="K87" s="34">
        <f>K74+K80+K84</f>
        <v>0</v>
      </c>
      <c r="L87" s="34">
        <f>L74+L80+L84</f>
        <v>0</v>
      </c>
      <c r="M87" s="34">
        <f>M74+M80+M84</f>
        <v>0</v>
      </c>
      <c r="N87" s="34">
        <f>N74+N80+N84</f>
        <v>0</v>
      </c>
      <c r="O87" s="34">
        <f>O74+O80+O84</f>
        <v>0</v>
      </c>
      <c r="P87" s="34">
        <f>P74+P80+P84</f>
        <v>0</v>
      </c>
      <c r="Q87" s="34">
        <f>Q74+Q80+Q84</f>
        <v>0</v>
      </c>
      <c r="R87" s="34">
        <f>R74+R80+R84</f>
        <v>0</v>
      </c>
      <c r="S87" s="34">
        <f>S74+S80+S84</f>
        <v>0</v>
      </c>
      <c r="T87" s="34">
        <f>T74+T80+T84</f>
        <v>2678047.2684411164</v>
      </c>
    </row>
    <row r="88" spans="2:20">
      <c r="B88" s="37" t="s">
        <v>71</v>
      </c>
      <c r="E88" s="41">
        <f>IRR(E87:T87)</f>
        <v>9.3508526847267071E-2</v>
      </c>
    </row>
    <row r="89" spans="2:20">
      <c r="B89" s="42"/>
    </row>
  </sheetData>
  <phoneticPr fontId="5" type="noConversion"/>
  <pageMargins left="0.7" right="0.7" top="0.75" bottom="0.75" header="0.3" footer="0.3"/>
  <pageSetup scale="88" orientation="landscape" verticalDpi="0" r:id="rId1"/>
  <ignoredErrors>
    <ignoredError sqref="N17:N1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FED5-BA0F-4598-B728-FE5EF1856601}">
  <dimension ref="B2:V91"/>
  <sheetViews>
    <sheetView showGridLines="0" zoomScale="130" zoomScaleNormal="190" workbookViewId="0">
      <selection activeCell="B3" sqref="B3"/>
    </sheetView>
  </sheetViews>
  <sheetFormatPr defaultColWidth="8.6640625" defaultRowHeight="13.2"/>
  <cols>
    <col min="1" max="1" width="3.33203125" style="1" customWidth="1"/>
    <col min="2" max="2" width="15.21875" style="1" customWidth="1"/>
    <col min="3" max="3" width="8.6640625" style="1"/>
    <col min="4" max="4" width="14.6640625" style="1" bestFit="1" customWidth="1"/>
    <col min="5" max="5" width="15.6640625" style="1" bestFit="1" customWidth="1"/>
    <col min="6" max="6" width="16.33203125" style="1" customWidth="1"/>
    <col min="7" max="7" width="21.6640625" style="1" bestFit="1" customWidth="1"/>
    <col min="8" max="8" width="16" style="1" bestFit="1" customWidth="1"/>
    <col min="9" max="9" width="17.77734375" style="1" customWidth="1"/>
    <col min="10" max="19" width="16" style="1" bestFit="1" customWidth="1"/>
    <col min="20" max="20" width="16" style="1" customWidth="1"/>
    <col min="21" max="16384" width="8.6640625" style="1"/>
  </cols>
  <sheetData>
    <row r="2" spans="2:14" ht="23.4">
      <c r="B2" s="13" t="str">
        <f>G7</f>
        <v>Perpetual Growth Capital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6.2" thickBot="1">
      <c r="B3" s="14" t="s">
        <v>86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6" spans="2:14">
      <c r="B6" s="8" t="s">
        <v>33</v>
      </c>
      <c r="C6" s="9"/>
      <c r="D6" s="9"/>
      <c r="E6" s="9"/>
      <c r="F6" s="9"/>
      <c r="G6" s="9"/>
      <c r="I6" s="8" t="s">
        <v>21</v>
      </c>
      <c r="J6" s="9"/>
      <c r="K6" s="9"/>
      <c r="L6" s="9"/>
      <c r="M6" s="9"/>
      <c r="N6" s="9"/>
    </row>
    <row r="7" spans="2:14">
      <c r="B7" s="10" t="s">
        <v>1</v>
      </c>
      <c r="G7" s="16" t="s">
        <v>9</v>
      </c>
      <c r="I7" s="10" t="s">
        <v>22</v>
      </c>
      <c r="M7" s="11" t="s">
        <v>23</v>
      </c>
      <c r="N7" s="32">
        <v>2000000</v>
      </c>
    </row>
    <row r="8" spans="2:14">
      <c r="B8" s="10" t="s">
        <v>11</v>
      </c>
      <c r="F8" s="11" t="s">
        <v>10</v>
      </c>
      <c r="G8" s="7">
        <v>2021</v>
      </c>
      <c r="I8" s="10" t="s">
        <v>12</v>
      </c>
      <c r="M8" s="11" t="s">
        <v>24</v>
      </c>
      <c r="N8" s="7">
        <v>15</v>
      </c>
    </row>
    <row r="9" spans="2:14">
      <c r="B9" s="10" t="s">
        <v>20</v>
      </c>
      <c r="F9" s="11" t="s">
        <v>2</v>
      </c>
      <c r="G9" s="19">
        <v>0.02</v>
      </c>
      <c r="I9" s="10" t="s">
        <v>13</v>
      </c>
      <c r="M9" s="11" t="s">
        <v>10</v>
      </c>
      <c r="N9" s="17">
        <f>G8+N8-1</f>
        <v>2035</v>
      </c>
    </row>
    <row r="10" spans="2:14">
      <c r="I10" s="10" t="s">
        <v>4</v>
      </c>
      <c r="M10" s="11" t="s">
        <v>2</v>
      </c>
      <c r="N10" s="12">
        <v>0.01</v>
      </c>
    </row>
    <row r="13" spans="2:14">
      <c r="B13" s="8" t="s">
        <v>15</v>
      </c>
      <c r="C13" s="9"/>
      <c r="D13" s="9"/>
      <c r="E13" s="9"/>
      <c r="F13" s="9"/>
      <c r="G13" s="9"/>
      <c r="I13" s="8" t="s">
        <v>14</v>
      </c>
      <c r="J13" s="9"/>
      <c r="K13" s="9"/>
      <c r="L13" s="9"/>
      <c r="M13" s="9"/>
      <c r="N13" s="9"/>
    </row>
    <row r="14" spans="2:14">
      <c r="B14" s="10" t="s">
        <v>25</v>
      </c>
      <c r="F14" s="11" t="s">
        <v>26</v>
      </c>
      <c r="G14" s="20">
        <v>50000</v>
      </c>
      <c r="I14" s="10" t="s">
        <v>6</v>
      </c>
      <c r="M14" s="11" t="s">
        <v>2</v>
      </c>
      <c r="N14" s="18">
        <v>0.6</v>
      </c>
    </row>
    <row r="15" spans="2:14">
      <c r="B15" s="10" t="s">
        <v>27</v>
      </c>
      <c r="F15" s="11" t="s">
        <v>28</v>
      </c>
      <c r="G15" s="32">
        <v>50</v>
      </c>
      <c r="I15" s="10" t="s">
        <v>5</v>
      </c>
      <c r="M15" s="11" t="s">
        <v>29</v>
      </c>
      <c r="N15" s="12">
        <v>0.03</v>
      </c>
    </row>
    <row r="16" spans="2:14">
      <c r="B16" s="10" t="s">
        <v>18</v>
      </c>
      <c r="F16" s="11" t="s">
        <v>29</v>
      </c>
      <c r="G16" s="19">
        <v>0.05</v>
      </c>
      <c r="I16" s="10" t="s">
        <v>3</v>
      </c>
      <c r="M16" s="11" t="s">
        <v>2</v>
      </c>
      <c r="N16" s="12">
        <v>0.01</v>
      </c>
    </row>
    <row r="17" spans="2:14">
      <c r="B17" s="10" t="s">
        <v>16</v>
      </c>
      <c r="F17" s="11" t="s">
        <v>30</v>
      </c>
      <c r="G17" s="19">
        <v>1.4999999999999999E-2</v>
      </c>
      <c r="I17" s="10" t="s">
        <v>50</v>
      </c>
      <c r="N17" s="32">
        <f>B27</f>
        <v>1312500</v>
      </c>
    </row>
    <row r="18" spans="2:14">
      <c r="B18" s="10" t="s">
        <v>31</v>
      </c>
      <c r="F18" s="11" t="s">
        <v>32</v>
      </c>
      <c r="G18" s="32">
        <v>1250</v>
      </c>
      <c r="I18" s="10" t="s">
        <v>49</v>
      </c>
      <c r="N18" s="32">
        <f>N17*N15</f>
        <v>39375</v>
      </c>
    </row>
    <row r="19" spans="2:14">
      <c r="B19" s="10" t="s">
        <v>17</v>
      </c>
      <c r="F19" s="11" t="s">
        <v>28</v>
      </c>
      <c r="G19" s="32">
        <v>4.75</v>
      </c>
    </row>
    <row r="20" spans="2:14">
      <c r="B20" s="10" t="s">
        <v>19</v>
      </c>
      <c r="F20" s="11" t="s">
        <v>28</v>
      </c>
      <c r="G20" s="32">
        <v>1.5</v>
      </c>
    </row>
    <row r="23" spans="2:14">
      <c r="B23" s="8" t="s">
        <v>34</v>
      </c>
      <c r="C23" s="9"/>
      <c r="D23" s="9"/>
      <c r="E23" s="9"/>
      <c r="F23" s="9"/>
      <c r="G23" s="9"/>
    </row>
    <row r="24" spans="2:14">
      <c r="B24" s="33">
        <f>G14*(G15-G19-G20)</f>
        <v>2187500</v>
      </c>
      <c r="C24" s="27" t="s">
        <v>39</v>
      </c>
      <c r="D24" s="24"/>
      <c r="E24" s="24"/>
      <c r="F24" s="24"/>
      <c r="G24" s="24"/>
      <c r="H24" s="34"/>
    </row>
    <row r="25" spans="2:14">
      <c r="B25" s="23"/>
      <c r="C25" s="24"/>
      <c r="D25" s="24"/>
      <c r="E25" s="24"/>
      <c r="F25" s="24"/>
      <c r="G25" s="24"/>
    </row>
    <row r="26" spans="2:14">
      <c r="B26" s="8" t="s">
        <v>40</v>
      </c>
      <c r="C26" s="9"/>
      <c r="D26" s="9"/>
      <c r="E26" s="9"/>
      <c r="F26" s="9"/>
      <c r="G26" s="9"/>
    </row>
    <row r="27" spans="2:14">
      <c r="B27" s="33">
        <f>B24*N14</f>
        <v>1312500</v>
      </c>
      <c r="C27" s="27" t="s">
        <v>42</v>
      </c>
      <c r="D27" s="24"/>
      <c r="E27" s="24"/>
      <c r="F27" s="24"/>
      <c r="G27" s="24"/>
    </row>
    <row r="28" spans="2:14">
      <c r="B28" s="23"/>
      <c r="C28" s="24"/>
      <c r="D28" s="24"/>
      <c r="E28" s="24"/>
      <c r="F28" s="24"/>
      <c r="G28" s="24"/>
    </row>
    <row r="29" spans="2:14">
      <c r="B29" s="23" t="s">
        <v>46</v>
      </c>
      <c r="C29" s="24"/>
      <c r="D29" s="24"/>
      <c r="E29" s="24"/>
      <c r="F29" s="24"/>
      <c r="G29" s="23">
        <v>15</v>
      </c>
    </row>
    <row r="30" spans="2:14">
      <c r="B30" s="8" t="s">
        <v>47</v>
      </c>
      <c r="C30" s="9"/>
      <c r="D30" s="9"/>
      <c r="E30" s="9"/>
      <c r="F30" s="9"/>
      <c r="G30" s="9"/>
    </row>
    <row r="31" spans="2:14">
      <c r="B31" s="28">
        <f>HLOOKUP(G29,B58:T64,MATCH(B60,B58:B64,0),0)</f>
        <v>67.293416916206496</v>
      </c>
      <c r="C31" s="27" t="s">
        <v>41</v>
      </c>
      <c r="D31" s="24"/>
      <c r="E31" s="24"/>
      <c r="F31" s="24"/>
      <c r="G31" s="24"/>
    </row>
    <row r="32" spans="2:14">
      <c r="B32" s="26"/>
      <c r="C32" s="24"/>
      <c r="D32" s="24"/>
      <c r="E32" s="24"/>
      <c r="F32" s="24"/>
      <c r="G32" s="24"/>
    </row>
    <row r="33" spans="2:7">
      <c r="B33" s="29" t="s">
        <v>45</v>
      </c>
      <c r="C33" s="9"/>
      <c r="D33" s="9"/>
      <c r="E33" s="9"/>
      <c r="F33" s="9"/>
      <c r="G33" s="8">
        <v>15</v>
      </c>
    </row>
    <row r="34" spans="2:7">
      <c r="B34" s="28">
        <f>HLOOKUP(G33,B58:T64,MATCH(B63,B58:B64,0),0)</f>
        <v>58.881739801680688</v>
      </c>
      <c r="C34" s="27" t="s">
        <v>43</v>
      </c>
      <c r="D34" s="24"/>
      <c r="E34" s="24"/>
      <c r="F34" s="24"/>
      <c r="G34" s="24"/>
    </row>
    <row r="35" spans="2:7">
      <c r="B35" s="23"/>
      <c r="C35" s="24"/>
      <c r="D35" s="24"/>
      <c r="E35" s="24"/>
      <c r="F35" s="24"/>
      <c r="G35" s="24"/>
    </row>
    <row r="36" spans="2:7">
      <c r="B36" s="8" t="s">
        <v>44</v>
      </c>
      <c r="C36" s="9"/>
      <c r="D36" s="9"/>
      <c r="E36" s="9"/>
      <c r="F36" s="9"/>
      <c r="G36" s="8">
        <v>15</v>
      </c>
    </row>
    <row r="37" spans="2:7">
      <c r="B37" s="28">
        <f>ROUND(HLOOKUP(G36,B58:T80,MATCH(B18,B58:B80,0)),0)</f>
        <v>-1682</v>
      </c>
      <c r="C37" s="27" t="s">
        <v>59</v>
      </c>
      <c r="D37" s="24"/>
      <c r="E37" s="24"/>
      <c r="F37" s="24"/>
      <c r="G37" s="24"/>
    </row>
    <row r="38" spans="2:7">
      <c r="B38" s="23"/>
      <c r="C38" s="24"/>
      <c r="D38" s="24"/>
      <c r="E38" s="24"/>
      <c r="F38" s="24"/>
      <c r="G38" s="24"/>
    </row>
    <row r="39" spans="2:7">
      <c r="B39" s="8" t="s">
        <v>73</v>
      </c>
      <c r="C39" s="9"/>
      <c r="D39" s="9"/>
      <c r="E39" s="9"/>
      <c r="F39" s="9"/>
      <c r="G39" s="8">
        <v>1</v>
      </c>
    </row>
    <row r="40" spans="2:7">
      <c r="B40" s="33">
        <f>ROUND(B24*0.015,0)</f>
        <v>32813</v>
      </c>
      <c r="C40" s="27" t="s">
        <v>39</v>
      </c>
      <c r="D40" s="24"/>
      <c r="E40" s="24"/>
      <c r="F40" s="24"/>
      <c r="G40" s="24"/>
    </row>
    <row r="41" spans="2:7">
      <c r="B41" s="23"/>
      <c r="C41" s="24"/>
      <c r="D41" s="24"/>
      <c r="E41" s="24"/>
      <c r="F41" s="24"/>
      <c r="G41" s="24"/>
    </row>
    <row r="42" spans="2:7">
      <c r="B42" s="8" t="s">
        <v>51</v>
      </c>
      <c r="C42" s="9"/>
      <c r="D42" s="9"/>
      <c r="E42" s="9"/>
      <c r="F42" s="9"/>
      <c r="G42" s="8">
        <v>1</v>
      </c>
    </row>
    <row r="43" spans="2:7">
      <c r="B43" s="28">
        <f>(B24*G17)+F80+N18</f>
        <v>70912.5</v>
      </c>
      <c r="C43" s="27" t="s">
        <v>43</v>
      </c>
      <c r="D43" s="24"/>
      <c r="E43" s="24"/>
      <c r="F43" s="24"/>
      <c r="G43" s="24"/>
    </row>
    <row r="44" spans="2:7">
      <c r="B44" s="23"/>
      <c r="C44" s="24"/>
      <c r="D44" s="24"/>
      <c r="E44" s="24"/>
      <c r="F44" s="24"/>
      <c r="G44" s="24"/>
    </row>
    <row r="45" spans="2:7">
      <c r="B45" s="8" t="s">
        <v>52</v>
      </c>
      <c r="C45" s="9"/>
      <c r="D45" s="9"/>
      <c r="E45" s="9"/>
      <c r="F45" s="9"/>
      <c r="G45" s="8">
        <v>1</v>
      </c>
    </row>
    <row r="46" spans="2:7">
      <c r="B46" s="35">
        <f>ROUND(B43/HLOOKUP(G45,B58:T80,MATCH(B63,B58:B80,0),0),0)</f>
        <v>1589</v>
      </c>
      <c r="C46" s="27" t="s">
        <v>58</v>
      </c>
      <c r="D46" s="24"/>
      <c r="E46" s="24"/>
      <c r="F46" s="24"/>
      <c r="G46" s="24"/>
    </row>
    <row r="47" spans="2:7">
      <c r="B47" s="23"/>
      <c r="C47" s="24"/>
      <c r="D47" s="24"/>
      <c r="E47" s="24"/>
      <c r="F47" s="24"/>
      <c r="G47" s="24"/>
    </row>
    <row r="48" spans="2:7">
      <c r="B48" s="8" t="s">
        <v>54</v>
      </c>
      <c r="C48" s="9"/>
      <c r="D48" s="9"/>
      <c r="E48" s="9"/>
      <c r="F48" s="9"/>
      <c r="G48" s="8">
        <v>14</v>
      </c>
    </row>
    <row r="49" spans="2:22">
      <c r="B49" s="35">
        <f>HLOOKUP(G48,B58:T80,MATCH(B67,B58:B80,0),0)</f>
        <v>-23007.531424260429</v>
      </c>
      <c r="C49" s="27" t="s">
        <v>43</v>
      </c>
      <c r="D49" s="24"/>
      <c r="E49" s="24"/>
      <c r="F49" s="24"/>
      <c r="G49" s="24"/>
    </row>
    <row r="50" spans="2:22">
      <c r="B50" s="23"/>
      <c r="C50" s="24"/>
      <c r="D50" s="24"/>
      <c r="E50" s="24"/>
      <c r="F50" s="24"/>
      <c r="G50" s="24"/>
    </row>
    <row r="51" spans="2:22">
      <c r="B51" s="8" t="s">
        <v>60</v>
      </c>
      <c r="C51" s="8"/>
      <c r="D51" s="8"/>
      <c r="E51" s="8"/>
      <c r="F51" s="8"/>
      <c r="G51" s="8">
        <v>15</v>
      </c>
    </row>
    <row r="52" spans="2:22">
      <c r="B52" s="33">
        <f>HLOOKUP(G51,B58:T82,MATCH(B64,B58:B82,0),0)</f>
        <v>4130766.1325932201</v>
      </c>
      <c r="C52" s="27" t="s">
        <v>58</v>
      </c>
      <c r="D52" s="24"/>
      <c r="E52" s="24"/>
      <c r="F52" s="24"/>
      <c r="G52" s="24"/>
    </row>
    <row r="53" spans="2:22">
      <c r="B53" s="23"/>
      <c r="C53" s="24"/>
      <c r="D53" s="24"/>
      <c r="E53" s="24"/>
      <c r="F53" s="24"/>
      <c r="G53" s="24"/>
    </row>
    <row r="54" spans="2:22" ht="15.6">
      <c r="B54" s="87" t="s">
        <v>76</v>
      </c>
      <c r="C54" s="24"/>
      <c r="D54" s="24"/>
      <c r="E54" s="24"/>
      <c r="F54" s="24"/>
      <c r="G54" s="24"/>
    </row>
    <row r="55" spans="2:22" ht="15.6">
      <c r="B55" s="88" t="s">
        <v>77</v>
      </c>
      <c r="C55" s="24"/>
      <c r="D55" s="24"/>
      <c r="E55" s="24"/>
      <c r="F55" s="24"/>
      <c r="G55" s="24"/>
    </row>
    <row r="56" spans="2:22" ht="15.6">
      <c r="B56" s="84"/>
      <c r="C56" s="24"/>
      <c r="D56" s="24"/>
      <c r="E56" s="24"/>
      <c r="F56" s="24"/>
      <c r="G56" s="24"/>
    </row>
    <row r="57" spans="2:22">
      <c r="B57" s="23"/>
      <c r="C57" s="24"/>
      <c r="D57" s="24"/>
      <c r="E57" s="36">
        <v>2020</v>
      </c>
      <c r="F57" s="36">
        <f>E57+1</f>
        <v>2021</v>
      </c>
      <c r="G57" s="36">
        <f t="shared" ref="G57:S58" si="0">F57+1</f>
        <v>2022</v>
      </c>
      <c r="H57" s="36">
        <f t="shared" si="0"/>
        <v>2023</v>
      </c>
      <c r="I57" s="36">
        <f t="shared" si="0"/>
        <v>2024</v>
      </c>
      <c r="J57" s="36">
        <f t="shared" si="0"/>
        <v>2025</v>
      </c>
      <c r="K57" s="36">
        <f t="shared" si="0"/>
        <v>2026</v>
      </c>
      <c r="L57" s="36">
        <f t="shared" si="0"/>
        <v>2027</v>
      </c>
      <c r="M57" s="36">
        <f t="shared" si="0"/>
        <v>2028</v>
      </c>
      <c r="N57" s="36">
        <f t="shared" si="0"/>
        <v>2029</v>
      </c>
      <c r="O57" s="36">
        <f t="shared" si="0"/>
        <v>2030</v>
      </c>
      <c r="P57" s="36">
        <f t="shared" si="0"/>
        <v>2031</v>
      </c>
      <c r="Q57" s="36">
        <f t="shared" si="0"/>
        <v>2032</v>
      </c>
      <c r="R57" s="36">
        <f t="shared" si="0"/>
        <v>2033</v>
      </c>
      <c r="S57" s="36">
        <f t="shared" si="0"/>
        <v>2034</v>
      </c>
      <c r="T57" s="36">
        <f>S57+1</f>
        <v>2035</v>
      </c>
    </row>
    <row r="58" spans="2:22" ht="13.8" thickBot="1">
      <c r="B58" s="23"/>
      <c r="C58" s="24"/>
      <c r="D58" s="24"/>
      <c r="E58" s="25">
        <v>0</v>
      </c>
      <c r="F58" s="25">
        <v>1</v>
      </c>
      <c r="G58" s="25">
        <f>F58+1</f>
        <v>2</v>
      </c>
      <c r="H58" s="25">
        <f t="shared" si="0"/>
        <v>3</v>
      </c>
      <c r="I58" s="25">
        <f t="shared" si="0"/>
        <v>4</v>
      </c>
      <c r="J58" s="25">
        <f t="shared" si="0"/>
        <v>5</v>
      </c>
      <c r="K58" s="25">
        <f t="shared" si="0"/>
        <v>6</v>
      </c>
      <c r="L58" s="25">
        <f t="shared" si="0"/>
        <v>7</v>
      </c>
      <c r="M58" s="25">
        <f t="shared" si="0"/>
        <v>8</v>
      </c>
      <c r="N58" s="25">
        <f t="shared" si="0"/>
        <v>9</v>
      </c>
      <c r="O58" s="25">
        <f t="shared" si="0"/>
        <v>10</v>
      </c>
      <c r="P58" s="25">
        <f t="shared" si="0"/>
        <v>11</v>
      </c>
      <c r="Q58" s="25">
        <f t="shared" si="0"/>
        <v>12</v>
      </c>
      <c r="R58" s="25">
        <f t="shared" si="0"/>
        <v>13</v>
      </c>
      <c r="S58" s="25">
        <f t="shared" si="0"/>
        <v>14</v>
      </c>
      <c r="T58" s="25">
        <f>S58+1</f>
        <v>15</v>
      </c>
      <c r="U58" s="24"/>
      <c r="V58" s="24"/>
    </row>
    <row r="59" spans="2:22">
      <c r="B59" s="74" t="s">
        <v>36</v>
      </c>
      <c r="C59" s="47"/>
      <c r="D59" s="47"/>
      <c r="E59" s="75">
        <f>G14</f>
        <v>50000</v>
      </c>
      <c r="F59" s="76">
        <f>(E59*(1+forest_growth_rate))+F66</f>
        <v>50853.781512605041</v>
      </c>
      <c r="G59" s="76">
        <f>(F59*(1+forest_growth_rate))+G66</f>
        <v>51754.997528423133</v>
      </c>
      <c r="H59" s="76">
        <f>(G59*(1+forest_growth_rate))+H66</f>
        <v>52704.982970350771</v>
      </c>
      <c r="I59" s="76">
        <f>(H59*(1+forest_growth_rate))+I66</f>
        <v>53705.126527897271</v>
      </c>
      <c r="J59" s="76">
        <f>(I59*(1+forest_growth_rate))+J66</f>
        <v>54756.872424404712</v>
      </c>
      <c r="K59" s="76">
        <f>(J59*(1+forest_growth_rate))+K66</f>
        <v>55861.722249197643</v>
      </c>
      <c r="L59" s="76">
        <f>(K59*(1+forest_growth_rate))+L66</f>
        <v>57021.236856904194</v>
      </c>
      <c r="M59" s="76">
        <f>(L59*(1+forest_growth_rate))+M66</f>
        <v>58237.038336270052</v>
      </c>
      <c r="N59" s="76">
        <f>(M59*(1+forest_growth_rate))+N66</f>
        <v>59510.812050869819</v>
      </c>
      <c r="O59" s="76">
        <f>(N59*(1+forest_growth_rate))+O66</f>
        <v>60844.308754206162</v>
      </c>
      <c r="P59" s="76">
        <f>(O59*(1+forest_growth_rate))+P66</f>
        <v>62239.346781775705</v>
      </c>
      <c r="Q59" s="76">
        <f>(P59*(1+forest_growth_rate))+Q66</f>
        <v>63697.814322772872</v>
      </c>
      <c r="R59" s="76">
        <f>(Q59*(1+forest_growth_rate))+R66</f>
        <v>65221.67177419785</v>
      </c>
      <c r="S59" s="76">
        <f>(R59*(1+forest_growth_rate))+S66</f>
        <v>66812.954180233355</v>
      </c>
      <c r="T59" s="77">
        <f>(S59*(1+forest_growth_rate))+T66</f>
        <v>70153.601889245023</v>
      </c>
    </row>
    <row r="60" spans="2:22">
      <c r="B60" s="60" t="s">
        <v>35</v>
      </c>
      <c r="C60" s="24"/>
      <c r="D60" s="24"/>
      <c r="E60" s="61">
        <f>G15</f>
        <v>50</v>
      </c>
      <c r="F60" s="62">
        <f>E60*(1+inflation_rate)</f>
        <v>51</v>
      </c>
      <c r="G60" s="62">
        <f>F60*(1+inflation_rate)</f>
        <v>52.02</v>
      </c>
      <c r="H60" s="62">
        <f>G60*(1+inflation_rate)</f>
        <v>53.060400000000001</v>
      </c>
      <c r="I60" s="62">
        <f>H60*(1+inflation_rate)</f>
        <v>54.121608000000002</v>
      </c>
      <c r="J60" s="62">
        <f>I60*(1+inflation_rate)</f>
        <v>55.204040160000005</v>
      </c>
      <c r="K60" s="62">
        <f>J60*(1+inflation_rate)</f>
        <v>56.308120963200004</v>
      </c>
      <c r="L60" s="62">
        <f>K60*(1+inflation_rate)</f>
        <v>57.434283382464002</v>
      </c>
      <c r="M60" s="62">
        <f>L60*(1+inflation_rate)</f>
        <v>58.582969050113284</v>
      </c>
      <c r="N60" s="62">
        <f>M60*(1+inflation_rate)</f>
        <v>59.754628431115549</v>
      </c>
      <c r="O60" s="62">
        <f>N60*(1+inflation_rate)</f>
        <v>60.949720999737863</v>
      </c>
      <c r="P60" s="62">
        <f>O60*(1+inflation_rate)</f>
        <v>62.168715419732621</v>
      </c>
      <c r="Q60" s="62">
        <f>P60*(1+inflation_rate)</f>
        <v>63.412089728127278</v>
      </c>
      <c r="R60" s="62">
        <f>Q60*(1+inflation_rate)</f>
        <v>64.680331522689826</v>
      </c>
      <c r="S60" s="62">
        <f>R60*(1+inflation_rate)</f>
        <v>65.973938153143621</v>
      </c>
      <c r="T60" s="63">
        <f>S60*(1+inflation_rate)</f>
        <v>67.293416916206496</v>
      </c>
    </row>
    <row r="61" spans="2:22">
      <c r="B61" s="60" t="s">
        <v>37</v>
      </c>
      <c r="C61" s="24"/>
      <c r="D61" s="24"/>
      <c r="E61" s="61">
        <f>G19</f>
        <v>4.75</v>
      </c>
      <c r="F61" s="62">
        <f>E61*(1+inflation_rate)</f>
        <v>4.8449999999999998</v>
      </c>
      <c r="G61" s="62">
        <f>F61*(1+inflation_rate)</f>
        <v>4.9418999999999995</v>
      </c>
      <c r="H61" s="62">
        <f>G61*(1+inflation_rate)</f>
        <v>5.0407379999999993</v>
      </c>
      <c r="I61" s="62">
        <f>H61*(1+inflation_rate)</f>
        <v>5.1415527599999997</v>
      </c>
      <c r="J61" s="62">
        <f>I61*(1+inflation_rate)</f>
        <v>5.2443838152</v>
      </c>
      <c r="K61" s="62">
        <f>J61*(1+inflation_rate)</f>
        <v>5.3492714915040001</v>
      </c>
      <c r="L61" s="62">
        <f>K61*(1+inflation_rate)</f>
        <v>5.4562569213340799</v>
      </c>
      <c r="M61" s="62">
        <f>L61*(1+inflation_rate)</f>
        <v>5.5653820597607613</v>
      </c>
      <c r="N61" s="62">
        <f>M61*(1+inflation_rate)</f>
        <v>5.6766897009559765</v>
      </c>
      <c r="O61" s="62">
        <f>N61*(1+inflation_rate)</f>
        <v>5.7902234949750957</v>
      </c>
      <c r="P61" s="62">
        <f>O61*(1+inflation_rate)</f>
        <v>5.9060279648745979</v>
      </c>
      <c r="Q61" s="62">
        <f>P61*(1+inflation_rate)</f>
        <v>6.02414852417209</v>
      </c>
      <c r="R61" s="62">
        <f>Q61*(1+inflation_rate)</f>
        <v>6.144631494655532</v>
      </c>
      <c r="S61" s="62">
        <f>R61*(1+inflation_rate)</f>
        <v>6.2675241245486424</v>
      </c>
      <c r="T61" s="63">
        <f>S61*(1+inflation_rate)</f>
        <v>6.392874607039615</v>
      </c>
    </row>
    <row r="62" spans="2:22">
      <c r="B62" s="60" t="s">
        <v>38</v>
      </c>
      <c r="C62" s="24"/>
      <c r="D62" s="24"/>
      <c r="E62" s="61">
        <f>G20</f>
        <v>1.5</v>
      </c>
      <c r="F62" s="62">
        <f>E62*(1+inflation_rate)</f>
        <v>1.53</v>
      </c>
      <c r="G62" s="62">
        <f>F62*(1+inflation_rate)</f>
        <v>1.5606</v>
      </c>
      <c r="H62" s="62">
        <f>G62*(1+inflation_rate)</f>
        <v>1.591812</v>
      </c>
      <c r="I62" s="62">
        <f>H62*(1+inflation_rate)</f>
        <v>1.6236482400000001</v>
      </c>
      <c r="J62" s="62">
        <f>I62*(1+inflation_rate)</f>
        <v>1.6561212048</v>
      </c>
      <c r="K62" s="62">
        <f>J62*(1+inflation_rate)</f>
        <v>1.689243628896</v>
      </c>
      <c r="L62" s="62">
        <f>K62*(1+inflation_rate)</f>
        <v>1.7230285014739199</v>
      </c>
      <c r="M62" s="62">
        <f>L62*(1+inflation_rate)</f>
        <v>1.7574890715033984</v>
      </c>
      <c r="N62" s="62">
        <f>M62*(1+inflation_rate)</f>
        <v>1.7926388529334665</v>
      </c>
      <c r="O62" s="62">
        <f>N62*(1+inflation_rate)</f>
        <v>1.8284916299921359</v>
      </c>
      <c r="P62" s="62">
        <f>O62*(1+inflation_rate)</f>
        <v>1.8650614625919786</v>
      </c>
      <c r="Q62" s="62">
        <f>P62*(1+inflation_rate)</f>
        <v>1.9023626918438181</v>
      </c>
      <c r="R62" s="62">
        <f>Q62*(1+inflation_rate)</f>
        <v>1.9404099456806945</v>
      </c>
      <c r="S62" s="62">
        <f>R62*(1+inflation_rate)</f>
        <v>1.9792181445943084</v>
      </c>
      <c r="T62" s="63">
        <f>S62*(1+inflation_rate)</f>
        <v>2.0188025074861948</v>
      </c>
    </row>
    <row r="63" spans="2:22" ht="13.8" thickBot="1">
      <c r="B63" s="50" t="s">
        <v>53</v>
      </c>
      <c r="C63" s="38"/>
      <c r="D63" s="38"/>
      <c r="E63" s="43">
        <f>E60-E61-E62</f>
        <v>43.75</v>
      </c>
      <c r="F63" s="43">
        <f>F60-F61-F62</f>
        <v>44.625</v>
      </c>
      <c r="G63" s="43">
        <f t="shared" ref="G63:S63" si="1">G60-G61-G62</f>
        <v>45.517500000000005</v>
      </c>
      <c r="H63" s="43">
        <f t="shared" si="1"/>
        <v>46.427850000000007</v>
      </c>
      <c r="I63" s="43">
        <f t="shared" si="1"/>
        <v>47.356406999999997</v>
      </c>
      <c r="J63" s="43">
        <f t="shared" si="1"/>
        <v>48.303535140000001</v>
      </c>
      <c r="K63" s="43">
        <f t="shared" si="1"/>
        <v>49.269605842800004</v>
      </c>
      <c r="L63" s="43">
        <f t="shared" si="1"/>
        <v>50.254997959656002</v>
      </c>
      <c r="M63" s="43">
        <f t="shared" si="1"/>
        <v>51.260097918849127</v>
      </c>
      <c r="N63" s="43">
        <f t="shared" si="1"/>
        <v>52.285299877226109</v>
      </c>
      <c r="O63" s="43">
        <f t="shared" si="1"/>
        <v>53.331005874770632</v>
      </c>
      <c r="P63" s="43">
        <f t="shared" si="1"/>
        <v>54.397625992266043</v>
      </c>
      <c r="Q63" s="43">
        <f t="shared" si="1"/>
        <v>55.485578512111367</v>
      </c>
      <c r="R63" s="43">
        <f t="shared" si="1"/>
        <v>56.5952900823536</v>
      </c>
      <c r="S63" s="43">
        <f t="shared" si="1"/>
        <v>57.727195884000672</v>
      </c>
      <c r="T63" s="64">
        <f>T60-T61-T62</f>
        <v>58.881739801680688</v>
      </c>
    </row>
    <row r="64" spans="2:22" ht="13.8" thickTop="1">
      <c r="B64" s="78" t="s">
        <v>48</v>
      </c>
      <c r="C64" s="24"/>
      <c r="D64" s="24"/>
      <c r="E64" s="33">
        <f>E59*E63</f>
        <v>2187500</v>
      </c>
      <c r="F64" s="33">
        <f>F59*F63</f>
        <v>2269350</v>
      </c>
      <c r="G64" s="33">
        <f t="shared" ref="G64:S64" si="2">G59*G63</f>
        <v>2355758.1</v>
      </c>
      <c r="H64" s="33">
        <f>H59*H63</f>
        <v>2446979.0436000004</v>
      </c>
      <c r="I64" s="33">
        <f t="shared" si="2"/>
        <v>2543281.8298415998</v>
      </c>
      <c r="J64" s="33">
        <f t="shared" si="2"/>
        <v>2644950.5113087301</v>
      </c>
      <c r="K64" s="33">
        <f t="shared" si="2"/>
        <v>2752285.0369179393</v>
      </c>
      <c r="L64" s="33">
        <f t="shared" si="2"/>
        <v>2865602.141900782</v>
      </c>
      <c r="M64" s="33">
        <f t="shared" si="2"/>
        <v>2985236.2876209733</v>
      </c>
      <c r="N64" s="33">
        <f t="shared" si="2"/>
        <v>3111540.6540169697</v>
      </c>
      <c r="O64" s="33">
        <f t="shared" si="2"/>
        <v>3244888.1876169271</v>
      </c>
      <c r="P64" s="33">
        <f t="shared" si="2"/>
        <v>3385672.7082379819</v>
      </c>
      <c r="Q64" s="33">
        <f t="shared" si="2"/>
        <v>3534310.0776561061</v>
      </c>
      <c r="R64" s="33">
        <f t="shared" si="2"/>
        <v>3691239.4337167814</v>
      </c>
      <c r="S64" s="33">
        <f t="shared" si="2"/>
        <v>3856924.4935510922</v>
      </c>
      <c r="T64" s="69">
        <f>T59*T63</f>
        <v>4130766.1325932201</v>
      </c>
    </row>
    <row r="65" spans="2:20">
      <c r="B65" s="60"/>
      <c r="C65" s="24"/>
      <c r="D65" s="24"/>
      <c r="E65" s="62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69"/>
    </row>
    <row r="66" spans="2:20">
      <c r="B66" s="60" t="s">
        <v>56</v>
      </c>
      <c r="C66" s="24"/>
      <c r="D66" s="24"/>
      <c r="E66" s="24"/>
      <c r="F66" s="79">
        <f>F82/F63</f>
        <v>-1646.2184873949579</v>
      </c>
      <c r="G66" s="79">
        <f>G82/G63</f>
        <v>-1641.47305981216</v>
      </c>
      <c r="H66" s="79">
        <f>H82/H63</f>
        <v>-1637.7644344935204</v>
      </c>
      <c r="I66" s="79">
        <f>I82/I63</f>
        <v>-1635.1055909710385</v>
      </c>
      <c r="J66" s="79">
        <f>J82/J63</f>
        <v>-1633.5104298874303</v>
      </c>
      <c r="K66" s="79">
        <f>K82/K63</f>
        <v>-1632.9937964273058</v>
      </c>
      <c r="L66" s="79">
        <f>L82/L63</f>
        <v>-1633.5715047533281</v>
      </c>
      <c r="M66" s="79">
        <f>M82/M63</f>
        <v>-1635.2603634793552</v>
      </c>
      <c r="N66" s="79">
        <f>N82/N63</f>
        <v>-1638.0782022137334</v>
      </c>
      <c r="O66" s="79">
        <f>O82/O63</f>
        <v>-1642.0438992071538</v>
      </c>
      <c r="P66" s="79">
        <f>P82/P63</f>
        <v>-1647.1774101407736</v>
      </c>
      <c r="Q66" s="79">
        <f>Q82/Q63</f>
        <v>-1653.4997980916205</v>
      </c>
      <c r="R66" s="79">
        <f>R82/R63</f>
        <v>-1661.0332647136672</v>
      </c>
      <c r="S66" s="79">
        <f>S82/S63</f>
        <v>-1669.8011826743868</v>
      </c>
      <c r="T66" s="80">
        <v>0</v>
      </c>
    </row>
    <row r="67" spans="2:20" ht="13.8" thickBot="1">
      <c r="B67" s="81" t="s">
        <v>57</v>
      </c>
      <c r="C67" s="53"/>
      <c r="D67" s="53"/>
      <c r="E67" s="53"/>
      <c r="F67" s="82">
        <f>F66+E67</f>
        <v>-1646.2184873949579</v>
      </c>
      <c r="G67" s="82">
        <f>F67+G66</f>
        <v>-3287.6915472071178</v>
      </c>
      <c r="H67" s="82">
        <f>G67+H66</f>
        <v>-4925.4559817006384</v>
      </c>
      <c r="I67" s="82">
        <f>H67+I66</f>
        <v>-6560.5615726716769</v>
      </c>
      <c r="J67" s="82">
        <f>I67+J66</f>
        <v>-8194.0720025591072</v>
      </c>
      <c r="K67" s="82">
        <f>J67+K66</f>
        <v>-9827.0657989864121</v>
      </c>
      <c r="L67" s="82">
        <f>K67+L66</f>
        <v>-11460.637303739741</v>
      </c>
      <c r="M67" s="82">
        <f>L67+M66</f>
        <v>-13095.897667219097</v>
      </c>
      <c r="N67" s="82">
        <f>M67+N66</f>
        <v>-14733.97586943283</v>
      </c>
      <c r="O67" s="82">
        <f>N67+O66</f>
        <v>-16376.019768639984</v>
      </c>
      <c r="P67" s="82">
        <f>O67+P66</f>
        <v>-18023.197178780756</v>
      </c>
      <c r="Q67" s="82">
        <f>P67+Q66</f>
        <v>-19676.696976872376</v>
      </c>
      <c r="R67" s="82">
        <f>Q67+R66</f>
        <v>-21337.730241586043</v>
      </c>
      <c r="S67" s="82">
        <f>R67+S66</f>
        <v>-23007.531424260429</v>
      </c>
      <c r="T67" s="83">
        <f>S67+T66</f>
        <v>-23007.531424260429</v>
      </c>
    </row>
    <row r="68" spans="2:20" ht="13.8" thickBot="1">
      <c r="B68" s="3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2:20">
      <c r="B69" s="56" t="s">
        <v>67</v>
      </c>
      <c r="C69" s="47"/>
      <c r="D69" s="4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9"/>
    </row>
    <row r="70" spans="2:20">
      <c r="B70" s="60" t="s">
        <v>3</v>
      </c>
      <c r="C70" s="24"/>
      <c r="D70" s="24"/>
      <c r="E70" s="67">
        <f>-(origination*loan_amount)</f>
        <v>-13125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68"/>
    </row>
    <row r="71" spans="2:20">
      <c r="B71" s="60" t="s">
        <v>66</v>
      </c>
      <c r="C71" s="24"/>
      <c r="D71" s="24"/>
      <c r="E71" s="86">
        <v>-2034230.48831682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69"/>
    </row>
    <row r="72" spans="2:20">
      <c r="B72" s="60" t="s">
        <v>68</v>
      </c>
      <c r="C72" s="24"/>
      <c r="D72" s="24"/>
      <c r="E72" s="62">
        <f>loan_amount</f>
        <v>1312500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69"/>
    </row>
    <row r="73" spans="2:20">
      <c r="B73" s="60" t="s">
        <v>63</v>
      </c>
      <c r="C73" s="24"/>
      <c r="D73" s="24"/>
      <c r="E73" s="62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69">
        <f>T64</f>
        <v>4130766.1325932201</v>
      </c>
    </row>
    <row r="74" spans="2:20">
      <c r="B74" s="60" t="s">
        <v>4</v>
      </c>
      <c r="C74" s="24"/>
      <c r="D74" s="24"/>
      <c r="E74" s="67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70">
        <f>T73*-0.01</f>
        <v>-41307.661325932204</v>
      </c>
    </row>
    <row r="75" spans="2:20" ht="13.8" thickBot="1">
      <c r="B75" s="50" t="s">
        <v>65</v>
      </c>
      <c r="C75" s="38"/>
      <c r="D75" s="38"/>
      <c r="E75" s="39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64">
        <f>-loan_amount</f>
        <v>-1312500</v>
      </c>
    </row>
    <row r="76" spans="2:20" ht="14.4" thickTop="1" thickBot="1">
      <c r="B76" s="52" t="s">
        <v>75</v>
      </c>
      <c r="C76" s="71"/>
      <c r="D76" s="71"/>
      <c r="E76" s="72">
        <f>SUM(E70:E75)</f>
        <v>-734855.48831682</v>
      </c>
      <c r="F76" s="72">
        <f t="shared" ref="F76:T76" si="3">SUM(F70:F75)</f>
        <v>0</v>
      </c>
      <c r="G76" s="72">
        <f t="shared" si="3"/>
        <v>0</v>
      </c>
      <c r="H76" s="72">
        <f t="shared" si="3"/>
        <v>0</v>
      </c>
      <c r="I76" s="72">
        <f t="shared" si="3"/>
        <v>0</v>
      </c>
      <c r="J76" s="72">
        <f t="shared" si="3"/>
        <v>0</v>
      </c>
      <c r="K76" s="72">
        <f t="shared" si="3"/>
        <v>0</v>
      </c>
      <c r="L76" s="72">
        <f t="shared" si="3"/>
        <v>0</v>
      </c>
      <c r="M76" s="72">
        <f t="shared" si="3"/>
        <v>0</v>
      </c>
      <c r="N76" s="72">
        <f t="shared" si="3"/>
        <v>0</v>
      </c>
      <c r="O76" s="72">
        <f t="shared" si="3"/>
        <v>0</v>
      </c>
      <c r="P76" s="72">
        <f t="shared" si="3"/>
        <v>0</v>
      </c>
      <c r="Q76" s="72">
        <f t="shared" si="3"/>
        <v>0</v>
      </c>
      <c r="R76" s="72">
        <f t="shared" si="3"/>
        <v>0</v>
      </c>
      <c r="S76" s="72">
        <f t="shared" si="3"/>
        <v>0</v>
      </c>
      <c r="T76" s="73">
        <f t="shared" si="3"/>
        <v>2776958.4712672881</v>
      </c>
    </row>
    <row r="77" spans="2:20" ht="13.8" thickBot="1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2:20">
      <c r="B78" s="56" t="s">
        <v>69</v>
      </c>
      <c r="C78" s="47"/>
      <c r="D78" s="47"/>
      <c r="E78" s="57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9"/>
    </row>
    <row r="79" spans="2:20">
      <c r="B79" s="60" t="s">
        <v>16</v>
      </c>
      <c r="C79" s="24"/>
      <c r="D79" s="24"/>
      <c r="E79" s="61"/>
      <c r="F79" s="62">
        <f>E64*-0.015</f>
        <v>-32812.5</v>
      </c>
      <c r="G79" s="62">
        <f>F64*-0.015</f>
        <v>-34040.25</v>
      </c>
      <c r="H79" s="62">
        <f>G64*-0.015</f>
        <v>-35336.371500000001</v>
      </c>
      <c r="I79" s="62">
        <f>H64*-0.015</f>
        <v>-36704.685654000008</v>
      </c>
      <c r="J79" s="62">
        <f>I64*-0.015</f>
        <v>-38149.227447623998</v>
      </c>
      <c r="K79" s="62">
        <f>J64*-0.015</f>
        <v>-39674.257669630948</v>
      </c>
      <c r="L79" s="62">
        <f>K64*-0.015</f>
        <v>-41284.27555376909</v>
      </c>
      <c r="M79" s="62">
        <f>L64*-0.015</f>
        <v>-42984.032128511732</v>
      </c>
      <c r="N79" s="62">
        <f>M64*-0.015</f>
        <v>-44778.544314314597</v>
      </c>
      <c r="O79" s="62">
        <f>N64*-0.015</f>
        <v>-46673.109810254544</v>
      </c>
      <c r="P79" s="62">
        <f>O64*-0.015</f>
        <v>-48673.322814253901</v>
      </c>
      <c r="Q79" s="62">
        <f>P64*-0.015</f>
        <v>-50785.090623569726</v>
      </c>
      <c r="R79" s="62">
        <f>Q64*-0.015</f>
        <v>-53014.651164841591</v>
      </c>
      <c r="S79" s="62">
        <f>R64*-0.015</f>
        <v>-55368.59150575172</v>
      </c>
      <c r="T79" s="63">
        <f>S64*-0.015</f>
        <v>-57853.867403266384</v>
      </c>
    </row>
    <row r="80" spans="2:20">
      <c r="B80" s="60" t="s">
        <v>31</v>
      </c>
      <c r="C80" s="24"/>
      <c r="D80" s="24"/>
      <c r="E80" s="61">
        <v>0</v>
      </c>
      <c r="F80" s="62">
        <f>$G$18*-(1+$G$9)</f>
        <v>-1275</v>
      </c>
      <c r="G80" s="62">
        <f>F$80*(1+$G$9)</f>
        <v>-1300.5</v>
      </c>
      <c r="H80" s="62">
        <f>G$80*(1+$G$9)</f>
        <v>-1326.51</v>
      </c>
      <c r="I80" s="62">
        <f>H$80*(1+$G$9)</f>
        <v>-1353.0401999999999</v>
      </c>
      <c r="J80" s="62">
        <f>I$80*(1+$G$9)</f>
        <v>-1380.1010039999999</v>
      </c>
      <c r="K80" s="62">
        <f>J$80*(1+$G$9)</f>
        <v>-1407.70302408</v>
      </c>
      <c r="L80" s="62">
        <f>K$80*(1+$G$9)</f>
        <v>-1435.8570845616</v>
      </c>
      <c r="M80" s="62">
        <f>L$80*(1+$G$9)</f>
        <v>-1464.574226252832</v>
      </c>
      <c r="N80" s="62">
        <f>M$80*(1+$G$9)</f>
        <v>-1493.8657107778886</v>
      </c>
      <c r="O80" s="62">
        <f>N$80*(1+$G$9)</f>
        <v>-1523.7430249934464</v>
      </c>
      <c r="P80" s="62">
        <f>O$80*(1+$G$9)</f>
        <v>-1554.2178854933154</v>
      </c>
      <c r="Q80" s="62">
        <f>P$80*(1+$G$9)</f>
        <v>-1585.3022432031817</v>
      </c>
      <c r="R80" s="62">
        <f>Q$80*(1+$G$9)</f>
        <v>-1617.0082880672453</v>
      </c>
      <c r="S80" s="62">
        <f>R$80*(1+$G$9)</f>
        <v>-1649.3484538285902</v>
      </c>
      <c r="T80" s="63">
        <f>S$80*(1+$G$9)</f>
        <v>-1682.335422905162</v>
      </c>
    </row>
    <row r="81" spans="2:20" ht="13.8" thickBot="1">
      <c r="B81" s="50" t="s">
        <v>70</v>
      </c>
      <c r="C81" s="38"/>
      <c r="D81" s="38"/>
      <c r="E81" s="40"/>
      <c r="F81" s="43">
        <f>-Annual_Int</f>
        <v>-39375</v>
      </c>
      <c r="G81" s="43">
        <f>-Annual_Int</f>
        <v>-39375</v>
      </c>
      <c r="H81" s="43">
        <f>-Annual_Int</f>
        <v>-39375</v>
      </c>
      <c r="I81" s="43">
        <f>-Annual_Int</f>
        <v>-39375</v>
      </c>
      <c r="J81" s="43">
        <f>-Annual_Int</f>
        <v>-39375</v>
      </c>
      <c r="K81" s="43">
        <f>-Annual_Int</f>
        <v>-39375</v>
      </c>
      <c r="L81" s="43">
        <f>-Annual_Int</f>
        <v>-39375</v>
      </c>
      <c r="M81" s="43">
        <f>-Annual_Int</f>
        <v>-39375</v>
      </c>
      <c r="N81" s="43">
        <f>-Annual_Int</f>
        <v>-39375</v>
      </c>
      <c r="O81" s="43">
        <f>-Annual_Int</f>
        <v>-39375</v>
      </c>
      <c r="P81" s="43">
        <f>-Annual_Int</f>
        <v>-39375</v>
      </c>
      <c r="Q81" s="43">
        <f>-Annual_Int</f>
        <v>-39375</v>
      </c>
      <c r="R81" s="43">
        <f>-Annual_Int</f>
        <v>-39375</v>
      </c>
      <c r="S81" s="43">
        <f>-Annual_Int</f>
        <v>-39375</v>
      </c>
      <c r="T81" s="64">
        <f>-Annual_Int</f>
        <v>-39375</v>
      </c>
    </row>
    <row r="82" spans="2:20" ht="14.4" thickTop="1" thickBot="1">
      <c r="B82" s="52" t="s">
        <v>55</v>
      </c>
      <c r="C82" s="53"/>
      <c r="D82" s="53"/>
      <c r="E82" s="65">
        <f>E79+E80</f>
        <v>0</v>
      </c>
      <c r="F82" s="65">
        <f>SUM(F79:F81)</f>
        <v>-73462.5</v>
      </c>
      <c r="G82" s="65">
        <f t="shared" ref="G82:T82" si="4">SUM(G79:G81)</f>
        <v>-74715.75</v>
      </c>
      <c r="H82" s="65">
        <f t="shared" si="4"/>
        <v>-76037.881500000003</v>
      </c>
      <c r="I82" s="65">
        <f t="shared" si="4"/>
        <v>-77432.725854000018</v>
      </c>
      <c r="J82" s="65">
        <f t="shared" si="4"/>
        <v>-78904.328451623995</v>
      </c>
      <c r="K82" s="65">
        <f t="shared" si="4"/>
        <v>-80456.960693710949</v>
      </c>
      <c r="L82" s="65">
        <f t="shared" si="4"/>
        <v>-82095.132638330688</v>
      </c>
      <c r="M82" s="65">
        <f t="shared" si="4"/>
        <v>-83823.606354764561</v>
      </c>
      <c r="N82" s="65">
        <f t="shared" si="4"/>
        <v>-85647.410025092482</v>
      </c>
      <c r="O82" s="65">
        <f t="shared" si="4"/>
        <v>-87571.852835247992</v>
      </c>
      <c r="P82" s="65">
        <f t="shared" si="4"/>
        <v>-89602.540699747216</v>
      </c>
      <c r="Q82" s="65">
        <f t="shared" si="4"/>
        <v>-91745.392866772905</v>
      </c>
      <c r="R82" s="65">
        <f t="shared" si="4"/>
        <v>-94006.659452908832</v>
      </c>
      <c r="S82" s="65">
        <f t="shared" si="4"/>
        <v>-96392.939959580312</v>
      </c>
      <c r="T82" s="66">
        <f t="shared" si="4"/>
        <v>-98911.202826171546</v>
      </c>
    </row>
    <row r="83" spans="2:20" ht="13.8" thickBot="1">
      <c r="B83" s="2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</row>
    <row r="84" spans="2:20">
      <c r="B84" s="46" t="s">
        <v>64</v>
      </c>
      <c r="C84" s="47"/>
      <c r="D84" s="47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9"/>
    </row>
    <row r="85" spans="2:20" ht="13.8" thickBot="1">
      <c r="B85" s="50" t="s">
        <v>62</v>
      </c>
      <c r="C85" s="38"/>
      <c r="D85" s="38"/>
      <c r="E85" s="45">
        <f>E66*E63</f>
        <v>0</v>
      </c>
      <c r="F85" s="45">
        <f>-F66*F63</f>
        <v>73462.5</v>
      </c>
      <c r="G85" s="45">
        <f>-G66*G63</f>
        <v>74715.75</v>
      </c>
      <c r="H85" s="45">
        <f>-H66*H63</f>
        <v>76037.881500000003</v>
      </c>
      <c r="I85" s="45">
        <f>-I66*I63</f>
        <v>77432.725854000018</v>
      </c>
      <c r="J85" s="45">
        <f>-J66*J63</f>
        <v>78904.328451623995</v>
      </c>
      <c r="K85" s="45">
        <f>-K66*K63</f>
        <v>80456.960693710949</v>
      </c>
      <c r="L85" s="45">
        <f>-L66*L63</f>
        <v>82095.132638330688</v>
      </c>
      <c r="M85" s="45">
        <f>-M66*M63</f>
        <v>83823.606354764561</v>
      </c>
      <c r="N85" s="45">
        <f>-N66*N63</f>
        <v>85647.410025092482</v>
      </c>
      <c r="O85" s="45">
        <f>-O66*O63</f>
        <v>87571.852835247992</v>
      </c>
      <c r="P85" s="45">
        <f>-P66*P63</f>
        <v>89602.540699747216</v>
      </c>
      <c r="Q85" s="45">
        <f>-Q66*Q63</f>
        <v>91745.392866772905</v>
      </c>
      <c r="R85" s="45">
        <f>-R66*R63</f>
        <v>94006.659452908832</v>
      </c>
      <c r="S85" s="45">
        <f>-S66*S63</f>
        <v>96392.939959580312</v>
      </c>
      <c r="T85" s="51">
        <f>-T66*T63</f>
        <v>0</v>
      </c>
    </row>
    <row r="86" spans="2:20" ht="14.4" thickTop="1" thickBot="1">
      <c r="B86" s="52" t="s">
        <v>72</v>
      </c>
      <c r="C86" s="53"/>
      <c r="D86" s="53"/>
      <c r="E86" s="54">
        <f>SUM(E85)</f>
        <v>0</v>
      </c>
      <c r="F86" s="54">
        <f t="shared" ref="F86:T86" si="5">SUM(F85)</f>
        <v>73462.5</v>
      </c>
      <c r="G86" s="54">
        <f t="shared" si="5"/>
        <v>74715.75</v>
      </c>
      <c r="H86" s="54">
        <f t="shared" si="5"/>
        <v>76037.881500000003</v>
      </c>
      <c r="I86" s="54">
        <f t="shared" si="5"/>
        <v>77432.725854000018</v>
      </c>
      <c r="J86" s="54">
        <f t="shared" si="5"/>
        <v>78904.328451623995</v>
      </c>
      <c r="K86" s="54">
        <f t="shared" si="5"/>
        <v>80456.960693710949</v>
      </c>
      <c r="L86" s="54">
        <f t="shared" si="5"/>
        <v>82095.132638330688</v>
      </c>
      <c r="M86" s="54">
        <f t="shared" si="5"/>
        <v>83823.606354764561</v>
      </c>
      <c r="N86" s="54">
        <f t="shared" si="5"/>
        <v>85647.410025092482</v>
      </c>
      <c r="O86" s="54">
        <f t="shared" si="5"/>
        <v>87571.852835247992</v>
      </c>
      <c r="P86" s="54">
        <f t="shared" si="5"/>
        <v>89602.540699747216</v>
      </c>
      <c r="Q86" s="54">
        <f t="shared" si="5"/>
        <v>91745.392866772905</v>
      </c>
      <c r="R86" s="54">
        <f t="shared" si="5"/>
        <v>94006.659452908832</v>
      </c>
      <c r="S86" s="54">
        <f t="shared" si="5"/>
        <v>96392.939959580312</v>
      </c>
      <c r="T86" s="55">
        <f t="shared" si="5"/>
        <v>0</v>
      </c>
    </row>
    <row r="87" spans="2:20">
      <c r="B87" s="2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</row>
    <row r="89" spans="2:20">
      <c r="B89" s="44" t="s">
        <v>61</v>
      </c>
      <c r="E89" s="34">
        <f>E76+E82+E86</f>
        <v>-734855.48831682</v>
      </c>
      <c r="F89" s="34">
        <f>F76+F82+F86</f>
        <v>0</v>
      </c>
      <c r="G89" s="34">
        <f>G76+G82+G86</f>
        <v>0</v>
      </c>
      <c r="H89" s="34">
        <f>H76+H82+H86</f>
        <v>0</v>
      </c>
      <c r="I89" s="34">
        <f>I76+I82+I86</f>
        <v>0</v>
      </c>
      <c r="J89" s="34">
        <f>J76+J82+J86</f>
        <v>0</v>
      </c>
      <c r="K89" s="34">
        <f>K76+K82+K86</f>
        <v>0</v>
      </c>
      <c r="L89" s="34">
        <f>L76+L82+L86</f>
        <v>0</v>
      </c>
      <c r="M89" s="34">
        <f>M76+M82+M86</f>
        <v>0</v>
      </c>
      <c r="N89" s="34">
        <f>N76+N82+N86</f>
        <v>0</v>
      </c>
      <c r="O89" s="34">
        <f>O76+O82+O86</f>
        <v>0</v>
      </c>
      <c r="P89" s="34">
        <f>P76+P82+P86</f>
        <v>0</v>
      </c>
      <c r="Q89" s="34">
        <f>Q76+Q82+Q86</f>
        <v>0</v>
      </c>
      <c r="R89" s="34">
        <f>R76+R82+R86</f>
        <v>0</v>
      </c>
      <c r="S89" s="34">
        <f>S76+S82+S86</f>
        <v>0</v>
      </c>
      <c r="T89" s="34">
        <f>T76+T82+T86</f>
        <v>2678047.2684411164</v>
      </c>
    </row>
    <row r="90" spans="2:20">
      <c r="B90" s="37" t="s">
        <v>71</v>
      </c>
      <c r="E90" s="41">
        <f>IRR(E89:T89)</f>
        <v>9.0036615007198062E-2</v>
      </c>
    </row>
    <row r="91" spans="2:20">
      <c r="B91" s="42"/>
    </row>
  </sheetData>
  <pageMargins left="0.7" right="0.7" top="0.75" bottom="0.75" header="0.3" footer="0.3"/>
  <pageSetup scale="88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C6E0-C2AB-4733-B5CA-F9D9579B844E}">
  <dimension ref="B2:AF91"/>
  <sheetViews>
    <sheetView showGridLines="0" zoomScale="111" zoomScaleNormal="190" workbookViewId="0">
      <selection activeCell="B3" sqref="B3"/>
    </sheetView>
  </sheetViews>
  <sheetFormatPr defaultColWidth="8.6640625" defaultRowHeight="13.2"/>
  <cols>
    <col min="1" max="1" width="3.33203125" style="1" customWidth="1"/>
    <col min="2" max="2" width="15.21875" style="1" customWidth="1"/>
    <col min="3" max="3" width="8.6640625" style="1"/>
    <col min="4" max="4" width="14.6640625" style="1" bestFit="1" customWidth="1"/>
    <col min="5" max="5" width="15.6640625" style="1" bestFit="1" customWidth="1"/>
    <col min="6" max="6" width="16.33203125" style="1" customWidth="1"/>
    <col min="7" max="7" width="21.6640625" style="1" bestFit="1" customWidth="1"/>
    <col min="8" max="8" width="16" style="1" bestFit="1" customWidth="1"/>
    <col min="9" max="9" width="17.77734375" style="1" customWidth="1"/>
    <col min="10" max="19" width="16" style="1" bestFit="1" customWidth="1"/>
    <col min="20" max="30" width="16" style="1" customWidth="1"/>
    <col min="31" max="16384" width="8.6640625" style="1"/>
  </cols>
  <sheetData>
    <row r="2" spans="2:14" ht="23.4">
      <c r="B2" s="13" t="str">
        <f>G7</f>
        <v>Perpetual Growth Capital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6.2" thickBot="1">
      <c r="B3" s="14" t="s">
        <v>86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6" spans="2:14">
      <c r="B6" s="8" t="s">
        <v>33</v>
      </c>
      <c r="C6" s="9"/>
      <c r="D6" s="9"/>
      <c r="E6" s="9"/>
      <c r="F6" s="9"/>
      <c r="G6" s="9"/>
      <c r="I6" s="8" t="s">
        <v>21</v>
      </c>
      <c r="J6" s="9"/>
      <c r="K6" s="9"/>
      <c r="L6" s="9"/>
      <c r="M6" s="9"/>
      <c r="N6" s="9"/>
    </row>
    <row r="7" spans="2:14">
      <c r="B7" s="10" t="s">
        <v>1</v>
      </c>
      <c r="G7" s="16" t="s">
        <v>9</v>
      </c>
      <c r="I7" s="10" t="s">
        <v>22</v>
      </c>
      <c r="M7" s="11" t="s">
        <v>23</v>
      </c>
      <c r="N7" s="32">
        <v>2000000</v>
      </c>
    </row>
    <row r="8" spans="2:14">
      <c r="B8" s="10" t="s">
        <v>11</v>
      </c>
      <c r="F8" s="11" t="s">
        <v>10</v>
      </c>
      <c r="G8" s="7">
        <v>2021</v>
      </c>
      <c r="I8" s="10" t="s">
        <v>12</v>
      </c>
      <c r="M8" s="11" t="s">
        <v>24</v>
      </c>
      <c r="N8" s="7">
        <v>25</v>
      </c>
    </row>
    <row r="9" spans="2:14">
      <c r="B9" s="10" t="s">
        <v>20</v>
      </c>
      <c r="F9" s="11" t="s">
        <v>2</v>
      </c>
      <c r="G9" s="19">
        <v>0.02</v>
      </c>
      <c r="I9" s="10" t="s">
        <v>13</v>
      </c>
      <c r="M9" s="11" t="s">
        <v>10</v>
      </c>
      <c r="N9" s="17">
        <f>G8+N8-1</f>
        <v>2045</v>
      </c>
    </row>
    <row r="10" spans="2:14">
      <c r="I10" s="10" t="s">
        <v>4</v>
      </c>
      <c r="M10" s="11" t="s">
        <v>2</v>
      </c>
      <c r="N10" s="12">
        <v>0.01</v>
      </c>
    </row>
    <row r="13" spans="2:14">
      <c r="B13" s="8" t="s">
        <v>15</v>
      </c>
      <c r="C13" s="9"/>
      <c r="D13" s="9"/>
      <c r="E13" s="9"/>
      <c r="F13" s="9"/>
      <c r="G13" s="9"/>
      <c r="I13" s="8" t="s">
        <v>14</v>
      </c>
      <c r="J13" s="9"/>
      <c r="K13" s="9"/>
      <c r="L13" s="9"/>
      <c r="M13" s="9"/>
      <c r="N13" s="9"/>
    </row>
    <row r="14" spans="2:14">
      <c r="B14" s="10" t="s">
        <v>25</v>
      </c>
      <c r="F14" s="11" t="s">
        <v>26</v>
      </c>
      <c r="G14" s="20">
        <v>50000</v>
      </c>
      <c r="I14" s="10" t="s">
        <v>6</v>
      </c>
      <c r="M14" s="11" t="s">
        <v>2</v>
      </c>
      <c r="N14" s="18">
        <v>0.6</v>
      </c>
    </row>
    <row r="15" spans="2:14">
      <c r="B15" s="10" t="s">
        <v>27</v>
      </c>
      <c r="F15" s="11" t="s">
        <v>28</v>
      </c>
      <c r="G15" s="32">
        <v>50</v>
      </c>
      <c r="I15" s="10" t="s">
        <v>5</v>
      </c>
      <c r="M15" s="11" t="s">
        <v>29</v>
      </c>
      <c r="N15" s="12">
        <v>0.03</v>
      </c>
    </row>
    <row r="16" spans="2:14">
      <c r="B16" s="10" t="s">
        <v>18</v>
      </c>
      <c r="F16" s="11" t="s">
        <v>29</v>
      </c>
      <c r="G16" s="19">
        <v>0.05</v>
      </c>
      <c r="I16" s="10" t="s">
        <v>3</v>
      </c>
      <c r="M16" s="11" t="s">
        <v>2</v>
      </c>
      <c r="N16" s="12">
        <v>0.01</v>
      </c>
    </row>
    <row r="17" spans="2:14">
      <c r="B17" s="10" t="s">
        <v>16</v>
      </c>
      <c r="F17" s="11" t="s">
        <v>30</v>
      </c>
      <c r="G17" s="19">
        <v>1.4999999999999999E-2</v>
      </c>
      <c r="I17" s="10" t="s">
        <v>50</v>
      </c>
      <c r="N17" s="32">
        <f>B27</f>
        <v>1312500</v>
      </c>
    </row>
    <row r="18" spans="2:14">
      <c r="B18" s="10" t="s">
        <v>31</v>
      </c>
      <c r="F18" s="11" t="s">
        <v>32</v>
      </c>
      <c r="G18" s="32">
        <v>1250</v>
      </c>
      <c r="I18" s="10" t="s">
        <v>49</v>
      </c>
      <c r="N18" s="32">
        <f>N17*N15</f>
        <v>39375</v>
      </c>
    </row>
    <row r="19" spans="2:14">
      <c r="B19" s="10" t="s">
        <v>17</v>
      </c>
      <c r="F19" s="11" t="s">
        <v>28</v>
      </c>
      <c r="G19" s="32">
        <v>4.75</v>
      </c>
    </row>
    <row r="20" spans="2:14">
      <c r="B20" s="10" t="s">
        <v>19</v>
      </c>
      <c r="F20" s="11" t="s">
        <v>28</v>
      </c>
      <c r="G20" s="32">
        <v>1.5</v>
      </c>
    </row>
    <row r="23" spans="2:14">
      <c r="B23" s="8" t="s">
        <v>34</v>
      </c>
      <c r="C23" s="9"/>
      <c r="D23" s="9"/>
      <c r="E23" s="9"/>
      <c r="F23" s="9"/>
      <c r="G23" s="9"/>
    </row>
    <row r="24" spans="2:14">
      <c r="B24" s="33">
        <f>G14*(G15-G19-G20)</f>
        <v>2187500</v>
      </c>
      <c r="C24" s="27" t="s">
        <v>39</v>
      </c>
      <c r="D24" s="24"/>
      <c r="E24" s="24"/>
      <c r="F24" s="24"/>
      <c r="G24" s="24"/>
      <c r="H24" s="34"/>
    </row>
    <row r="25" spans="2:14">
      <c r="B25" s="23"/>
      <c r="C25" s="24"/>
      <c r="D25" s="24"/>
      <c r="E25" s="24"/>
      <c r="F25" s="24"/>
      <c r="G25" s="24"/>
    </row>
    <row r="26" spans="2:14">
      <c r="B26" s="8" t="s">
        <v>40</v>
      </c>
      <c r="C26" s="9"/>
      <c r="D26" s="9"/>
      <c r="E26" s="9"/>
      <c r="F26" s="9"/>
      <c r="G26" s="9"/>
    </row>
    <row r="27" spans="2:14">
      <c r="B27" s="33">
        <f>B24*N14</f>
        <v>1312500</v>
      </c>
      <c r="C27" s="27" t="s">
        <v>42</v>
      </c>
      <c r="D27" s="24"/>
      <c r="E27" s="24"/>
      <c r="F27" s="24"/>
      <c r="G27" s="24"/>
    </row>
    <row r="28" spans="2:14">
      <c r="B28" s="23"/>
      <c r="C28" s="24"/>
      <c r="D28" s="24"/>
      <c r="E28" s="24"/>
      <c r="F28" s="24"/>
      <c r="G28" s="24"/>
    </row>
    <row r="29" spans="2:14">
      <c r="B29" s="23" t="s">
        <v>46</v>
      </c>
      <c r="C29" s="24"/>
      <c r="D29" s="24"/>
      <c r="E29" s="24"/>
      <c r="F29" s="24"/>
      <c r="G29" s="23">
        <v>15</v>
      </c>
    </row>
    <row r="30" spans="2:14">
      <c r="B30" s="8" t="s">
        <v>47</v>
      </c>
      <c r="C30" s="9"/>
      <c r="D30" s="9"/>
      <c r="E30" s="9"/>
      <c r="F30" s="9"/>
      <c r="G30" s="9"/>
    </row>
    <row r="31" spans="2:14">
      <c r="B31" s="28">
        <f>HLOOKUP(G29,B58:AD64,MATCH(B60,B58:B64,0),0)</f>
        <v>67.293416916206496</v>
      </c>
      <c r="C31" s="27" t="s">
        <v>41</v>
      </c>
      <c r="D31" s="24"/>
      <c r="E31" s="24"/>
      <c r="F31" s="24"/>
      <c r="G31" s="24"/>
    </row>
    <row r="32" spans="2:14">
      <c r="B32" s="26"/>
      <c r="C32" s="24"/>
      <c r="D32" s="24"/>
      <c r="E32" s="24"/>
      <c r="F32" s="24"/>
      <c r="G32" s="24"/>
    </row>
    <row r="33" spans="2:7">
      <c r="B33" s="29" t="s">
        <v>45</v>
      </c>
      <c r="C33" s="9"/>
      <c r="D33" s="9"/>
      <c r="E33" s="9"/>
      <c r="F33" s="9"/>
      <c r="G33" s="8">
        <v>15</v>
      </c>
    </row>
    <row r="34" spans="2:7">
      <c r="B34" s="28">
        <f>HLOOKUP(G33,B58:AD64,MATCH(B63,B58:B64,0),0)</f>
        <v>58.881739801680688</v>
      </c>
      <c r="C34" s="27" t="s">
        <v>43</v>
      </c>
      <c r="D34" s="24"/>
      <c r="E34" s="24"/>
      <c r="F34" s="24"/>
      <c r="G34" s="24"/>
    </row>
    <row r="35" spans="2:7">
      <c r="B35" s="23"/>
      <c r="C35" s="24"/>
      <c r="D35" s="24"/>
      <c r="E35" s="24"/>
      <c r="F35" s="24"/>
      <c r="G35" s="24"/>
    </row>
    <row r="36" spans="2:7">
      <c r="B36" s="8" t="s">
        <v>44</v>
      </c>
      <c r="C36" s="9"/>
      <c r="D36" s="9"/>
      <c r="E36" s="9"/>
      <c r="F36" s="9"/>
      <c r="G36" s="8">
        <v>15</v>
      </c>
    </row>
    <row r="37" spans="2:7">
      <c r="B37" s="28">
        <f>ROUND(HLOOKUP(G36,B58:AD80,MATCH(B18,B58:B80,0)),0)</f>
        <v>-1682</v>
      </c>
      <c r="C37" s="27" t="s">
        <v>59</v>
      </c>
      <c r="D37" s="24"/>
      <c r="E37" s="24"/>
      <c r="F37" s="24"/>
      <c r="G37" s="24"/>
    </row>
    <row r="38" spans="2:7">
      <c r="B38" s="23"/>
      <c r="C38" s="24"/>
      <c r="D38" s="24"/>
      <c r="E38" s="24"/>
      <c r="F38" s="24"/>
      <c r="G38" s="24"/>
    </row>
    <row r="39" spans="2:7">
      <c r="B39" s="8" t="s">
        <v>73</v>
      </c>
      <c r="C39" s="9"/>
      <c r="D39" s="9"/>
      <c r="E39" s="9"/>
      <c r="F39" s="9"/>
      <c r="G39" s="8">
        <v>1</v>
      </c>
    </row>
    <row r="40" spans="2:7">
      <c r="B40" s="33">
        <f>ROUND(B24*0.015,0)</f>
        <v>32813</v>
      </c>
      <c r="C40" s="27" t="s">
        <v>39</v>
      </c>
      <c r="D40" s="24"/>
      <c r="E40" s="24"/>
      <c r="F40" s="24"/>
      <c r="G40" s="24"/>
    </row>
    <row r="41" spans="2:7">
      <c r="B41" s="23"/>
      <c r="C41" s="24"/>
      <c r="D41" s="24"/>
      <c r="E41" s="24"/>
      <c r="F41" s="24"/>
      <c r="G41" s="24"/>
    </row>
    <row r="42" spans="2:7">
      <c r="B42" s="8" t="s">
        <v>51</v>
      </c>
      <c r="C42" s="9"/>
      <c r="D42" s="9"/>
      <c r="E42" s="9"/>
      <c r="F42" s="9"/>
      <c r="G42" s="8">
        <v>1</v>
      </c>
    </row>
    <row r="43" spans="2:7">
      <c r="B43" s="28">
        <f>(B24*G17)+F80+N18</f>
        <v>70912.5</v>
      </c>
      <c r="C43" s="27" t="s">
        <v>43</v>
      </c>
      <c r="D43" s="24"/>
      <c r="E43" s="24"/>
      <c r="F43" s="24"/>
      <c r="G43" s="24"/>
    </row>
    <row r="44" spans="2:7">
      <c r="B44" s="23"/>
      <c r="C44" s="24"/>
      <c r="D44" s="24"/>
      <c r="E44" s="24"/>
      <c r="F44" s="24"/>
      <c r="G44" s="24"/>
    </row>
    <row r="45" spans="2:7">
      <c r="B45" s="8" t="s">
        <v>52</v>
      </c>
      <c r="C45" s="9"/>
      <c r="D45" s="9"/>
      <c r="E45" s="9"/>
      <c r="F45" s="9"/>
      <c r="G45" s="8">
        <v>1</v>
      </c>
    </row>
    <row r="46" spans="2:7">
      <c r="B46" s="35">
        <f>ROUND(B43/HLOOKUP(G45,B58:AD80,MATCH(B63,B58:B80,0),0),0)</f>
        <v>1589</v>
      </c>
      <c r="C46" s="27" t="s">
        <v>58</v>
      </c>
      <c r="D46" s="24"/>
      <c r="E46" s="24"/>
      <c r="F46" s="24"/>
      <c r="G46" s="24"/>
    </row>
    <row r="47" spans="2:7">
      <c r="B47" s="23"/>
      <c r="C47" s="24"/>
      <c r="D47" s="24"/>
      <c r="E47" s="24"/>
      <c r="F47" s="24"/>
      <c r="G47" s="24"/>
    </row>
    <row r="48" spans="2:7">
      <c r="B48" s="8" t="s">
        <v>54</v>
      </c>
      <c r="C48" s="9"/>
      <c r="D48" s="9"/>
      <c r="E48" s="9"/>
      <c r="F48" s="9"/>
      <c r="G48" s="8">
        <v>14</v>
      </c>
    </row>
    <row r="49" spans="2:32">
      <c r="B49" s="35">
        <f>HLOOKUP(G48,B58:AD80,MATCH(B67,B58:B80,0),0)</f>
        <v>-23007.531424260429</v>
      </c>
      <c r="C49" s="27" t="s">
        <v>43</v>
      </c>
      <c r="D49" s="24"/>
      <c r="E49" s="24"/>
      <c r="F49" s="24"/>
      <c r="G49" s="24"/>
    </row>
    <row r="50" spans="2:32">
      <c r="B50" s="23"/>
      <c r="C50" s="24"/>
      <c r="D50" s="24"/>
      <c r="E50" s="24"/>
      <c r="F50" s="24"/>
      <c r="G50" s="24"/>
    </row>
    <row r="51" spans="2:32">
      <c r="B51" s="8" t="s">
        <v>60</v>
      </c>
      <c r="C51" s="8"/>
      <c r="D51" s="8"/>
      <c r="E51" s="8"/>
      <c r="F51" s="8"/>
      <c r="G51" s="8">
        <v>15</v>
      </c>
    </row>
    <row r="52" spans="2:32">
      <c r="B52" s="33">
        <f>HLOOKUP(G51,B58:AD82,MATCH(B64,B58:B82,0),0)</f>
        <v>4031854.9297670485</v>
      </c>
      <c r="C52" s="27" t="s">
        <v>58</v>
      </c>
      <c r="D52" s="24"/>
      <c r="E52" s="24"/>
      <c r="F52" s="24"/>
      <c r="G52" s="24"/>
    </row>
    <row r="53" spans="2:32">
      <c r="B53" s="23"/>
      <c r="C53" s="24"/>
      <c r="D53" s="24"/>
      <c r="E53" s="24"/>
      <c r="F53" s="24"/>
      <c r="G53" s="24"/>
    </row>
    <row r="54" spans="2:32" ht="15.6">
      <c r="B54" s="98" t="s">
        <v>78</v>
      </c>
      <c r="C54" s="24"/>
      <c r="D54" s="24"/>
      <c r="E54" s="24"/>
      <c r="F54" s="24"/>
      <c r="G54" s="24"/>
    </row>
    <row r="55" spans="2:32">
      <c r="B55" s="36" t="s">
        <v>79</v>
      </c>
      <c r="C55" s="24"/>
      <c r="D55" s="24"/>
      <c r="E55" s="24"/>
      <c r="F55" s="24"/>
      <c r="G55" s="24"/>
    </row>
    <row r="56" spans="2:32">
      <c r="B56" s="23"/>
      <c r="C56" s="24"/>
      <c r="D56" s="24"/>
      <c r="E56" s="24"/>
      <c r="F56" s="24"/>
      <c r="G56" s="24"/>
    </row>
    <row r="57" spans="2:32">
      <c r="B57" s="23"/>
      <c r="C57" s="24"/>
      <c r="D57" s="24"/>
      <c r="E57" s="36">
        <v>2020</v>
      </c>
      <c r="F57" s="36">
        <f>E57+1</f>
        <v>2021</v>
      </c>
      <c r="G57" s="36">
        <f t="shared" ref="G57:S58" si="0">F57+1</f>
        <v>2022</v>
      </c>
      <c r="H57" s="36">
        <f t="shared" si="0"/>
        <v>2023</v>
      </c>
      <c r="I57" s="36">
        <f t="shared" si="0"/>
        <v>2024</v>
      </c>
      <c r="J57" s="36">
        <f t="shared" si="0"/>
        <v>2025</v>
      </c>
      <c r="K57" s="36">
        <f t="shared" si="0"/>
        <v>2026</v>
      </c>
      <c r="L57" s="36">
        <f t="shared" si="0"/>
        <v>2027</v>
      </c>
      <c r="M57" s="36">
        <f t="shared" si="0"/>
        <v>2028</v>
      </c>
      <c r="N57" s="36">
        <f t="shared" si="0"/>
        <v>2029</v>
      </c>
      <c r="O57" s="36">
        <f t="shared" si="0"/>
        <v>2030</v>
      </c>
      <c r="P57" s="36">
        <f t="shared" si="0"/>
        <v>2031</v>
      </c>
      <c r="Q57" s="36">
        <f t="shared" si="0"/>
        <v>2032</v>
      </c>
      <c r="R57" s="36">
        <f t="shared" si="0"/>
        <v>2033</v>
      </c>
      <c r="S57" s="36">
        <f t="shared" si="0"/>
        <v>2034</v>
      </c>
      <c r="T57" s="36">
        <f t="shared" ref="T57:AD57" si="1">S57+1</f>
        <v>2035</v>
      </c>
      <c r="U57" s="36">
        <f t="shared" si="1"/>
        <v>2036</v>
      </c>
      <c r="V57" s="36">
        <f t="shared" si="1"/>
        <v>2037</v>
      </c>
      <c r="W57" s="36">
        <f t="shared" si="1"/>
        <v>2038</v>
      </c>
      <c r="X57" s="36">
        <f t="shared" si="1"/>
        <v>2039</v>
      </c>
      <c r="Y57" s="36">
        <f t="shared" si="1"/>
        <v>2040</v>
      </c>
      <c r="Z57" s="36">
        <f t="shared" si="1"/>
        <v>2041</v>
      </c>
      <c r="AA57" s="36">
        <f t="shared" si="1"/>
        <v>2042</v>
      </c>
      <c r="AB57" s="36">
        <f t="shared" si="1"/>
        <v>2043</v>
      </c>
      <c r="AC57" s="36">
        <f t="shared" si="1"/>
        <v>2044</v>
      </c>
      <c r="AD57" s="36">
        <f t="shared" si="1"/>
        <v>2045</v>
      </c>
    </row>
    <row r="58" spans="2:32" ht="13.8" thickBot="1">
      <c r="B58" s="23"/>
      <c r="C58" s="24"/>
      <c r="D58" s="24"/>
      <c r="E58" s="25">
        <v>0</v>
      </c>
      <c r="F58" s="25">
        <v>1</v>
      </c>
      <c r="G58" s="25">
        <f>F58+1</f>
        <v>2</v>
      </c>
      <c r="H58" s="25">
        <f t="shared" si="0"/>
        <v>3</v>
      </c>
      <c r="I58" s="25">
        <f t="shared" si="0"/>
        <v>4</v>
      </c>
      <c r="J58" s="25">
        <f t="shared" si="0"/>
        <v>5</v>
      </c>
      <c r="K58" s="25">
        <f t="shared" si="0"/>
        <v>6</v>
      </c>
      <c r="L58" s="25">
        <f t="shared" si="0"/>
        <v>7</v>
      </c>
      <c r="M58" s="25">
        <f t="shared" si="0"/>
        <v>8</v>
      </c>
      <c r="N58" s="25">
        <f t="shared" si="0"/>
        <v>9</v>
      </c>
      <c r="O58" s="25">
        <f t="shared" si="0"/>
        <v>10</v>
      </c>
      <c r="P58" s="25">
        <f t="shared" si="0"/>
        <v>11</v>
      </c>
      <c r="Q58" s="25">
        <f t="shared" si="0"/>
        <v>12</v>
      </c>
      <c r="R58" s="25">
        <f t="shared" si="0"/>
        <v>13</v>
      </c>
      <c r="S58" s="25">
        <f t="shared" si="0"/>
        <v>14</v>
      </c>
      <c r="T58" s="25">
        <f t="shared" ref="T58:AA58" si="2">S58+1</f>
        <v>15</v>
      </c>
      <c r="U58" s="25">
        <f t="shared" si="2"/>
        <v>16</v>
      </c>
      <c r="V58" s="25">
        <f t="shared" si="2"/>
        <v>17</v>
      </c>
      <c r="W58" s="25">
        <f t="shared" si="2"/>
        <v>18</v>
      </c>
      <c r="X58" s="25">
        <f t="shared" si="2"/>
        <v>19</v>
      </c>
      <c r="Y58" s="25">
        <f t="shared" si="2"/>
        <v>20</v>
      </c>
      <c r="Z58" s="25">
        <f t="shared" si="2"/>
        <v>21</v>
      </c>
      <c r="AA58" s="25">
        <f t="shared" si="2"/>
        <v>22</v>
      </c>
      <c r="AB58" s="25">
        <f t="shared" ref="AB58:AD58" si="3">AA58+1</f>
        <v>23</v>
      </c>
      <c r="AC58" s="25">
        <f t="shared" si="3"/>
        <v>24</v>
      </c>
      <c r="AD58" s="25">
        <f t="shared" si="3"/>
        <v>25</v>
      </c>
      <c r="AE58" s="24"/>
      <c r="AF58" s="24"/>
    </row>
    <row r="59" spans="2:32">
      <c r="B59" s="74" t="s">
        <v>36</v>
      </c>
      <c r="C59" s="47"/>
      <c r="D59" s="47"/>
      <c r="E59" s="75">
        <f>G14</f>
        <v>50000</v>
      </c>
      <c r="F59" s="76">
        <f>(E59*(1+forest_growth_rate))+F66</f>
        <v>50853.781512605041</v>
      </c>
      <c r="G59" s="76">
        <f>(F59*(1+forest_growth_rate))+G66</f>
        <v>51754.997528423133</v>
      </c>
      <c r="H59" s="76">
        <f>(G59*(1+forest_growth_rate))+H66</f>
        <v>52704.982970350771</v>
      </c>
      <c r="I59" s="76">
        <f>(H59*(1+forest_growth_rate))+I66</f>
        <v>53705.126527897271</v>
      </c>
      <c r="J59" s="76">
        <f>(I59*(1+forest_growth_rate))+J66</f>
        <v>54756.872424404712</v>
      </c>
      <c r="K59" s="76">
        <f>(J59*(1+forest_growth_rate))+K66</f>
        <v>55861.722249197643</v>
      </c>
      <c r="L59" s="76">
        <f>(K59*(1+forest_growth_rate))+L66</f>
        <v>57021.236856904194</v>
      </c>
      <c r="M59" s="76">
        <f>(L59*(1+forest_growth_rate))+M66</f>
        <v>58237.038336270052</v>
      </c>
      <c r="N59" s="76">
        <f>(M59*(1+forest_growth_rate))+N66</f>
        <v>59510.812050869819</v>
      </c>
      <c r="O59" s="76">
        <f>(N59*(1+forest_growth_rate))+O66</f>
        <v>60844.308754206162</v>
      </c>
      <c r="P59" s="76">
        <f>(O59*(1+forest_growth_rate))+P66</f>
        <v>62239.346781775705</v>
      </c>
      <c r="Q59" s="76">
        <f>(P59*(1+forest_growth_rate))+Q66</f>
        <v>63697.814322772872</v>
      </c>
      <c r="R59" s="76">
        <f>(Q59*(1+forest_growth_rate))+R66</f>
        <v>65221.67177419785</v>
      </c>
      <c r="S59" s="76">
        <f>(R59*(1+forest_growth_rate))+S66</f>
        <v>66812.954180233355</v>
      </c>
      <c r="T59" s="76">
        <f>(S59*(1+forest_growth_rate))+T66</f>
        <v>68473.773759856966</v>
      </c>
      <c r="U59" s="76">
        <f>(T59*(1+forest_growth_rate))+U66</f>
        <v>70206.322525761207</v>
      </c>
      <c r="V59" s="76">
        <f>(U59*(1+forest_growth_rate))+V66</f>
        <v>72012.874997762905</v>
      </c>
      <c r="W59" s="76">
        <f>(V59*(1+forest_growth_rate))+W66</f>
        <v>73895.791013996393</v>
      </c>
      <c r="X59" s="76">
        <f>(W59*(1+forest_growth_rate))+X66</f>
        <v>75857.518643302232</v>
      </c>
      <c r="Y59" s="76">
        <f>(X59*(1+forest_growth_rate))+Y66</f>
        <v>77900.59720234423</v>
      </c>
      <c r="Z59" s="76">
        <f>(Y59*(1+forest_growth_rate))+Z66</f>
        <v>80027.660381113135</v>
      </c>
      <c r="AA59" s="76">
        <f>(Z59*(1+forest_growth_rate))+AA66</f>
        <v>82241.439480605171</v>
      </c>
      <c r="AB59" s="76">
        <f>(AA59*(1+forest_growth_rate))+AB66</f>
        <v>84544.766766597837</v>
      </c>
      <c r="AC59" s="76">
        <f>(AB59*(1+forest_growth_rate))+AC66</f>
        <v>86940.578943584915</v>
      </c>
      <c r="AD59" s="77">
        <f>(AC59*(1+forest_growth_rate))+AD66</f>
        <v>91287.607890764164</v>
      </c>
    </row>
    <row r="60" spans="2:32">
      <c r="B60" s="60" t="s">
        <v>35</v>
      </c>
      <c r="C60" s="24"/>
      <c r="D60" s="24"/>
      <c r="E60" s="61">
        <f>G15</f>
        <v>50</v>
      </c>
      <c r="F60" s="62">
        <f>E60*(1+inflation_rate)</f>
        <v>51</v>
      </c>
      <c r="G60" s="62">
        <f>F60*(1+inflation_rate)</f>
        <v>52.02</v>
      </c>
      <c r="H60" s="62">
        <f>G60*(1+inflation_rate)</f>
        <v>53.060400000000001</v>
      </c>
      <c r="I60" s="62">
        <f>H60*(1+inflation_rate)</f>
        <v>54.121608000000002</v>
      </c>
      <c r="J60" s="62">
        <f>I60*(1+inflation_rate)</f>
        <v>55.204040160000005</v>
      </c>
      <c r="K60" s="62">
        <f>J60*(1+inflation_rate)</f>
        <v>56.308120963200004</v>
      </c>
      <c r="L60" s="62">
        <f>K60*(1+inflation_rate)</f>
        <v>57.434283382464002</v>
      </c>
      <c r="M60" s="62">
        <f>L60*(1+inflation_rate)</f>
        <v>58.582969050113284</v>
      </c>
      <c r="N60" s="62">
        <f>M60*(1+inflation_rate)</f>
        <v>59.754628431115549</v>
      </c>
      <c r="O60" s="62">
        <f>N60*(1+inflation_rate)</f>
        <v>60.949720999737863</v>
      </c>
      <c r="P60" s="62">
        <f>O60*(1+inflation_rate)</f>
        <v>62.168715419732621</v>
      </c>
      <c r="Q60" s="62">
        <f>P60*(1+inflation_rate)</f>
        <v>63.412089728127278</v>
      </c>
      <c r="R60" s="62">
        <f>Q60*(1+inflation_rate)</f>
        <v>64.680331522689826</v>
      </c>
      <c r="S60" s="62">
        <f>R60*(1+inflation_rate)</f>
        <v>65.973938153143621</v>
      </c>
      <c r="T60" s="62">
        <f>S60*(1+inflation_rate)</f>
        <v>67.293416916206496</v>
      </c>
      <c r="U60" s="62">
        <f>T60*(1+inflation_rate)</f>
        <v>68.639285254530634</v>
      </c>
      <c r="V60" s="62">
        <f>U60*(1+inflation_rate)</f>
        <v>70.012070959621255</v>
      </c>
      <c r="W60" s="62">
        <f>V60*(1+inflation_rate)</f>
        <v>71.412312378813681</v>
      </c>
      <c r="X60" s="62">
        <f>W60*(1+inflation_rate)</f>
        <v>72.840558626389949</v>
      </c>
      <c r="Y60" s="62">
        <f>X60*(1+inflation_rate)</f>
        <v>74.297369798917757</v>
      </c>
      <c r="Z60" s="62">
        <f>Y60*(1+inflation_rate)</f>
        <v>75.783317194896114</v>
      </c>
      <c r="AA60" s="62">
        <f>Z60*(1+inflation_rate)</f>
        <v>77.298983538794033</v>
      </c>
      <c r="AB60" s="62">
        <f>AA60*(1+inflation_rate)</f>
        <v>78.844963209569912</v>
      </c>
      <c r="AC60" s="62">
        <f>AB60*(1+inflation_rate)</f>
        <v>80.421862473761308</v>
      </c>
      <c r="AD60" s="63">
        <f>AC60*(1+inflation_rate)</f>
        <v>82.030299723236539</v>
      </c>
    </row>
    <row r="61" spans="2:32">
      <c r="B61" s="60" t="s">
        <v>37</v>
      </c>
      <c r="C61" s="24"/>
      <c r="D61" s="24"/>
      <c r="E61" s="61">
        <f>G19</f>
        <v>4.75</v>
      </c>
      <c r="F61" s="62">
        <f>E61*(1+inflation_rate)</f>
        <v>4.8449999999999998</v>
      </c>
      <c r="G61" s="62">
        <f>F61*(1+inflation_rate)</f>
        <v>4.9418999999999995</v>
      </c>
      <c r="H61" s="62">
        <f>G61*(1+inflation_rate)</f>
        <v>5.0407379999999993</v>
      </c>
      <c r="I61" s="62">
        <f>H61*(1+inflation_rate)</f>
        <v>5.1415527599999997</v>
      </c>
      <c r="J61" s="62">
        <f>I61*(1+inflation_rate)</f>
        <v>5.2443838152</v>
      </c>
      <c r="K61" s="62">
        <f>J61*(1+inflation_rate)</f>
        <v>5.3492714915040001</v>
      </c>
      <c r="L61" s="62">
        <f>K61*(1+inflation_rate)</f>
        <v>5.4562569213340799</v>
      </c>
      <c r="M61" s="62">
        <f>L61*(1+inflation_rate)</f>
        <v>5.5653820597607613</v>
      </c>
      <c r="N61" s="62">
        <f>M61*(1+inflation_rate)</f>
        <v>5.6766897009559765</v>
      </c>
      <c r="O61" s="62">
        <f>N61*(1+inflation_rate)</f>
        <v>5.7902234949750957</v>
      </c>
      <c r="P61" s="62">
        <f>O61*(1+inflation_rate)</f>
        <v>5.9060279648745979</v>
      </c>
      <c r="Q61" s="62">
        <f>P61*(1+inflation_rate)</f>
        <v>6.02414852417209</v>
      </c>
      <c r="R61" s="62">
        <f>Q61*(1+inflation_rate)</f>
        <v>6.144631494655532</v>
      </c>
      <c r="S61" s="62">
        <f>R61*(1+inflation_rate)</f>
        <v>6.2675241245486424</v>
      </c>
      <c r="T61" s="62">
        <f>S61*(1+inflation_rate)</f>
        <v>6.392874607039615</v>
      </c>
      <c r="U61" s="62">
        <f>T61*(1+inflation_rate)</f>
        <v>6.5207320991804076</v>
      </c>
      <c r="V61" s="62">
        <f>U61*(1+inflation_rate)</f>
        <v>6.6511467411640162</v>
      </c>
      <c r="W61" s="62">
        <f>V61*(1+inflation_rate)</f>
        <v>6.7841696759872967</v>
      </c>
      <c r="X61" s="62">
        <f>W61*(1+inflation_rate)</f>
        <v>6.9198530695070426</v>
      </c>
      <c r="Y61" s="62">
        <f>X61*(1+inflation_rate)</f>
        <v>7.0582501308971839</v>
      </c>
      <c r="Z61" s="62">
        <f>Y61*(1+inflation_rate)</f>
        <v>7.199415133515128</v>
      </c>
      <c r="AA61" s="62">
        <f>Z61*(1+inflation_rate)</f>
        <v>7.3434034361854303</v>
      </c>
      <c r="AB61" s="62">
        <f>AA61*(1+inflation_rate)</f>
        <v>7.4902715049091393</v>
      </c>
      <c r="AC61" s="62">
        <f>AB61*(1+inflation_rate)</f>
        <v>7.6400769350073219</v>
      </c>
      <c r="AD61" s="63">
        <f>AC61*(1+inflation_rate)</f>
        <v>7.7928784737074688</v>
      </c>
    </row>
    <row r="62" spans="2:32">
      <c r="B62" s="60" t="s">
        <v>38</v>
      </c>
      <c r="C62" s="24"/>
      <c r="D62" s="24"/>
      <c r="E62" s="61">
        <f>G20</f>
        <v>1.5</v>
      </c>
      <c r="F62" s="62">
        <f>E62*(1+inflation_rate)</f>
        <v>1.53</v>
      </c>
      <c r="G62" s="62">
        <f>F62*(1+inflation_rate)</f>
        <v>1.5606</v>
      </c>
      <c r="H62" s="62">
        <f>G62*(1+inflation_rate)</f>
        <v>1.591812</v>
      </c>
      <c r="I62" s="62">
        <f>H62*(1+inflation_rate)</f>
        <v>1.6236482400000001</v>
      </c>
      <c r="J62" s="62">
        <f>I62*(1+inflation_rate)</f>
        <v>1.6561212048</v>
      </c>
      <c r="K62" s="62">
        <f>J62*(1+inflation_rate)</f>
        <v>1.689243628896</v>
      </c>
      <c r="L62" s="62">
        <f>K62*(1+inflation_rate)</f>
        <v>1.7230285014739199</v>
      </c>
      <c r="M62" s="62">
        <f>L62*(1+inflation_rate)</f>
        <v>1.7574890715033984</v>
      </c>
      <c r="N62" s="62">
        <f>M62*(1+inflation_rate)</f>
        <v>1.7926388529334665</v>
      </c>
      <c r="O62" s="62">
        <f>N62*(1+inflation_rate)</f>
        <v>1.8284916299921359</v>
      </c>
      <c r="P62" s="62">
        <f>O62*(1+inflation_rate)</f>
        <v>1.8650614625919786</v>
      </c>
      <c r="Q62" s="62">
        <f>P62*(1+inflation_rate)</f>
        <v>1.9023626918438181</v>
      </c>
      <c r="R62" s="62">
        <f>Q62*(1+inflation_rate)</f>
        <v>1.9404099456806945</v>
      </c>
      <c r="S62" s="62">
        <f>R62*(1+inflation_rate)</f>
        <v>1.9792181445943084</v>
      </c>
      <c r="T62" s="62">
        <f>S62*(1+inflation_rate)</f>
        <v>2.0188025074861948</v>
      </c>
      <c r="U62" s="62">
        <f>T62*(1+inflation_rate)</f>
        <v>2.0591785576359189</v>
      </c>
      <c r="V62" s="62">
        <f>U62*(1+inflation_rate)</f>
        <v>2.1003621287886372</v>
      </c>
      <c r="W62" s="62">
        <f>V62*(1+inflation_rate)</f>
        <v>2.1423693713644099</v>
      </c>
      <c r="X62" s="62">
        <f>W62*(1+inflation_rate)</f>
        <v>2.185216758791698</v>
      </c>
      <c r="Y62" s="62">
        <f>X62*(1+inflation_rate)</f>
        <v>2.2289210939675321</v>
      </c>
      <c r="Z62" s="62">
        <f>Y62*(1+inflation_rate)</f>
        <v>2.2734995158468827</v>
      </c>
      <c r="AA62" s="62">
        <f>Z62*(1+inflation_rate)</f>
        <v>2.3189695061638202</v>
      </c>
      <c r="AB62" s="62">
        <f>AA62*(1+inflation_rate)</f>
        <v>2.3653488962870965</v>
      </c>
      <c r="AC62" s="62">
        <f>AB62*(1+inflation_rate)</f>
        <v>2.4126558742128386</v>
      </c>
      <c r="AD62" s="63">
        <f>AC62*(1+inflation_rate)</f>
        <v>2.4609089916970954</v>
      </c>
    </row>
    <row r="63" spans="2:32" ht="13.8" thickBot="1">
      <c r="B63" s="50" t="s">
        <v>53</v>
      </c>
      <c r="C63" s="38"/>
      <c r="D63" s="38"/>
      <c r="E63" s="43">
        <f>E60-E61-E62</f>
        <v>43.75</v>
      </c>
      <c r="F63" s="43">
        <f>F60-F61-F62</f>
        <v>44.625</v>
      </c>
      <c r="G63" s="43">
        <f t="shared" ref="G63:S63" si="4">G60-G61-G62</f>
        <v>45.517500000000005</v>
      </c>
      <c r="H63" s="43">
        <f t="shared" si="4"/>
        <v>46.427850000000007</v>
      </c>
      <c r="I63" s="43">
        <f t="shared" si="4"/>
        <v>47.356406999999997</v>
      </c>
      <c r="J63" s="43">
        <f t="shared" si="4"/>
        <v>48.303535140000001</v>
      </c>
      <c r="K63" s="43">
        <f t="shared" si="4"/>
        <v>49.269605842800004</v>
      </c>
      <c r="L63" s="43">
        <f t="shared" si="4"/>
        <v>50.254997959656002</v>
      </c>
      <c r="M63" s="43">
        <f t="shared" si="4"/>
        <v>51.260097918849127</v>
      </c>
      <c r="N63" s="43">
        <f t="shared" si="4"/>
        <v>52.285299877226109</v>
      </c>
      <c r="O63" s="43">
        <f t="shared" si="4"/>
        <v>53.331005874770632</v>
      </c>
      <c r="P63" s="43">
        <f t="shared" si="4"/>
        <v>54.397625992266043</v>
      </c>
      <c r="Q63" s="43">
        <f t="shared" si="4"/>
        <v>55.485578512111367</v>
      </c>
      <c r="R63" s="43">
        <f t="shared" si="4"/>
        <v>56.5952900823536</v>
      </c>
      <c r="S63" s="43">
        <f t="shared" si="4"/>
        <v>57.727195884000672</v>
      </c>
      <c r="T63" s="43">
        <f t="shared" ref="T63" si="5">T60-T61-T62</f>
        <v>58.881739801680688</v>
      </c>
      <c r="U63" s="43">
        <f t="shared" ref="U63" si="6">U60-U61-U62</f>
        <v>60.05937459771431</v>
      </c>
      <c r="V63" s="43">
        <f t="shared" ref="V63" si="7">V60-V61-V62</f>
        <v>61.260562089668603</v>
      </c>
      <c r="W63" s="43">
        <f t="shared" ref="W63" si="8">W60-W61-W62</f>
        <v>62.485773331461971</v>
      </c>
      <c r="X63" s="43">
        <f t="shared" ref="X63" si="9">X60-X61-X62</f>
        <v>63.735488798091211</v>
      </c>
      <c r="Y63" s="43">
        <f t="shared" ref="Y63" si="10">Y60-Y61-Y62</f>
        <v>65.010198574053049</v>
      </c>
      <c r="Z63" s="43">
        <f t="shared" ref="Z63" si="11">Z60-Z61-Z62</f>
        <v>66.310402545534103</v>
      </c>
      <c r="AA63" s="43">
        <f t="shared" ref="AA63:AD63" si="12">AA60-AA61-AA62</f>
        <v>67.636610596444783</v>
      </c>
      <c r="AB63" s="43">
        <f t="shared" si="12"/>
        <v>68.989342808373664</v>
      </c>
      <c r="AC63" s="43">
        <f t="shared" si="12"/>
        <v>70.369129664541134</v>
      </c>
      <c r="AD63" s="64">
        <f t="shared" si="12"/>
        <v>71.776512257831968</v>
      </c>
    </row>
    <row r="64" spans="2:32" ht="13.8" thickTop="1">
      <c r="B64" s="78" t="s">
        <v>48</v>
      </c>
      <c r="C64" s="24"/>
      <c r="D64" s="24"/>
      <c r="E64" s="33">
        <f>E59*E63</f>
        <v>2187500</v>
      </c>
      <c r="F64" s="33">
        <f>F59*F63</f>
        <v>2269350</v>
      </c>
      <c r="G64" s="33">
        <f t="shared" ref="G64:S64" si="13">G59*G63</f>
        <v>2355758.1</v>
      </c>
      <c r="H64" s="33">
        <f>H59*H63</f>
        <v>2446979.0436000004</v>
      </c>
      <c r="I64" s="33">
        <f t="shared" si="13"/>
        <v>2543281.8298415998</v>
      </c>
      <c r="J64" s="33">
        <f t="shared" si="13"/>
        <v>2644950.5113087301</v>
      </c>
      <c r="K64" s="33">
        <f t="shared" si="13"/>
        <v>2752285.0369179393</v>
      </c>
      <c r="L64" s="33">
        <f t="shared" si="13"/>
        <v>2865602.141900782</v>
      </c>
      <c r="M64" s="33">
        <f t="shared" si="13"/>
        <v>2985236.2876209733</v>
      </c>
      <c r="N64" s="33">
        <f t="shared" si="13"/>
        <v>3111540.6540169697</v>
      </c>
      <c r="O64" s="33">
        <f t="shared" si="13"/>
        <v>3244888.1876169271</v>
      </c>
      <c r="P64" s="33">
        <f t="shared" si="13"/>
        <v>3385672.7082379819</v>
      </c>
      <c r="Q64" s="33">
        <f t="shared" si="13"/>
        <v>3534310.0776561061</v>
      </c>
      <c r="R64" s="33">
        <f t="shared" si="13"/>
        <v>3691239.4337167814</v>
      </c>
      <c r="S64" s="33">
        <f t="shared" si="13"/>
        <v>3856924.4935510922</v>
      </c>
      <c r="T64" s="33">
        <f t="shared" ref="T64" si="14">T59*T63</f>
        <v>4031854.9297670485</v>
      </c>
      <c r="U64" s="33">
        <f t="shared" ref="U64" si="15">U59*U63</f>
        <v>4216547.8237026408</v>
      </c>
      <c r="V64" s="33">
        <f t="shared" ref="V64" si="16">V59*V63</f>
        <v>4411549.2000559978</v>
      </c>
      <c r="W64" s="33">
        <f t="shared" ref="W64" si="17">W59*W63</f>
        <v>4617435.6474496629</v>
      </c>
      <c r="X64" s="33">
        <f t="shared" ref="X64" si="18">X59*X63</f>
        <v>4834816.0297411848</v>
      </c>
      <c r="Y64" s="33">
        <f t="shared" ref="Y64" si="19">Y59*Y63</f>
        <v>5064333.29316172</v>
      </c>
      <c r="Z64" s="33">
        <f t="shared" ref="Z64" si="20">Z59*Z63</f>
        <v>5306666.3746489035</v>
      </c>
      <c r="AA64" s="33">
        <f t="shared" ref="AA64:AD64" si="21">AA59*AA63</f>
        <v>5562532.2170407716</v>
      </c>
      <c r="AB64" s="33">
        <f t="shared" si="21"/>
        <v>5832687.8971148152</v>
      </c>
      <c r="AC64" s="33">
        <f t="shared" si="21"/>
        <v>6117932.8727914011</v>
      </c>
      <c r="AD64" s="69">
        <f t="shared" si="21"/>
        <v>6552306.106759592</v>
      </c>
    </row>
    <row r="65" spans="2:30">
      <c r="B65" s="60"/>
      <c r="C65" s="24"/>
      <c r="D65" s="24"/>
      <c r="E65" s="62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69"/>
    </row>
    <row r="66" spans="2:30">
      <c r="B66" s="60" t="s">
        <v>56</v>
      </c>
      <c r="C66" s="24"/>
      <c r="D66" s="24"/>
      <c r="E66" s="24"/>
      <c r="F66" s="79">
        <f>F82/F63</f>
        <v>-1646.2184873949579</v>
      </c>
      <c r="G66" s="79">
        <f>G82/G63</f>
        <v>-1641.47305981216</v>
      </c>
      <c r="H66" s="79">
        <f>H82/H63</f>
        <v>-1637.7644344935204</v>
      </c>
      <c r="I66" s="79">
        <f>I82/I63</f>
        <v>-1635.1055909710385</v>
      </c>
      <c r="J66" s="79">
        <f>J82/J63</f>
        <v>-1633.5104298874303</v>
      </c>
      <c r="K66" s="79">
        <f>K82/K63</f>
        <v>-1632.9937964273058</v>
      </c>
      <c r="L66" s="79">
        <f>L82/L63</f>
        <v>-1633.5715047533281</v>
      </c>
      <c r="M66" s="79">
        <f>M82/M63</f>
        <v>-1635.2603634793552</v>
      </c>
      <c r="N66" s="79">
        <f>N82/N63</f>
        <v>-1638.0782022137334</v>
      </c>
      <c r="O66" s="79">
        <f>O82/O63</f>
        <v>-1642.0438992071538</v>
      </c>
      <c r="P66" s="79">
        <f>P82/P63</f>
        <v>-1647.1774101407736</v>
      </c>
      <c r="Q66" s="79">
        <f>Q82/Q63</f>
        <v>-1653.4997980916205</v>
      </c>
      <c r="R66" s="79">
        <f>R82/R63</f>
        <v>-1661.0332647136672</v>
      </c>
      <c r="S66" s="79">
        <f>S82/S63</f>
        <v>-1669.8011826743868</v>
      </c>
      <c r="T66" s="79">
        <f t="shared" ref="T66:AC66" si="22">T82/T63</f>
        <v>-1679.8281293880566</v>
      </c>
      <c r="U66" s="79">
        <f t="shared" si="22"/>
        <v>-1691.1399220886062</v>
      </c>
      <c r="V66" s="79">
        <f t="shared" si="22"/>
        <v>-1703.7636542863586</v>
      </c>
      <c r="W66" s="79">
        <f t="shared" si="22"/>
        <v>-1717.7277336546495</v>
      </c>
      <c r="X66" s="79">
        <f t="shared" si="22"/>
        <v>-1733.0619213939838</v>
      </c>
      <c r="Y66" s="79">
        <f t="shared" si="22"/>
        <v>-1749.7973731231243</v>
      </c>
      <c r="Z66" s="79">
        <f t="shared" si="22"/>
        <v>-1767.9666813483061</v>
      </c>
      <c r="AA66" s="79">
        <f t="shared" si="22"/>
        <v>-1787.6039195636265</v>
      </c>
      <c r="AB66" s="79">
        <f t="shared" ref="AB66:AD66" si="23">AB82/AB63</f>
        <v>-1808.7446880375992</v>
      </c>
      <c r="AC66" s="79">
        <f t="shared" si="23"/>
        <v>-1831.4261613428275</v>
      </c>
      <c r="AD66" s="80">
        <v>0</v>
      </c>
    </row>
    <row r="67" spans="2:30" ht="13.8" thickBot="1">
      <c r="B67" s="81" t="s">
        <v>57</v>
      </c>
      <c r="C67" s="53"/>
      <c r="D67" s="53"/>
      <c r="E67" s="53"/>
      <c r="F67" s="82">
        <f>F66+E67</f>
        <v>-1646.2184873949579</v>
      </c>
      <c r="G67" s="82">
        <f>F67+G66</f>
        <v>-3287.6915472071178</v>
      </c>
      <c r="H67" s="82">
        <f>G67+H66</f>
        <v>-4925.4559817006384</v>
      </c>
      <c r="I67" s="82">
        <f>H67+I66</f>
        <v>-6560.5615726716769</v>
      </c>
      <c r="J67" s="82">
        <f>I67+J66</f>
        <v>-8194.0720025591072</v>
      </c>
      <c r="K67" s="82">
        <f>J67+K66</f>
        <v>-9827.0657989864121</v>
      </c>
      <c r="L67" s="82">
        <f>K67+L66</f>
        <v>-11460.637303739741</v>
      </c>
      <c r="M67" s="82">
        <f>L67+M66</f>
        <v>-13095.897667219097</v>
      </c>
      <c r="N67" s="82">
        <f>M67+N66</f>
        <v>-14733.97586943283</v>
      </c>
      <c r="O67" s="82">
        <f>N67+O66</f>
        <v>-16376.019768639984</v>
      </c>
      <c r="P67" s="82">
        <f>O67+P66</f>
        <v>-18023.197178780756</v>
      </c>
      <c r="Q67" s="82">
        <f>P67+Q66</f>
        <v>-19676.696976872376</v>
      </c>
      <c r="R67" s="82">
        <f>Q67+R66</f>
        <v>-21337.730241586043</v>
      </c>
      <c r="S67" s="82">
        <f>R67+S66</f>
        <v>-23007.531424260429</v>
      </c>
      <c r="T67" s="82">
        <f t="shared" ref="T67:AD67" si="24">S67+T66</f>
        <v>-24687.359553648486</v>
      </c>
      <c r="U67" s="82">
        <f t="shared" si="24"/>
        <v>-26378.499475737091</v>
      </c>
      <c r="V67" s="82">
        <f t="shared" si="24"/>
        <v>-28082.26313002345</v>
      </c>
      <c r="W67" s="82">
        <f t="shared" si="24"/>
        <v>-29799.9908636781</v>
      </c>
      <c r="X67" s="82">
        <f t="shared" si="24"/>
        <v>-31533.052785072083</v>
      </c>
      <c r="Y67" s="82">
        <f t="shared" si="24"/>
        <v>-33282.850158195208</v>
      </c>
      <c r="Z67" s="82">
        <f t="shared" si="24"/>
        <v>-35050.816839543513</v>
      </c>
      <c r="AA67" s="82">
        <f t="shared" si="24"/>
        <v>-36838.420759107139</v>
      </c>
      <c r="AB67" s="82">
        <f t="shared" si="24"/>
        <v>-38647.16544714474</v>
      </c>
      <c r="AC67" s="82">
        <f t="shared" si="24"/>
        <v>-40478.591608487564</v>
      </c>
      <c r="AD67" s="83">
        <f t="shared" si="24"/>
        <v>-40478.591608487564</v>
      </c>
    </row>
    <row r="68" spans="2:30" ht="13.8" thickBot="1">
      <c r="B68" s="3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90"/>
    </row>
    <row r="69" spans="2:30">
      <c r="B69" s="56" t="s">
        <v>67</v>
      </c>
      <c r="C69" s="47"/>
      <c r="D69" s="4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9"/>
    </row>
    <row r="70" spans="2:30">
      <c r="B70" s="60" t="s">
        <v>3</v>
      </c>
      <c r="C70" s="24"/>
      <c r="D70" s="24"/>
      <c r="E70" s="67">
        <f>-(origination*loan_amount)</f>
        <v>-13125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68"/>
    </row>
    <row r="71" spans="2:30">
      <c r="B71" s="60" t="s">
        <v>66</v>
      </c>
      <c r="C71" s="24"/>
      <c r="D71" s="24"/>
      <c r="E71" s="62">
        <v>-2000000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69"/>
    </row>
    <row r="72" spans="2:30">
      <c r="B72" s="60" t="s">
        <v>68</v>
      </c>
      <c r="C72" s="24"/>
      <c r="D72" s="24"/>
      <c r="E72" s="62">
        <f>loan_amount</f>
        <v>1312500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69"/>
    </row>
    <row r="73" spans="2:30">
      <c r="B73" s="60" t="s">
        <v>63</v>
      </c>
      <c r="C73" s="24"/>
      <c r="D73" s="24"/>
      <c r="E73" s="62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91">
        <f>AD64</f>
        <v>6552306.106759592</v>
      </c>
    </row>
    <row r="74" spans="2:30">
      <c r="B74" s="60" t="s">
        <v>4</v>
      </c>
      <c r="C74" s="24"/>
      <c r="D74" s="24"/>
      <c r="E74" s="67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92">
        <f>AD73*-0.01</f>
        <v>-65523.061067595918</v>
      </c>
    </row>
    <row r="75" spans="2:30" ht="13.8" thickBot="1">
      <c r="B75" s="50" t="s">
        <v>65</v>
      </c>
      <c r="C75" s="38"/>
      <c r="D75" s="38"/>
      <c r="E75" s="39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93">
        <f>-Question13!loan_amount</f>
        <v>-1312500</v>
      </c>
    </row>
    <row r="76" spans="2:30" ht="14.4" thickTop="1" thickBot="1">
      <c r="B76" s="52" t="s">
        <v>75</v>
      </c>
      <c r="C76" s="71"/>
      <c r="D76" s="71"/>
      <c r="E76" s="72">
        <f>SUM(E70:E75)</f>
        <v>-700625</v>
      </c>
      <c r="F76" s="72">
        <f t="shared" ref="F76:AD76" si="25">SUM(F70:F75)</f>
        <v>0</v>
      </c>
      <c r="G76" s="72">
        <f t="shared" si="25"/>
        <v>0</v>
      </c>
      <c r="H76" s="72">
        <f t="shared" si="25"/>
        <v>0</v>
      </c>
      <c r="I76" s="72">
        <f t="shared" si="25"/>
        <v>0</v>
      </c>
      <c r="J76" s="72">
        <f t="shared" si="25"/>
        <v>0</v>
      </c>
      <c r="K76" s="72">
        <f t="shared" si="25"/>
        <v>0</v>
      </c>
      <c r="L76" s="72">
        <f t="shared" si="25"/>
        <v>0</v>
      </c>
      <c r="M76" s="72">
        <f t="shared" si="25"/>
        <v>0</v>
      </c>
      <c r="N76" s="72">
        <f t="shared" si="25"/>
        <v>0</v>
      </c>
      <c r="O76" s="72">
        <f t="shared" si="25"/>
        <v>0</v>
      </c>
      <c r="P76" s="72">
        <f t="shared" si="25"/>
        <v>0</v>
      </c>
      <c r="Q76" s="72">
        <f t="shared" si="25"/>
        <v>0</v>
      </c>
      <c r="R76" s="72">
        <f t="shared" si="25"/>
        <v>0</v>
      </c>
      <c r="S76" s="72">
        <f t="shared" si="25"/>
        <v>0</v>
      </c>
      <c r="T76" s="72">
        <f t="shared" ref="T76" si="26">SUM(T70:T75)</f>
        <v>0</v>
      </c>
      <c r="U76" s="72">
        <f t="shared" ref="U76" si="27">SUM(U70:U75)</f>
        <v>0</v>
      </c>
      <c r="V76" s="72">
        <f t="shared" ref="V76" si="28">SUM(V70:V75)</f>
        <v>0</v>
      </c>
      <c r="W76" s="72">
        <f t="shared" ref="W76" si="29">SUM(W70:W75)</f>
        <v>0</v>
      </c>
      <c r="X76" s="72">
        <f t="shared" ref="X76" si="30">SUM(X70:X75)</f>
        <v>0</v>
      </c>
      <c r="Y76" s="72">
        <f t="shared" ref="Y76" si="31">SUM(Y70:Y75)</f>
        <v>0</v>
      </c>
      <c r="Z76" s="72">
        <f t="shared" ref="Z76" si="32">SUM(Z70:Z75)</f>
        <v>0</v>
      </c>
      <c r="AA76" s="72">
        <f t="shared" ref="AA76:AD76" si="33">SUM(AA70:AA75)</f>
        <v>0</v>
      </c>
      <c r="AB76" s="72">
        <f t="shared" si="33"/>
        <v>0</v>
      </c>
      <c r="AC76" s="72">
        <f t="shared" si="33"/>
        <v>0</v>
      </c>
      <c r="AD76" s="94">
        <f t="shared" si="33"/>
        <v>5174283.0456919959</v>
      </c>
    </row>
    <row r="77" spans="2:30" ht="13.8" thickBot="1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r="78" spans="2:30">
      <c r="B78" s="56" t="s">
        <v>69</v>
      </c>
      <c r="C78" s="47"/>
      <c r="D78" s="47"/>
      <c r="E78" s="57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9"/>
    </row>
    <row r="79" spans="2:30">
      <c r="B79" s="60" t="s">
        <v>16</v>
      </c>
      <c r="C79" s="24"/>
      <c r="D79" s="24"/>
      <c r="E79" s="61"/>
      <c r="F79" s="62">
        <f>E64*-0.015</f>
        <v>-32812.5</v>
      </c>
      <c r="G79" s="62">
        <f>F64*-0.015</f>
        <v>-34040.25</v>
      </c>
      <c r="H79" s="62">
        <f>G64*-0.015</f>
        <v>-35336.371500000001</v>
      </c>
      <c r="I79" s="62">
        <f>H64*-0.015</f>
        <v>-36704.685654000008</v>
      </c>
      <c r="J79" s="62">
        <f>I64*-0.015</f>
        <v>-38149.227447623998</v>
      </c>
      <c r="K79" s="62">
        <f>J64*-0.015</f>
        <v>-39674.257669630948</v>
      </c>
      <c r="L79" s="62">
        <f>K64*-0.015</f>
        <v>-41284.27555376909</v>
      </c>
      <c r="M79" s="62">
        <f>L64*-0.015</f>
        <v>-42984.032128511732</v>
      </c>
      <c r="N79" s="62">
        <f>M64*-0.015</f>
        <v>-44778.544314314597</v>
      </c>
      <c r="O79" s="62">
        <f>N64*-0.015</f>
        <v>-46673.109810254544</v>
      </c>
      <c r="P79" s="62">
        <f>O64*-0.015</f>
        <v>-48673.322814253901</v>
      </c>
      <c r="Q79" s="62">
        <f>P64*-0.015</f>
        <v>-50785.090623569726</v>
      </c>
      <c r="R79" s="62">
        <f>Q64*-0.015</f>
        <v>-53014.651164841591</v>
      </c>
      <c r="S79" s="62">
        <f>R64*-0.015</f>
        <v>-55368.59150575172</v>
      </c>
      <c r="T79" s="62">
        <f t="shared" ref="T79:AA79" si="34">S64*-0.015</f>
        <v>-57853.867403266384</v>
      </c>
      <c r="U79" s="62">
        <f t="shared" si="34"/>
        <v>-60477.823946505727</v>
      </c>
      <c r="V79" s="62">
        <f t="shared" si="34"/>
        <v>-63248.217355539608</v>
      </c>
      <c r="W79" s="62">
        <f t="shared" si="34"/>
        <v>-66173.238000839963</v>
      </c>
      <c r="X79" s="62">
        <f t="shared" si="34"/>
        <v>-69261.534711744942</v>
      </c>
      <c r="Y79" s="62">
        <f t="shared" si="34"/>
        <v>-72522.240446117765</v>
      </c>
      <c r="Z79" s="62">
        <f t="shared" si="34"/>
        <v>-75964.999397425796</v>
      </c>
      <c r="AA79" s="62">
        <f t="shared" si="34"/>
        <v>-79599.995619733556</v>
      </c>
      <c r="AB79" s="62">
        <f t="shared" ref="AB79:AD79" si="35">AA64*-0.015</f>
        <v>-83437.983255611573</v>
      </c>
      <c r="AC79" s="62">
        <f t="shared" si="35"/>
        <v>-87490.31845672222</v>
      </c>
      <c r="AD79" s="63">
        <f t="shared" si="35"/>
        <v>-91768.993091871016</v>
      </c>
    </row>
    <row r="80" spans="2:30">
      <c r="B80" s="60" t="s">
        <v>31</v>
      </c>
      <c r="C80" s="24"/>
      <c r="D80" s="24"/>
      <c r="E80" s="61">
        <v>0</v>
      </c>
      <c r="F80" s="62">
        <f>$G$18*-(1+$G$9)</f>
        <v>-1275</v>
      </c>
      <c r="G80" s="62">
        <f>F$80*(1+$G$9)</f>
        <v>-1300.5</v>
      </c>
      <c r="H80" s="62">
        <f>G$80*(1+$G$9)</f>
        <v>-1326.51</v>
      </c>
      <c r="I80" s="62">
        <f>H$80*(1+$G$9)</f>
        <v>-1353.0401999999999</v>
      </c>
      <c r="J80" s="62">
        <f>I$80*(1+$G$9)</f>
        <v>-1380.1010039999999</v>
      </c>
      <c r="K80" s="62">
        <f>J$80*(1+$G$9)</f>
        <v>-1407.70302408</v>
      </c>
      <c r="L80" s="62">
        <f>K$80*(1+$G$9)</f>
        <v>-1435.8570845616</v>
      </c>
      <c r="M80" s="62">
        <f>L$80*(1+$G$9)</f>
        <v>-1464.574226252832</v>
      </c>
      <c r="N80" s="62">
        <f>M$80*(1+$G$9)</f>
        <v>-1493.8657107778886</v>
      </c>
      <c r="O80" s="62">
        <f>N$80*(1+$G$9)</f>
        <v>-1523.7430249934464</v>
      </c>
      <c r="P80" s="62">
        <f>O$80*(1+$G$9)</f>
        <v>-1554.2178854933154</v>
      </c>
      <c r="Q80" s="62">
        <f>P$80*(1+$G$9)</f>
        <v>-1585.3022432031817</v>
      </c>
      <c r="R80" s="62">
        <f>Q$80*(1+$G$9)</f>
        <v>-1617.0082880672453</v>
      </c>
      <c r="S80" s="62">
        <f>R$80*(1+$G$9)</f>
        <v>-1649.3484538285902</v>
      </c>
      <c r="T80" s="62">
        <f t="shared" ref="T80:AA80" si="36">S$80*(1+$G$9)</f>
        <v>-1682.335422905162</v>
      </c>
      <c r="U80" s="62">
        <f t="shared" si="36"/>
        <v>-1715.9821313632654</v>
      </c>
      <c r="V80" s="62">
        <f t="shared" si="36"/>
        <v>-1750.3017739905306</v>
      </c>
      <c r="W80" s="62">
        <f t="shared" si="36"/>
        <v>-1785.3078094703412</v>
      </c>
      <c r="X80" s="62">
        <f t="shared" si="36"/>
        <v>-1821.013965659748</v>
      </c>
      <c r="Y80" s="62">
        <f t="shared" si="36"/>
        <v>-1857.4342449729429</v>
      </c>
      <c r="Z80" s="62">
        <f t="shared" si="36"/>
        <v>-1894.5829298724018</v>
      </c>
      <c r="AA80" s="62">
        <f t="shared" si="36"/>
        <v>-1932.4745884698498</v>
      </c>
      <c r="AB80" s="62">
        <f t="shared" ref="AB80:AD80" si="37">AA$80*(1+$G$9)</f>
        <v>-1971.1240802392467</v>
      </c>
      <c r="AC80" s="62">
        <f t="shared" si="37"/>
        <v>-2010.5465618440317</v>
      </c>
      <c r="AD80" s="63">
        <f t="shared" si="37"/>
        <v>-2050.7574930809124</v>
      </c>
    </row>
    <row r="81" spans="2:30" ht="13.8" thickBot="1">
      <c r="B81" s="50" t="s">
        <v>70</v>
      </c>
      <c r="C81" s="38"/>
      <c r="D81" s="38"/>
      <c r="E81" s="40"/>
      <c r="F81" s="43">
        <f>-Annual_Int</f>
        <v>-39375</v>
      </c>
      <c r="G81" s="43">
        <f>-Annual_Int</f>
        <v>-39375</v>
      </c>
      <c r="H81" s="43">
        <f>-Annual_Int</f>
        <v>-39375</v>
      </c>
      <c r="I81" s="43">
        <f>-Annual_Int</f>
        <v>-39375</v>
      </c>
      <c r="J81" s="43">
        <f>-Annual_Int</f>
        <v>-39375</v>
      </c>
      <c r="K81" s="43">
        <f>-Annual_Int</f>
        <v>-39375</v>
      </c>
      <c r="L81" s="43">
        <f>-Annual_Int</f>
        <v>-39375</v>
      </c>
      <c r="M81" s="43">
        <f>-Annual_Int</f>
        <v>-39375</v>
      </c>
      <c r="N81" s="43">
        <f>-Annual_Int</f>
        <v>-39375</v>
      </c>
      <c r="O81" s="43">
        <f>-Annual_Int</f>
        <v>-39375</v>
      </c>
      <c r="P81" s="43">
        <f>-Annual_Int</f>
        <v>-39375</v>
      </c>
      <c r="Q81" s="43">
        <f>-Annual_Int</f>
        <v>-39375</v>
      </c>
      <c r="R81" s="43">
        <f>-Annual_Int</f>
        <v>-39375</v>
      </c>
      <c r="S81" s="43">
        <f>-Annual_Int</f>
        <v>-39375</v>
      </c>
      <c r="T81" s="43">
        <f>-Annual_Int</f>
        <v>-39375</v>
      </c>
      <c r="U81" s="43">
        <f>-Annual_Int</f>
        <v>-39375</v>
      </c>
      <c r="V81" s="43">
        <f>-Annual_Int</f>
        <v>-39375</v>
      </c>
      <c r="W81" s="43">
        <f>-Annual_Int</f>
        <v>-39375</v>
      </c>
      <c r="X81" s="43">
        <f>-Annual_Int</f>
        <v>-39375</v>
      </c>
      <c r="Y81" s="43">
        <f>-Annual_Int</f>
        <v>-39375</v>
      </c>
      <c r="Z81" s="43">
        <f>-Annual_Int</f>
        <v>-39375</v>
      </c>
      <c r="AA81" s="43">
        <f>-Annual_Int</f>
        <v>-39375</v>
      </c>
      <c r="AB81" s="43">
        <f>-Annual_Int</f>
        <v>-39375</v>
      </c>
      <c r="AC81" s="43">
        <f>-Annual_Int</f>
        <v>-39375</v>
      </c>
      <c r="AD81" s="64">
        <f>-Annual_Int</f>
        <v>-39375</v>
      </c>
    </row>
    <row r="82" spans="2:30" ht="14.4" thickTop="1" thickBot="1">
      <c r="B82" s="52" t="s">
        <v>55</v>
      </c>
      <c r="C82" s="53"/>
      <c r="D82" s="53"/>
      <c r="E82" s="65">
        <f>E79+E80</f>
        <v>0</v>
      </c>
      <c r="F82" s="65">
        <f>SUM(F79:F81)</f>
        <v>-73462.5</v>
      </c>
      <c r="G82" s="65">
        <f t="shared" ref="G82:AD82" si="38">SUM(G79:G81)</f>
        <v>-74715.75</v>
      </c>
      <c r="H82" s="65">
        <f t="shared" si="38"/>
        <v>-76037.881500000003</v>
      </c>
      <c r="I82" s="65">
        <f t="shared" si="38"/>
        <v>-77432.725854000018</v>
      </c>
      <c r="J82" s="65">
        <f t="shared" si="38"/>
        <v>-78904.328451623995</v>
      </c>
      <c r="K82" s="65">
        <f t="shared" si="38"/>
        <v>-80456.960693710949</v>
      </c>
      <c r="L82" s="65">
        <f t="shared" si="38"/>
        <v>-82095.132638330688</v>
      </c>
      <c r="M82" s="65">
        <f t="shared" si="38"/>
        <v>-83823.606354764561</v>
      </c>
      <c r="N82" s="65">
        <f t="shared" si="38"/>
        <v>-85647.410025092482</v>
      </c>
      <c r="O82" s="65">
        <f t="shared" si="38"/>
        <v>-87571.852835247992</v>
      </c>
      <c r="P82" s="65">
        <f t="shared" si="38"/>
        <v>-89602.540699747216</v>
      </c>
      <c r="Q82" s="65">
        <f t="shared" si="38"/>
        <v>-91745.392866772905</v>
      </c>
      <c r="R82" s="65">
        <f t="shared" si="38"/>
        <v>-94006.659452908832</v>
      </c>
      <c r="S82" s="65">
        <f t="shared" si="38"/>
        <v>-96392.939959580312</v>
      </c>
      <c r="T82" s="65">
        <f t="shared" ref="T82" si="39">SUM(T79:T81)</f>
        <v>-98911.202826171546</v>
      </c>
      <c r="U82" s="65">
        <f t="shared" ref="U82" si="40">SUM(U79:U81)</f>
        <v>-101568.806077869</v>
      </c>
      <c r="V82" s="65">
        <f t="shared" ref="V82" si="41">SUM(V79:V81)</f>
        <v>-104373.51912953015</v>
      </c>
      <c r="W82" s="65">
        <f t="shared" ref="W82" si="42">SUM(W79:W81)</f>
        <v>-107333.5458103103</v>
      </c>
      <c r="X82" s="65">
        <f t="shared" ref="X82" si="43">SUM(X79:X81)</f>
        <v>-110457.54867740469</v>
      </c>
      <c r="Y82" s="65">
        <f t="shared" ref="Y82" si="44">SUM(Y79:Y81)</f>
        <v>-113754.67469109071</v>
      </c>
      <c r="Z82" s="65">
        <f t="shared" ref="Z82" si="45">SUM(Z79:Z81)</f>
        <v>-117234.58232729819</v>
      </c>
      <c r="AA82" s="65">
        <f t="shared" ref="AA82:AD82" si="46">SUM(AA79:AA81)</f>
        <v>-120907.47020820341</v>
      </c>
      <c r="AB82" s="65">
        <f t="shared" si="46"/>
        <v>-124784.10733585081</v>
      </c>
      <c r="AC82" s="65">
        <f t="shared" si="46"/>
        <v>-128875.86501856626</v>
      </c>
      <c r="AD82" s="66">
        <f t="shared" si="46"/>
        <v>-133194.75058495192</v>
      </c>
    </row>
    <row r="83" spans="2:30" ht="13.8" thickBot="1">
      <c r="B83" s="2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89"/>
    </row>
    <row r="84" spans="2:30">
      <c r="B84" s="46" t="s">
        <v>64</v>
      </c>
      <c r="C84" s="47"/>
      <c r="D84" s="47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9"/>
    </row>
    <row r="85" spans="2:30" ht="13.8" thickBot="1">
      <c r="B85" s="50" t="s">
        <v>62</v>
      </c>
      <c r="C85" s="38"/>
      <c r="D85" s="38"/>
      <c r="E85" s="45">
        <f>E66*E63</f>
        <v>0</v>
      </c>
      <c r="F85" s="45">
        <f>-F66*F63</f>
        <v>73462.5</v>
      </c>
      <c r="G85" s="45">
        <f>-G66*G63</f>
        <v>74715.75</v>
      </c>
      <c r="H85" s="45">
        <f>-H66*H63</f>
        <v>76037.881500000003</v>
      </c>
      <c r="I85" s="45">
        <f>-I66*I63</f>
        <v>77432.725854000018</v>
      </c>
      <c r="J85" s="45">
        <f>-J66*J63</f>
        <v>78904.328451623995</v>
      </c>
      <c r="K85" s="45">
        <f>-K66*K63</f>
        <v>80456.960693710949</v>
      </c>
      <c r="L85" s="45">
        <f>-L66*L63</f>
        <v>82095.132638330688</v>
      </c>
      <c r="M85" s="45">
        <f>-M66*M63</f>
        <v>83823.606354764561</v>
      </c>
      <c r="N85" s="45">
        <f>-N66*N63</f>
        <v>85647.410025092482</v>
      </c>
      <c r="O85" s="45">
        <f>-O66*O63</f>
        <v>87571.852835247992</v>
      </c>
      <c r="P85" s="45">
        <f>-P66*P63</f>
        <v>89602.540699747216</v>
      </c>
      <c r="Q85" s="45">
        <f>-Q66*Q63</f>
        <v>91745.392866772905</v>
      </c>
      <c r="R85" s="45">
        <f>-R66*R63</f>
        <v>94006.659452908832</v>
      </c>
      <c r="S85" s="45">
        <f>-S66*S63</f>
        <v>96392.939959580312</v>
      </c>
      <c r="T85" s="45">
        <f t="shared" ref="T85:AC85" si="47">-T66*T63</f>
        <v>98911.202826171546</v>
      </c>
      <c r="U85" s="45">
        <f t="shared" si="47"/>
        <v>101568.806077869</v>
      </c>
      <c r="V85" s="45">
        <f t="shared" si="47"/>
        <v>104373.51912953015</v>
      </c>
      <c r="W85" s="45">
        <f t="shared" si="47"/>
        <v>107333.5458103103</v>
      </c>
      <c r="X85" s="45">
        <f t="shared" si="47"/>
        <v>110457.54867740469</v>
      </c>
      <c r="Y85" s="45">
        <f t="shared" si="47"/>
        <v>113754.67469109071</v>
      </c>
      <c r="Z85" s="45">
        <f t="shared" si="47"/>
        <v>117234.58232729819</v>
      </c>
      <c r="AA85" s="45">
        <f t="shared" si="47"/>
        <v>120907.47020820341</v>
      </c>
      <c r="AB85" s="45">
        <f t="shared" ref="AB85:AD85" si="48">-AB66*AB63</f>
        <v>124784.10733585081</v>
      </c>
      <c r="AC85" s="45">
        <f t="shared" si="48"/>
        <v>128875.86501856626</v>
      </c>
      <c r="AD85" s="51">
        <f t="shared" si="48"/>
        <v>0</v>
      </c>
    </row>
    <row r="86" spans="2:30" ht="14.4" thickTop="1" thickBot="1">
      <c r="B86" s="52" t="s">
        <v>72</v>
      </c>
      <c r="C86" s="53"/>
      <c r="D86" s="53"/>
      <c r="E86" s="54">
        <f>SUM(E85)</f>
        <v>0</v>
      </c>
      <c r="F86" s="54">
        <f t="shared" ref="F86:AD86" si="49">SUM(F85)</f>
        <v>73462.5</v>
      </c>
      <c r="G86" s="54">
        <f t="shared" si="49"/>
        <v>74715.75</v>
      </c>
      <c r="H86" s="54">
        <f t="shared" si="49"/>
        <v>76037.881500000003</v>
      </c>
      <c r="I86" s="54">
        <f t="shared" si="49"/>
        <v>77432.725854000018</v>
      </c>
      <c r="J86" s="54">
        <f t="shared" si="49"/>
        <v>78904.328451623995</v>
      </c>
      <c r="K86" s="54">
        <f t="shared" si="49"/>
        <v>80456.960693710949</v>
      </c>
      <c r="L86" s="54">
        <f t="shared" si="49"/>
        <v>82095.132638330688</v>
      </c>
      <c r="M86" s="54">
        <f t="shared" si="49"/>
        <v>83823.606354764561</v>
      </c>
      <c r="N86" s="54">
        <f t="shared" si="49"/>
        <v>85647.410025092482</v>
      </c>
      <c r="O86" s="54">
        <f t="shared" si="49"/>
        <v>87571.852835247992</v>
      </c>
      <c r="P86" s="54">
        <f t="shared" si="49"/>
        <v>89602.540699747216</v>
      </c>
      <c r="Q86" s="54">
        <f t="shared" si="49"/>
        <v>91745.392866772905</v>
      </c>
      <c r="R86" s="54">
        <f t="shared" si="49"/>
        <v>94006.659452908832</v>
      </c>
      <c r="S86" s="54">
        <f t="shared" si="49"/>
        <v>96392.939959580312</v>
      </c>
      <c r="T86" s="54">
        <f t="shared" ref="T86" si="50">SUM(T85)</f>
        <v>98911.202826171546</v>
      </c>
      <c r="U86" s="54">
        <f t="shared" ref="U86" si="51">SUM(U85)</f>
        <v>101568.806077869</v>
      </c>
      <c r="V86" s="54">
        <f t="shared" ref="V86" si="52">SUM(V85)</f>
        <v>104373.51912953015</v>
      </c>
      <c r="W86" s="54">
        <f t="shared" ref="W86" si="53">SUM(W85)</f>
        <v>107333.5458103103</v>
      </c>
      <c r="X86" s="54">
        <f t="shared" ref="X86" si="54">SUM(X85)</f>
        <v>110457.54867740469</v>
      </c>
      <c r="Y86" s="54">
        <f t="shared" ref="Y86" si="55">SUM(Y85)</f>
        <v>113754.67469109071</v>
      </c>
      <c r="Z86" s="54">
        <f t="shared" ref="Z86" si="56">SUM(Z85)</f>
        <v>117234.58232729819</v>
      </c>
      <c r="AA86" s="54">
        <f t="shared" ref="AA86:AD86" si="57">SUM(AA85)</f>
        <v>120907.47020820341</v>
      </c>
      <c r="AB86" s="54">
        <f t="shared" si="57"/>
        <v>124784.10733585081</v>
      </c>
      <c r="AC86" s="54">
        <f t="shared" si="57"/>
        <v>128875.86501856626</v>
      </c>
      <c r="AD86" s="55">
        <f t="shared" si="57"/>
        <v>0</v>
      </c>
    </row>
    <row r="87" spans="2:30">
      <c r="B87" s="2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9" spans="2:30">
      <c r="B89" s="44" t="s">
        <v>61</v>
      </c>
      <c r="E89" s="34">
        <f>E76+E82+E86</f>
        <v>-700625</v>
      </c>
      <c r="F89" s="34">
        <f>F76+F82+F86</f>
        <v>0</v>
      </c>
      <c r="G89" s="34">
        <f>G76+G82+G86</f>
        <v>0</v>
      </c>
      <c r="H89" s="34">
        <f>H76+H82+H86</f>
        <v>0</v>
      </c>
      <c r="I89" s="34">
        <f>I76+I82+I86</f>
        <v>0</v>
      </c>
      <c r="J89" s="34">
        <f>J76+J82+J86</f>
        <v>0</v>
      </c>
      <c r="K89" s="34">
        <f>K76+K82+K86</f>
        <v>0</v>
      </c>
      <c r="L89" s="34">
        <f>L76+L82+L86</f>
        <v>0</v>
      </c>
      <c r="M89" s="34">
        <f>M76+M82+M86</f>
        <v>0</v>
      </c>
      <c r="N89" s="34">
        <f>N76+N82+N86</f>
        <v>0</v>
      </c>
      <c r="O89" s="34">
        <f>O76+O82+O86</f>
        <v>0</v>
      </c>
      <c r="P89" s="34">
        <f>P76+P82+P86</f>
        <v>0</v>
      </c>
      <c r="Q89" s="34">
        <f>Q76+Q82+Q86</f>
        <v>0</v>
      </c>
      <c r="R89" s="34">
        <f>R76+R82+R86</f>
        <v>0</v>
      </c>
      <c r="S89" s="34">
        <f>S76+S82+S86</f>
        <v>0</v>
      </c>
      <c r="T89" s="34">
        <f t="shared" ref="T89:AC89" si="58">T76+T82+T86</f>
        <v>0</v>
      </c>
      <c r="U89" s="34">
        <f t="shared" si="58"/>
        <v>0</v>
      </c>
      <c r="V89" s="34">
        <f t="shared" si="58"/>
        <v>0</v>
      </c>
      <c r="W89" s="34">
        <f t="shared" si="58"/>
        <v>0</v>
      </c>
      <c r="X89" s="34">
        <f t="shared" si="58"/>
        <v>0</v>
      </c>
      <c r="Y89" s="34">
        <f t="shared" si="58"/>
        <v>0</v>
      </c>
      <c r="Z89" s="34">
        <f t="shared" si="58"/>
        <v>0</v>
      </c>
      <c r="AA89" s="34">
        <f t="shared" si="58"/>
        <v>0</v>
      </c>
      <c r="AB89" s="34"/>
      <c r="AC89" s="34">
        <f t="shared" si="58"/>
        <v>0</v>
      </c>
      <c r="AD89" s="95">
        <f>AD76+AD82+AD86</f>
        <v>5041088.2951070443</v>
      </c>
    </row>
    <row r="90" spans="2:30">
      <c r="B90" s="37" t="s">
        <v>71</v>
      </c>
      <c r="E90" s="96">
        <f>IRR(E89:AD89)</f>
        <v>8.5700267324792856E-2</v>
      </c>
    </row>
    <row r="91" spans="2:30">
      <c r="B91" s="42"/>
    </row>
  </sheetData>
  <pageMargins left="0.7" right="0.7" top="0.75" bottom="0.75" header="0.3" footer="0.3"/>
  <pageSetup scale="88" orientation="landscape" verticalDpi="0" r:id="rId1"/>
  <ignoredErrors>
    <ignoredError sqref="N17:N1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2039-DAAF-49CA-B614-6AF9A3335841}">
  <dimension ref="B2:V91"/>
  <sheetViews>
    <sheetView showGridLines="0" zoomScale="130" zoomScaleNormal="190" workbookViewId="0">
      <selection activeCell="B3" sqref="B3"/>
    </sheetView>
  </sheetViews>
  <sheetFormatPr defaultColWidth="8.6640625" defaultRowHeight="13.2"/>
  <cols>
    <col min="1" max="1" width="3.33203125" style="1" customWidth="1"/>
    <col min="2" max="2" width="15.21875" style="1" customWidth="1"/>
    <col min="3" max="3" width="8.6640625" style="1"/>
    <col min="4" max="4" width="14.6640625" style="1" bestFit="1" customWidth="1"/>
    <col min="5" max="5" width="15.6640625" style="1" bestFit="1" customWidth="1"/>
    <col min="6" max="6" width="16.33203125" style="1" customWidth="1"/>
    <col min="7" max="7" width="21.6640625" style="1" bestFit="1" customWidth="1"/>
    <col min="8" max="8" width="16" style="1" bestFit="1" customWidth="1"/>
    <col min="9" max="9" width="17.77734375" style="1" customWidth="1"/>
    <col min="10" max="19" width="16" style="1" bestFit="1" customWidth="1"/>
    <col min="20" max="20" width="16" style="1" customWidth="1"/>
    <col min="21" max="16384" width="8.6640625" style="1"/>
  </cols>
  <sheetData>
    <row r="2" spans="2:14" ht="23.4">
      <c r="B2" s="13" t="str">
        <f>G7</f>
        <v>Perpetual Growth Capital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6.2" thickBot="1">
      <c r="B3" s="14" t="s">
        <v>86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6" spans="2:14">
      <c r="B6" s="8" t="s">
        <v>33</v>
      </c>
      <c r="C6" s="9"/>
      <c r="D6" s="9"/>
      <c r="E6" s="9"/>
      <c r="F6" s="9"/>
      <c r="G6" s="9"/>
      <c r="I6" s="8" t="s">
        <v>21</v>
      </c>
      <c r="J6" s="9"/>
      <c r="K6" s="9"/>
      <c r="L6" s="9"/>
      <c r="M6" s="9"/>
      <c r="N6" s="9"/>
    </row>
    <row r="7" spans="2:14">
      <c r="B7" s="10" t="s">
        <v>1</v>
      </c>
      <c r="G7" s="16" t="s">
        <v>9</v>
      </c>
      <c r="I7" s="10" t="s">
        <v>22</v>
      </c>
      <c r="M7" s="11" t="s">
        <v>23</v>
      </c>
      <c r="N7" s="32">
        <v>2000000</v>
      </c>
    </row>
    <row r="8" spans="2:14">
      <c r="B8" s="10" t="s">
        <v>11</v>
      </c>
      <c r="F8" s="11" t="s">
        <v>10</v>
      </c>
      <c r="G8" s="7">
        <v>2021</v>
      </c>
      <c r="I8" s="10" t="s">
        <v>12</v>
      </c>
      <c r="M8" s="11" t="s">
        <v>24</v>
      </c>
      <c r="N8" s="7">
        <v>15</v>
      </c>
    </row>
    <row r="9" spans="2:14">
      <c r="B9" s="10" t="s">
        <v>20</v>
      </c>
      <c r="F9" s="11" t="s">
        <v>2</v>
      </c>
      <c r="G9" s="19">
        <v>0.02</v>
      </c>
      <c r="I9" s="10" t="s">
        <v>13</v>
      </c>
      <c r="M9" s="11" t="s">
        <v>10</v>
      </c>
      <c r="N9" s="17">
        <f>G8+N8-1</f>
        <v>2035</v>
      </c>
    </row>
    <row r="10" spans="2:14">
      <c r="I10" s="10" t="s">
        <v>4</v>
      </c>
      <c r="M10" s="11" t="s">
        <v>2</v>
      </c>
      <c r="N10" s="12">
        <v>0.01</v>
      </c>
    </row>
    <row r="13" spans="2:14">
      <c r="B13" s="8" t="s">
        <v>15</v>
      </c>
      <c r="C13" s="9"/>
      <c r="D13" s="9"/>
      <c r="E13" s="9"/>
      <c r="F13" s="9"/>
      <c r="G13" s="9"/>
      <c r="I13" s="8" t="s">
        <v>14</v>
      </c>
      <c r="J13" s="9"/>
      <c r="K13" s="9"/>
      <c r="L13" s="9"/>
      <c r="M13" s="9"/>
      <c r="N13" s="9"/>
    </row>
    <row r="14" spans="2:14">
      <c r="B14" s="10" t="s">
        <v>25</v>
      </c>
      <c r="F14" s="11" t="s">
        <v>26</v>
      </c>
      <c r="G14" s="20">
        <v>50000</v>
      </c>
      <c r="I14" s="10" t="s">
        <v>6</v>
      </c>
      <c r="M14" s="11" t="s">
        <v>2</v>
      </c>
      <c r="N14" s="18">
        <v>0.6</v>
      </c>
    </row>
    <row r="15" spans="2:14">
      <c r="B15" s="10" t="s">
        <v>27</v>
      </c>
      <c r="F15" s="11" t="s">
        <v>28</v>
      </c>
      <c r="G15" s="32">
        <v>50</v>
      </c>
      <c r="I15" s="10" t="s">
        <v>5</v>
      </c>
      <c r="M15" s="11" t="s">
        <v>29</v>
      </c>
      <c r="N15" s="12">
        <v>0.03</v>
      </c>
    </row>
    <row r="16" spans="2:14">
      <c r="B16" s="10" t="s">
        <v>18</v>
      </c>
      <c r="F16" s="11" t="s">
        <v>29</v>
      </c>
      <c r="G16" s="19">
        <v>0.04</v>
      </c>
      <c r="I16" s="10" t="s">
        <v>3</v>
      </c>
      <c r="M16" s="11" t="s">
        <v>2</v>
      </c>
      <c r="N16" s="12">
        <v>0.01</v>
      </c>
    </row>
    <row r="17" spans="2:14">
      <c r="B17" s="10" t="s">
        <v>16</v>
      </c>
      <c r="F17" s="11" t="s">
        <v>30</v>
      </c>
      <c r="G17" s="19">
        <v>1.4999999999999999E-2</v>
      </c>
      <c r="I17" s="10" t="s">
        <v>50</v>
      </c>
      <c r="N17" s="32">
        <f>B27</f>
        <v>1312500</v>
      </c>
    </row>
    <row r="18" spans="2:14">
      <c r="B18" s="10" t="s">
        <v>31</v>
      </c>
      <c r="F18" s="11" t="s">
        <v>32</v>
      </c>
      <c r="G18" s="32">
        <v>1250</v>
      </c>
      <c r="I18" s="10" t="s">
        <v>49</v>
      </c>
      <c r="N18" s="32">
        <f>N17*N15</f>
        <v>39375</v>
      </c>
    </row>
    <row r="19" spans="2:14">
      <c r="B19" s="10" t="s">
        <v>17</v>
      </c>
      <c r="F19" s="11" t="s">
        <v>28</v>
      </c>
      <c r="G19" s="32">
        <v>4.75</v>
      </c>
    </row>
    <row r="20" spans="2:14">
      <c r="B20" s="10" t="s">
        <v>19</v>
      </c>
      <c r="F20" s="11" t="s">
        <v>28</v>
      </c>
      <c r="G20" s="32">
        <v>1.5</v>
      </c>
    </row>
    <row r="23" spans="2:14">
      <c r="B23" s="8" t="s">
        <v>34</v>
      </c>
      <c r="C23" s="9"/>
      <c r="D23" s="9"/>
      <c r="E23" s="9"/>
      <c r="F23" s="9"/>
      <c r="G23" s="9"/>
    </row>
    <row r="24" spans="2:14">
      <c r="B24" s="33">
        <f>G14*(G15-G19-G20)</f>
        <v>2187500</v>
      </c>
      <c r="C24" s="27" t="s">
        <v>39</v>
      </c>
      <c r="D24" s="24"/>
      <c r="E24" s="24"/>
      <c r="F24" s="24"/>
      <c r="G24" s="24"/>
      <c r="H24" s="34"/>
    </row>
    <row r="25" spans="2:14">
      <c r="B25" s="23"/>
      <c r="C25" s="24"/>
      <c r="D25" s="24"/>
      <c r="E25" s="24"/>
      <c r="F25" s="24"/>
      <c r="G25" s="24"/>
    </row>
    <row r="26" spans="2:14">
      <c r="B26" s="8" t="s">
        <v>40</v>
      </c>
      <c r="C26" s="9"/>
      <c r="D26" s="9"/>
      <c r="E26" s="9"/>
      <c r="F26" s="9"/>
      <c r="G26" s="9"/>
    </row>
    <row r="27" spans="2:14">
      <c r="B27" s="33">
        <f>B24*N14</f>
        <v>1312500</v>
      </c>
      <c r="C27" s="27" t="s">
        <v>42</v>
      </c>
      <c r="D27" s="24"/>
      <c r="E27" s="24"/>
      <c r="F27" s="24"/>
      <c r="G27" s="24"/>
    </row>
    <row r="28" spans="2:14">
      <c r="B28" s="23"/>
      <c r="C28" s="24"/>
      <c r="D28" s="24"/>
      <c r="E28" s="24"/>
      <c r="F28" s="24"/>
      <c r="G28" s="24"/>
    </row>
    <row r="29" spans="2:14">
      <c r="B29" s="23" t="s">
        <v>46</v>
      </c>
      <c r="C29" s="24"/>
      <c r="D29" s="24"/>
      <c r="E29" s="24"/>
      <c r="F29" s="24"/>
      <c r="G29" s="23">
        <v>15</v>
      </c>
    </row>
    <row r="30" spans="2:14">
      <c r="B30" s="8" t="s">
        <v>47</v>
      </c>
      <c r="C30" s="9"/>
      <c r="D30" s="9"/>
      <c r="E30" s="9"/>
      <c r="F30" s="9"/>
      <c r="G30" s="9"/>
    </row>
    <row r="31" spans="2:14">
      <c r="B31" s="28">
        <f>HLOOKUP(G29,B58:T64,MATCH(B60,B58:B64,0),0)</f>
        <v>67.293416916206496</v>
      </c>
      <c r="C31" s="27" t="s">
        <v>41</v>
      </c>
      <c r="D31" s="24"/>
      <c r="E31" s="24"/>
      <c r="F31" s="24"/>
      <c r="G31" s="24"/>
    </row>
    <row r="32" spans="2:14">
      <c r="B32" s="26"/>
      <c r="C32" s="24"/>
      <c r="D32" s="24"/>
      <c r="E32" s="24"/>
      <c r="F32" s="24"/>
      <c r="G32" s="24"/>
    </row>
    <row r="33" spans="2:7">
      <c r="B33" s="29" t="s">
        <v>45</v>
      </c>
      <c r="C33" s="9"/>
      <c r="D33" s="9"/>
      <c r="E33" s="9"/>
      <c r="F33" s="9"/>
      <c r="G33" s="8">
        <v>15</v>
      </c>
    </row>
    <row r="34" spans="2:7">
      <c r="B34" s="28">
        <f>HLOOKUP(G33,B58:T64,MATCH(B63,B58:B64,0),0)</f>
        <v>58.881739801680688</v>
      </c>
      <c r="C34" s="27" t="s">
        <v>43</v>
      </c>
      <c r="D34" s="24"/>
      <c r="E34" s="24"/>
      <c r="F34" s="24"/>
      <c r="G34" s="24"/>
    </row>
    <row r="35" spans="2:7">
      <c r="B35" s="23"/>
      <c r="C35" s="24"/>
      <c r="D35" s="24"/>
      <c r="E35" s="24"/>
      <c r="F35" s="24"/>
      <c r="G35" s="24"/>
    </row>
    <row r="36" spans="2:7">
      <c r="B36" s="8" t="s">
        <v>44</v>
      </c>
      <c r="C36" s="9"/>
      <c r="D36" s="9"/>
      <c r="E36" s="9"/>
      <c r="F36" s="9"/>
      <c r="G36" s="8">
        <v>15</v>
      </c>
    </row>
    <row r="37" spans="2:7">
      <c r="B37" s="28">
        <f>ROUND(HLOOKUP(G36,B58:T80,MATCH(B18,B58:B80,0)),0)</f>
        <v>-1682</v>
      </c>
      <c r="C37" s="27" t="s">
        <v>59</v>
      </c>
      <c r="D37" s="24"/>
      <c r="E37" s="24"/>
      <c r="F37" s="24"/>
      <c r="G37" s="24"/>
    </row>
    <row r="38" spans="2:7">
      <c r="B38" s="23"/>
      <c r="C38" s="24"/>
      <c r="D38" s="24"/>
      <c r="E38" s="24"/>
      <c r="F38" s="24"/>
      <c r="G38" s="24"/>
    </row>
    <row r="39" spans="2:7">
      <c r="B39" s="8" t="s">
        <v>73</v>
      </c>
      <c r="C39" s="9"/>
      <c r="D39" s="9"/>
      <c r="E39" s="9"/>
      <c r="F39" s="9"/>
      <c r="G39" s="8">
        <v>1</v>
      </c>
    </row>
    <row r="40" spans="2:7">
      <c r="B40" s="33">
        <f>ROUND(B24*0.015,0)</f>
        <v>32813</v>
      </c>
      <c r="C40" s="27" t="s">
        <v>39</v>
      </c>
      <c r="D40" s="24"/>
      <c r="E40" s="24"/>
      <c r="F40" s="24"/>
      <c r="G40" s="24"/>
    </row>
    <row r="41" spans="2:7">
      <c r="B41" s="23"/>
      <c r="C41" s="24"/>
      <c r="D41" s="24"/>
      <c r="E41" s="24"/>
      <c r="F41" s="24"/>
      <c r="G41" s="24"/>
    </row>
    <row r="42" spans="2:7">
      <c r="B42" s="8" t="s">
        <v>51</v>
      </c>
      <c r="C42" s="9"/>
      <c r="D42" s="9"/>
      <c r="E42" s="9"/>
      <c r="F42" s="9"/>
      <c r="G42" s="8">
        <v>1</v>
      </c>
    </row>
    <row r="43" spans="2:7">
      <c r="B43" s="28">
        <f>(B24*G17)+F80+N18</f>
        <v>70912.5</v>
      </c>
      <c r="C43" s="27" t="s">
        <v>43</v>
      </c>
      <c r="D43" s="24"/>
      <c r="E43" s="24"/>
      <c r="F43" s="24"/>
      <c r="G43" s="24"/>
    </row>
    <row r="44" spans="2:7">
      <c r="B44" s="23"/>
      <c r="C44" s="24"/>
      <c r="D44" s="24"/>
      <c r="E44" s="24"/>
      <c r="F44" s="24"/>
      <c r="G44" s="24"/>
    </row>
    <row r="45" spans="2:7">
      <c r="B45" s="8" t="s">
        <v>52</v>
      </c>
      <c r="C45" s="9"/>
      <c r="D45" s="9"/>
      <c r="E45" s="9"/>
      <c r="F45" s="9"/>
      <c r="G45" s="8">
        <v>1</v>
      </c>
    </row>
    <row r="46" spans="2:7">
      <c r="B46" s="35">
        <f>ROUND(B43/HLOOKUP(G45,B58:T80,MATCH(B63,B58:B80,0),0),0)</f>
        <v>1589</v>
      </c>
      <c r="C46" s="27" t="s">
        <v>58</v>
      </c>
      <c r="D46" s="24"/>
      <c r="E46" s="24"/>
      <c r="F46" s="24"/>
      <c r="G46" s="24"/>
    </row>
    <row r="47" spans="2:7">
      <c r="B47" s="23"/>
      <c r="C47" s="24"/>
      <c r="D47" s="24"/>
      <c r="E47" s="24"/>
      <c r="F47" s="24"/>
      <c r="G47" s="24"/>
    </row>
    <row r="48" spans="2:7">
      <c r="B48" s="8" t="s">
        <v>54</v>
      </c>
      <c r="C48" s="9"/>
      <c r="D48" s="9"/>
      <c r="E48" s="9"/>
      <c r="F48" s="9"/>
      <c r="G48" s="8">
        <v>14</v>
      </c>
    </row>
    <row r="49" spans="2:22">
      <c r="B49" s="35">
        <f>HLOOKUP(G48,B58:T80,MATCH(B67,B58:B80,0),0)</f>
        <v>-22208.92626222023</v>
      </c>
      <c r="C49" s="27" t="s">
        <v>43</v>
      </c>
      <c r="D49" s="24"/>
      <c r="E49" s="24"/>
      <c r="F49" s="24"/>
      <c r="G49" s="24"/>
    </row>
    <row r="50" spans="2:22">
      <c r="B50" s="23"/>
      <c r="C50" s="24"/>
      <c r="D50" s="24"/>
      <c r="E50" s="24"/>
      <c r="F50" s="24"/>
      <c r="G50" s="24"/>
    </row>
    <row r="51" spans="2:22">
      <c r="B51" s="8" t="s">
        <v>60</v>
      </c>
      <c r="C51" s="8"/>
      <c r="D51" s="8"/>
      <c r="E51" s="8"/>
      <c r="F51" s="8"/>
      <c r="G51" s="8">
        <v>15</v>
      </c>
    </row>
    <row r="52" spans="2:22">
      <c r="B52" s="33">
        <f>HLOOKUP(G51,B58:T82,MATCH(B64,B58:B82,0),0)</f>
        <v>3519612.8026410299</v>
      </c>
      <c r="C52" s="27" t="s">
        <v>58</v>
      </c>
      <c r="D52" s="24"/>
      <c r="E52" s="24"/>
      <c r="F52" s="24"/>
      <c r="G52" s="24"/>
    </row>
    <row r="53" spans="2:22">
      <c r="B53" s="23"/>
      <c r="C53" s="24"/>
      <c r="D53" s="24"/>
      <c r="E53" s="24"/>
      <c r="F53" s="24"/>
      <c r="G53" s="24"/>
    </row>
    <row r="54" spans="2:22" ht="15.6">
      <c r="B54" s="98" t="s">
        <v>80</v>
      </c>
      <c r="C54" s="24"/>
      <c r="D54" s="24"/>
      <c r="E54" s="24"/>
      <c r="F54" s="24"/>
      <c r="G54" s="24"/>
    </row>
    <row r="55" spans="2:22">
      <c r="B55" s="100" t="s">
        <v>81</v>
      </c>
      <c r="C55" s="24"/>
      <c r="D55" s="24"/>
      <c r="E55" s="24"/>
      <c r="F55" s="24"/>
      <c r="G55" s="24"/>
    </row>
    <row r="56" spans="2:22">
      <c r="B56" s="100"/>
      <c r="C56" s="24"/>
      <c r="D56" s="24"/>
      <c r="E56" s="24"/>
      <c r="F56" s="24"/>
      <c r="G56" s="24"/>
    </row>
    <row r="57" spans="2:22">
      <c r="B57" s="23"/>
      <c r="C57" s="24"/>
      <c r="D57" s="24"/>
      <c r="E57" s="36">
        <v>2020</v>
      </c>
      <c r="F57" s="36">
        <f>E57+1</f>
        <v>2021</v>
      </c>
      <c r="G57" s="36">
        <f t="shared" ref="G57:S58" si="0">F57+1</f>
        <v>2022</v>
      </c>
      <c r="H57" s="36">
        <f t="shared" si="0"/>
        <v>2023</v>
      </c>
      <c r="I57" s="36">
        <f t="shared" si="0"/>
        <v>2024</v>
      </c>
      <c r="J57" s="36">
        <f t="shared" si="0"/>
        <v>2025</v>
      </c>
      <c r="K57" s="36">
        <f t="shared" si="0"/>
        <v>2026</v>
      </c>
      <c r="L57" s="36">
        <f t="shared" si="0"/>
        <v>2027</v>
      </c>
      <c r="M57" s="36">
        <f t="shared" si="0"/>
        <v>2028</v>
      </c>
      <c r="N57" s="36">
        <f t="shared" si="0"/>
        <v>2029</v>
      </c>
      <c r="O57" s="36">
        <f t="shared" si="0"/>
        <v>2030</v>
      </c>
      <c r="P57" s="36">
        <f t="shared" si="0"/>
        <v>2031</v>
      </c>
      <c r="Q57" s="36">
        <f t="shared" si="0"/>
        <v>2032</v>
      </c>
      <c r="R57" s="36">
        <f t="shared" si="0"/>
        <v>2033</v>
      </c>
      <c r="S57" s="36">
        <f t="shared" si="0"/>
        <v>2034</v>
      </c>
      <c r="T57" s="36">
        <f>S57+1</f>
        <v>2035</v>
      </c>
    </row>
    <row r="58" spans="2:22" ht="13.8" thickBot="1">
      <c r="B58" s="23"/>
      <c r="C58" s="24"/>
      <c r="D58" s="24"/>
      <c r="E58" s="25">
        <v>0</v>
      </c>
      <c r="F58" s="25">
        <v>1</v>
      </c>
      <c r="G58" s="25">
        <f>F58+1</f>
        <v>2</v>
      </c>
      <c r="H58" s="25">
        <f t="shared" si="0"/>
        <v>3</v>
      </c>
      <c r="I58" s="25">
        <f t="shared" si="0"/>
        <v>4</v>
      </c>
      <c r="J58" s="25">
        <f t="shared" si="0"/>
        <v>5</v>
      </c>
      <c r="K58" s="25">
        <f t="shared" si="0"/>
        <v>6</v>
      </c>
      <c r="L58" s="25">
        <f t="shared" si="0"/>
        <v>7</v>
      </c>
      <c r="M58" s="25">
        <f t="shared" si="0"/>
        <v>8</v>
      </c>
      <c r="N58" s="25">
        <f t="shared" si="0"/>
        <v>9</v>
      </c>
      <c r="O58" s="25">
        <f t="shared" si="0"/>
        <v>10</v>
      </c>
      <c r="P58" s="25">
        <f t="shared" si="0"/>
        <v>11</v>
      </c>
      <c r="Q58" s="25">
        <f t="shared" si="0"/>
        <v>12</v>
      </c>
      <c r="R58" s="25">
        <f t="shared" si="0"/>
        <v>13</v>
      </c>
      <c r="S58" s="25">
        <f t="shared" si="0"/>
        <v>14</v>
      </c>
      <c r="T58" s="25">
        <f>S58+1</f>
        <v>15</v>
      </c>
      <c r="U58" s="24"/>
      <c r="V58" s="24"/>
    </row>
    <row r="59" spans="2:22">
      <c r="B59" s="74" t="s">
        <v>36</v>
      </c>
      <c r="C59" s="47"/>
      <c r="D59" s="47"/>
      <c r="E59" s="75">
        <f>G14</f>
        <v>50000</v>
      </c>
      <c r="F59" s="76">
        <f>(E59*(1+forest_growth_rate))+F66</f>
        <v>50353.781512605041</v>
      </c>
      <c r="G59" s="76">
        <f>(F59*(1+forest_growth_rate))+G66</f>
        <v>50733.81265447355</v>
      </c>
      <c r="H59" s="76">
        <f>(G59*(1+forest_growth_rate))+H66</f>
        <v>51140.418150775877</v>
      </c>
      <c r="I59" s="76">
        <f>(H59*(1+forest_growth_rate))+I66</f>
        <v>51573.937592006099</v>
      </c>
      <c r="J59" s="76">
        <f>(I59*(1+forest_growth_rate))+J66</f>
        <v>52034.72567956202</v>
      </c>
      <c r="K59" s="76">
        <f>(J59*(1+forest_growth_rate))+K66</f>
        <v>52523.152480094301</v>
      </c>
      <c r="L59" s="76">
        <f>(K59*(1+forest_growth_rate))+L66</f>
        <v>53039.603688796269</v>
      </c>
      <c r="M59" s="76">
        <f>(L59*(1+forest_growth_rate))+M66</f>
        <v>53584.480901811534</v>
      </c>
      <c r="N59" s="76">
        <f>(M59*(1+forest_growth_rate))+N66</f>
        <v>54158.201897941712</v>
      </c>
      <c r="O59" s="76">
        <f>(N59*(1+forest_growth_rate))+O66</f>
        <v>54761.200929842351</v>
      </c>
      <c r="P59" s="76">
        <f>(O59*(1+forest_growth_rate))+P66</f>
        <v>55393.929024900623</v>
      </c>
      <c r="Q59" s="76">
        <f>(P59*(1+forest_growth_rate))+Q66</f>
        <v>56056.854295994373</v>
      </c>
      <c r="R59" s="76">
        <f>(Q59*(1+forest_growth_rate))+R66</f>
        <v>56750.462262337809</v>
      </c>
      <c r="S59" s="76">
        <f>(R59*(1+forest_growth_rate))+S66</f>
        <v>57475.256180625467</v>
      </c>
      <c r="T59" s="77">
        <f>(S59*(1+forest_growth_rate))+T66</f>
        <v>59774.266427850489</v>
      </c>
    </row>
    <row r="60" spans="2:22">
      <c r="B60" s="60" t="s">
        <v>35</v>
      </c>
      <c r="C60" s="24"/>
      <c r="D60" s="24"/>
      <c r="E60" s="61">
        <f>G15</f>
        <v>50</v>
      </c>
      <c r="F60" s="62">
        <f>E60*(1+inflation_rate)</f>
        <v>51</v>
      </c>
      <c r="G60" s="62">
        <f>F60*(1+inflation_rate)</f>
        <v>52.02</v>
      </c>
      <c r="H60" s="62">
        <f>G60*(1+inflation_rate)</f>
        <v>53.060400000000001</v>
      </c>
      <c r="I60" s="62">
        <f>H60*(1+inflation_rate)</f>
        <v>54.121608000000002</v>
      </c>
      <c r="J60" s="62">
        <f>I60*(1+inflation_rate)</f>
        <v>55.204040160000005</v>
      </c>
      <c r="K60" s="62">
        <f>J60*(1+inflation_rate)</f>
        <v>56.308120963200004</v>
      </c>
      <c r="L60" s="62">
        <f>K60*(1+inflation_rate)</f>
        <v>57.434283382464002</v>
      </c>
      <c r="M60" s="62">
        <f>L60*(1+inflation_rate)</f>
        <v>58.582969050113284</v>
      </c>
      <c r="N60" s="62">
        <f>M60*(1+inflation_rate)</f>
        <v>59.754628431115549</v>
      </c>
      <c r="O60" s="62">
        <f>N60*(1+inflation_rate)</f>
        <v>60.949720999737863</v>
      </c>
      <c r="P60" s="62">
        <f>O60*(1+inflation_rate)</f>
        <v>62.168715419732621</v>
      </c>
      <c r="Q60" s="62">
        <f>P60*(1+inflation_rate)</f>
        <v>63.412089728127278</v>
      </c>
      <c r="R60" s="62">
        <f>Q60*(1+inflation_rate)</f>
        <v>64.680331522689826</v>
      </c>
      <c r="S60" s="62">
        <f>R60*(1+inflation_rate)</f>
        <v>65.973938153143621</v>
      </c>
      <c r="T60" s="63">
        <f>S60*(1+inflation_rate)</f>
        <v>67.293416916206496</v>
      </c>
    </row>
    <row r="61" spans="2:22">
      <c r="B61" s="60" t="s">
        <v>37</v>
      </c>
      <c r="C61" s="24"/>
      <c r="D61" s="24"/>
      <c r="E61" s="61">
        <f>G19</f>
        <v>4.75</v>
      </c>
      <c r="F61" s="62">
        <f>E61*(1+inflation_rate)</f>
        <v>4.8449999999999998</v>
      </c>
      <c r="G61" s="62">
        <f>F61*(1+inflation_rate)</f>
        <v>4.9418999999999995</v>
      </c>
      <c r="H61" s="62">
        <f>G61*(1+inflation_rate)</f>
        <v>5.0407379999999993</v>
      </c>
      <c r="I61" s="62">
        <f>H61*(1+inflation_rate)</f>
        <v>5.1415527599999997</v>
      </c>
      <c r="J61" s="62">
        <f>I61*(1+inflation_rate)</f>
        <v>5.2443838152</v>
      </c>
      <c r="K61" s="62">
        <f>J61*(1+inflation_rate)</f>
        <v>5.3492714915040001</v>
      </c>
      <c r="L61" s="62">
        <f>K61*(1+inflation_rate)</f>
        <v>5.4562569213340799</v>
      </c>
      <c r="M61" s="62">
        <f>L61*(1+inflation_rate)</f>
        <v>5.5653820597607613</v>
      </c>
      <c r="N61" s="62">
        <f>M61*(1+inflation_rate)</f>
        <v>5.6766897009559765</v>
      </c>
      <c r="O61" s="62">
        <f>N61*(1+inflation_rate)</f>
        <v>5.7902234949750957</v>
      </c>
      <c r="P61" s="62">
        <f>O61*(1+inflation_rate)</f>
        <v>5.9060279648745979</v>
      </c>
      <c r="Q61" s="62">
        <f>P61*(1+inflation_rate)</f>
        <v>6.02414852417209</v>
      </c>
      <c r="R61" s="62">
        <f>Q61*(1+inflation_rate)</f>
        <v>6.144631494655532</v>
      </c>
      <c r="S61" s="62">
        <f>R61*(1+inflation_rate)</f>
        <v>6.2675241245486424</v>
      </c>
      <c r="T61" s="63">
        <f>S61*(1+inflation_rate)</f>
        <v>6.392874607039615</v>
      </c>
    </row>
    <row r="62" spans="2:22">
      <c r="B62" s="60" t="s">
        <v>38</v>
      </c>
      <c r="C62" s="24"/>
      <c r="D62" s="24"/>
      <c r="E62" s="61">
        <f>G20</f>
        <v>1.5</v>
      </c>
      <c r="F62" s="62">
        <f>E62*(1+inflation_rate)</f>
        <v>1.53</v>
      </c>
      <c r="G62" s="62">
        <f>F62*(1+inflation_rate)</f>
        <v>1.5606</v>
      </c>
      <c r="H62" s="62">
        <f>G62*(1+inflation_rate)</f>
        <v>1.591812</v>
      </c>
      <c r="I62" s="62">
        <f>H62*(1+inflation_rate)</f>
        <v>1.6236482400000001</v>
      </c>
      <c r="J62" s="62">
        <f>I62*(1+inflation_rate)</f>
        <v>1.6561212048</v>
      </c>
      <c r="K62" s="62">
        <f>J62*(1+inflation_rate)</f>
        <v>1.689243628896</v>
      </c>
      <c r="L62" s="62">
        <f>K62*(1+inflation_rate)</f>
        <v>1.7230285014739199</v>
      </c>
      <c r="M62" s="62">
        <f>L62*(1+inflation_rate)</f>
        <v>1.7574890715033984</v>
      </c>
      <c r="N62" s="62">
        <f>M62*(1+inflation_rate)</f>
        <v>1.7926388529334665</v>
      </c>
      <c r="O62" s="62">
        <f>N62*(1+inflation_rate)</f>
        <v>1.8284916299921359</v>
      </c>
      <c r="P62" s="62">
        <f>O62*(1+inflation_rate)</f>
        <v>1.8650614625919786</v>
      </c>
      <c r="Q62" s="62">
        <f>P62*(1+inflation_rate)</f>
        <v>1.9023626918438181</v>
      </c>
      <c r="R62" s="62">
        <f>Q62*(1+inflation_rate)</f>
        <v>1.9404099456806945</v>
      </c>
      <c r="S62" s="62">
        <f>R62*(1+inflation_rate)</f>
        <v>1.9792181445943084</v>
      </c>
      <c r="T62" s="63">
        <f>S62*(1+inflation_rate)</f>
        <v>2.0188025074861948</v>
      </c>
    </row>
    <row r="63" spans="2:22" ht="13.8" thickBot="1">
      <c r="B63" s="50" t="s">
        <v>53</v>
      </c>
      <c r="C63" s="38"/>
      <c r="D63" s="38"/>
      <c r="E63" s="43">
        <f>E60-E61-E62</f>
        <v>43.75</v>
      </c>
      <c r="F63" s="43">
        <f>F60-F61-F62</f>
        <v>44.625</v>
      </c>
      <c r="G63" s="43">
        <f t="shared" ref="G63:S63" si="1">G60-G61-G62</f>
        <v>45.517500000000005</v>
      </c>
      <c r="H63" s="43">
        <f t="shared" si="1"/>
        <v>46.427850000000007</v>
      </c>
      <c r="I63" s="43">
        <f t="shared" si="1"/>
        <v>47.356406999999997</v>
      </c>
      <c r="J63" s="43">
        <f t="shared" si="1"/>
        <v>48.303535140000001</v>
      </c>
      <c r="K63" s="43">
        <f t="shared" si="1"/>
        <v>49.269605842800004</v>
      </c>
      <c r="L63" s="43">
        <f t="shared" si="1"/>
        <v>50.254997959656002</v>
      </c>
      <c r="M63" s="43">
        <f t="shared" si="1"/>
        <v>51.260097918849127</v>
      </c>
      <c r="N63" s="43">
        <f t="shared" si="1"/>
        <v>52.285299877226109</v>
      </c>
      <c r="O63" s="43">
        <f t="shared" si="1"/>
        <v>53.331005874770632</v>
      </c>
      <c r="P63" s="43">
        <f t="shared" si="1"/>
        <v>54.397625992266043</v>
      </c>
      <c r="Q63" s="43">
        <f t="shared" si="1"/>
        <v>55.485578512111367</v>
      </c>
      <c r="R63" s="43">
        <f t="shared" si="1"/>
        <v>56.5952900823536</v>
      </c>
      <c r="S63" s="43">
        <f t="shared" si="1"/>
        <v>57.727195884000672</v>
      </c>
      <c r="T63" s="64">
        <f>T60-T61-T62</f>
        <v>58.881739801680688</v>
      </c>
    </row>
    <row r="64" spans="2:22" ht="13.8" thickTop="1">
      <c r="B64" s="78" t="s">
        <v>48</v>
      </c>
      <c r="C64" s="24"/>
      <c r="D64" s="24"/>
      <c r="E64" s="33">
        <f>E59*E63</f>
        <v>2187500</v>
      </c>
      <c r="F64" s="33">
        <f>F59*F63</f>
        <v>2247037.5</v>
      </c>
      <c r="G64" s="33">
        <f t="shared" ref="G64:S64" si="2">G59*G63</f>
        <v>2309276.3174999999</v>
      </c>
      <c r="H64" s="33">
        <f>H59*H63</f>
        <v>2374339.6628415002</v>
      </c>
      <c r="I64" s="33">
        <f t="shared" si="2"/>
        <v>2442356.3791996408</v>
      </c>
      <c r="J64" s="33">
        <f t="shared" si="2"/>
        <v>2513461.2003629846</v>
      </c>
      <c r="K64" s="33">
        <f t="shared" si="2"/>
        <v>2587795.0203155298</v>
      </c>
      <c r="L64" s="33">
        <f t="shared" si="2"/>
        <v>2665505.1751614194</v>
      </c>
      <c r="M64" s="33">
        <f t="shared" si="2"/>
        <v>2746745.73795756</v>
      </c>
      <c r="N64" s="33">
        <f t="shared" si="2"/>
        <v>2831677.8270452386</v>
      </c>
      <c r="O64" s="33">
        <f t="shared" si="2"/>
        <v>2920469.9284989173</v>
      </c>
      <c r="P64" s="33">
        <f t="shared" si="2"/>
        <v>3013298.2333386745</v>
      </c>
      <c r="Q64" s="33">
        <f t="shared" si="2"/>
        <v>3110346.990182383</v>
      </c>
      <c r="R64" s="33">
        <f t="shared" si="2"/>
        <v>3211808.8740446693</v>
      </c>
      <c r="S64" s="33">
        <f t="shared" si="2"/>
        <v>3317885.3720220868</v>
      </c>
      <c r="T64" s="69">
        <f>T59*T63</f>
        <v>3519612.8026410299</v>
      </c>
    </row>
    <row r="65" spans="2:20">
      <c r="B65" s="60"/>
      <c r="C65" s="24"/>
      <c r="D65" s="24"/>
      <c r="E65" s="62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69"/>
    </row>
    <row r="66" spans="2:20">
      <c r="B66" s="60" t="s">
        <v>56</v>
      </c>
      <c r="C66" s="24"/>
      <c r="D66" s="24"/>
      <c r="E66" s="24"/>
      <c r="F66" s="79">
        <f>F82/F63</f>
        <v>-1646.2184873949579</v>
      </c>
      <c r="G66" s="79">
        <f>G82/G63</f>
        <v>-1634.1201186356893</v>
      </c>
      <c r="H66" s="79">
        <f>H82/H63</f>
        <v>-1622.7470098766146</v>
      </c>
      <c r="I66" s="79">
        <f>I82/I63</f>
        <v>-1612.0972848008194</v>
      </c>
      <c r="J66" s="79">
        <f>J82/J63</f>
        <v>-1602.1694161243249</v>
      </c>
      <c r="K66" s="79">
        <f>K82/K63</f>
        <v>-1592.9622266502076</v>
      </c>
      <c r="L66" s="79">
        <f>L82/L63</f>
        <v>-1584.4748905018084</v>
      </c>
      <c r="M66" s="79">
        <f>M82/M63</f>
        <v>-1576.7069345365915</v>
      </c>
      <c r="N66" s="79">
        <f>N82/N63</f>
        <v>-1569.6582399422846</v>
      </c>
      <c r="O66" s="79">
        <f>O82/O63</f>
        <v>-1563.3290440170344</v>
      </c>
      <c r="P66" s="79">
        <f>P82/P63</f>
        <v>-1557.7199421354237</v>
      </c>
      <c r="Q66" s="79">
        <f>Q82/Q63</f>
        <v>-1552.8318899022813</v>
      </c>
      <c r="R66" s="79">
        <f>R82/R63</f>
        <v>-1548.6662054963363</v>
      </c>
      <c r="S66" s="79">
        <f>S82/S63</f>
        <v>-1545.2245722058565</v>
      </c>
      <c r="T66" s="80">
        <v>0</v>
      </c>
    </row>
    <row r="67" spans="2:20" ht="13.8" thickBot="1">
      <c r="B67" s="81" t="s">
        <v>57</v>
      </c>
      <c r="C67" s="53"/>
      <c r="D67" s="53"/>
      <c r="E67" s="53"/>
      <c r="F67" s="82">
        <f>F66+E67</f>
        <v>-1646.2184873949579</v>
      </c>
      <c r="G67" s="82">
        <f>F67+G66</f>
        <v>-3280.3386060306475</v>
      </c>
      <c r="H67" s="82">
        <f>G67+H66</f>
        <v>-4903.0856159072619</v>
      </c>
      <c r="I67" s="82">
        <f>H67+I66</f>
        <v>-6515.1829007080814</v>
      </c>
      <c r="J67" s="82">
        <f>I67+J66</f>
        <v>-8117.3523168324064</v>
      </c>
      <c r="K67" s="82">
        <f>J67+K66</f>
        <v>-9710.3145434826147</v>
      </c>
      <c r="L67" s="82">
        <f>K67+L66</f>
        <v>-11294.789433984422</v>
      </c>
      <c r="M67" s="82">
        <f>L67+M66</f>
        <v>-12871.496368521013</v>
      </c>
      <c r="N67" s="82">
        <f>M67+N66</f>
        <v>-14441.154608463297</v>
      </c>
      <c r="O67" s="82">
        <f>N67+O66</f>
        <v>-16004.483652480332</v>
      </c>
      <c r="P67" s="82">
        <f>O67+P66</f>
        <v>-17562.203594615756</v>
      </c>
      <c r="Q67" s="82">
        <f>P67+Q66</f>
        <v>-19115.035484518037</v>
      </c>
      <c r="R67" s="82">
        <f>Q67+R66</f>
        <v>-20663.701690014372</v>
      </c>
      <c r="S67" s="82">
        <f>R67+S66</f>
        <v>-22208.92626222023</v>
      </c>
      <c r="T67" s="83">
        <f>S67+T66</f>
        <v>-22208.92626222023</v>
      </c>
    </row>
    <row r="68" spans="2:20" ht="13.8" thickBot="1">
      <c r="B68" s="3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2:20">
      <c r="B69" s="56" t="s">
        <v>67</v>
      </c>
      <c r="C69" s="47"/>
      <c r="D69" s="4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9"/>
    </row>
    <row r="70" spans="2:20">
      <c r="B70" s="60" t="s">
        <v>3</v>
      </c>
      <c r="C70" s="24"/>
      <c r="D70" s="24"/>
      <c r="E70" s="67">
        <f>-(origination*loan_amount)</f>
        <v>-13125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68"/>
    </row>
    <row r="71" spans="2:20">
      <c r="B71" s="60" t="s">
        <v>66</v>
      </c>
      <c r="C71" s="24"/>
      <c r="D71" s="24"/>
      <c r="E71" s="62">
        <v>-2000000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69"/>
    </row>
    <row r="72" spans="2:20">
      <c r="B72" s="60" t="s">
        <v>68</v>
      </c>
      <c r="C72" s="24"/>
      <c r="D72" s="24"/>
      <c r="E72" s="62">
        <f>loan_amount</f>
        <v>1312500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69"/>
    </row>
    <row r="73" spans="2:20">
      <c r="B73" s="60" t="s">
        <v>63</v>
      </c>
      <c r="C73" s="24"/>
      <c r="D73" s="24"/>
      <c r="E73" s="62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69">
        <f>T64</f>
        <v>3519612.8026410299</v>
      </c>
    </row>
    <row r="74" spans="2:20">
      <c r="B74" s="60" t="s">
        <v>4</v>
      </c>
      <c r="C74" s="24"/>
      <c r="D74" s="24"/>
      <c r="E74" s="67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70">
        <f>T73*-0.01</f>
        <v>-35196.128026410297</v>
      </c>
    </row>
    <row r="75" spans="2:20" ht="13.8" thickBot="1">
      <c r="B75" s="50" t="s">
        <v>65</v>
      </c>
      <c r="C75" s="38"/>
      <c r="D75" s="38"/>
      <c r="E75" s="39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64">
        <f>-loan_amount</f>
        <v>-1312500</v>
      </c>
    </row>
    <row r="76" spans="2:20" ht="14.4" thickTop="1" thickBot="1">
      <c r="B76" s="52" t="s">
        <v>75</v>
      </c>
      <c r="C76" s="71"/>
      <c r="D76" s="71"/>
      <c r="E76" s="72">
        <f>SUM(E70:E75)</f>
        <v>-700625</v>
      </c>
      <c r="F76" s="72">
        <f t="shared" ref="F76:T76" si="3">SUM(F70:F75)</f>
        <v>0</v>
      </c>
      <c r="G76" s="72">
        <f t="shared" si="3"/>
        <v>0</v>
      </c>
      <c r="H76" s="72">
        <f t="shared" si="3"/>
        <v>0</v>
      </c>
      <c r="I76" s="72">
        <f t="shared" si="3"/>
        <v>0</v>
      </c>
      <c r="J76" s="72">
        <f t="shared" si="3"/>
        <v>0</v>
      </c>
      <c r="K76" s="72">
        <f t="shared" si="3"/>
        <v>0</v>
      </c>
      <c r="L76" s="72">
        <f t="shared" si="3"/>
        <v>0</v>
      </c>
      <c r="M76" s="72">
        <f t="shared" si="3"/>
        <v>0</v>
      </c>
      <c r="N76" s="72">
        <f t="shared" si="3"/>
        <v>0</v>
      </c>
      <c r="O76" s="72">
        <f t="shared" si="3"/>
        <v>0</v>
      </c>
      <c r="P76" s="72">
        <f t="shared" si="3"/>
        <v>0</v>
      </c>
      <c r="Q76" s="72">
        <f t="shared" si="3"/>
        <v>0</v>
      </c>
      <c r="R76" s="72">
        <f t="shared" si="3"/>
        <v>0</v>
      </c>
      <c r="S76" s="72">
        <f t="shared" si="3"/>
        <v>0</v>
      </c>
      <c r="T76" s="73">
        <f t="shared" si="3"/>
        <v>2171916.6746146195</v>
      </c>
    </row>
    <row r="77" spans="2:20" ht="13.8" thickBot="1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2:20">
      <c r="B78" s="56" t="s">
        <v>69</v>
      </c>
      <c r="C78" s="47"/>
      <c r="D78" s="47"/>
      <c r="E78" s="57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9"/>
    </row>
    <row r="79" spans="2:20">
      <c r="B79" s="60" t="s">
        <v>16</v>
      </c>
      <c r="C79" s="24"/>
      <c r="D79" s="24"/>
      <c r="E79" s="61"/>
      <c r="F79" s="62">
        <f>E64*-0.015</f>
        <v>-32812.5</v>
      </c>
      <c r="G79" s="62">
        <f>F64*-0.015</f>
        <v>-33705.5625</v>
      </c>
      <c r="H79" s="62">
        <f>G64*-0.015</f>
        <v>-34639.1447625</v>
      </c>
      <c r="I79" s="62">
        <f>H64*-0.015</f>
        <v>-35615.094942622505</v>
      </c>
      <c r="J79" s="62">
        <f>I64*-0.015</f>
        <v>-36635.34568799461</v>
      </c>
      <c r="K79" s="62">
        <f>J64*-0.015</f>
        <v>-37701.918005444764</v>
      </c>
      <c r="L79" s="62">
        <f>K64*-0.015</f>
        <v>-38816.925304732948</v>
      </c>
      <c r="M79" s="62">
        <f>L64*-0.015</f>
        <v>-39982.577627421291</v>
      </c>
      <c r="N79" s="62">
        <f>M64*-0.015</f>
        <v>-41201.186069363401</v>
      </c>
      <c r="O79" s="62">
        <f>N64*-0.015</f>
        <v>-42475.167405678578</v>
      </c>
      <c r="P79" s="62">
        <f>O64*-0.015</f>
        <v>-43807.04892748376</v>
      </c>
      <c r="Q79" s="62">
        <f>P64*-0.015</f>
        <v>-45199.473500080116</v>
      </c>
      <c r="R79" s="62">
        <f>Q64*-0.015</f>
        <v>-46655.20485273574</v>
      </c>
      <c r="S79" s="62">
        <f>R64*-0.015</f>
        <v>-48177.133110670038</v>
      </c>
      <c r="T79" s="63">
        <f>S64*-0.015</f>
        <v>-49768.280580331302</v>
      </c>
    </row>
    <row r="80" spans="2:20">
      <c r="B80" s="60" t="s">
        <v>31</v>
      </c>
      <c r="C80" s="24"/>
      <c r="D80" s="24"/>
      <c r="E80" s="61">
        <v>0</v>
      </c>
      <c r="F80" s="62">
        <f>$G$18*-(1+$G$9)</f>
        <v>-1275</v>
      </c>
      <c r="G80" s="62">
        <f>F$80*(1+$G$9)</f>
        <v>-1300.5</v>
      </c>
      <c r="H80" s="62">
        <f>G$80*(1+$G$9)</f>
        <v>-1326.51</v>
      </c>
      <c r="I80" s="62">
        <f>H$80*(1+$G$9)</f>
        <v>-1353.0401999999999</v>
      </c>
      <c r="J80" s="62">
        <f>I$80*(1+$G$9)</f>
        <v>-1380.1010039999999</v>
      </c>
      <c r="K80" s="62">
        <f>J$80*(1+$G$9)</f>
        <v>-1407.70302408</v>
      </c>
      <c r="L80" s="62">
        <f>K$80*(1+$G$9)</f>
        <v>-1435.8570845616</v>
      </c>
      <c r="M80" s="62">
        <f>L$80*(1+$G$9)</f>
        <v>-1464.574226252832</v>
      </c>
      <c r="N80" s="62">
        <f>M$80*(1+$G$9)</f>
        <v>-1493.8657107778886</v>
      </c>
      <c r="O80" s="62">
        <f>N$80*(1+$G$9)</f>
        <v>-1523.7430249934464</v>
      </c>
      <c r="P80" s="62">
        <f>O$80*(1+$G$9)</f>
        <v>-1554.2178854933154</v>
      </c>
      <c r="Q80" s="62">
        <f>P$80*(1+$G$9)</f>
        <v>-1585.3022432031817</v>
      </c>
      <c r="R80" s="62">
        <f>Q$80*(1+$G$9)</f>
        <v>-1617.0082880672453</v>
      </c>
      <c r="S80" s="62">
        <f>R$80*(1+$G$9)</f>
        <v>-1649.3484538285902</v>
      </c>
      <c r="T80" s="63">
        <f>S$80*(1+$G$9)</f>
        <v>-1682.335422905162</v>
      </c>
    </row>
    <row r="81" spans="2:20" ht="13.8" thickBot="1">
      <c r="B81" s="50" t="s">
        <v>70</v>
      </c>
      <c r="C81" s="38"/>
      <c r="D81" s="38"/>
      <c r="E81" s="40"/>
      <c r="F81" s="43">
        <f>-Annual_Int</f>
        <v>-39375</v>
      </c>
      <c r="G81" s="43">
        <f>-Annual_Int</f>
        <v>-39375</v>
      </c>
      <c r="H81" s="43">
        <f>-Annual_Int</f>
        <v>-39375</v>
      </c>
      <c r="I81" s="43">
        <f>-Annual_Int</f>
        <v>-39375</v>
      </c>
      <c r="J81" s="43">
        <f>-Annual_Int</f>
        <v>-39375</v>
      </c>
      <c r="K81" s="43">
        <f>-Annual_Int</f>
        <v>-39375</v>
      </c>
      <c r="L81" s="43">
        <f>-Annual_Int</f>
        <v>-39375</v>
      </c>
      <c r="M81" s="43">
        <f>-Annual_Int</f>
        <v>-39375</v>
      </c>
      <c r="N81" s="43">
        <f>-Annual_Int</f>
        <v>-39375</v>
      </c>
      <c r="O81" s="43">
        <f>-Annual_Int</f>
        <v>-39375</v>
      </c>
      <c r="P81" s="43">
        <f>-Annual_Int</f>
        <v>-39375</v>
      </c>
      <c r="Q81" s="43">
        <f>-Annual_Int</f>
        <v>-39375</v>
      </c>
      <c r="R81" s="43">
        <f>-Annual_Int</f>
        <v>-39375</v>
      </c>
      <c r="S81" s="43">
        <f>-Annual_Int</f>
        <v>-39375</v>
      </c>
      <c r="T81" s="64">
        <f>-Annual_Int</f>
        <v>-39375</v>
      </c>
    </row>
    <row r="82" spans="2:20" ht="14.4" thickTop="1" thickBot="1">
      <c r="B82" s="52" t="s">
        <v>55</v>
      </c>
      <c r="C82" s="53"/>
      <c r="D82" s="53"/>
      <c r="E82" s="65">
        <f>E79+E80</f>
        <v>0</v>
      </c>
      <c r="F82" s="65">
        <f>SUM(F79:F81)</f>
        <v>-73462.5</v>
      </c>
      <c r="G82" s="65">
        <f t="shared" ref="G82:T82" si="4">SUM(G79:G81)</f>
        <v>-74381.0625</v>
      </c>
      <c r="H82" s="65">
        <f t="shared" si="4"/>
        <v>-75340.654762499995</v>
      </c>
      <c r="I82" s="65">
        <f t="shared" si="4"/>
        <v>-76343.135142622516</v>
      </c>
      <c r="J82" s="65">
        <f t="shared" si="4"/>
        <v>-77390.446691994614</v>
      </c>
      <c r="K82" s="65">
        <f t="shared" si="4"/>
        <v>-78484.621029524773</v>
      </c>
      <c r="L82" s="65">
        <f t="shared" si="4"/>
        <v>-79627.782389294545</v>
      </c>
      <c r="M82" s="65">
        <f t="shared" si="4"/>
        <v>-80822.151853674121</v>
      </c>
      <c r="N82" s="65">
        <f t="shared" si="4"/>
        <v>-82070.051780141279</v>
      </c>
      <c r="O82" s="65">
        <f t="shared" si="4"/>
        <v>-83373.910430672026</v>
      </c>
      <c r="P82" s="65">
        <f t="shared" si="4"/>
        <v>-84736.266812977075</v>
      </c>
      <c r="Q82" s="65">
        <f t="shared" si="4"/>
        <v>-86159.775743283302</v>
      </c>
      <c r="R82" s="65">
        <f t="shared" si="4"/>
        <v>-87647.213140802982</v>
      </c>
      <c r="S82" s="65">
        <f t="shared" si="4"/>
        <v>-89201.481564498623</v>
      </c>
      <c r="T82" s="66">
        <f t="shared" si="4"/>
        <v>-90825.616003236471</v>
      </c>
    </row>
    <row r="83" spans="2:20" ht="13.8" thickBot="1">
      <c r="B83" s="2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</row>
    <row r="84" spans="2:20">
      <c r="B84" s="46" t="s">
        <v>64</v>
      </c>
      <c r="C84" s="47"/>
      <c r="D84" s="47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9"/>
    </row>
    <row r="85" spans="2:20" ht="13.8" thickBot="1">
      <c r="B85" s="50" t="s">
        <v>62</v>
      </c>
      <c r="C85" s="38"/>
      <c r="D85" s="38"/>
      <c r="E85" s="45">
        <f>E66*E63</f>
        <v>0</v>
      </c>
      <c r="F85" s="45">
        <f>-F66*F63</f>
        <v>73462.5</v>
      </c>
      <c r="G85" s="45">
        <f>-G66*G63</f>
        <v>74381.0625</v>
      </c>
      <c r="H85" s="45">
        <f>-H66*H63</f>
        <v>75340.654762499995</v>
      </c>
      <c r="I85" s="45">
        <f>-I66*I63</f>
        <v>76343.135142622516</v>
      </c>
      <c r="J85" s="45">
        <f>-J66*J63</f>
        <v>77390.446691994614</v>
      </c>
      <c r="K85" s="45">
        <f>-K66*K63</f>
        <v>78484.621029524773</v>
      </c>
      <c r="L85" s="45">
        <f>-L66*L63</f>
        <v>79627.782389294545</v>
      </c>
      <c r="M85" s="45">
        <f>-M66*M63</f>
        <v>80822.151853674121</v>
      </c>
      <c r="N85" s="45">
        <f>-N66*N63</f>
        <v>82070.051780141279</v>
      </c>
      <c r="O85" s="45">
        <f>-O66*O63</f>
        <v>83373.910430672026</v>
      </c>
      <c r="P85" s="45">
        <f>-P66*P63</f>
        <v>84736.266812977075</v>
      </c>
      <c r="Q85" s="45">
        <f>-Q66*Q63</f>
        <v>86159.775743283302</v>
      </c>
      <c r="R85" s="45">
        <f>-R66*R63</f>
        <v>87647.213140802982</v>
      </c>
      <c r="S85" s="45">
        <f>-S66*S63</f>
        <v>89201.481564498623</v>
      </c>
      <c r="T85" s="51">
        <f>-T66*T63</f>
        <v>0</v>
      </c>
    </row>
    <row r="86" spans="2:20" ht="14.4" thickTop="1" thickBot="1">
      <c r="B86" s="52" t="s">
        <v>72</v>
      </c>
      <c r="C86" s="53"/>
      <c r="D86" s="53"/>
      <c r="E86" s="54">
        <f>SUM(E85)</f>
        <v>0</v>
      </c>
      <c r="F86" s="54">
        <f t="shared" ref="F86:T86" si="5">SUM(F85)</f>
        <v>73462.5</v>
      </c>
      <c r="G86" s="54">
        <f t="shared" si="5"/>
        <v>74381.0625</v>
      </c>
      <c r="H86" s="54">
        <f t="shared" si="5"/>
        <v>75340.654762499995</v>
      </c>
      <c r="I86" s="54">
        <f t="shared" si="5"/>
        <v>76343.135142622516</v>
      </c>
      <c r="J86" s="54">
        <f t="shared" si="5"/>
        <v>77390.446691994614</v>
      </c>
      <c r="K86" s="54">
        <f t="shared" si="5"/>
        <v>78484.621029524773</v>
      </c>
      <c r="L86" s="54">
        <f t="shared" si="5"/>
        <v>79627.782389294545</v>
      </c>
      <c r="M86" s="54">
        <f t="shared" si="5"/>
        <v>80822.151853674121</v>
      </c>
      <c r="N86" s="54">
        <f t="shared" si="5"/>
        <v>82070.051780141279</v>
      </c>
      <c r="O86" s="54">
        <f t="shared" si="5"/>
        <v>83373.910430672026</v>
      </c>
      <c r="P86" s="54">
        <f t="shared" si="5"/>
        <v>84736.266812977075</v>
      </c>
      <c r="Q86" s="54">
        <f t="shared" si="5"/>
        <v>86159.775743283302</v>
      </c>
      <c r="R86" s="54">
        <f t="shared" si="5"/>
        <v>87647.213140802982</v>
      </c>
      <c r="S86" s="54">
        <f t="shared" si="5"/>
        <v>89201.481564498623</v>
      </c>
      <c r="T86" s="55">
        <f t="shared" si="5"/>
        <v>0</v>
      </c>
    </row>
    <row r="87" spans="2:20">
      <c r="B87" s="2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</row>
    <row r="89" spans="2:20">
      <c r="B89" s="44" t="s">
        <v>61</v>
      </c>
      <c r="E89" s="34">
        <f>E76+E82+E86</f>
        <v>-700625</v>
      </c>
      <c r="F89" s="34">
        <f>F76+F82+F86</f>
        <v>0</v>
      </c>
      <c r="G89" s="34">
        <f>G76+G82+G86</f>
        <v>0</v>
      </c>
      <c r="H89" s="34">
        <f>H76+H82+H86</f>
        <v>0</v>
      </c>
      <c r="I89" s="34">
        <f>I76+I82+I86</f>
        <v>0</v>
      </c>
      <c r="J89" s="34">
        <f>J76+J82+J86</f>
        <v>0</v>
      </c>
      <c r="K89" s="34">
        <f>K76+K82+K86</f>
        <v>0</v>
      </c>
      <c r="L89" s="34">
        <f>L76+L82+L86</f>
        <v>0</v>
      </c>
      <c r="M89" s="34">
        <f>M76+M82+M86</f>
        <v>0</v>
      </c>
      <c r="N89" s="34">
        <f>N76+N82+N86</f>
        <v>0</v>
      </c>
      <c r="O89" s="34">
        <f>O76+O82+O86</f>
        <v>0</v>
      </c>
      <c r="P89" s="34">
        <f>P76+P82+P86</f>
        <v>0</v>
      </c>
      <c r="Q89" s="34">
        <f>Q76+Q82+Q86</f>
        <v>0</v>
      </c>
      <c r="R89" s="34">
        <f>R76+R82+R86</f>
        <v>0</v>
      </c>
      <c r="S89" s="34">
        <f>S76+S82+S86</f>
        <v>0</v>
      </c>
      <c r="T89" s="34">
        <f>T76+T82+T86</f>
        <v>2081091.058611383</v>
      </c>
    </row>
    <row r="90" spans="2:20">
      <c r="B90" s="37" t="s">
        <v>71</v>
      </c>
      <c r="E90" s="41">
        <f>IRR(E89:T89)</f>
        <v>7.5277017682082059E-2</v>
      </c>
    </row>
    <row r="91" spans="2:20">
      <c r="B91" s="42"/>
    </row>
  </sheetData>
  <pageMargins left="0.7" right="0.7" top="0.75" bottom="0.75" header="0.3" footer="0.3"/>
  <pageSetup scale="88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9B45-4703-4A3A-9971-21556801A286}">
  <dimension ref="B2:V94"/>
  <sheetViews>
    <sheetView showGridLines="0" zoomScale="130" zoomScaleNormal="190" workbookViewId="0">
      <selection activeCell="E7" sqref="E7"/>
    </sheetView>
  </sheetViews>
  <sheetFormatPr defaultColWidth="8.6640625" defaultRowHeight="13.2"/>
  <cols>
    <col min="1" max="1" width="3.33203125" style="1" customWidth="1"/>
    <col min="2" max="2" width="15.21875" style="1" customWidth="1"/>
    <col min="3" max="3" width="8.6640625" style="1"/>
    <col min="4" max="4" width="14.6640625" style="1" bestFit="1" customWidth="1"/>
    <col min="5" max="5" width="15.6640625" style="1" bestFit="1" customWidth="1"/>
    <col min="6" max="6" width="16.33203125" style="1" customWidth="1"/>
    <col min="7" max="7" width="22" style="1" customWidth="1"/>
    <col min="8" max="8" width="16" style="1" bestFit="1" customWidth="1"/>
    <col min="9" max="9" width="17.77734375" style="1" customWidth="1"/>
    <col min="10" max="19" width="16" style="1" bestFit="1" customWidth="1"/>
    <col min="20" max="20" width="16" style="1" customWidth="1"/>
    <col min="21" max="16384" width="8.6640625" style="1"/>
  </cols>
  <sheetData>
    <row r="2" spans="2:14" ht="23.4">
      <c r="B2" s="13" t="str">
        <f>G7</f>
        <v>Perpetual Growth Capital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6.2" thickBot="1">
      <c r="B3" s="14" t="s">
        <v>86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6" spans="2:14">
      <c r="B6" s="8" t="s">
        <v>33</v>
      </c>
      <c r="C6" s="9"/>
      <c r="D6" s="9"/>
      <c r="E6" s="9"/>
      <c r="F6" s="9"/>
      <c r="G6" s="9"/>
      <c r="I6" s="8" t="s">
        <v>21</v>
      </c>
      <c r="J6" s="9"/>
      <c r="K6" s="9"/>
      <c r="L6" s="9"/>
      <c r="M6" s="9"/>
      <c r="N6" s="9"/>
    </row>
    <row r="7" spans="2:14">
      <c r="B7" s="10" t="s">
        <v>1</v>
      </c>
      <c r="G7" s="16" t="s">
        <v>9</v>
      </c>
      <c r="I7" s="10" t="s">
        <v>22</v>
      </c>
      <c r="M7" s="11" t="s">
        <v>23</v>
      </c>
      <c r="N7" s="32">
        <v>2000000</v>
      </c>
    </row>
    <row r="8" spans="2:14">
      <c r="B8" s="10" t="s">
        <v>11</v>
      </c>
      <c r="F8" s="11" t="s">
        <v>10</v>
      </c>
      <c r="G8" s="7">
        <v>2021</v>
      </c>
      <c r="I8" s="10" t="s">
        <v>12</v>
      </c>
      <c r="M8" s="11" t="s">
        <v>24</v>
      </c>
      <c r="N8" s="7">
        <v>15</v>
      </c>
    </row>
    <row r="9" spans="2:14">
      <c r="B9" s="10" t="s">
        <v>20</v>
      </c>
      <c r="F9" s="11" t="s">
        <v>2</v>
      </c>
      <c r="G9" s="19">
        <v>0.02</v>
      </c>
      <c r="I9" s="10" t="s">
        <v>13</v>
      </c>
      <c r="M9" s="11" t="s">
        <v>10</v>
      </c>
      <c r="N9" s="17">
        <f>G8+N8-1</f>
        <v>2035</v>
      </c>
    </row>
    <row r="10" spans="2:14">
      <c r="I10" s="10" t="s">
        <v>4</v>
      </c>
      <c r="M10" s="11" t="s">
        <v>2</v>
      </c>
      <c r="N10" s="12">
        <v>0.01</v>
      </c>
    </row>
    <row r="13" spans="2:14">
      <c r="B13" s="8" t="s">
        <v>15</v>
      </c>
      <c r="C13" s="9"/>
      <c r="D13" s="9"/>
      <c r="E13" s="9"/>
      <c r="F13" s="9"/>
      <c r="G13" s="9"/>
      <c r="I13" s="8" t="s">
        <v>14</v>
      </c>
      <c r="J13" s="9"/>
      <c r="K13" s="9"/>
      <c r="L13" s="9"/>
      <c r="M13" s="9"/>
      <c r="N13" s="9"/>
    </row>
    <row r="14" spans="2:14">
      <c r="B14" s="10" t="s">
        <v>25</v>
      </c>
      <c r="F14" s="11" t="s">
        <v>26</v>
      </c>
      <c r="G14" s="20">
        <v>50000</v>
      </c>
      <c r="I14" s="10" t="s">
        <v>6</v>
      </c>
      <c r="M14" s="11" t="s">
        <v>2</v>
      </c>
      <c r="N14" s="18">
        <v>0.6</v>
      </c>
    </row>
    <row r="15" spans="2:14">
      <c r="B15" s="10" t="s">
        <v>27</v>
      </c>
      <c r="F15" s="11" t="s">
        <v>28</v>
      </c>
      <c r="G15" s="32">
        <v>50</v>
      </c>
      <c r="I15" s="10" t="s">
        <v>5</v>
      </c>
      <c r="M15" s="11" t="s">
        <v>29</v>
      </c>
      <c r="N15" s="12">
        <v>0.03</v>
      </c>
    </row>
    <row r="16" spans="2:14">
      <c r="B16" s="10" t="s">
        <v>18</v>
      </c>
      <c r="F16" s="11" t="s">
        <v>29</v>
      </c>
      <c r="G16" s="19">
        <v>0.05</v>
      </c>
      <c r="I16" s="10" t="s">
        <v>3</v>
      </c>
      <c r="M16" s="11" t="s">
        <v>2</v>
      </c>
      <c r="N16" s="12">
        <v>0.01</v>
      </c>
    </row>
    <row r="17" spans="2:14">
      <c r="B17" s="10" t="s">
        <v>16</v>
      </c>
      <c r="F17" s="11" t="s">
        <v>30</v>
      </c>
      <c r="G17" s="19">
        <v>1.4999999999999999E-2</v>
      </c>
      <c r="I17" s="10" t="s">
        <v>50</v>
      </c>
      <c r="N17" s="32">
        <f>B27</f>
        <v>1312500</v>
      </c>
    </row>
    <row r="18" spans="2:14">
      <c r="B18" s="10" t="s">
        <v>31</v>
      </c>
      <c r="F18" s="11" t="s">
        <v>32</v>
      </c>
      <c r="G18" s="32">
        <v>1250</v>
      </c>
      <c r="I18" s="10" t="s">
        <v>49</v>
      </c>
      <c r="N18" s="32">
        <f>N17*N15</f>
        <v>39375</v>
      </c>
    </row>
    <row r="19" spans="2:14">
      <c r="B19" s="10" t="s">
        <v>17</v>
      </c>
      <c r="F19" s="11" t="s">
        <v>28</v>
      </c>
      <c r="G19" s="32">
        <v>4.75</v>
      </c>
    </row>
    <row r="20" spans="2:14">
      <c r="B20" s="10" t="s">
        <v>19</v>
      </c>
      <c r="F20" s="11" t="s">
        <v>28</v>
      </c>
      <c r="G20" s="32">
        <v>1.5</v>
      </c>
    </row>
    <row r="23" spans="2:14">
      <c r="B23" s="8" t="s">
        <v>34</v>
      </c>
      <c r="C23" s="9"/>
      <c r="D23" s="9"/>
      <c r="E23" s="9"/>
      <c r="F23" s="9"/>
      <c r="G23" s="9"/>
    </row>
    <row r="24" spans="2:14">
      <c r="B24" s="33">
        <f>G14*(G15-G19-G20)</f>
        <v>2187500</v>
      </c>
      <c r="C24" s="27" t="s">
        <v>39</v>
      </c>
      <c r="D24" s="24"/>
      <c r="E24" s="24"/>
      <c r="F24" s="24"/>
      <c r="G24" s="24"/>
      <c r="H24" s="34"/>
    </row>
    <row r="25" spans="2:14">
      <c r="B25" s="23"/>
      <c r="C25" s="24"/>
      <c r="D25" s="24"/>
      <c r="E25" s="24"/>
      <c r="F25" s="24"/>
      <c r="G25" s="24"/>
    </row>
    <row r="26" spans="2:14">
      <c r="B26" s="8" t="s">
        <v>40</v>
      </c>
      <c r="C26" s="9"/>
      <c r="D26" s="9"/>
      <c r="E26" s="9"/>
      <c r="F26" s="9"/>
      <c r="G26" s="9"/>
    </row>
    <row r="27" spans="2:14">
      <c r="B27" s="33">
        <f>B24*N14</f>
        <v>1312500</v>
      </c>
      <c r="C27" s="27" t="s">
        <v>42</v>
      </c>
      <c r="D27" s="24"/>
      <c r="E27" s="24"/>
      <c r="F27" s="24"/>
      <c r="G27" s="24"/>
    </row>
    <row r="28" spans="2:14">
      <c r="B28" s="23"/>
      <c r="C28" s="24"/>
      <c r="D28" s="24"/>
      <c r="E28" s="24"/>
      <c r="F28" s="24"/>
      <c r="G28" s="24"/>
    </row>
    <row r="29" spans="2:14">
      <c r="B29" s="23" t="s">
        <v>46</v>
      </c>
      <c r="C29" s="24"/>
      <c r="D29" s="24"/>
      <c r="E29" s="24"/>
      <c r="F29" s="24"/>
      <c r="G29" s="23">
        <v>15</v>
      </c>
    </row>
    <row r="30" spans="2:14">
      <c r="B30" s="8" t="s">
        <v>47</v>
      </c>
      <c r="C30" s="9"/>
      <c r="D30" s="9"/>
      <c r="E30" s="9"/>
      <c r="F30" s="9"/>
      <c r="G30" s="9"/>
    </row>
    <row r="31" spans="2:14">
      <c r="B31" s="28">
        <f>HLOOKUP(G29,B60:T66,MATCH(B62,B60:B66,0),0)</f>
        <v>67.293416916206496</v>
      </c>
      <c r="C31" s="27" t="s">
        <v>41</v>
      </c>
      <c r="D31" s="24"/>
      <c r="E31" s="24"/>
      <c r="F31" s="24"/>
      <c r="G31" s="24"/>
    </row>
    <row r="32" spans="2:14">
      <c r="B32" s="26"/>
      <c r="C32" s="24"/>
      <c r="D32" s="24"/>
      <c r="E32" s="24"/>
      <c r="F32" s="24"/>
      <c r="G32" s="24"/>
    </row>
    <row r="33" spans="2:7">
      <c r="B33" s="29" t="s">
        <v>45</v>
      </c>
      <c r="C33" s="9"/>
      <c r="D33" s="9"/>
      <c r="E33" s="9"/>
      <c r="F33" s="9"/>
      <c r="G33" s="8">
        <v>15</v>
      </c>
    </row>
    <row r="34" spans="2:7">
      <c r="B34" s="28">
        <f>HLOOKUP(G33,B60:T66,MATCH(B65,B60:B66,0),0)</f>
        <v>58.881739801680688</v>
      </c>
      <c r="C34" s="27" t="s">
        <v>43</v>
      </c>
      <c r="D34" s="24"/>
      <c r="E34" s="24"/>
      <c r="F34" s="24"/>
      <c r="G34" s="24"/>
    </row>
    <row r="35" spans="2:7">
      <c r="B35" s="23"/>
      <c r="C35" s="24"/>
      <c r="D35" s="24"/>
      <c r="E35" s="24"/>
      <c r="F35" s="24"/>
      <c r="G35" s="24"/>
    </row>
    <row r="36" spans="2:7">
      <c r="B36" s="8" t="s">
        <v>44</v>
      </c>
      <c r="C36" s="9"/>
      <c r="D36" s="9"/>
      <c r="E36" s="9"/>
      <c r="F36" s="9"/>
      <c r="G36" s="8">
        <v>15</v>
      </c>
    </row>
    <row r="37" spans="2:7">
      <c r="B37" s="28">
        <f>ROUND(HLOOKUP(G36,B60:T83,MATCH(B18,B60:B83,0)),0)</f>
        <v>-1682</v>
      </c>
      <c r="C37" s="27" t="s">
        <v>59</v>
      </c>
      <c r="D37" s="24"/>
      <c r="E37" s="24"/>
      <c r="F37" s="24"/>
      <c r="G37" s="24"/>
    </row>
    <row r="38" spans="2:7">
      <c r="B38" s="23"/>
      <c r="C38" s="24"/>
      <c r="D38" s="24"/>
      <c r="E38" s="24"/>
      <c r="F38" s="24"/>
      <c r="G38" s="24"/>
    </row>
    <row r="39" spans="2:7">
      <c r="B39" s="8" t="s">
        <v>73</v>
      </c>
      <c r="C39" s="9"/>
      <c r="D39" s="9"/>
      <c r="E39" s="9"/>
      <c r="F39" s="9"/>
      <c r="G39" s="8">
        <v>1</v>
      </c>
    </row>
    <row r="40" spans="2:7">
      <c r="B40" s="33">
        <f>ROUND(B24*0.015,0)</f>
        <v>32813</v>
      </c>
      <c r="C40" s="27" t="s">
        <v>39</v>
      </c>
      <c r="D40" s="24"/>
      <c r="E40" s="24"/>
      <c r="F40" s="24"/>
      <c r="G40" s="24"/>
    </row>
    <row r="41" spans="2:7">
      <c r="B41" s="23"/>
      <c r="C41" s="24"/>
      <c r="D41" s="24"/>
      <c r="E41" s="24"/>
      <c r="F41" s="24"/>
      <c r="G41" s="24"/>
    </row>
    <row r="42" spans="2:7">
      <c r="B42" s="8" t="s">
        <v>51</v>
      </c>
      <c r="C42" s="9"/>
      <c r="D42" s="9"/>
      <c r="E42" s="9"/>
      <c r="F42" s="9"/>
      <c r="G42" s="8">
        <v>1</v>
      </c>
    </row>
    <row r="43" spans="2:7">
      <c r="B43" s="28">
        <f>(B24*G17)+F83+N18</f>
        <v>70912.5</v>
      </c>
      <c r="C43" s="27" t="s">
        <v>43</v>
      </c>
      <c r="D43" s="24"/>
      <c r="E43" s="24"/>
      <c r="F43" s="24"/>
      <c r="G43" s="24"/>
    </row>
    <row r="44" spans="2:7">
      <c r="B44" s="23"/>
      <c r="C44" s="24"/>
      <c r="D44" s="24"/>
      <c r="E44" s="24"/>
      <c r="F44" s="24"/>
      <c r="G44" s="24"/>
    </row>
    <row r="45" spans="2:7">
      <c r="B45" s="8" t="s">
        <v>52</v>
      </c>
      <c r="C45" s="9"/>
      <c r="D45" s="9"/>
      <c r="E45" s="9"/>
      <c r="F45" s="9"/>
      <c r="G45" s="8">
        <v>1</v>
      </c>
    </row>
    <row r="46" spans="2:7">
      <c r="B46" s="35">
        <f>ROUND(B43/HLOOKUP(G45,B60:T83,MATCH(B65,B60:B83,0),0),0)</f>
        <v>1589</v>
      </c>
      <c r="C46" s="27" t="s">
        <v>58</v>
      </c>
      <c r="D46" s="24"/>
      <c r="E46" s="24"/>
      <c r="F46" s="24"/>
      <c r="G46" s="24"/>
    </row>
    <row r="47" spans="2:7">
      <c r="B47" s="23"/>
      <c r="C47" s="24"/>
      <c r="D47" s="24"/>
      <c r="E47" s="24"/>
      <c r="F47" s="24"/>
      <c r="G47" s="24"/>
    </row>
    <row r="48" spans="2:7">
      <c r="B48" s="8" t="s">
        <v>54</v>
      </c>
      <c r="C48" s="9"/>
      <c r="D48" s="9"/>
      <c r="E48" s="9"/>
      <c r="F48" s="9"/>
      <c r="G48" s="8">
        <v>14</v>
      </c>
    </row>
    <row r="49" spans="2:22">
      <c r="B49" s="35">
        <f>HLOOKUP(G48,B60:T83,MATCH(B69,B60:B83,0),0)</f>
        <v>-25706.382708812234</v>
      </c>
      <c r="C49" s="27" t="s">
        <v>43</v>
      </c>
      <c r="D49" s="24"/>
      <c r="E49" s="24"/>
      <c r="F49" s="24"/>
      <c r="G49" s="24"/>
    </row>
    <row r="50" spans="2:22">
      <c r="B50" s="23"/>
      <c r="C50" s="24"/>
      <c r="D50" s="24"/>
      <c r="E50" s="24"/>
      <c r="F50" s="24"/>
      <c r="G50" s="24"/>
    </row>
    <row r="51" spans="2:22">
      <c r="B51" s="8" t="s">
        <v>60</v>
      </c>
      <c r="C51" s="8"/>
      <c r="D51" s="8"/>
      <c r="E51" s="8"/>
      <c r="F51" s="8"/>
      <c r="G51" s="8">
        <v>15</v>
      </c>
    </row>
    <row r="52" spans="2:22">
      <c r="B52" s="33">
        <f>HLOOKUP(G51,B60:T85,MATCH(B66,B60:B85,0),0)</f>
        <v>6120545.406324096</v>
      </c>
      <c r="C52" s="27" t="s">
        <v>58</v>
      </c>
      <c r="D52" s="24"/>
      <c r="E52" s="24"/>
      <c r="F52" s="24"/>
      <c r="G52" s="24"/>
    </row>
    <row r="53" spans="2:22">
      <c r="B53" s="23"/>
      <c r="C53" s="24"/>
      <c r="D53" s="24"/>
      <c r="E53" s="24"/>
      <c r="F53" s="24"/>
      <c r="G53" s="24"/>
    </row>
    <row r="54" spans="2:22">
      <c r="B54" s="97" t="s">
        <v>82</v>
      </c>
      <c r="C54" s="24"/>
      <c r="D54" s="24"/>
      <c r="E54" s="24"/>
      <c r="F54" s="24"/>
      <c r="G54" s="24"/>
    </row>
    <row r="55" spans="2:22">
      <c r="B55" s="97" t="s">
        <v>83</v>
      </c>
      <c r="C55" s="24"/>
      <c r="D55" s="24"/>
      <c r="E55" s="24"/>
      <c r="F55" s="24"/>
      <c r="G55" s="24"/>
    </row>
    <row r="56" spans="2:22">
      <c r="B56" s="100" t="s">
        <v>84</v>
      </c>
      <c r="C56" s="24"/>
      <c r="D56" s="24"/>
      <c r="E56" s="24"/>
      <c r="F56" s="24"/>
      <c r="G56" s="24"/>
    </row>
    <row r="57" spans="2:22">
      <c r="B57" s="100" t="s">
        <v>85</v>
      </c>
      <c r="C57" s="24"/>
      <c r="D57" s="24"/>
      <c r="E57" s="24"/>
      <c r="F57" s="24"/>
      <c r="G57" s="24"/>
    </row>
    <row r="58" spans="2:22">
      <c r="B58" s="100"/>
      <c r="C58" s="24"/>
      <c r="D58" s="24"/>
      <c r="E58" s="24"/>
      <c r="F58" s="24"/>
      <c r="G58" s="24"/>
    </row>
    <row r="59" spans="2:22">
      <c r="B59" s="23"/>
      <c r="C59" s="24"/>
      <c r="D59" s="24"/>
      <c r="E59" s="36">
        <v>2020</v>
      </c>
      <c r="F59" s="36">
        <f>E59+1</f>
        <v>2021</v>
      </c>
      <c r="G59" s="36">
        <f t="shared" ref="G59:S60" si="0">F59+1</f>
        <v>2022</v>
      </c>
      <c r="H59" s="36">
        <f t="shared" si="0"/>
        <v>2023</v>
      </c>
      <c r="I59" s="36">
        <f t="shared" si="0"/>
        <v>2024</v>
      </c>
      <c r="J59" s="36">
        <f t="shared" si="0"/>
        <v>2025</v>
      </c>
      <c r="K59" s="36">
        <f t="shared" si="0"/>
        <v>2026</v>
      </c>
      <c r="L59" s="36">
        <f t="shared" si="0"/>
        <v>2027</v>
      </c>
      <c r="M59" s="36">
        <f t="shared" si="0"/>
        <v>2028</v>
      </c>
      <c r="N59" s="36">
        <f t="shared" si="0"/>
        <v>2029</v>
      </c>
      <c r="O59" s="36">
        <f t="shared" si="0"/>
        <v>2030</v>
      </c>
      <c r="P59" s="36">
        <f t="shared" si="0"/>
        <v>2031</v>
      </c>
      <c r="Q59" s="36">
        <f t="shared" si="0"/>
        <v>2032</v>
      </c>
      <c r="R59" s="36">
        <f t="shared" si="0"/>
        <v>2033</v>
      </c>
      <c r="S59" s="36">
        <f t="shared" si="0"/>
        <v>2034</v>
      </c>
      <c r="T59" s="36">
        <f>S59+1</f>
        <v>2035</v>
      </c>
    </row>
    <row r="60" spans="2:22" ht="13.8" thickBot="1">
      <c r="B60" s="23"/>
      <c r="C60" s="24"/>
      <c r="D60" s="24"/>
      <c r="E60" s="25">
        <v>0</v>
      </c>
      <c r="F60" s="25">
        <v>1</v>
      </c>
      <c r="G60" s="25">
        <f>F60+1</f>
        <v>2</v>
      </c>
      <c r="H60" s="25">
        <f t="shared" si="0"/>
        <v>3</v>
      </c>
      <c r="I60" s="25">
        <f t="shared" si="0"/>
        <v>4</v>
      </c>
      <c r="J60" s="25">
        <f t="shared" si="0"/>
        <v>5</v>
      </c>
      <c r="K60" s="25">
        <f t="shared" si="0"/>
        <v>6</v>
      </c>
      <c r="L60" s="25">
        <f t="shared" si="0"/>
        <v>7</v>
      </c>
      <c r="M60" s="25">
        <f t="shared" si="0"/>
        <v>8</v>
      </c>
      <c r="N60" s="25">
        <f t="shared" si="0"/>
        <v>9</v>
      </c>
      <c r="O60" s="25">
        <f t="shared" si="0"/>
        <v>10</v>
      </c>
      <c r="P60" s="25">
        <f t="shared" si="0"/>
        <v>11</v>
      </c>
      <c r="Q60" s="25">
        <f t="shared" si="0"/>
        <v>12</v>
      </c>
      <c r="R60" s="25">
        <f t="shared" si="0"/>
        <v>13</v>
      </c>
      <c r="S60" s="25">
        <f t="shared" si="0"/>
        <v>14</v>
      </c>
      <c r="T60" s="25">
        <f>S60+1</f>
        <v>15</v>
      </c>
      <c r="U60" s="24"/>
      <c r="V60" s="24"/>
    </row>
    <row r="61" spans="2:22">
      <c r="B61" s="74" t="s">
        <v>36</v>
      </c>
      <c r="C61" s="47"/>
      <c r="D61" s="47"/>
      <c r="E61" s="75">
        <f>G14</f>
        <v>50000</v>
      </c>
      <c r="F61" s="103">
        <f>(E61*(1+forest_growth_rate))</f>
        <v>52500</v>
      </c>
      <c r="G61" s="103">
        <f>(F61*(1+forest_growth_rate))</f>
        <v>55125</v>
      </c>
      <c r="H61" s="103">
        <f>(G61*(1+forest_growth_rate))</f>
        <v>57881.25</v>
      </c>
      <c r="I61" s="103">
        <f>(H61*(1+forest_growth_rate))</f>
        <v>60775.3125</v>
      </c>
      <c r="J61" s="103">
        <f>(I61*(1+forest_growth_rate))</f>
        <v>63814.078125</v>
      </c>
      <c r="K61" s="103">
        <f>(J61*(1+forest_growth_rate))</f>
        <v>67004.782031249997</v>
      </c>
      <c r="L61" s="103">
        <f>(K61*(1+forest_growth_rate))</f>
        <v>70355.021132812501</v>
      </c>
      <c r="M61" s="103">
        <f>(L61*(1+forest_growth_rate))</f>
        <v>73872.772189453128</v>
      </c>
      <c r="N61" s="103">
        <f>(M61*(1+forest_growth_rate))</f>
        <v>77566.41079892579</v>
      </c>
      <c r="O61" s="103">
        <f>(N61*(1+forest_growth_rate))</f>
        <v>81444.73133887208</v>
      </c>
      <c r="P61" s="103">
        <f>(O61*(1+forest_growth_rate))</f>
        <v>85516.967905815691</v>
      </c>
      <c r="Q61" s="103">
        <f>(P61*(1+forest_growth_rate))</f>
        <v>89792.816301106475</v>
      </c>
      <c r="R61" s="103">
        <f>(Q61*(1+forest_growth_rate))</f>
        <v>94282.457116161808</v>
      </c>
      <c r="S61" s="103">
        <f>(R61*(1+forest_growth_rate))</f>
        <v>98996.579971969899</v>
      </c>
      <c r="T61" s="104">
        <f>(S61*(1+forest_growth_rate))</f>
        <v>103946.4089705684</v>
      </c>
    </row>
    <row r="62" spans="2:22">
      <c r="B62" s="60" t="s">
        <v>35</v>
      </c>
      <c r="C62" s="24"/>
      <c r="D62" s="24"/>
      <c r="E62" s="61">
        <f>G15</f>
        <v>50</v>
      </c>
      <c r="F62" s="62">
        <f>E62*(1+inflation_rate)</f>
        <v>51</v>
      </c>
      <c r="G62" s="62">
        <f>F62*(1+inflation_rate)</f>
        <v>52.02</v>
      </c>
      <c r="H62" s="62">
        <f>G62*(1+inflation_rate)</f>
        <v>53.060400000000001</v>
      </c>
      <c r="I62" s="62">
        <f>H62*(1+inflation_rate)</f>
        <v>54.121608000000002</v>
      </c>
      <c r="J62" s="62">
        <f>I62*(1+inflation_rate)</f>
        <v>55.204040160000005</v>
      </c>
      <c r="K62" s="62">
        <f>J62*(1+inflation_rate)</f>
        <v>56.308120963200004</v>
      </c>
      <c r="L62" s="62">
        <f>K62*(1+inflation_rate)</f>
        <v>57.434283382464002</v>
      </c>
      <c r="M62" s="62">
        <f>L62*(1+inflation_rate)</f>
        <v>58.582969050113284</v>
      </c>
      <c r="N62" s="62">
        <f>M62*(1+inflation_rate)</f>
        <v>59.754628431115549</v>
      </c>
      <c r="O62" s="62">
        <f>N62*(1+inflation_rate)</f>
        <v>60.949720999737863</v>
      </c>
      <c r="P62" s="62">
        <f>O62*(1+inflation_rate)</f>
        <v>62.168715419732621</v>
      </c>
      <c r="Q62" s="62">
        <f>P62*(1+inflation_rate)</f>
        <v>63.412089728127278</v>
      </c>
      <c r="R62" s="62">
        <f>Q62*(1+inflation_rate)</f>
        <v>64.680331522689826</v>
      </c>
      <c r="S62" s="62">
        <f>R62*(1+inflation_rate)</f>
        <v>65.973938153143621</v>
      </c>
      <c r="T62" s="63">
        <f>S62*(1+inflation_rate)</f>
        <v>67.293416916206496</v>
      </c>
    </row>
    <row r="63" spans="2:22">
      <c r="B63" s="60" t="s">
        <v>37</v>
      </c>
      <c r="C63" s="24"/>
      <c r="D63" s="24"/>
      <c r="E63" s="61">
        <f>G19</f>
        <v>4.75</v>
      </c>
      <c r="F63" s="62">
        <f>E63*(1+inflation_rate)</f>
        <v>4.8449999999999998</v>
      </c>
      <c r="G63" s="62">
        <f>F63*(1+inflation_rate)</f>
        <v>4.9418999999999995</v>
      </c>
      <c r="H63" s="62">
        <f>G63*(1+inflation_rate)</f>
        <v>5.0407379999999993</v>
      </c>
      <c r="I63" s="62">
        <f>H63*(1+inflation_rate)</f>
        <v>5.1415527599999997</v>
      </c>
      <c r="J63" s="62">
        <f>I63*(1+inflation_rate)</f>
        <v>5.2443838152</v>
      </c>
      <c r="K63" s="62">
        <f>J63*(1+inflation_rate)</f>
        <v>5.3492714915040001</v>
      </c>
      <c r="L63" s="62">
        <f>K63*(1+inflation_rate)</f>
        <v>5.4562569213340799</v>
      </c>
      <c r="M63" s="62">
        <f>L63*(1+inflation_rate)</f>
        <v>5.5653820597607613</v>
      </c>
      <c r="N63" s="62">
        <f>M63*(1+inflation_rate)</f>
        <v>5.6766897009559765</v>
      </c>
      <c r="O63" s="62">
        <f>N63*(1+inflation_rate)</f>
        <v>5.7902234949750957</v>
      </c>
      <c r="P63" s="62">
        <f>O63*(1+inflation_rate)</f>
        <v>5.9060279648745979</v>
      </c>
      <c r="Q63" s="62">
        <f>P63*(1+inflation_rate)</f>
        <v>6.02414852417209</v>
      </c>
      <c r="R63" s="62">
        <f>Q63*(1+inflation_rate)</f>
        <v>6.144631494655532</v>
      </c>
      <c r="S63" s="62">
        <f>R63*(1+inflation_rate)</f>
        <v>6.2675241245486424</v>
      </c>
      <c r="T63" s="63">
        <f>S63*(1+inflation_rate)</f>
        <v>6.392874607039615</v>
      </c>
    </row>
    <row r="64" spans="2:22">
      <c r="B64" s="60" t="s">
        <v>38</v>
      </c>
      <c r="C64" s="24"/>
      <c r="D64" s="24"/>
      <c r="E64" s="61">
        <f>G20</f>
        <v>1.5</v>
      </c>
      <c r="F64" s="62">
        <f>E64*(1+inflation_rate)</f>
        <v>1.53</v>
      </c>
      <c r="G64" s="62">
        <f>F64*(1+inflation_rate)</f>
        <v>1.5606</v>
      </c>
      <c r="H64" s="62">
        <f>G64*(1+inflation_rate)</f>
        <v>1.591812</v>
      </c>
      <c r="I64" s="62">
        <f>H64*(1+inflation_rate)</f>
        <v>1.6236482400000001</v>
      </c>
      <c r="J64" s="62">
        <f>I64*(1+inflation_rate)</f>
        <v>1.6561212048</v>
      </c>
      <c r="K64" s="62">
        <f>J64*(1+inflation_rate)</f>
        <v>1.689243628896</v>
      </c>
      <c r="L64" s="62">
        <f>K64*(1+inflation_rate)</f>
        <v>1.7230285014739199</v>
      </c>
      <c r="M64" s="62">
        <f>L64*(1+inflation_rate)</f>
        <v>1.7574890715033984</v>
      </c>
      <c r="N64" s="62">
        <f>M64*(1+inflation_rate)</f>
        <v>1.7926388529334665</v>
      </c>
      <c r="O64" s="62">
        <f>N64*(1+inflation_rate)</f>
        <v>1.8284916299921359</v>
      </c>
      <c r="P64" s="62">
        <f>O64*(1+inflation_rate)</f>
        <v>1.8650614625919786</v>
      </c>
      <c r="Q64" s="62">
        <f>P64*(1+inflation_rate)</f>
        <v>1.9023626918438181</v>
      </c>
      <c r="R64" s="62">
        <f>Q64*(1+inflation_rate)</f>
        <v>1.9404099456806945</v>
      </c>
      <c r="S64" s="62">
        <f>R64*(1+inflation_rate)</f>
        <v>1.9792181445943084</v>
      </c>
      <c r="T64" s="63">
        <f>S64*(1+inflation_rate)</f>
        <v>2.0188025074861948</v>
      </c>
    </row>
    <row r="65" spans="2:20" ht="13.8" thickBot="1">
      <c r="B65" s="50" t="s">
        <v>53</v>
      </c>
      <c r="C65" s="38"/>
      <c r="D65" s="38"/>
      <c r="E65" s="43">
        <f>E62-E63-E64</f>
        <v>43.75</v>
      </c>
      <c r="F65" s="43">
        <f>F62-F63-F64</f>
        <v>44.625</v>
      </c>
      <c r="G65" s="43">
        <f t="shared" ref="G65:S65" si="1">G62-G63-G64</f>
        <v>45.517500000000005</v>
      </c>
      <c r="H65" s="43">
        <f t="shared" si="1"/>
        <v>46.427850000000007</v>
      </c>
      <c r="I65" s="43">
        <f t="shared" si="1"/>
        <v>47.356406999999997</v>
      </c>
      <c r="J65" s="43">
        <f t="shared" si="1"/>
        <v>48.303535140000001</v>
      </c>
      <c r="K65" s="43">
        <f t="shared" si="1"/>
        <v>49.269605842800004</v>
      </c>
      <c r="L65" s="43">
        <f t="shared" si="1"/>
        <v>50.254997959656002</v>
      </c>
      <c r="M65" s="43">
        <f t="shared" si="1"/>
        <v>51.260097918849127</v>
      </c>
      <c r="N65" s="43">
        <f t="shared" si="1"/>
        <v>52.285299877226109</v>
      </c>
      <c r="O65" s="43">
        <f t="shared" si="1"/>
        <v>53.331005874770632</v>
      </c>
      <c r="P65" s="43">
        <f t="shared" si="1"/>
        <v>54.397625992266043</v>
      </c>
      <c r="Q65" s="43">
        <f t="shared" si="1"/>
        <v>55.485578512111367</v>
      </c>
      <c r="R65" s="43">
        <f t="shared" si="1"/>
        <v>56.5952900823536</v>
      </c>
      <c r="S65" s="43">
        <f t="shared" si="1"/>
        <v>57.727195884000672</v>
      </c>
      <c r="T65" s="64">
        <f>T62-T63-T64</f>
        <v>58.881739801680688</v>
      </c>
    </row>
    <row r="66" spans="2:20" ht="13.8" thickTop="1">
      <c r="B66" s="78" t="s">
        <v>48</v>
      </c>
      <c r="C66" s="24"/>
      <c r="D66" s="24"/>
      <c r="E66" s="33">
        <f>E61*E65</f>
        <v>2187500</v>
      </c>
      <c r="F66" s="33">
        <f>F61*F65</f>
        <v>2342812.5</v>
      </c>
      <c r="G66" s="33">
        <f t="shared" ref="G66:S66" si="2">G61*G65</f>
        <v>2509152.1875000005</v>
      </c>
      <c r="H66" s="33">
        <f>H61*H65</f>
        <v>2687301.9928125003</v>
      </c>
      <c r="I66" s="33">
        <f t="shared" si="2"/>
        <v>2878100.4343021875</v>
      </c>
      <c r="J66" s="33">
        <f t="shared" si="2"/>
        <v>3082445.5651376429</v>
      </c>
      <c r="K66" s="33">
        <f t="shared" si="2"/>
        <v>3301299.2002624157</v>
      </c>
      <c r="L66" s="33">
        <f t="shared" si="2"/>
        <v>3535691.4434810472</v>
      </c>
      <c r="M66" s="33">
        <f t="shared" si="2"/>
        <v>3786725.5359682017</v>
      </c>
      <c r="N66" s="33">
        <f t="shared" si="2"/>
        <v>4055583.0490219444</v>
      </c>
      <c r="O66" s="33">
        <f t="shared" si="2"/>
        <v>4343529.4455025028</v>
      </c>
      <c r="P66" s="33">
        <f t="shared" si="2"/>
        <v>4651920.0361331804</v>
      </c>
      <c r="Q66" s="33">
        <f t="shared" si="2"/>
        <v>4982206.3586986363</v>
      </c>
      <c r="R66" s="33">
        <f t="shared" si="2"/>
        <v>5335943.0101662409</v>
      </c>
      <c r="S66" s="33">
        <f t="shared" si="2"/>
        <v>5714794.9638880445</v>
      </c>
      <c r="T66" s="69">
        <f>T61*T65</f>
        <v>6120545.406324096</v>
      </c>
    </row>
    <row r="67" spans="2:20">
      <c r="B67" s="60"/>
      <c r="C67" s="24"/>
      <c r="D67" s="24"/>
      <c r="E67" s="62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69"/>
    </row>
    <row r="68" spans="2:20">
      <c r="B68" s="60" t="s">
        <v>56</v>
      </c>
      <c r="C68" s="24"/>
      <c r="D68" s="24"/>
      <c r="E68" s="24"/>
      <c r="F68" s="79">
        <f>F85/F65</f>
        <v>-1646.2184873949579</v>
      </c>
      <c r="G68" s="79">
        <f>G85/G65</f>
        <v>-1665.682155215027</v>
      </c>
      <c r="H68" s="79">
        <f>H85/H65</f>
        <v>-1687.3232943696507</v>
      </c>
      <c r="I68" s="79">
        <f>I85/I65</f>
        <v>-1711.2271649364679</v>
      </c>
      <c r="J68" s="79">
        <f>J85/J65</f>
        <v>-1737.4837530065881</v>
      </c>
      <c r="K68" s="79">
        <f>K85/K65</f>
        <v>-1766.1879979066484</v>
      </c>
      <c r="L68" s="79">
        <f>L85/L65</f>
        <v>-1797.44003095998</v>
      </c>
      <c r="M68" s="79">
        <f>M85/M65</f>
        <v>-1831.3454263603596</v>
      </c>
      <c r="N68" s="79">
        <f>N85/N65</f>
        <v>-1868.0154647605432</v>
      </c>
      <c r="O68" s="79">
        <f>O85/O65</f>
        <v>-1907.5674102079768</v>
      </c>
      <c r="P68" s="79">
        <f>P85/P65</f>
        <v>-1950.1248010917432</v>
      </c>
      <c r="Q68" s="79">
        <f>Q85/Q65</f>
        <v>-1995.817755798091</v>
      </c>
      <c r="R68" s="79">
        <f>R85/R65</f>
        <v>-2044.7832938068084</v>
      </c>
      <c r="S68" s="79">
        <f>S85/S65</f>
        <v>-2097.1656729973861</v>
      </c>
      <c r="T68" s="80">
        <v>0</v>
      </c>
    </row>
    <row r="69" spans="2:20" ht="13.8" thickBot="1">
      <c r="B69" s="81" t="s">
        <v>57</v>
      </c>
      <c r="C69" s="53"/>
      <c r="D69" s="53"/>
      <c r="E69" s="53"/>
      <c r="F69" s="82">
        <f>F68+E69</f>
        <v>-1646.2184873949579</v>
      </c>
      <c r="G69" s="82">
        <f>F69+G68</f>
        <v>-3311.900642609985</v>
      </c>
      <c r="H69" s="82">
        <f>G69+H68</f>
        <v>-4999.2239369796353</v>
      </c>
      <c r="I69" s="82">
        <f>H69+I68</f>
        <v>-6710.4511019161037</v>
      </c>
      <c r="J69" s="82">
        <f>I69+J68</f>
        <v>-8447.9348549226925</v>
      </c>
      <c r="K69" s="82">
        <f>J69+K68</f>
        <v>-10214.122852829341</v>
      </c>
      <c r="L69" s="82">
        <f>K69+L68</f>
        <v>-12011.562883789322</v>
      </c>
      <c r="M69" s="82">
        <f>L69+M68</f>
        <v>-13842.908310149682</v>
      </c>
      <c r="N69" s="82">
        <f>M69+N68</f>
        <v>-15710.923774910225</v>
      </c>
      <c r="O69" s="82">
        <f>N69+O68</f>
        <v>-17618.491185118201</v>
      </c>
      <c r="P69" s="82">
        <f>O69+P68</f>
        <v>-19568.615986209945</v>
      </c>
      <c r="Q69" s="82">
        <f>P69+Q68</f>
        <v>-21564.433742008037</v>
      </c>
      <c r="R69" s="82">
        <f>Q69+R68</f>
        <v>-23609.217035814847</v>
      </c>
      <c r="S69" s="82">
        <f>R69+S68</f>
        <v>-25706.382708812234</v>
      </c>
      <c r="T69" s="83">
        <f>S69+T68</f>
        <v>-25706.382708812234</v>
      </c>
    </row>
    <row r="70" spans="2:20" ht="13.8" thickBot="1">
      <c r="B70" s="30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2:20">
      <c r="B71" s="56" t="s">
        <v>67</v>
      </c>
      <c r="C71" s="47"/>
      <c r="D71" s="4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9"/>
    </row>
    <row r="72" spans="2:20">
      <c r="B72" s="60" t="s">
        <v>3</v>
      </c>
      <c r="C72" s="24"/>
      <c r="D72" s="24"/>
      <c r="E72" s="67">
        <f>-(origination*loan_amount)</f>
        <v>-13125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68"/>
    </row>
    <row r="73" spans="2:20">
      <c r="B73" s="60" t="s">
        <v>66</v>
      </c>
      <c r="C73" s="24"/>
      <c r="D73" s="24"/>
      <c r="E73" s="62">
        <v>-2000000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69"/>
    </row>
    <row r="74" spans="2:20">
      <c r="B74" s="101" t="s">
        <v>74</v>
      </c>
      <c r="C74" s="99"/>
      <c r="D74" s="99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02"/>
    </row>
    <row r="75" spans="2:20">
      <c r="B75" s="60" t="s">
        <v>68</v>
      </c>
      <c r="C75" s="24"/>
      <c r="D75" s="24"/>
      <c r="E75" s="62">
        <f>loan_amount</f>
        <v>1312500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69"/>
    </row>
    <row r="76" spans="2:20">
      <c r="B76" s="60" t="s">
        <v>63</v>
      </c>
      <c r="C76" s="24"/>
      <c r="D76" s="24"/>
      <c r="E76" s="62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69">
        <f>T66</f>
        <v>6120545.406324096</v>
      </c>
    </row>
    <row r="77" spans="2:20">
      <c r="B77" s="60" t="s">
        <v>4</v>
      </c>
      <c r="C77" s="24"/>
      <c r="D77" s="24"/>
      <c r="E77" s="67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70">
        <f>T76*-0.01</f>
        <v>-61205.454063240963</v>
      </c>
    </row>
    <row r="78" spans="2:20" ht="13.8" thickBot="1">
      <c r="B78" s="50" t="s">
        <v>65</v>
      </c>
      <c r="C78" s="38"/>
      <c r="D78" s="38"/>
      <c r="E78" s="39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64">
        <f>-loan_amount</f>
        <v>-1312500</v>
      </c>
    </row>
    <row r="79" spans="2:20" ht="14.4" thickTop="1" thickBot="1">
      <c r="B79" s="52" t="s">
        <v>75</v>
      </c>
      <c r="C79" s="71"/>
      <c r="D79" s="71"/>
      <c r="E79" s="72">
        <f>SUM(E72:E78)</f>
        <v>-700625</v>
      </c>
      <c r="F79" s="72">
        <f>SUM(F72:F78)</f>
        <v>0</v>
      </c>
      <c r="G79" s="72">
        <f>SUM(G72:G78)</f>
        <v>0</v>
      </c>
      <c r="H79" s="72">
        <f>SUM(H72:H78)</f>
        <v>0</v>
      </c>
      <c r="I79" s="72">
        <f>SUM(I72:I78)</f>
        <v>0</v>
      </c>
      <c r="J79" s="72">
        <f>SUM(J72:J78)</f>
        <v>0</v>
      </c>
      <c r="K79" s="72">
        <f>SUM(K72:K78)</f>
        <v>0</v>
      </c>
      <c r="L79" s="72">
        <f>SUM(L72:L78)</f>
        <v>0</v>
      </c>
      <c r="M79" s="72">
        <f>SUM(M72:M78)</f>
        <v>0</v>
      </c>
      <c r="N79" s="72">
        <f>SUM(N72:N78)</f>
        <v>0</v>
      </c>
      <c r="O79" s="72">
        <f>SUM(O72:O78)</f>
        <v>0</v>
      </c>
      <c r="P79" s="72">
        <f>SUM(P72:P78)</f>
        <v>0</v>
      </c>
      <c r="Q79" s="72">
        <f>SUM(Q72:Q78)</f>
        <v>0</v>
      </c>
      <c r="R79" s="72">
        <f>SUM(R72:R78)</f>
        <v>0</v>
      </c>
      <c r="S79" s="72">
        <f>SUM(S72:S78)</f>
        <v>0</v>
      </c>
      <c r="T79" s="73">
        <f>SUM(T72:T78)</f>
        <v>4746839.9522608547</v>
      </c>
    </row>
    <row r="80" spans="2:20" ht="13.8" thickBot="1"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spans="2:20">
      <c r="B81" s="56" t="s">
        <v>69</v>
      </c>
      <c r="C81" s="47"/>
      <c r="D81" s="47"/>
      <c r="E81" s="57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9"/>
    </row>
    <row r="82" spans="2:20">
      <c r="B82" s="60" t="s">
        <v>16</v>
      </c>
      <c r="C82" s="24"/>
      <c r="D82" s="24"/>
      <c r="E82" s="61"/>
      <c r="F82" s="62">
        <f>E66*-0.015</f>
        <v>-32812.5</v>
      </c>
      <c r="G82" s="62">
        <f>F66*-0.015</f>
        <v>-35142.1875</v>
      </c>
      <c r="H82" s="62">
        <f>G66*-0.015</f>
        <v>-37637.282812500009</v>
      </c>
      <c r="I82" s="62">
        <f>H66*-0.015</f>
        <v>-40309.5298921875</v>
      </c>
      <c r="J82" s="62">
        <f>I66*-0.015</f>
        <v>-43171.506514532812</v>
      </c>
      <c r="K82" s="62">
        <f>J66*-0.015</f>
        <v>-46236.683477064638</v>
      </c>
      <c r="L82" s="62">
        <f>K66*-0.015</f>
        <v>-49519.488003936232</v>
      </c>
      <c r="M82" s="62">
        <f>L66*-0.015</f>
        <v>-53035.371652215705</v>
      </c>
      <c r="N82" s="62">
        <f>M66*-0.015</f>
        <v>-56800.883039523025</v>
      </c>
      <c r="O82" s="62">
        <f>N66*-0.015</f>
        <v>-60833.745735329161</v>
      </c>
      <c r="P82" s="62">
        <f>O66*-0.015</f>
        <v>-65152.941682537537</v>
      </c>
      <c r="Q82" s="62">
        <f>P66*-0.015</f>
        <v>-69778.800541997698</v>
      </c>
      <c r="R82" s="62">
        <f>Q66*-0.015</f>
        <v>-74733.095380479543</v>
      </c>
      <c r="S82" s="62">
        <f>R66*-0.015</f>
        <v>-80039.145152493613</v>
      </c>
      <c r="T82" s="63">
        <f>S66*-0.015</f>
        <v>-85721.92445832066</v>
      </c>
    </row>
    <row r="83" spans="2:20">
      <c r="B83" s="60" t="s">
        <v>31</v>
      </c>
      <c r="C83" s="24"/>
      <c r="D83" s="24"/>
      <c r="E83" s="61">
        <v>0</v>
      </c>
      <c r="F83" s="62">
        <f>$G$18*-(1+$G$9)</f>
        <v>-1275</v>
      </c>
      <c r="G83" s="62">
        <f>F$83*(1+$G$9)</f>
        <v>-1300.5</v>
      </c>
      <c r="H83" s="62">
        <f>G$83*(1+$G$9)</f>
        <v>-1326.51</v>
      </c>
      <c r="I83" s="62">
        <f>H$83*(1+$G$9)</f>
        <v>-1353.0401999999999</v>
      </c>
      <c r="J83" s="62">
        <f>I$83*(1+$G$9)</f>
        <v>-1380.1010039999999</v>
      </c>
      <c r="K83" s="62">
        <f>J$83*(1+$G$9)</f>
        <v>-1407.70302408</v>
      </c>
      <c r="L83" s="62">
        <f>K$83*(1+$G$9)</f>
        <v>-1435.8570845616</v>
      </c>
      <c r="M83" s="62">
        <f>L$83*(1+$G$9)</f>
        <v>-1464.574226252832</v>
      </c>
      <c r="N83" s="62">
        <f>M$83*(1+$G$9)</f>
        <v>-1493.8657107778886</v>
      </c>
      <c r="O83" s="62">
        <f>N$83*(1+$G$9)</f>
        <v>-1523.7430249934464</v>
      </c>
      <c r="P83" s="62">
        <f>O$83*(1+$G$9)</f>
        <v>-1554.2178854933154</v>
      </c>
      <c r="Q83" s="62">
        <f>P$83*(1+$G$9)</f>
        <v>-1585.3022432031817</v>
      </c>
      <c r="R83" s="62">
        <f>Q$83*(1+$G$9)</f>
        <v>-1617.0082880672453</v>
      </c>
      <c r="S83" s="62">
        <f>R$83*(1+$G$9)</f>
        <v>-1649.3484538285902</v>
      </c>
      <c r="T83" s="63">
        <f>S$83*(1+$G$9)</f>
        <v>-1682.335422905162</v>
      </c>
    </row>
    <row r="84" spans="2:20" ht="13.8" thickBot="1">
      <c r="B84" s="50" t="s">
        <v>70</v>
      </c>
      <c r="C84" s="38"/>
      <c r="D84" s="38"/>
      <c r="E84" s="40"/>
      <c r="F84" s="43">
        <f>-Annual_Int</f>
        <v>-39375</v>
      </c>
      <c r="G84" s="43">
        <f>-Annual_Int</f>
        <v>-39375</v>
      </c>
      <c r="H84" s="43">
        <f>-Annual_Int</f>
        <v>-39375</v>
      </c>
      <c r="I84" s="43">
        <f>-Annual_Int</f>
        <v>-39375</v>
      </c>
      <c r="J84" s="43">
        <f>-Annual_Int</f>
        <v>-39375</v>
      </c>
      <c r="K84" s="43">
        <f>-Annual_Int</f>
        <v>-39375</v>
      </c>
      <c r="L84" s="43">
        <f>-Annual_Int</f>
        <v>-39375</v>
      </c>
      <c r="M84" s="43">
        <f>-Annual_Int</f>
        <v>-39375</v>
      </c>
      <c r="N84" s="43">
        <f>-Annual_Int</f>
        <v>-39375</v>
      </c>
      <c r="O84" s="43">
        <f>-Annual_Int</f>
        <v>-39375</v>
      </c>
      <c r="P84" s="43">
        <f>-Annual_Int</f>
        <v>-39375</v>
      </c>
      <c r="Q84" s="43">
        <f>-Annual_Int</f>
        <v>-39375</v>
      </c>
      <c r="R84" s="43">
        <f>-Annual_Int</f>
        <v>-39375</v>
      </c>
      <c r="S84" s="43">
        <f>-Annual_Int</f>
        <v>-39375</v>
      </c>
      <c r="T84" s="64">
        <f>-Annual_Int</f>
        <v>-39375</v>
      </c>
    </row>
    <row r="85" spans="2:20" ht="14.4" thickTop="1" thickBot="1">
      <c r="B85" s="52" t="s">
        <v>55</v>
      </c>
      <c r="C85" s="53"/>
      <c r="D85" s="53"/>
      <c r="E85" s="65">
        <f>E82+E83</f>
        <v>0</v>
      </c>
      <c r="F85" s="65">
        <f>SUM(F82:F84)</f>
        <v>-73462.5</v>
      </c>
      <c r="G85" s="65">
        <f t="shared" ref="G85:T85" si="3">SUM(G82:G84)</f>
        <v>-75817.6875</v>
      </c>
      <c r="H85" s="65">
        <f t="shared" si="3"/>
        <v>-78338.792812500003</v>
      </c>
      <c r="I85" s="65">
        <f t="shared" si="3"/>
        <v>-81037.570092187496</v>
      </c>
      <c r="J85" s="65">
        <f t="shared" si="3"/>
        <v>-83926.607518532808</v>
      </c>
      <c r="K85" s="65">
        <f t="shared" si="3"/>
        <v>-87019.386501144647</v>
      </c>
      <c r="L85" s="65">
        <f t="shared" si="3"/>
        <v>-90330.345088497823</v>
      </c>
      <c r="M85" s="65">
        <f t="shared" si="3"/>
        <v>-93874.945878468541</v>
      </c>
      <c r="N85" s="65">
        <f t="shared" si="3"/>
        <v>-97669.748750300903</v>
      </c>
      <c r="O85" s="65">
        <f t="shared" si="3"/>
        <v>-101732.48876032261</v>
      </c>
      <c r="P85" s="65">
        <f t="shared" si="3"/>
        <v>-106082.15956803085</v>
      </c>
      <c r="Q85" s="65">
        <f t="shared" si="3"/>
        <v>-110739.10278520088</v>
      </c>
      <c r="R85" s="65">
        <f t="shared" si="3"/>
        <v>-115725.10366854678</v>
      </c>
      <c r="S85" s="65">
        <f t="shared" si="3"/>
        <v>-121063.4936063222</v>
      </c>
      <c r="T85" s="66">
        <f t="shared" si="3"/>
        <v>-126779.25988122582</v>
      </c>
    </row>
    <row r="86" spans="2:20" ht="13.8" thickBot="1">
      <c r="B86" s="2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</row>
    <row r="87" spans="2:20">
      <c r="B87" s="46" t="s">
        <v>64</v>
      </c>
      <c r="C87" s="47"/>
      <c r="D87" s="47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9"/>
    </row>
    <row r="88" spans="2:20" ht="13.8" thickBot="1">
      <c r="B88" s="50" t="s">
        <v>62</v>
      </c>
      <c r="C88" s="38"/>
      <c r="D88" s="38"/>
      <c r="E88" s="45">
        <v>0</v>
      </c>
      <c r="F88" s="105">
        <v>0</v>
      </c>
      <c r="G88" s="105">
        <v>0</v>
      </c>
      <c r="H88" s="105">
        <v>0</v>
      </c>
      <c r="I88" s="105">
        <v>0</v>
      </c>
      <c r="J88" s="105">
        <v>0</v>
      </c>
      <c r="K88" s="105">
        <v>0</v>
      </c>
      <c r="L88" s="105">
        <v>0</v>
      </c>
      <c r="M88" s="105">
        <v>0</v>
      </c>
      <c r="N88" s="105">
        <v>0</v>
      </c>
      <c r="O88" s="105">
        <v>0</v>
      </c>
      <c r="P88" s="105">
        <v>0</v>
      </c>
      <c r="Q88" s="105">
        <v>0</v>
      </c>
      <c r="R88" s="105">
        <v>0</v>
      </c>
      <c r="S88" s="105">
        <v>0</v>
      </c>
      <c r="T88" s="51">
        <v>0</v>
      </c>
    </row>
    <row r="89" spans="2:20" ht="14.4" thickTop="1" thickBot="1">
      <c r="B89" s="52" t="s">
        <v>72</v>
      </c>
      <c r="C89" s="53"/>
      <c r="D89" s="53"/>
      <c r="E89" s="54">
        <f>SUM(E88)</f>
        <v>0</v>
      </c>
      <c r="F89" s="54">
        <f t="shared" ref="F89:T89" si="4">SUM(F88)</f>
        <v>0</v>
      </c>
      <c r="G89" s="54">
        <f t="shared" si="4"/>
        <v>0</v>
      </c>
      <c r="H89" s="54">
        <f t="shared" si="4"/>
        <v>0</v>
      </c>
      <c r="I89" s="54">
        <f t="shared" si="4"/>
        <v>0</v>
      </c>
      <c r="J89" s="54">
        <f t="shared" si="4"/>
        <v>0</v>
      </c>
      <c r="K89" s="54">
        <f t="shared" si="4"/>
        <v>0</v>
      </c>
      <c r="L89" s="54">
        <f t="shared" si="4"/>
        <v>0</v>
      </c>
      <c r="M89" s="54">
        <f t="shared" si="4"/>
        <v>0</v>
      </c>
      <c r="N89" s="54">
        <f t="shared" si="4"/>
        <v>0</v>
      </c>
      <c r="O89" s="54">
        <f t="shared" si="4"/>
        <v>0</v>
      </c>
      <c r="P89" s="54">
        <f t="shared" si="4"/>
        <v>0</v>
      </c>
      <c r="Q89" s="54">
        <f t="shared" si="4"/>
        <v>0</v>
      </c>
      <c r="R89" s="54">
        <f t="shared" si="4"/>
        <v>0</v>
      </c>
      <c r="S89" s="54">
        <f t="shared" si="4"/>
        <v>0</v>
      </c>
      <c r="T89" s="55">
        <f t="shared" si="4"/>
        <v>0</v>
      </c>
    </row>
    <row r="90" spans="2:20">
      <c r="B90" s="2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</row>
    <row r="92" spans="2:20">
      <c r="B92" s="44" t="s">
        <v>61</v>
      </c>
      <c r="E92" s="34">
        <f>E79+E85+E89</f>
        <v>-700625</v>
      </c>
      <c r="F92" s="34">
        <f>F79+F85+F89</f>
        <v>-73462.5</v>
      </c>
      <c r="G92" s="34">
        <f>G79+G85+G89</f>
        <v>-75817.6875</v>
      </c>
      <c r="H92" s="34">
        <f>H79+H85+H89</f>
        <v>-78338.792812500003</v>
      </c>
      <c r="I92" s="34">
        <f>I79+I85+I89</f>
        <v>-81037.570092187496</v>
      </c>
      <c r="J92" s="34">
        <f>J79+J85+J89</f>
        <v>-83926.607518532808</v>
      </c>
      <c r="K92" s="34">
        <f>K79+K85+K89</f>
        <v>-87019.386501144647</v>
      </c>
      <c r="L92" s="34">
        <f>L79+L85+L89</f>
        <v>-90330.345088497823</v>
      </c>
      <c r="M92" s="34">
        <f>M79+M85+M89</f>
        <v>-93874.945878468541</v>
      </c>
      <c r="N92" s="34">
        <f>N79+N85+N89</f>
        <v>-97669.748750300903</v>
      </c>
      <c r="O92" s="34">
        <f>O79+O85+O89</f>
        <v>-101732.48876032261</v>
      </c>
      <c r="P92" s="34">
        <f>P79+P85+P89</f>
        <v>-106082.15956803085</v>
      </c>
      <c r="Q92" s="34">
        <f>Q79+Q85+Q89</f>
        <v>-110739.10278520088</v>
      </c>
      <c r="R92" s="34">
        <f>R79+R85+R89</f>
        <v>-115725.10366854678</v>
      </c>
      <c r="S92" s="34">
        <f>S79+S85+S89</f>
        <v>-121063.4936063222</v>
      </c>
      <c r="T92" s="34">
        <f>T79+T85+T89</f>
        <v>4620060.6923796292</v>
      </c>
    </row>
    <row r="93" spans="2:20">
      <c r="B93" s="37" t="s">
        <v>71</v>
      </c>
      <c r="E93" s="41">
        <f>IRR(E92:T92)</f>
        <v>8.1067855200472438E-2</v>
      </c>
    </row>
    <row r="94" spans="2:20">
      <c r="B94" s="42"/>
    </row>
  </sheetData>
  <pageMargins left="0.7" right="0.7" top="0.75" bottom="0.75" header="0.3" footer="0.3"/>
  <pageSetup scale="88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36</vt:i4>
      </vt:variant>
    </vt:vector>
  </HeadingPairs>
  <TitlesOfParts>
    <vt:vector size="42" baseType="lpstr">
      <vt:lpstr>Cover</vt:lpstr>
      <vt:lpstr>BaseModel</vt:lpstr>
      <vt:lpstr>Question12</vt:lpstr>
      <vt:lpstr>Question13</vt:lpstr>
      <vt:lpstr>Question14</vt:lpstr>
      <vt:lpstr>Question15</vt:lpstr>
      <vt:lpstr>Question12!Annual_Int</vt:lpstr>
      <vt:lpstr>Question13!Annual_Int</vt:lpstr>
      <vt:lpstr>Question14!Annual_Int</vt:lpstr>
      <vt:lpstr>Question15!Annual_Int</vt:lpstr>
      <vt:lpstr>Annual_Int</vt:lpstr>
      <vt:lpstr>Question12!forest_growth_rate</vt:lpstr>
      <vt:lpstr>Question13!forest_growth_rate</vt:lpstr>
      <vt:lpstr>Question14!forest_growth_rate</vt:lpstr>
      <vt:lpstr>Question15!forest_growth_rate</vt:lpstr>
      <vt:lpstr>forest_growth_rate</vt:lpstr>
      <vt:lpstr>Question12!inflation_rate</vt:lpstr>
      <vt:lpstr>Question13!inflation_rate</vt:lpstr>
      <vt:lpstr>Question14!inflation_rate</vt:lpstr>
      <vt:lpstr>Question15!inflation_rate</vt:lpstr>
      <vt:lpstr>inflation_rate</vt:lpstr>
      <vt:lpstr>Question12!loan_amount</vt:lpstr>
      <vt:lpstr>Question13!loan_amount</vt:lpstr>
      <vt:lpstr>Question14!loan_amount</vt:lpstr>
      <vt:lpstr>Question15!loan_amount</vt:lpstr>
      <vt:lpstr>loan_amount</vt:lpstr>
      <vt:lpstr>Question12!management_fee</vt:lpstr>
      <vt:lpstr>Question13!management_fee</vt:lpstr>
      <vt:lpstr>Question14!management_fee</vt:lpstr>
      <vt:lpstr>Question15!management_fee</vt:lpstr>
      <vt:lpstr>management_fee</vt:lpstr>
      <vt:lpstr>Question12!origination</vt:lpstr>
      <vt:lpstr>Question13!origination</vt:lpstr>
      <vt:lpstr>Question14!origination</vt:lpstr>
      <vt:lpstr>Question15!origination</vt:lpstr>
      <vt:lpstr>origination</vt:lpstr>
      <vt:lpstr>BaseModel!Print_Area</vt:lpstr>
      <vt:lpstr>Cover!Print_Area</vt:lpstr>
      <vt:lpstr>Question12!Print_Area</vt:lpstr>
      <vt:lpstr>Question13!Print_Area</vt:lpstr>
      <vt:lpstr>Question14!Print_Area</vt:lpstr>
      <vt:lpstr>Question15!Print_Area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Brookes Blackburn</dc:creator>
  <cp:lastModifiedBy>Brookes Blackburn</cp:lastModifiedBy>
  <cp:lastPrinted>2020-09-02T12:50:01Z</cp:lastPrinted>
  <dcterms:created xsi:type="dcterms:W3CDTF">2012-02-20T17:20:16Z</dcterms:created>
  <dcterms:modified xsi:type="dcterms:W3CDTF">2025-08-03T22:52:54Z</dcterms:modified>
</cp:coreProperties>
</file>