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kima\Downloads\"/>
    </mc:Choice>
  </mc:AlternateContent>
  <xr:revisionPtr revIDLastSave="0" documentId="13_ncr:1_{3456E151-AACE-42E0-A365-DCC34EE6A688}" xr6:coauthVersionLast="47" xr6:coauthVersionMax="47" xr10:uidLastSave="{00000000-0000-0000-0000-000000000000}"/>
  <bookViews>
    <workbookView xWindow="-108" yWindow="-108" windowWidth="23256" windowHeight="12576" tabRatio="464" firstSheet="12" activeTab="12" xr2:uid="{00000000-000D-0000-FFFF-FFFF00000000}"/>
  </bookViews>
  <sheets>
    <sheet name="Решение задач (черновик)" sheetId="12" r:id="rId1"/>
    <sheet name="Пр1" sheetId="1" r:id="rId2"/>
    <sheet name="Пр2" sheetId="2" r:id="rId3"/>
    <sheet name="Пр3" sheetId="3" r:id="rId4"/>
    <sheet name="Пр4" sheetId="4" r:id="rId5"/>
    <sheet name="Пр5" sheetId="5" r:id="rId6"/>
    <sheet name="Пр6" sheetId="6" r:id="rId7"/>
    <sheet name="Пр7" sheetId="7" r:id="rId8"/>
    <sheet name="Пр8" sheetId="8" r:id="rId9"/>
    <sheet name="Пр9" sheetId="9" r:id="rId10"/>
    <sheet name="Пр10" sheetId="10" r:id="rId11"/>
    <sheet name="Пр11" sheetId="13" r:id="rId12"/>
    <sheet name="Пр12" sheetId="14" r:id="rId13"/>
    <sheet name="Лист1" sheetId="15" r:id="rId14"/>
  </sheets>
  <definedNames>
    <definedName name="solver_adj" localSheetId="1" hidden="1">Пр1!$E$113:$F$113</definedName>
    <definedName name="solver_adj" localSheetId="12" hidden="1">Пр12!$A$98:$E$98</definedName>
    <definedName name="solver_adj" localSheetId="2" hidden="1">Пр2!$D$28:$F$28</definedName>
    <definedName name="solver_adj" localSheetId="4" hidden="1">Пр4!$A$125:$C$125</definedName>
    <definedName name="solver_adj" localSheetId="6" hidden="1">Пр6!$C$34:$E$34</definedName>
    <definedName name="solver_adj" localSheetId="8" hidden="1">Пр8!$C$128:$I$134</definedName>
    <definedName name="solver_adj" localSheetId="9" hidden="1">Пр9!$C$198:$X$219</definedName>
    <definedName name="solver_adj" localSheetId="0" hidden="1">'Решение задач (черновик)'!$B$14:$F$14</definedName>
    <definedName name="solver_cvg" localSheetId="1" hidden="1">0.0001</definedName>
    <definedName name="solver_cvg" localSheetId="12" hidden="1">0.0001</definedName>
    <definedName name="solver_cvg" localSheetId="2" hidden="1">0.0001</definedName>
    <definedName name="solver_cvg" localSheetId="4" hidden="1">0.0001</definedName>
    <definedName name="solver_cvg" localSheetId="6" hidden="1">0.0001</definedName>
    <definedName name="solver_cvg" localSheetId="8" hidden="1">0.0001</definedName>
    <definedName name="solver_cvg" localSheetId="9" hidden="1">0.0001</definedName>
    <definedName name="solver_cvg" localSheetId="0" hidden="1">0.0001</definedName>
    <definedName name="solver_drv" localSheetId="1" hidden="1">1</definedName>
    <definedName name="solver_drv" localSheetId="12" hidden="1">1</definedName>
    <definedName name="solver_drv" localSheetId="2" hidden="1">1</definedName>
    <definedName name="solver_drv" localSheetId="4" hidden="1">1</definedName>
    <definedName name="solver_drv" localSheetId="6" hidden="1">1</definedName>
    <definedName name="solver_drv" localSheetId="8" hidden="1">1</definedName>
    <definedName name="solver_drv" localSheetId="9" hidden="1">1</definedName>
    <definedName name="solver_drv" localSheetId="0" hidden="1">1</definedName>
    <definedName name="solver_eng" localSheetId="1" hidden="1">2</definedName>
    <definedName name="solver_eng" localSheetId="12" hidden="1">2</definedName>
    <definedName name="solver_eng" localSheetId="2" hidden="1">2</definedName>
    <definedName name="solver_eng" localSheetId="4" hidden="1">2</definedName>
    <definedName name="solver_eng" localSheetId="6" hidden="1">1</definedName>
    <definedName name="solver_eng" localSheetId="8" hidden="1">2</definedName>
    <definedName name="solver_eng" localSheetId="9" hidden="1">2</definedName>
    <definedName name="solver_eng" localSheetId="0" hidden="1">2</definedName>
    <definedName name="solver_est" localSheetId="1" hidden="1">1</definedName>
    <definedName name="solver_est" localSheetId="12" hidden="1">1</definedName>
    <definedName name="solver_est" localSheetId="2" hidden="1">1</definedName>
    <definedName name="solver_est" localSheetId="4" hidden="1">1</definedName>
    <definedName name="solver_est" localSheetId="6" hidden="1">1</definedName>
    <definedName name="solver_est" localSheetId="8" hidden="1">1</definedName>
    <definedName name="solver_est" localSheetId="9" hidden="1">1</definedName>
    <definedName name="solver_est" localSheetId="0" hidden="1">1</definedName>
    <definedName name="solver_itr" localSheetId="1" hidden="1">2147483647</definedName>
    <definedName name="solver_itr" localSheetId="12" hidden="1">2147483647</definedName>
    <definedName name="solver_itr" localSheetId="2" hidden="1">2147483647</definedName>
    <definedName name="solver_itr" localSheetId="4" hidden="1">2147483647</definedName>
    <definedName name="solver_itr" localSheetId="6" hidden="1">2147483647</definedName>
    <definedName name="solver_itr" localSheetId="8" hidden="1">2147483647</definedName>
    <definedName name="solver_itr" localSheetId="9" hidden="1">2147483647</definedName>
    <definedName name="solver_itr" localSheetId="0" hidden="1">2147483647</definedName>
    <definedName name="solver_lhs1" localSheetId="1" hidden="1">Пр1!$E$118:$F$118</definedName>
    <definedName name="solver_lhs1" localSheetId="12" hidden="1">Пр12!$A$100:$A$102</definedName>
    <definedName name="solver_lhs1" localSheetId="2" hidden="1">Пр2!$D$28:$F$28</definedName>
    <definedName name="solver_lhs1" localSheetId="4" hidden="1">Пр4!$A$125:$C$125</definedName>
    <definedName name="solver_lhs1" localSheetId="6" hidden="1">Пр6!$C$34:$E$34</definedName>
    <definedName name="solver_lhs1" localSheetId="8" hidden="1">Пр8!$C$128:$I$134</definedName>
    <definedName name="solver_lhs1" localSheetId="9" hidden="1">Пр9!$C$198:$X$219</definedName>
    <definedName name="solver_lhs1" localSheetId="0" hidden="1">'Решение задач (черновик)'!$B$14:$F$14</definedName>
    <definedName name="solver_lhs2" localSheetId="1" hidden="1">Пр1!$E$119:$F$119</definedName>
    <definedName name="solver_lhs2" localSheetId="12" hidden="1">Пр12!$A$98:$E$98</definedName>
    <definedName name="solver_lhs2" localSheetId="2" hidden="1">Пр2!$G$34:$G$36</definedName>
    <definedName name="solver_lhs2" localSheetId="4" hidden="1">Пр4!$D$131:$D$132</definedName>
    <definedName name="solver_lhs2" localSheetId="6" hidden="1">Пр6!$C$37</definedName>
    <definedName name="solver_lhs2" localSheetId="8" hidden="1">Пр8!$C$128:$I$134</definedName>
    <definedName name="solver_lhs2" localSheetId="9" hidden="1">Пр9!$C$198:$X$219</definedName>
    <definedName name="solver_lhs2" localSheetId="0" hidden="1">'Решение задач (черновик)'!$G$20:$G$21</definedName>
    <definedName name="solver_lhs3" localSheetId="1" hidden="1">Пр1!$E$120:$F$120</definedName>
    <definedName name="solver_lhs3" localSheetId="2" hidden="1">Пр2!$G$23:$G$24</definedName>
    <definedName name="solver_lhs3" localSheetId="4" hidden="1">Пр4!$M$37:$M$40</definedName>
    <definedName name="solver_lhs3" localSheetId="6" hidden="1">Пр6!$I$99</definedName>
    <definedName name="solver_lhs3" localSheetId="8" hidden="1">Пр8!$D$135:$H$135</definedName>
    <definedName name="solver_lhs3" localSheetId="9" hidden="1">Пр9!$C$220:$X$220</definedName>
    <definedName name="solver_lhs3" localSheetId="0" hidden="1">'Решение задач (черновик)'!$B$9:$E$9</definedName>
    <definedName name="solver_lhs4" localSheetId="1" hidden="1">Пр1!$E$117:$F$117</definedName>
    <definedName name="solver_lhs4" localSheetId="2" hidden="1">Пр2!$G$9:$H$9</definedName>
    <definedName name="solver_lhs4" localSheetId="4" hidden="1">Пр4!$M$37:$M$40</definedName>
    <definedName name="solver_lhs4" localSheetId="8" hidden="1">Пр8!$J$101:$J$107</definedName>
    <definedName name="solver_lhs4" localSheetId="9" hidden="1">Пр9!$D$220:$W$220</definedName>
    <definedName name="solver_lhs4" localSheetId="0" hidden="1">'Решение задач (черновик)'!$B$9:$E$9</definedName>
    <definedName name="solver_lhs5" localSheetId="4" hidden="1">Пр4!$M$37:$M$40</definedName>
    <definedName name="solver_lhs5" localSheetId="8" hidden="1">Пр8!$J$101:$J$107</definedName>
    <definedName name="solver_lhs5" localSheetId="9" hidden="1">Пр9!$X$220</definedName>
    <definedName name="solver_lhs6" localSheetId="8" hidden="1">Пр8!$J$101:$J$107</definedName>
    <definedName name="solver_lhs6" localSheetId="9" hidden="1">Пр9!$Y$198</definedName>
    <definedName name="solver_lhs7" localSheetId="8" hidden="1">Пр8!$J$101:$J$107</definedName>
    <definedName name="solver_lhs7" localSheetId="9" hidden="1">Пр9!$Y$198:$Y$219</definedName>
    <definedName name="solver_mip" localSheetId="1" hidden="1">2147483647</definedName>
    <definedName name="solver_mip" localSheetId="12" hidden="1">2147483647</definedName>
    <definedName name="solver_mip" localSheetId="2" hidden="1">2147483647</definedName>
    <definedName name="solver_mip" localSheetId="4" hidden="1">2147483647</definedName>
    <definedName name="solver_mip" localSheetId="6" hidden="1">2147483647</definedName>
    <definedName name="solver_mip" localSheetId="8" hidden="1">2147483647</definedName>
    <definedName name="solver_mip" localSheetId="9" hidden="1">2147483647</definedName>
    <definedName name="solver_mip" localSheetId="0" hidden="1">2147483647</definedName>
    <definedName name="solver_mni" localSheetId="1" hidden="1">30</definedName>
    <definedName name="solver_mni" localSheetId="12" hidden="1">30</definedName>
    <definedName name="solver_mni" localSheetId="2" hidden="1">30</definedName>
    <definedName name="solver_mni" localSheetId="4" hidden="1">30</definedName>
    <definedName name="solver_mni" localSheetId="6" hidden="1">30</definedName>
    <definedName name="solver_mni" localSheetId="8" hidden="1">30</definedName>
    <definedName name="solver_mni" localSheetId="9" hidden="1">30</definedName>
    <definedName name="solver_mni" localSheetId="0" hidden="1">30</definedName>
    <definedName name="solver_mrt" localSheetId="1" hidden="1">0.075</definedName>
    <definedName name="solver_mrt" localSheetId="12" hidden="1">0.075</definedName>
    <definedName name="solver_mrt" localSheetId="2" hidden="1">0.075</definedName>
    <definedName name="solver_mrt" localSheetId="4" hidden="1">0.075</definedName>
    <definedName name="solver_mrt" localSheetId="6" hidden="1">0.075</definedName>
    <definedName name="solver_mrt" localSheetId="8" hidden="1">0.075</definedName>
    <definedName name="solver_mrt" localSheetId="9" hidden="1">0.075</definedName>
    <definedName name="solver_mrt" localSheetId="0" hidden="1">0.075</definedName>
    <definedName name="solver_msl" localSheetId="1" hidden="1">2</definedName>
    <definedName name="solver_msl" localSheetId="12" hidden="1">2</definedName>
    <definedName name="solver_msl" localSheetId="2" hidden="1">2</definedName>
    <definedName name="solver_msl" localSheetId="4" hidden="1">2</definedName>
    <definedName name="solver_msl" localSheetId="6" hidden="1">2</definedName>
    <definedName name="solver_msl" localSheetId="8" hidden="1">2</definedName>
    <definedName name="solver_msl" localSheetId="9" hidden="1">2</definedName>
    <definedName name="solver_msl" localSheetId="0" hidden="1">2</definedName>
    <definedName name="solver_neg" localSheetId="1" hidden="1">2</definedName>
    <definedName name="solver_neg" localSheetId="12" hidden="1">2</definedName>
    <definedName name="solver_neg" localSheetId="2" hidden="1">2</definedName>
    <definedName name="solver_neg" localSheetId="4" hidden="1">2</definedName>
    <definedName name="solver_neg" localSheetId="6" hidden="1">1</definedName>
    <definedName name="solver_neg" localSheetId="8" hidden="1">1</definedName>
    <definedName name="solver_neg" localSheetId="9" hidden="1">1</definedName>
    <definedName name="solver_neg" localSheetId="0" hidden="1">2</definedName>
    <definedName name="solver_nod" localSheetId="1" hidden="1">2147483647</definedName>
    <definedName name="solver_nod" localSheetId="12" hidden="1">2147483647</definedName>
    <definedName name="solver_nod" localSheetId="2" hidden="1">2147483647</definedName>
    <definedName name="solver_nod" localSheetId="4" hidden="1">2147483647</definedName>
    <definedName name="solver_nod" localSheetId="6" hidden="1">2147483647</definedName>
    <definedName name="solver_nod" localSheetId="8" hidden="1">2147483647</definedName>
    <definedName name="solver_nod" localSheetId="9" hidden="1">2147483647</definedName>
    <definedName name="solver_nod" localSheetId="0" hidden="1">2147483647</definedName>
    <definedName name="solver_num" localSheetId="1" hidden="1">4</definedName>
    <definedName name="solver_num" localSheetId="12" hidden="1">2</definedName>
    <definedName name="solver_num" localSheetId="2" hidden="1">2</definedName>
    <definedName name="solver_num" localSheetId="4" hidden="1">2</definedName>
    <definedName name="solver_num" localSheetId="6" hidden="1">2</definedName>
    <definedName name="solver_num" localSheetId="8" hidden="1">3</definedName>
    <definedName name="solver_num" localSheetId="9" hidden="1">7</definedName>
    <definedName name="solver_num" localSheetId="0" hidden="1">2</definedName>
    <definedName name="solver_nwt" localSheetId="1" hidden="1">1</definedName>
    <definedName name="solver_nwt" localSheetId="12" hidden="1">1</definedName>
    <definedName name="solver_nwt" localSheetId="2" hidden="1">1</definedName>
    <definedName name="solver_nwt" localSheetId="4" hidden="1">1</definedName>
    <definedName name="solver_nwt" localSheetId="6" hidden="1">1</definedName>
    <definedName name="solver_nwt" localSheetId="8" hidden="1">1</definedName>
    <definedName name="solver_nwt" localSheetId="9" hidden="1">1</definedName>
    <definedName name="solver_nwt" localSheetId="0" hidden="1">1</definedName>
    <definedName name="solver_opt" localSheetId="1" hidden="1">Пр1!$G$115</definedName>
    <definedName name="solver_opt" localSheetId="12" hidden="1">Пр12!$F$98</definedName>
    <definedName name="solver_opt" localSheetId="2" hidden="1">Пр2!$G$31</definedName>
    <definedName name="solver_opt" localSheetId="4" hidden="1">Пр4!$D$128</definedName>
    <definedName name="solver_opt" localSheetId="6" hidden="1">Пр6!$F$34</definedName>
    <definedName name="solver_opt" localSheetId="8" hidden="1">Пр8!$J$128</definedName>
    <definedName name="solver_opt" localSheetId="9" hidden="1">Пр9!$Z$199</definedName>
    <definedName name="solver_opt" localSheetId="0" hidden="1">'Решение задач (черновик)'!$G$17</definedName>
    <definedName name="solver_pre" localSheetId="1" hidden="1">0.000001</definedName>
    <definedName name="solver_pre" localSheetId="12" hidden="1">0.000001</definedName>
    <definedName name="solver_pre" localSheetId="2" hidden="1">0.000001</definedName>
    <definedName name="solver_pre" localSheetId="4" hidden="1">0.000001</definedName>
    <definedName name="solver_pre" localSheetId="6" hidden="1">0.000001</definedName>
    <definedName name="solver_pre" localSheetId="8" hidden="1">0.000001</definedName>
    <definedName name="solver_pre" localSheetId="9" hidden="1">0.000001</definedName>
    <definedName name="solver_pre" localSheetId="0" hidden="1">0.000001</definedName>
    <definedName name="solver_rbv" localSheetId="1" hidden="1">1</definedName>
    <definedName name="solver_rbv" localSheetId="12" hidden="1">1</definedName>
    <definedName name="solver_rbv" localSheetId="2" hidden="1">1</definedName>
    <definedName name="solver_rbv" localSheetId="4" hidden="1">1</definedName>
    <definedName name="solver_rbv" localSheetId="6" hidden="1">1</definedName>
    <definedName name="solver_rbv" localSheetId="8" hidden="1">1</definedName>
    <definedName name="solver_rbv" localSheetId="9" hidden="1">1</definedName>
    <definedName name="solver_rbv" localSheetId="0" hidden="1">1</definedName>
    <definedName name="solver_rel1" localSheetId="1" hidden="1">1</definedName>
    <definedName name="solver_rel1" localSheetId="12" hidden="1">1</definedName>
    <definedName name="solver_rel1" localSheetId="2" hidden="1">3</definedName>
    <definedName name="solver_rel1" localSheetId="4" hidden="1">3</definedName>
    <definedName name="solver_rel1" localSheetId="6" hidden="1">3</definedName>
    <definedName name="solver_rel1" localSheetId="8" hidden="1">1</definedName>
    <definedName name="solver_rel1" localSheetId="9" hidden="1">1</definedName>
    <definedName name="solver_rel1" localSheetId="0" hidden="1">3</definedName>
    <definedName name="solver_rel2" localSheetId="1" hidden="1">3</definedName>
    <definedName name="solver_rel2" localSheetId="12" hidden="1">3</definedName>
    <definedName name="solver_rel2" localSheetId="2" hidden="1">1</definedName>
    <definedName name="solver_rel2" localSheetId="4" hidden="1">3</definedName>
    <definedName name="solver_rel2" localSheetId="6" hidden="1">1</definedName>
    <definedName name="solver_rel2" localSheetId="8" hidden="1">3</definedName>
    <definedName name="solver_rel2" localSheetId="9" hidden="1">5</definedName>
    <definedName name="solver_rel2" localSheetId="0" hidden="1">2</definedName>
    <definedName name="solver_rel3" localSheetId="1" hidden="1">1</definedName>
    <definedName name="solver_rel3" localSheetId="2" hidden="1">3</definedName>
    <definedName name="solver_rel3" localSheetId="4" hidden="1">1</definedName>
    <definedName name="solver_rel3" localSheetId="6" hidden="1">1</definedName>
    <definedName name="solver_rel3" localSheetId="8" hidden="1">2</definedName>
    <definedName name="solver_rel3" localSheetId="9" hidden="1">1</definedName>
    <definedName name="solver_rel3" localSheetId="0" hidden="1">1</definedName>
    <definedName name="solver_rel4" localSheetId="1" hidden="1">3</definedName>
    <definedName name="solver_rel4" localSheetId="2" hidden="1">1</definedName>
    <definedName name="solver_rel4" localSheetId="4" hidden="1">1</definedName>
    <definedName name="solver_rel4" localSheetId="8" hidden="1">1</definedName>
    <definedName name="solver_rel4" localSheetId="9" hidden="1">2</definedName>
    <definedName name="solver_rel4" localSheetId="0" hidden="1">1</definedName>
    <definedName name="solver_rel5" localSheetId="4" hidden="1">1</definedName>
    <definedName name="solver_rel5" localSheetId="8" hidden="1">1</definedName>
    <definedName name="solver_rel5" localSheetId="9" hidden="1">2</definedName>
    <definedName name="solver_rel6" localSheetId="8" hidden="1">1</definedName>
    <definedName name="solver_rel6" localSheetId="9" hidden="1">2</definedName>
    <definedName name="solver_rel7" localSheetId="8" hidden="1">1</definedName>
    <definedName name="solver_rel7" localSheetId="9" hidden="1">1</definedName>
    <definedName name="solver_rhs1" localSheetId="1" hidden="1">Пр1!$I$118</definedName>
    <definedName name="solver_rhs1" localSheetId="12" hidden="1">Пр12!$C$100:$C$102</definedName>
    <definedName name="solver_rhs1" localSheetId="2" hidden="1">0</definedName>
    <definedName name="solver_rhs1" localSheetId="4" hidden="1">0</definedName>
    <definedName name="solver_rhs1" localSheetId="6" hidden="1">0</definedName>
    <definedName name="solver_rhs1" localSheetId="8" hidden="1">Пр8!$C$117:$I$123</definedName>
    <definedName name="solver_rhs1" localSheetId="9" hidden="1">Пр9!$C$173:$X$194</definedName>
    <definedName name="solver_rhs1" localSheetId="0" hidden="1">0</definedName>
    <definedName name="solver_rhs2" localSheetId="1" hidden="1">Пр1!$I$119</definedName>
    <definedName name="solver_rhs2" localSheetId="12" hidden="1">0</definedName>
    <definedName name="solver_rhs2" localSheetId="2" hidden="1">Пр2!$I$34:$I$36</definedName>
    <definedName name="solver_rhs2" localSheetId="4" hidden="1">Пр4!$F$131:$F$132</definedName>
    <definedName name="solver_rhs2" localSheetId="6" hidden="1">Пр6!$E$37</definedName>
    <definedName name="solver_rhs2" localSheetId="8" hidden="1">0</definedName>
    <definedName name="solver_rhs2" localSheetId="9" hidden="1">"бинарное"</definedName>
    <definedName name="solver_rhs2" localSheetId="0" hidden="1">'Решение задач (черновик)'!$I$20:$I$21</definedName>
    <definedName name="solver_rhs3" localSheetId="1" hidden="1">Пр1!$I$120</definedName>
    <definedName name="solver_rhs3" localSheetId="2" hidden="1">Пр2!$I$23:$I$24</definedName>
    <definedName name="solver_rhs3" localSheetId="4" hidden="1">Пр4!$O$37:$O$40</definedName>
    <definedName name="solver_rhs3" localSheetId="6" hidden="1">Пр6!$K$99</definedName>
    <definedName name="solver_rhs3" localSheetId="8" hidden="1">Пр8!$D$137:$H$137</definedName>
    <definedName name="solver_rhs3" localSheetId="9" hidden="1">1</definedName>
    <definedName name="solver_rhs3" localSheetId="0" hidden="1">'Решение задач (черновик)'!$H$9</definedName>
    <definedName name="solver_rhs4" localSheetId="1" hidden="1">Пр1!$I$117</definedName>
    <definedName name="solver_rhs4" localSheetId="2" hidden="1">Пр2!$K$9</definedName>
    <definedName name="solver_rhs4" localSheetId="4" hidden="1">Пр4!$O$37:$O$40</definedName>
    <definedName name="solver_rhs4" localSheetId="8" hidden="1">1</definedName>
    <definedName name="solver_rhs4" localSheetId="9" hidden="1">Пр9!$D$222:$W$222</definedName>
    <definedName name="solver_rhs4" localSheetId="0" hidden="1">'Решение задач (черновик)'!$H$9</definedName>
    <definedName name="solver_rhs5" localSheetId="4" hidden="1">Пр4!$O$37:$O$40</definedName>
    <definedName name="solver_rhs5" localSheetId="8" hidden="1">1</definedName>
    <definedName name="solver_rhs5" localSheetId="9" hidden="1">1</definedName>
    <definedName name="solver_rhs6" localSheetId="8" hidden="1">1</definedName>
    <definedName name="solver_rhs6" localSheetId="9" hidden="1">1</definedName>
    <definedName name="solver_rhs7" localSheetId="8" hidden="1">1</definedName>
    <definedName name="solver_rhs7" localSheetId="9" hidden="1">1</definedName>
    <definedName name="solver_rlx" localSheetId="1" hidden="1">2</definedName>
    <definedName name="solver_rlx" localSheetId="12" hidden="1">2</definedName>
    <definedName name="solver_rlx" localSheetId="2" hidden="1">2</definedName>
    <definedName name="solver_rlx" localSheetId="4" hidden="1">2</definedName>
    <definedName name="solver_rlx" localSheetId="6" hidden="1">2</definedName>
    <definedName name="solver_rlx" localSheetId="8" hidden="1">2</definedName>
    <definedName name="solver_rlx" localSheetId="9" hidden="1">2</definedName>
    <definedName name="solver_rlx" localSheetId="0" hidden="1">2</definedName>
    <definedName name="solver_rsd" localSheetId="1" hidden="1">0</definedName>
    <definedName name="solver_rsd" localSheetId="12" hidden="1">0</definedName>
    <definedName name="solver_rsd" localSheetId="2" hidden="1">0</definedName>
    <definedName name="solver_rsd" localSheetId="4" hidden="1">0</definedName>
    <definedName name="solver_rsd" localSheetId="6" hidden="1">0</definedName>
    <definedName name="solver_rsd" localSheetId="8" hidden="1">0</definedName>
    <definedName name="solver_rsd" localSheetId="9" hidden="1">0</definedName>
    <definedName name="solver_rsd" localSheetId="0" hidden="1">0</definedName>
    <definedName name="solver_scl" localSheetId="1" hidden="1">1</definedName>
    <definedName name="solver_scl" localSheetId="12" hidden="1">1</definedName>
    <definedName name="solver_scl" localSheetId="2" hidden="1">1</definedName>
    <definedName name="solver_scl" localSheetId="4" hidden="1">1</definedName>
    <definedName name="solver_scl" localSheetId="6" hidden="1">1</definedName>
    <definedName name="solver_scl" localSheetId="8" hidden="1">1</definedName>
    <definedName name="solver_scl" localSheetId="9" hidden="1">1</definedName>
    <definedName name="solver_scl" localSheetId="0" hidden="1">1</definedName>
    <definedName name="solver_sho" localSheetId="1" hidden="1">2</definedName>
    <definedName name="solver_sho" localSheetId="12" hidden="1">2</definedName>
    <definedName name="solver_sho" localSheetId="2" hidden="1">2</definedName>
    <definedName name="solver_sho" localSheetId="4" hidden="1">2</definedName>
    <definedName name="solver_sho" localSheetId="6" hidden="1">2</definedName>
    <definedName name="solver_sho" localSheetId="8" hidden="1">2</definedName>
    <definedName name="solver_sho" localSheetId="9" hidden="1">2</definedName>
    <definedName name="solver_sho" localSheetId="0" hidden="1">2</definedName>
    <definedName name="solver_ssz" localSheetId="1" hidden="1">100</definedName>
    <definedName name="solver_ssz" localSheetId="12" hidden="1">100</definedName>
    <definedName name="solver_ssz" localSheetId="2" hidden="1">100</definedName>
    <definedName name="solver_ssz" localSheetId="4" hidden="1">100</definedName>
    <definedName name="solver_ssz" localSheetId="6" hidden="1">100</definedName>
    <definedName name="solver_ssz" localSheetId="8" hidden="1">100</definedName>
    <definedName name="solver_ssz" localSheetId="9" hidden="1">100</definedName>
    <definedName name="solver_ssz" localSheetId="0" hidden="1">100</definedName>
    <definedName name="solver_tim" localSheetId="1" hidden="1">2147483647</definedName>
    <definedName name="solver_tim" localSheetId="12" hidden="1">2147483647</definedName>
    <definedName name="solver_tim" localSheetId="2" hidden="1">2147483647</definedName>
    <definedName name="solver_tim" localSheetId="4" hidden="1">2147483647</definedName>
    <definedName name="solver_tim" localSheetId="6" hidden="1">2147483647</definedName>
    <definedName name="solver_tim" localSheetId="8" hidden="1">2147483647</definedName>
    <definedName name="solver_tim" localSheetId="9" hidden="1">2147483647</definedName>
    <definedName name="solver_tim" localSheetId="0" hidden="1">2147483647</definedName>
    <definedName name="solver_tol" localSheetId="1" hidden="1">0.01</definedName>
    <definedName name="solver_tol" localSheetId="12" hidden="1">0.01</definedName>
    <definedName name="solver_tol" localSheetId="2" hidden="1">0.01</definedName>
    <definedName name="solver_tol" localSheetId="4" hidden="1">0.01</definedName>
    <definedName name="solver_tol" localSheetId="6" hidden="1">0.01</definedName>
    <definedName name="solver_tol" localSheetId="8" hidden="1">0.01</definedName>
    <definedName name="solver_tol" localSheetId="9" hidden="1">0.01</definedName>
    <definedName name="solver_tol" localSheetId="0" hidden="1">0.01</definedName>
    <definedName name="solver_typ" localSheetId="1" hidden="1">2</definedName>
    <definedName name="solver_typ" localSheetId="12" hidden="1">1</definedName>
    <definedName name="solver_typ" localSheetId="2" hidden="1">1</definedName>
    <definedName name="solver_typ" localSheetId="4" hidden="1">2</definedName>
    <definedName name="solver_typ" localSheetId="6" hidden="1">2</definedName>
    <definedName name="solver_typ" localSheetId="8" hidden="1">1</definedName>
    <definedName name="solver_typ" localSheetId="9" hidden="1">2</definedName>
    <definedName name="solver_typ" localSheetId="0" hidden="1">1</definedName>
    <definedName name="solver_val" localSheetId="1" hidden="1">0</definedName>
    <definedName name="solver_val" localSheetId="12" hidden="1">0</definedName>
    <definedName name="solver_val" localSheetId="2" hidden="1">0</definedName>
    <definedName name="solver_val" localSheetId="4" hidden="1">0</definedName>
    <definedName name="solver_val" localSheetId="6" hidden="1">0</definedName>
    <definedName name="solver_val" localSheetId="8" hidden="1">0</definedName>
    <definedName name="solver_val" localSheetId="9" hidden="1">0</definedName>
    <definedName name="solver_val" localSheetId="0" hidden="1">0</definedName>
    <definedName name="solver_ver" localSheetId="1" hidden="1">3</definedName>
    <definedName name="solver_ver" localSheetId="12" hidden="1">3</definedName>
    <definedName name="solver_ver" localSheetId="2" hidden="1">3</definedName>
    <definedName name="solver_ver" localSheetId="4" hidden="1">3</definedName>
    <definedName name="solver_ver" localSheetId="6" hidden="1">3</definedName>
    <definedName name="solver_ver" localSheetId="8" hidden="1">3</definedName>
    <definedName name="solver_ver" localSheetId="9" hidden="1">3</definedName>
    <definedName name="solver_ver" localSheetId="0" hidden="1">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4" i="15" l="1"/>
  <c r="C66" i="15"/>
  <c r="C65" i="15"/>
  <c r="C64" i="15"/>
  <c r="C63" i="15"/>
  <c r="D66" i="15"/>
  <c r="D65" i="15"/>
  <c r="D64" i="15"/>
  <c r="D63" i="15"/>
  <c r="E66" i="15"/>
  <c r="E65" i="15"/>
  <c r="E64" i="15"/>
  <c r="E63" i="15"/>
  <c r="F66" i="15"/>
  <c r="F65" i="15"/>
  <c r="F64" i="15"/>
  <c r="F63" i="15"/>
  <c r="G66" i="15"/>
  <c r="G65" i="15"/>
  <c r="G64" i="15"/>
  <c r="G63" i="15"/>
  <c r="F60" i="15"/>
  <c r="G60" i="15"/>
  <c r="G59" i="15"/>
  <c r="F59" i="15"/>
  <c r="E59" i="15"/>
  <c r="D59" i="15"/>
  <c r="C59" i="15"/>
  <c r="G58" i="15"/>
  <c r="F58" i="15"/>
  <c r="E58" i="15"/>
  <c r="D58" i="15"/>
  <c r="C58" i="15"/>
  <c r="G57" i="15"/>
  <c r="F57" i="15"/>
  <c r="E57" i="15"/>
  <c r="D57" i="15"/>
  <c r="C57" i="15"/>
  <c r="O54" i="15" s="1"/>
  <c r="C219" i="14"/>
  <c r="B214" i="14"/>
  <c r="E60" i="15"/>
  <c r="D60" i="15"/>
  <c r="C60" i="15"/>
  <c r="N55" i="15"/>
  <c r="O55" i="15"/>
  <c r="N52" i="15"/>
  <c r="K54" i="15"/>
  <c r="N50" i="15"/>
  <c r="N46" i="15"/>
  <c r="N53" i="15" s="1"/>
  <c r="N48" i="15"/>
  <c r="I54" i="15"/>
  <c r="M54" i="15" s="1"/>
  <c r="G54" i="15"/>
  <c r="E54" i="15"/>
  <c r="C54" i="15"/>
  <c r="P30" i="15"/>
  <c r="Q31" i="15"/>
  <c r="P31" i="15"/>
  <c r="O30" i="15"/>
  <c r="P28" i="15"/>
  <c r="P26" i="15"/>
  <c r="P29" i="15" s="1"/>
  <c r="P24" i="15"/>
  <c r="P22" i="15"/>
  <c r="Q32" i="15"/>
  <c r="C255" i="14" l="1"/>
  <c r="E256" i="14" s="1"/>
  <c r="B252" i="14"/>
  <c r="C29" i="15"/>
  <c r="B139" i="14"/>
  <c r="E142" i="14"/>
  <c r="F41" i="15"/>
  <c r="E41" i="15"/>
  <c r="D41" i="15"/>
  <c r="C41" i="15"/>
  <c r="F40" i="15"/>
  <c r="E40" i="15"/>
  <c r="D40" i="15"/>
  <c r="C40" i="15"/>
  <c r="F39" i="15"/>
  <c r="E39" i="15"/>
  <c r="D39" i="15"/>
  <c r="C39" i="15"/>
  <c r="F38" i="15"/>
  <c r="E38" i="15"/>
  <c r="D38" i="15"/>
  <c r="C38" i="15"/>
  <c r="F35" i="15"/>
  <c r="E35" i="15"/>
  <c r="D35" i="15"/>
  <c r="C35" i="15"/>
  <c r="F34" i="15"/>
  <c r="E34" i="15"/>
  <c r="D34" i="15"/>
  <c r="C34" i="15"/>
  <c r="F33" i="15"/>
  <c r="E33" i="15"/>
  <c r="Q30" i="15" s="1"/>
  <c r="D33" i="15"/>
  <c r="C33" i="15"/>
  <c r="F32" i="15"/>
  <c r="E32" i="15"/>
  <c r="D32" i="15"/>
  <c r="C32" i="15"/>
  <c r="I29" i="15"/>
  <c r="G29" i="15"/>
  <c r="E29" i="15"/>
  <c r="B140" i="14"/>
  <c r="C140" i="14"/>
  <c r="D140" i="14"/>
  <c r="E140" i="14"/>
  <c r="F140" i="14"/>
  <c r="G140" i="14"/>
  <c r="H140" i="14"/>
  <c r="I140" i="14"/>
  <c r="J140" i="14"/>
  <c r="K140" i="14"/>
  <c r="L140" i="14"/>
  <c r="B141" i="14"/>
  <c r="C141" i="14"/>
  <c r="D141" i="14"/>
  <c r="E141" i="14"/>
  <c r="F141" i="14"/>
  <c r="G141" i="14"/>
  <c r="H141" i="14"/>
  <c r="I141" i="14"/>
  <c r="J141" i="14"/>
  <c r="K141" i="14"/>
  <c r="L141" i="14"/>
  <c r="B142" i="14"/>
  <c r="C142" i="14"/>
  <c r="D142" i="14"/>
  <c r="F142" i="14"/>
  <c r="G142" i="14"/>
  <c r="H142" i="14"/>
  <c r="I142" i="14"/>
  <c r="J142" i="14"/>
  <c r="K142" i="14"/>
  <c r="L142" i="14"/>
  <c r="B143" i="14"/>
  <c r="C143" i="14"/>
  <c r="D143" i="14"/>
  <c r="E143" i="14"/>
  <c r="F143" i="14"/>
  <c r="G143" i="14"/>
  <c r="H143" i="14"/>
  <c r="I143" i="14"/>
  <c r="J143" i="14"/>
  <c r="K143" i="14"/>
  <c r="L143" i="14"/>
  <c r="B144" i="14"/>
  <c r="C144" i="14"/>
  <c r="D144" i="14"/>
  <c r="E144" i="14"/>
  <c r="F144" i="14"/>
  <c r="G144" i="14"/>
  <c r="H144" i="14"/>
  <c r="I144" i="14"/>
  <c r="J144" i="14"/>
  <c r="K144" i="14"/>
  <c r="L144" i="14"/>
  <c r="B145" i="14"/>
  <c r="C145" i="14"/>
  <c r="D145" i="14"/>
  <c r="E145" i="14"/>
  <c r="F145" i="14"/>
  <c r="G145" i="14"/>
  <c r="H145" i="14"/>
  <c r="I145" i="14"/>
  <c r="J145" i="14"/>
  <c r="K145" i="14"/>
  <c r="L145" i="14"/>
  <c r="B146" i="14"/>
  <c r="C146" i="14"/>
  <c r="D146" i="14"/>
  <c r="E146" i="14"/>
  <c r="F146" i="14"/>
  <c r="G146" i="14"/>
  <c r="H146" i="14"/>
  <c r="I146" i="14"/>
  <c r="J146" i="14"/>
  <c r="K146" i="14"/>
  <c r="L146" i="14"/>
  <c r="B147" i="14"/>
  <c r="C147" i="14"/>
  <c r="D147" i="14"/>
  <c r="E147" i="14"/>
  <c r="F147" i="14"/>
  <c r="G147" i="14"/>
  <c r="H147" i="14"/>
  <c r="I147" i="14"/>
  <c r="J147" i="14"/>
  <c r="K147" i="14"/>
  <c r="L147" i="14"/>
  <c r="B148" i="14"/>
  <c r="C148" i="14"/>
  <c r="D148" i="14"/>
  <c r="E148" i="14"/>
  <c r="F148" i="14"/>
  <c r="G148" i="14"/>
  <c r="H148" i="14"/>
  <c r="I148" i="14"/>
  <c r="J148" i="14"/>
  <c r="K148" i="14"/>
  <c r="L148" i="14"/>
  <c r="B149" i="14"/>
  <c r="C149" i="14"/>
  <c r="D149" i="14"/>
  <c r="E149" i="14"/>
  <c r="F149" i="14"/>
  <c r="G149" i="14"/>
  <c r="H149" i="14"/>
  <c r="I149" i="14"/>
  <c r="J149" i="14"/>
  <c r="K149" i="14"/>
  <c r="L149" i="14"/>
  <c r="D139" i="14"/>
  <c r="E139" i="14"/>
  <c r="F139" i="14"/>
  <c r="G139" i="14"/>
  <c r="H139" i="14"/>
  <c r="I139" i="14"/>
  <c r="J139" i="14"/>
  <c r="K139" i="14"/>
  <c r="L139" i="14"/>
  <c r="C139" i="14"/>
  <c r="N124" i="14" a="1"/>
  <c r="N124" i="14" s="1"/>
  <c r="A124" i="14" a="1"/>
  <c r="A124" i="14" s="1"/>
  <c r="F98" i="14"/>
  <c r="A100" i="14"/>
  <c r="A102" i="14"/>
  <c r="A101" i="14"/>
  <c r="P32" i="15" l="1"/>
  <c r="N144" i="14"/>
  <c r="B151" i="14" a="1"/>
  <c r="F151" i="14" l="1"/>
  <c r="C152" i="14"/>
  <c r="K152" i="14"/>
  <c r="H153" i="14"/>
  <c r="E154" i="14"/>
  <c r="B155" i="14"/>
  <c r="J155" i="14"/>
  <c r="G156" i="14"/>
  <c r="D157" i="14"/>
  <c r="L157" i="14"/>
  <c r="I158" i="14"/>
  <c r="F159" i="14"/>
  <c r="C160" i="14"/>
  <c r="K160" i="14"/>
  <c r="H161" i="14"/>
  <c r="G151" i="14"/>
  <c r="D152" i="14"/>
  <c r="L152" i="14"/>
  <c r="I153" i="14"/>
  <c r="F154" i="14"/>
  <c r="C155" i="14"/>
  <c r="K155" i="14"/>
  <c r="H156" i="14"/>
  <c r="E157" i="14"/>
  <c r="B158" i="14"/>
  <c r="J158" i="14"/>
  <c r="G159" i="14"/>
  <c r="D160" i="14"/>
  <c r="L160" i="14"/>
  <c r="I161" i="14"/>
  <c r="I151" i="14"/>
  <c r="C153" i="14"/>
  <c r="K153" i="14"/>
  <c r="E155" i="14"/>
  <c r="J156" i="14"/>
  <c r="D158" i="14"/>
  <c r="L158" i="14"/>
  <c r="F160" i="14"/>
  <c r="J151" i="14"/>
  <c r="D153" i="14"/>
  <c r="F155" i="14"/>
  <c r="H157" i="14"/>
  <c r="B159" i="14"/>
  <c r="G160" i="14"/>
  <c r="L161" i="14"/>
  <c r="D156" i="14"/>
  <c r="H160" i="14"/>
  <c r="B152" i="14"/>
  <c r="D154" i="14"/>
  <c r="I155" i="14"/>
  <c r="C157" i="14"/>
  <c r="E159" i="14"/>
  <c r="G161" i="14"/>
  <c r="H151" i="14"/>
  <c r="E152" i="14"/>
  <c r="B153" i="14"/>
  <c r="J153" i="14"/>
  <c r="G154" i="14"/>
  <c r="D155" i="14"/>
  <c r="L155" i="14"/>
  <c r="I156" i="14"/>
  <c r="F157" i="14"/>
  <c r="C158" i="14"/>
  <c r="K158" i="14"/>
  <c r="H159" i="14"/>
  <c r="E160" i="14"/>
  <c r="B161" i="14"/>
  <c r="J161" i="14"/>
  <c r="F152" i="14"/>
  <c r="H154" i="14"/>
  <c r="B156" i="14"/>
  <c r="G157" i="14"/>
  <c r="I159" i="14"/>
  <c r="K161" i="14"/>
  <c r="I154" i="14"/>
  <c r="J159" i="14"/>
  <c r="C161" i="14"/>
  <c r="B151" i="14"/>
  <c r="G152" i="14"/>
  <c r="L153" i="14"/>
  <c r="C156" i="14"/>
  <c r="K156" i="14"/>
  <c r="E158" i="14"/>
  <c r="D161" i="14"/>
  <c r="L156" i="14"/>
  <c r="E161" i="14"/>
  <c r="E151" i="14"/>
  <c r="G153" i="14"/>
  <c r="L154" i="14"/>
  <c r="F156" i="14"/>
  <c r="K157" i="14"/>
  <c r="J160" i="14"/>
  <c r="C151" i="14"/>
  <c r="K151" i="14"/>
  <c r="H152" i="14"/>
  <c r="E153" i="14"/>
  <c r="B154" i="14"/>
  <c r="J154" i="14"/>
  <c r="G155" i="14"/>
  <c r="I157" i="14"/>
  <c r="F158" i="14"/>
  <c r="C159" i="14"/>
  <c r="K159" i="14"/>
  <c r="J152" i="14"/>
  <c r="H158" i="14"/>
  <c r="D151" i="14"/>
  <c r="L151" i="14"/>
  <c r="I152" i="14"/>
  <c r="F153" i="14"/>
  <c r="C154" i="14"/>
  <c r="K154" i="14"/>
  <c r="H155" i="14"/>
  <c r="E156" i="14"/>
  <c r="B157" i="14"/>
  <c r="J157" i="14"/>
  <c r="G158" i="14"/>
  <c r="D159" i="14"/>
  <c r="L159" i="14"/>
  <c r="I160" i="14"/>
  <c r="F161" i="14"/>
  <c r="B160" i="14"/>
  <c r="B164" i="14" l="1" a="1"/>
  <c r="B164" i="14" s="1"/>
  <c r="A87" i="14"/>
  <c r="A86" i="14"/>
  <c r="A85" i="14"/>
  <c r="E83" i="14"/>
  <c r="K210" i="14"/>
  <c r="K209" i="14"/>
  <c r="K207" i="14"/>
  <c r="K205" i="14"/>
  <c r="K203" i="14"/>
  <c r="K201" i="14"/>
  <c r="H209" i="14"/>
  <c r="L210" i="14"/>
  <c r="E221" i="14"/>
  <c r="D221" i="14"/>
  <c r="C221" i="14"/>
  <c r="B221" i="14"/>
  <c r="E220" i="14"/>
  <c r="D220" i="14"/>
  <c r="C220" i="14"/>
  <c r="B220" i="14"/>
  <c r="E219" i="14"/>
  <c r="D219" i="14"/>
  <c r="B219" i="14"/>
  <c r="E218" i="14"/>
  <c r="D218" i="14"/>
  <c r="C218" i="14"/>
  <c r="B218" i="14"/>
  <c r="E215" i="14"/>
  <c r="D215" i="14"/>
  <c r="C215" i="14"/>
  <c r="B215" i="14"/>
  <c r="E214" i="14"/>
  <c r="D214" i="14"/>
  <c r="C214" i="14"/>
  <c r="E213" i="14"/>
  <c r="D213" i="14"/>
  <c r="C213" i="14"/>
  <c r="B213" i="14"/>
  <c r="E212" i="14"/>
  <c r="D212" i="14"/>
  <c r="C212" i="14"/>
  <c r="B212" i="14"/>
  <c r="F209" i="14"/>
  <c r="D209" i="14"/>
  <c r="B209" i="14"/>
  <c r="A70" i="14"/>
  <c r="A73" i="14"/>
  <c r="A72" i="14"/>
  <c r="A71" i="14"/>
  <c r="D68" i="14"/>
  <c r="E54" i="14"/>
  <c r="A58" i="14"/>
  <c r="A57" i="14"/>
  <c r="A56" i="14"/>
  <c r="C98" i="6"/>
  <c r="B24" i="14"/>
  <c r="E24" i="14" s="1"/>
  <c r="B25" i="14"/>
  <c r="E25" i="14" s="1"/>
  <c r="B23" i="14"/>
  <c r="E23" i="14" s="1"/>
  <c r="B20" i="14"/>
  <c r="E20" i="14" s="1"/>
  <c r="B21" i="14"/>
  <c r="E21" i="14" s="1"/>
  <c r="B22" i="14"/>
  <c r="E22" i="14" s="1"/>
  <c r="B19" i="14"/>
  <c r="E19" i="14" s="1"/>
  <c r="W164" i="13"/>
  <c r="V155" i="13"/>
  <c r="V156" i="13" s="1"/>
  <c r="V153" i="13"/>
  <c r="V152" i="13"/>
  <c r="V140" i="13"/>
  <c r="V143" i="13"/>
  <c r="U138" i="13"/>
  <c r="U136" i="13"/>
  <c r="Z134" i="13" s="1"/>
  <c r="AC100" i="13"/>
  <c r="AB100" i="13"/>
  <c r="AB99" i="13"/>
  <c r="AC99" i="13"/>
  <c r="AE99" i="13"/>
  <c r="AD99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J109" i="13"/>
  <c r="U99" i="13"/>
  <c r="B178" i="14" l="1"/>
  <c r="B171" i="14"/>
  <c r="B173" i="14"/>
  <c r="B174" i="14"/>
  <c r="B170" i="14"/>
  <c r="B177" i="14"/>
  <c r="B176" i="14"/>
  <c r="B175" i="14"/>
  <c r="B179" i="14"/>
  <c r="B180" i="14"/>
  <c r="B172" i="14"/>
  <c r="L164" i="14"/>
  <c r="D164" i="14"/>
  <c r="F164" i="14"/>
  <c r="E164" i="14"/>
  <c r="K164" i="14"/>
  <c r="I164" i="14"/>
  <c r="C164" i="14"/>
  <c r="H164" i="14"/>
  <c r="J164" i="14"/>
  <c r="G164" i="14"/>
  <c r="K208" i="14"/>
  <c r="L209" i="14"/>
  <c r="J209" i="14"/>
  <c r="E26" i="14"/>
  <c r="Z100" i="13"/>
  <c r="Y100" i="13"/>
  <c r="Z99" i="13"/>
  <c r="Y99" i="13"/>
  <c r="X100" i="13"/>
  <c r="W100" i="13"/>
  <c r="X99" i="13"/>
  <c r="W99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83" i="13"/>
  <c r="Y83" i="13" s="1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V100" i="13"/>
  <c r="U100" i="13"/>
  <c r="V99" i="13"/>
  <c r="Z83" i="13"/>
  <c r="W83" i="13"/>
  <c r="J103" i="13"/>
  <c r="I143" i="13"/>
  <c r="I148" i="13" s="1"/>
  <c r="L87" i="13"/>
  <c r="L89" i="13"/>
  <c r="L90" i="13"/>
  <c r="K92" i="13"/>
  <c r="L97" i="13"/>
  <c r="L98" i="13"/>
  <c r="L84" i="13"/>
  <c r="M88" i="13"/>
  <c r="J100" i="13"/>
  <c r="K96" i="13"/>
  <c r="K97" i="13"/>
  <c r="M97" i="13"/>
  <c r="K95" i="13"/>
  <c r="M95" i="13"/>
  <c r="K94" i="13"/>
  <c r="M94" i="13"/>
  <c r="K93" i="13"/>
  <c r="M93" i="13"/>
  <c r="M92" i="13"/>
  <c r="K91" i="13"/>
  <c r="M91" i="13"/>
  <c r="L96" i="13"/>
  <c r="L95" i="13"/>
  <c r="L94" i="13"/>
  <c r="L93" i="13"/>
  <c r="L91" i="13"/>
  <c r="M89" i="13"/>
  <c r="K89" i="13"/>
  <c r="L88" i="13"/>
  <c r="K88" i="13"/>
  <c r="M87" i="13"/>
  <c r="K87" i="13"/>
  <c r="M86" i="13"/>
  <c r="L86" i="13"/>
  <c r="K86" i="13"/>
  <c r="M85" i="13"/>
  <c r="L85" i="13"/>
  <c r="K85" i="13"/>
  <c r="M84" i="13"/>
  <c r="K84" i="13"/>
  <c r="M83" i="13"/>
  <c r="H55" i="13"/>
  <c r="I71" i="13" s="1"/>
  <c r="H15" i="13"/>
  <c r="T13" i="13"/>
  <c r="AA7" i="13" s="1"/>
  <c r="S13" i="13"/>
  <c r="AC11" i="13" s="1"/>
  <c r="I13" i="13"/>
  <c r="P96" i="13" s="1"/>
  <c r="H13" i="13"/>
  <c r="H64" i="13" s="1"/>
  <c r="T12" i="13"/>
  <c r="I12" i="13"/>
  <c r="H12" i="13"/>
  <c r="V11" i="13"/>
  <c r="U11" i="13"/>
  <c r="X11" i="13" s="1"/>
  <c r="L11" i="13"/>
  <c r="K11" i="13"/>
  <c r="J11" i="13"/>
  <c r="V10" i="13"/>
  <c r="U10" i="13"/>
  <c r="X10" i="13" s="1"/>
  <c r="L10" i="13"/>
  <c r="K10" i="13"/>
  <c r="J10" i="13"/>
  <c r="AC9" i="13"/>
  <c r="AA9" i="13"/>
  <c r="V9" i="13"/>
  <c r="U9" i="13"/>
  <c r="X9" i="13" s="1"/>
  <c r="L9" i="13"/>
  <c r="K9" i="13"/>
  <c r="J9" i="13"/>
  <c r="AC8" i="13"/>
  <c r="V8" i="13"/>
  <c r="U8" i="13"/>
  <c r="X8" i="13" s="1"/>
  <c r="L8" i="13"/>
  <c r="K8" i="13"/>
  <c r="J8" i="13"/>
  <c r="V7" i="13"/>
  <c r="U7" i="13"/>
  <c r="X7" i="13" s="1"/>
  <c r="Q7" i="13"/>
  <c r="L7" i="13"/>
  <c r="K7" i="13"/>
  <c r="J7" i="13"/>
  <c r="V6" i="13"/>
  <c r="U6" i="13"/>
  <c r="L6" i="13"/>
  <c r="K6" i="13"/>
  <c r="J6" i="13"/>
  <c r="V5" i="13"/>
  <c r="U5" i="13"/>
  <c r="L5" i="13"/>
  <c r="K5" i="13"/>
  <c r="J5" i="13"/>
  <c r="K170" i="14" l="1"/>
  <c r="K176" i="14"/>
  <c r="K175" i="14"/>
  <c r="K171" i="14"/>
  <c r="K177" i="14"/>
  <c r="K173" i="14"/>
  <c r="K180" i="14"/>
  <c r="K174" i="14"/>
  <c r="K178" i="14"/>
  <c r="K172" i="14"/>
  <c r="K179" i="14"/>
  <c r="E171" i="14"/>
  <c r="E179" i="14"/>
  <c r="E174" i="14"/>
  <c r="E177" i="14"/>
  <c r="E176" i="14"/>
  <c r="E170" i="14"/>
  <c r="E175" i="14"/>
  <c r="E180" i="14"/>
  <c r="E172" i="14"/>
  <c r="E173" i="14"/>
  <c r="E178" i="14"/>
  <c r="G178" i="14"/>
  <c r="G176" i="14"/>
  <c r="G175" i="14"/>
  <c r="G177" i="14"/>
  <c r="G179" i="14"/>
  <c r="G180" i="14"/>
  <c r="G174" i="14"/>
  <c r="G170" i="14"/>
  <c r="G171" i="14"/>
  <c r="G173" i="14"/>
  <c r="G172" i="14"/>
  <c r="D178" i="14"/>
  <c r="D180" i="14"/>
  <c r="D171" i="14"/>
  <c r="D170" i="14"/>
  <c r="D175" i="14"/>
  <c r="D176" i="14"/>
  <c r="D172" i="14"/>
  <c r="D177" i="14"/>
  <c r="D174" i="14"/>
  <c r="D173" i="14"/>
  <c r="D179" i="14"/>
  <c r="J178" i="14"/>
  <c r="J177" i="14"/>
  <c r="J176" i="14"/>
  <c r="J170" i="14"/>
  <c r="J180" i="14"/>
  <c r="J179" i="14"/>
  <c r="J173" i="14"/>
  <c r="J174" i="14"/>
  <c r="J172" i="14"/>
  <c r="J171" i="14"/>
  <c r="J175" i="14"/>
  <c r="L171" i="14"/>
  <c r="L170" i="14"/>
  <c r="L175" i="14"/>
  <c r="L176" i="14"/>
  <c r="L172" i="14"/>
  <c r="L174" i="14"/>
  <c r="L173" i="14"/>
  <c r="L177" i="14"/>
  <c r="L179" i="14"/>
  <c r="L178" i="14"/>
  <c r="L180" i="14"/>
  <c r="H171" i="14"/>
  <c r="H178" i="14"/>
  <c r="H172" i="14"/>
  <c r="H173" i="14"/>
  <c r="H175" i="14"/>
  <c r="H170" i="14"/>
  <c r="H176" i="14"/>
  <c r="H174" i="14"/>
  <c r="H179" i="14"/>
  <c r="H180" i="14"/>
  <c r="H177" i="14"/>
  <c r="F172" i="14"/>
  <c r="O172" i="14" s="1"/>
  <c r="F177" i="14"/>
  <c r="F178" i="14"/>
  <c r="F170" i="14"/>
  <c r="F175" i="14"/>
  <c r="F179" i="14"/>
  <c r="F174" i="14"/>
  <c r="F176" i="14"/>
  <c r="F171" i="14"/>
  <c r="F180" i="14"/>
  <c r="F173" i="14"/>
  <c r="C177" i="14"/>
  <c r="C176" i="14"/>
  <c r="C175" i="14"/>
  <c r="C171" i="14"/>
  <c r="C170" i="14"/>
  <c r="C180" i="14"/>
  <c r="C174" i="14"/>
  <c r="C173" i="14"/>
  <c r="C178" i="14"/>
  <c r="C172" i="14"/>
  <c r="C179" i="14"/>
  <c r="I170" i="14"/>
  <c r="I172" i="14"/>
  <c r="I171" i="14"/>
  <c r="I176" i="14"/>
  <c r="I177" i="14"/>
  <c r="I175" i="14"/>
  <c r="I174" i="14"/>
  <c r="I180" i="14"/>
  <c r="I173" i="14"/>
  <c r="I179" i="14"/>
  <c r="I178" i="14"/>
  <c r="V103" i="13"/>
  <c r="V104" i="13" s="1"/>
  <c r="Y104" i="13" s="1"/>
  <c r="J159" i="13"/>
  <c r="AC7" i="13"/>
  <c r="AC5" i="13"/>
  <c r="AC6" i="13"/>
  <c r="AA8" i="13"/>
  <c r="Q8" i="13"/>
  <c r="Q9" i="13"/>
  <c r="L92" i="13"/>
  <c r="K98" i="13"/>
  <c r="M90" i="13"/>
  <c r="M98" i="13"/>
  <c r="M100" i="13" s="1"/>
  <c r="K90" i="13"/>
  <c r="J99" i="13"/>
  <c r="M96" i="13"/>
  <c r="L83" i="13"/>
  <c r="I99" i="13"/>
  <c r="K83" i="13"/>
  <c r="I100" i="13"/>
  <c r="J102" i="13"/>
  <c r="U64" i="13"/>
  <c r="U55" i="13"/>
  <c r="V71" i="13" s="1"/>
  <c r="J12" i="13"/>
  <c r="O10" i="13"/>
  <c r="W11" i="13"/>
  <c r="Q10" i="13"/>
  <c r="X5" i="13"/>
  <c r="J13" i="13"/>
  <c r="K13" i="13"/>
  <c r="K12" i="13"/>
  <c r="L13" i="13"/>
  <c r="W10" i="13"/>
  <c r="U12" i="13"/>
  <c r="V13" i="13"/>
  <c r="W5" i="13"/>
  <c r="AA10" i="13"/>
  <c r="AA11" i="13"/>
  <c r="P93" i="13"/>
  <c r="U13" i="13"/>
  <c r="L12" i="13"/>
  <c r="X6" i="13"/>
  <c r="P95" i="13"/>
  <c r="O5" i="13"/>
  <c r="W8" i="13"/>
  <c r="AC10" i="13"/>
  <c r="Q11" i="13"/>
  <c r="P92" i="13"/>
  <c r="AA5" i="13"/>
  <c r="O6" i="13"/>
  <c r="W9" i="13"/>
  <c r="H60" i="13"/>
  <c r="P97" i="13"/>
  <c r="P98" i="13"/>
  <c r="P90" i="13"/>
  <c r="W7" i="13"/>
  <c r="Q5" i="13"/>
  <c r="AA6" i="13"/>
  <c r="O7" i="13"/>
  <c r="P83" i="13"/>
  <c r="P84" i="13"/>
  <c r="P85" i="13"/>
  <c r="P86" i="13"/>
  <c r="P87" i="13"/>
  <c r="P88" i="13"/>
  <c r="P89" i="13"/>
  <c r="P94" i="13"/>
  <c r="W6" i="13"/>
  <c r="O11" i="13"/>
  <c r="Q6" i="13"/>
  <c r="O8" i="13"/>
  <c r="P91" i="13"/>
  <c r="V12" i="13"/>
  <c r="O9" i="13"/>
  <c r="E158" i="10"/>
  <c r="O179" i="14" l="1"/>
  <c r="O180" i="14"/>
  <c r="O176" i="14"/>
  <c r="O174" i="14"/>
  <c r="O171" i="14"/>
  <c r="O175" i="14"/>
  <c r="O178" i="14"/>
  <c r="O177" i="14"/>
  <c r="O170" i="14"/>
  <c r="O173" i="14"/>
  <c r="AA84" i="13"/>
  <c r="AA92" i="13"/>
  <c r="AA93" i="13"/>
  <c r="AA95" i="13"/>
  <c r="AA96" i="13"/>
  <c r="AA85" i="13"/>
  <c r="AA97" i="13"/>
  <c r="AA98" i="13"/>
  <c r="AA86" i="13"/>
  <c r="AA94" i="13"/>
  <c r="AA87" i="13"/>
  <c r="AA89" i="13"/>
  <c r="AA90" i="13"/>
  <c r="AA91" i="13"/>
  <c r="AA88" i="13"/>
  <c r="AA83" i="13"/>
  <c r="R86" i="13"/>
  <c r="R94" i="13"/>
  <c r="R88" i="13"/>
  <c r="R96" i="13"/>
  <c r="R95" i="13"/>
  <c r="R89" i="13"/>
  <c r="R97" i="13"/>
  <c r="R90" i="13"/>
  <c r="R98" i="13"/>
  <c r="R92" i="13"/>
  <c r="R91" i="13"/>
  <c r="R83" i="13"/>
  <c r="R99" i="13" s="1"/>
  <c r="I152" i="13"/>
  <c r="R93" i="13"/>
  <c r="R87" i="13"/>
  <c r="R84" i="13"/>
  <c r="R85" i="13"/>
  <c r="M99" i="13"/>
  <c r="L99" i="13"/>
  <c r="AC12" i="13"/>
  <c r="K99" i="13"/>
  <c r="K100" i="13"/>
  <c r="L100" i="13"/>
  <c r="U60" i="13"/>
  <c r="X13" i="13"/>
  <c r="X12" i="13"/>
  <c r="I22" i="13"/>
  <c r="I23" i="13" s="1"/>
  <c r="M5" i="13" s="1"/>
  <c r="W12" i="13"/>
  <c r="H44" i="13"/>
  <c r="M44" i="13" s="1"/>
  <c r="H52" i="13" s="1"/>
  <c r="W13" i="13"/>
  <c r="Q12" i="13"/>
  <c r="AA13" i="13"/>
  <c r="AA12" i="13"/>
  <c r="O13" i="13"/>
  <c r="O12" i="13"/>
  <c r="P99" i="13"/>
  <c r="P100" i="13"/>
  <c r="J153" i="10"/>
  <c r="L139" i="10"/>
  <c r="C112" i="10"/>
  <c r="I144" i="10"/>
  <c r="J144" i="10" s="1"/>
  <c r="I145" i="10"/>
  <c r="I146" i="10"/>
  <c r="J146" i="10" s="1"/>
  <c r="I147" i="10"/>
  <c r="J147" i="10" s="1"/>
  <c r="I148" i="10"/>
  <c r="I149" i="10"/>
  <c r="J149" i="10" s="1"/>
  <c r="I150" i="10"/>
  <c r="J150" i="10" s="1"/>
  <c r="I151" i="10"/>
  <c r="J151" i="10" s="1"/>
  <c r="I152" i="10"/>
  <c r="J152" i="10" s="1"/>
  <c r="I143" i="10"/>
  <c r="J145" i="10"/>
  <c r="J148" i="10"/>
  <c r="J143" i="10"/>
  <c r="E159" i="10"/>
  <c r="AD83" i="13" l="1"/>
  <c r="AB83" i="13"/>
  <c r="I132" i="13"/>
  <c r="N132" i="13" s="1"/>
  <c r="I140" i="13" s="1"/>
  <c r="T16" i="13"/>
  <c r="T17" i="13" s="1"/>
  <c r="W17" i="13" s="1"/>
  <c r="Y10" i="13" s="1"/>
  <c r="AB10" i="13" s="1"/>
  <c r="M6" i="13"/>
  <c r="M7" i="13"/>
  <c r="M11" i="13"/>
  <c r="P11" i="13" s="1"/>
  <c r="M10" i="13"/>
  <c r="N10" i="13" s="1"/>
  <c r="H65" i="13"/>
  <c r="M9" i="13"/>
  <c r="P9" i="13" s="1"/>
  <c r="M8" i="13"/>
  <c r="P8" i="13" s="1"/>
  <c r="N5" i="13"/>
  <c r="P5" i="13"/>
  <c r="P10" i="13"/>
  <c r="P7" i="13"/>
  <c r="N7" i="13"/>
  <c r="P6" i="13"/>
  <c r="N6" i="13"/>
  <c r="J155" i="10"/>
  <c r="V148" i="13" l="1"/>
  <c r="V162" i="13"/>
  <c r="W159" i="13"/>
  <c r="J110" i="13"/>
  <c r="I153" i="13"/>
  <c r="U65" i="13"/>
  <c r="N11" i="13"/>
  <c r="Y6" i="13"/>
  <c r="Y9" i="13"/>
  <c r="Y7" i="13"/>
  <c r="AB7" i="13" s="1"/>
  <c r="Y5" i="13"/>
  <c r="AB5" i="13" s="1"/>
  <c r="Z10" i="13"/>
  <c r="Y11" i="13"/>
  <c r="AB11" i="13" s="1"/>
  <c r="Y8" i="13"/>
  <c r="Z8" i="13" s="1"/>
  <c r="N9" i="13"/>
  <c r="N8" i="13"/>
  <c r="Z7" i="13"/>
  <c r="P12" i="13"/>
  <c r="H50" i="13" s="1"/>
  <c r="N13" i="13"/>
  <c r="N12" i="13"/>
  <c r="H67" i="13" s="1"/>
  <c r="H68" i="13" s="1"/>
  <c r="H74" i="13" s="1"/>
  <c r="R113" i="10"/>
  <c r="S113" i="10" s="1"/>
  <c r="R114" i="10"/>
  <c r="S114" i="10" s="1"/>
  <c r="R115" i="10"/>
  <c r="S115" i="10" s="1"/>
  <c r="R112" i="10"/>
  <c r="S112" i="10" s="1"/>
  <c r="M113" i="10"/>
  <c r="N113" i="10" s="1"/>
  <c r="M114" i="10"/>
  <c r="N114" i="10" s="1"/>
  <c r="M115" i="10"/>
  <c r="N115" i="10" s="1"/>
  <c r="M112" i="10"/>
  <c r="N112" i="10" s="1"/>
  <c r="H113" i="10"/>
  <c r="I113" i="10" s="1"/>
  <c r="H114" i="10"/>
  <c r="I114" i="10" s="1"/>
  <c r="H115" i="10"/>
  <c r="I115" i="10" s="1"/>
  <c r="H112" i="10"/>
  <c r="I112" i="10" s="1"/>
  <c r="C113" i="10"/>
  <c r="D113" i="10" s="1"/>
  <c r="C114" i="10"/>
  <c r="D114" i="10" s="1"/>
  <c r="C115" i="10"/>
  <c r="D115" i="10" s="1"/>
  <c r="D112" i="10"/>
  <c r="J87" i="10"/>
  <c r="J86" i="10"/>
  <c r="J85" i="10"/>
  <c r="J84" i="10"/>
  <c r="B88" i="10"/>
  <c r="J17" i="8"/>
  <c r="E50" i="10"/>
  <c r="J164" i="13" l="1"/>
  <c r="N84" i="13"/>
  <c r="N92" i="13"/>
  <c r="N86" i="13"/>
  <c r="N94" i="13"/>
  <c r="N90" i="13"/>
  <c r="O90" i="13" s="1"/>
  <c r="N98" i="13"/>
  <c r="O98" i="13" s="1"/>
  <c r="N87" i="13"/>
  <c r="N95" i="13"/>
  <c r="O95" i="13" s="1"/>
  <c r="N91" i="13"/>
  <c r="N93" i="13"/>
  <c r="O93" i="13" s="1"/>
  <c r="N88" i="13"/>
  <c r="O88" i="13" s="1"/>
  <c r="N96" i="13"/>
  <c r="N85" i="13"/>
  <c r="N89" i="13"/>
  <c r="O89" i="13" s="1"/>
  <c r="N97" i="13"/>
  <c r="O97" i="13" s="1"/>
  <c r="N83" i="13"/>
  <c r="Z11" i="13"/>
  <c r="X164" i="13"/>
  <c r="V164" i="13"/>
  <c r="AB8" i="13"/>
  <c r="AB12" i="13" s="1"/>
  <c r="U50" i="13" s="1"/>
  <c r="Z9" i="13"/>
  <c r="AB9" i="13"/>
  <c r="Z5" i="13"/>
  <c r="Z13" i="13" s="1"/>
  <c r="Z6" i="13"/>
  <c r="AB6" i="13"/>
  <c r="Q88" i="13"/>
  <c r="Q93" i="13"/>
  <c r="Q90" i="13"/>
  <c r="Q89" i="13"/>
  <c r="Q95" i="13"/>
  <c r="Q98" i="13"/>
  <c r="Q97" i="13"/>
  <c r="Z12" i="13"/>
  <c r="U67" i="13" s="1"/>
  <c r="U68" i="13" s="1"/>
  <c r="U74" i="13" s="1"/>
  <c r="H76" i="13"/>
  <c r="J76" i="13"/>
  <c r="D116" i="10"/>
  <c r="D118" i="10" s="1"/>
  <c r="I116" i="10"/>
  <c r="I118" i="10" s="1"/>
  <c r="S116" i="10"/>
  <c r="S118" i="10" s="1"/>
  <c r="N116" i="10"/>
  <c r="N118" i="10" s="1"/>
  <c r="C44" i="10"/>
  <c r="B173" i="9" a="1"/>
  <c r="B173" i="9" s="1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86" i="9"/>
  <c r="X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C108" i="9"/>
  <c r="B61" i="9" a="1"/>
  <c r="B61" i="9" s="1"/>
  <c r="B86" i="9" a="1"/>
  <c r="B86" i="9" s="1"/>
  <c r="A35" i="9" a="1"/>
  <c r="A35" i="9" s="1"/>
  <c r="M47" i="8"/>
  <c r="D157" i="8"/>
  <c r="I135" i="8"/>
  <c r="H135" i="8"/>
  <c r="G135" i="8"/>
  <c r="F135" i="8"/>
  <c r="E135" i="8"/>
  <c r="D135" i="8"/>
  <c r="C135" i="8"/>
  <c r="J134" i="8"/>
  <c r="J133" i="8"/>
  <c r="H137" i="8" s="1"/>
  <c r="J132" i="8"/>
  <c r="G137" i="8" s="1"/>
  <c r="J131" i="8"/>
  <c r="F137" i="8" s="1"/>
  <c r="J130" i="8"/>
  <c r="E137" i="8" s="1"/>
  <c r="J129" i="8"/>
  <c r="D137" i="8" s="1"/>
  <c r="J128" i="8"/>
  <c r="K102" i="8"/>
  <c r="O86" i="13" l="1"/>
  <c r="Q86" i="13"/>
  <c r="O96" i="13"/>
  <c r="Q96" i="13"/>
  <c r="O92" i="13"/>
  <c r="Q92" i="13"/>
  <c r="Q83" i="13"/>
  <c r="Q99" i="13" s="1"/>
  <c r="I138" i="13" s="1"/>
  <c r="O83" i="13"/>
  <c r="O99" i="13" s="1"/>
  <c r="I155" i="13" s="1"/>
  <c r="I156" i="13" s="1"/>
  <c r="I162" i="13" s="1"/>
  <c r="O94" i="13"/>
  <c r="Q94" i="13"/>
  <c r="O84" i="13"/>
  <c r="Q84" i="13"/>
  <c r="O87" i="13"/>
  <c r="Q87" i="13"/>
  <c r="O91" i="13"/>
  <c r="Q91" i="13"/>
  <c r="O85" i="13"/>
  <c r="Q85" i="13"/>
  <c r="U48" i="13"/>
  <c r="Z46" i="13" s="1"/>
  <c r="U52" i="13" s="1"/>
  <c r="W76" i="13"/>
  <c r="U76" i="13"/>
  <c r="D110" i="9" a="1"/>
  <c r="D110" i="9" s="1"/>
  <c r="I108" i="8"/>
  <c r="H108" i="8"/>
  <c r="G108" i="8"/>
  <c r="F108" i="8"/>
  <c r="E108" i="8"/>
  <c r="D108" i="8"/>
  <c r="C108" i="8"/>
  <c r="J107" i="8"/>
  <c r="J106" i="8"/>
  <c r="H110" i="8" s="1"/>
  <c r="J105" i="8"/>
  <c r="G110" i="8" s="1"/>
  <c r="J104" i="8"/>
  <c r="F110" i="8" s="1"/>
  <c r="J103" i="8"/>
  <c r="E110" i="8" s="1"/>
  <c r="J102" i="8"/>
  <c r="D110" i="8" s="1"/>
  <c r="J101" i="8"/>
  <c r="K55" i="8"/>
  <c r="H55" i="8"/>
  <c r="I55" i="8"/>
  <c r="J55" i="8"/>
  <c r="L54" i="8"/>
  <c r="L53" i="8"/>
  <c r="J57" i="8" s="1"/>
  <c r="L52" i="8"/>
  <c r="L51" i="8"/>
  <c r="H57" i="8" s="1"/>
  <c r="L50" i="8"/>
  <c r="G57" i="8" s="1"/>
  <c r="L49" i="8"/>
  <c r="F57" i="8" s="1"/>
  <c r="L48" i="8"/>
  <c r="E57" i="8" s="1"/>
  <c r="L47" i="8"/>
  <c r="D57" i="8" s="1"/>
  <c r="L46" i="8"/>
  <c r="G55" i="8"/>
  <c r="F55" i="8"/>
  <c r="E55" i="8"/>
  <c r="D55" i="8"/>
  <c r="C55" i="8"/>
  <c r="B33" i="8" a="1"/>
  <c r="B33" i="8" s="1"/>
  <c r="J18" i="8"/>
  <c r="D26" i="8" s="1"/>
  <c r="J19" i="8"/>
  <c r="E26" i="8" s="1"/>
  <c r="J20" i="8"/>
  <c r="F26" i="8" s="1"/>
  <c r="J21" i="8"/>
  <c r="G26" i="8" s="1"/>
  <c r="J22" i="8"/>
  <c r="H26" i="8" s="1"/>
  <c r="J23" i="8"/>
  <c r="D24" i="8"/>
  <c r="E24" i="8"/>
  <c r="F24" i="8"/>
  <c r="G24" i="8"/>
  <c r="H24" i="8"/>
  <c r="I24" i="8"/>
  <c r="C24" i="8"/>
  <c r="B17" i="8" a="1"/>
  <c r="B17" i="8" s="1"/>
  <c r="B6" i="8" a="1"/>
  <c r="B6" i="8" s="1"/>
  <c r="B173" i="7" a="1"/>
  <c r="B173" i="7" s="1"/>
  <c r="B149" i="7" a="1"/>
  <c r="C149" i="7" s="1"/>
  <c r="B135" i="7" a="1"/>
  <c r="D137" i="7" s="1"/>
  <c r="F121" i="7"/>
  <c r="B105" i="7" a="1"/>
  <c r="B105" i="7" s="1"/>
  <c r="B81" i="7" a="1"/>
  <c r="B81" i="7" s="1"/>
  <c r="B41" i="12" a="1"/>
  <c r="D42" i="12" s="1"/>
  <c r="F27" i="12"/>
  <c r="B62" i="7"/>
  <c r="C62" i="7"/>
  <c r="D62" i="7"/>
  <c r="B63" i="7"/>
  <c r="C63" i="7"/>
  <c r="D63" i="7"/>
  <c r="D61" i="7"/>
  <c r="C61" i="7"/>
  <c r="B61" i="7"/>
  <c r="B33" i="7"/>
  <c r="B32" i="7"/>
  <c r="B18" i="7"/>
  <c r="C18" i="7"/>
  <c r="C14" i="7"/>
  <c r="C17" i="7" s="1"/>
  <c r="B14" i="7"/>
  <c r="C11" i="7"/>
  <c r="B11" i="7"/>
  <c r="C37" i="6"/>
  <c r="F34" i="6"/>
  <c r="C10" i="5"/>
  <c r="K96" i="6"/>
  <c r="E96" i="6"/>
  <c r="I99" i="6"/>
  <c r="I98" i="6"/>
  <c r="C99" i="6"/>
  <c r="E7" i="1"/>
  <c r="I164" i="13" l="1"/>
  <c r="K164" i="13"/>
  <c r="O100" i="13"/>
  <c r="I57" i="8"/>
  <c r="C174" i="7"/>
  <c r="B174" i="7"/>
  <c r="C173" i="7"/>
  <c r="C150" i="7"/>
  <c r="B149" i="7"/>
  <c r="B150" i="7"/>
  <c r="B135" i="7"/>
  <c r="C135" i="7"/>
  <c r="D135" i="7"/>
  <c r="B136" i="7"/>
  <c r="C136" i="7"/>
  <c r="D136" i="7"/>
  <c r="B137" i="7"/>
  <c r="C137" i="7"/>
  <c r="D107" i="7"/>
  <c r="E109" i="7"/>
  <c r="B108" i="7"/>
  <c r="D106" i="7"/>
  <c r="D109" i="7"/>
  <c r="F107" i="7"/>
  <c r="C106" i="7"/>
  <c r="C109" i="7"/>
  <c r="E107" i="7"/>
  <c r="B106" i="7"/>
  <c r="C105" i="7"/>
  <c r="B109" i="7"/>
  <c r="F105" i="7"/>
  <c r="F108" i="7"/>
  <c r="C107" i="7"/>
  <c r="E105" i="7"/>
  <c r="E108" i="7"/>
  <c r="B107" i="7"/>
  <c r="D105" i="7"/>
  <c r="D108" i="7"/>
  <c r="F106" i="7"/>
  <c r="F109" i="7"/>
  <c r="C108" i="7"/>
  <c r="E106" i="7"/>
  <c r="C83" i="7"/>
  <c r="B83" i="7"/>
  <c r="D82" i="7"/>
  <c r="C82" i="7"/>
  <c r="B66" i="7" a="1"/>
  <c r="B66" i="7" s="1"/>
  <c r="G63" i="7"/>
  <c r="B82" i="7"/>
  <c r="D81" i="7"/>
  <c r="C81" i="7"/>
  <c r="D83" i="7"/>
  <c r="B17" i="7"/>
  <c r="F18" i="7" s="1"/>
  <c r="B43" i="12"/>
  <c r="C42" i="12"/>
  <c r="B42" i="12"/>
  <c r="D41" i="12"/>
  <c r="C41" i="12"/>
  <c r="D43" i="12"/>
  <c r="B41" i="12"/>
  <c r="C43" i="12"/>
  <c r="E11" i="1"/>
  <c r="F167" i="5"/>
  <c r="I144" i="5"/>
  <c r="C142" i="5"/>
  <c r="C136" i="5"/>
  <c r="E136" i="5"/>
  <c r="I136" i="5"/>
  <c r="N136" i="5"/>
  <c r="C138" i="5"/>
  <c r="G138" i="5"/>
  <c r="I138" i="5"/>
  <c r="K138" i="5"/>
  <c r="N138" i="5"/>
  <c r="C140" i="5"/>
  <c r="E140" i="5"/>
  <c r="I140" i="5"/>
  <c r="K140" i="5"/>
  <c r="N140" i="5"/>
  <c r="E142" i="5"/>
  <c r="G142" i="5"/>
  <c r="I142" i="5"/>
  <c r="K142" i="5"/>
  <c r="N142" i="5"/>
  <c r="E144" i="5"/>
  <c r="G144" i="5"/>
  <c r="K144" i="5"/>
  <c r="N144" i="5"/>
  <c r="C146" i="5"/>
  <c r="E146" i="5"/>
  <c r="G146" i="5"/>
  <c r="K146" i="5"/>
  <c r="N146" i="5"/>
  <c r="B150" i="5"/>
  <c r="D150" i="5"/>
  <c r="F150" i="5"/>
  <c r="H150" i="5"/>
  <c r="J150" i="5"/>
  <c r="N150" i="5"/>
  <c r="N151" i="5"/>
  <c r="O151" i="5"/>
  <c r="B153" i="5"/>
  <c r="C153" i="5"/>
  <c r="D153" i="5"/>
  <c r="E153" i="5"/>
  <c r="F153" i="5"/>
  <c r="B154" i="5"/>
  <c r="C154" i="5"/>
  <c r="D154" i="5"/>
  <c r="E154" i="5"/>
  <c r="F154" i="5"/>
  <c r="B155" i="5"/>
  <c r="C155" i="5"/>
  <c r="D155" i="5"/>
  <c r="E155" i="5"/>
  <c r="F155" i="5"/>
  <c r="B156" i="5"/>
  <c r="C156" i="5"/>
  <c r="D156" i="5"/>
  <c r="E156" i="5"/>
  <c r="F156" i="5"/>
  <c r="B157" i="5"/>
  <c r="C157" i="5"/>
  <c r="D157" i="5"/>
  <c r="E157" i="5"/>
  <c r="F157" i="5"/>
  <c r="B160" i="5"/>
  <c r="C160" i="5"/>
  <c r="D160" i="5"/>
  <c r="E160" i="5"/>
  <c r="F160" i="5"/>
  <c r="B161" i="5"/>
  <c r="C161" i="5"/>
  <c r="D161" i="5"/>
  <c r="E161" i="5"/>
  <c r="F161" i="5"/>
  <c r="B162" i="5"/>
  <c r="C162" i="5"/>
  <c r="D162" i="5"/>
  <c r="E162" i="5"/>
  <c r="F162" i="5"/>
  <c r="B163" i="5"/>
  <c r="C163" i="5"/>
  <c r="D163" i="5"/>
  <c r="E163" i="5"/>
  <c r="F163" i="5"/>
  <c r="B164" i="5"/>
  <c r="C164" i="5"/>
  <c r="D164" i="5"/>
  <c r="E164" i="5"/>
  <c r="F164" i="5"/>
  <c r="C104" i="5"/>
  <c r="E104" i="5"/>
  <c r="I104" i="5"/>
  <c r="N104" i="5"/>
  <c r="C106" i="5"/>
  <c r="G106" i="5"/>
  <c r="I106" i="5"/>
  <c r="K106" i="5"/>
  <c r="N106" i="5"/>
  <c r="C108" i="5"/>
  <c r="E108" i="5"/>
  <c r="I108" i="5"/>
  <c r="K108" i="5"/>
  <c r="N108" i="5"/>
  <c r="E110" i="5"/>
  <c r="G110" i="5"/>
  <c r="I110" i="5"/>
  <c r="K110" i="5"/>
  <c r="N110" i="5"/>
  <c r="E112" i="5"/>
  <c r="G112" i="5"/>
  <c r="K112" i="5"/>
  <c r="N112" i="5"/>
  <c r="C114" i="5"/>
  <c r="E114" i="5"/>
  <c r="G114" i="5"/>
  <c r="K114" i="5"/>
  <c r="N114" i="5"/>
  <c r="B118" i="5"/>
  <c r="D118" i="5"/>
  <c r="F118" i="5"/>
  <c r="H118" i="5"/>
  <c r="J118" i="5"/>
  <c r="N118" i="5"/>
  <c r="N119" i="5"/>
  <c r="O119" i="5"/>
  <c r="F132" i="5"/>
  <c r="E132" i="5"/>
  <c r="D132" i="5"/>
  <c r="C132" i="5"/>
  <c r="B132" i="5"/>
  <c r="F131" i="5"/>
  <c r="E131" i="5"/>
  <c r="D131" i="5"/>
  <c r="C131" i="5"/>
  <c r="B131" i="5"/>
  <c r="F130" i="5"/>
  <c r="E130" i="5"/>
  <c r="D130" i="5"/>
  <c r="C130" i="5"/>
  <c r="B130" i="5"/>
  <c r="F129" i="5"/>
  <c r="E129" i="5"/>
  <c r="D129" i="5"/>
  <c r="C129" i="5"/>
  <c r="B129" i="5"/>
  <c r="F128" i="5"/>
  <c r="E128" i="5"/>
  <c r="D128" i="5"/>
  <c r="C128" i="5"/>
  <c r="B128" i="5"/>
  <c r="F125" i="5"/>
  <c r="E125" i="5"/>
  <c r="D125" i="5"/>
  <c r="C125" i="5"/>
  <c r="B125" i="5"/>
  <c r="F124" i="5"/>
  <c r="E124" i="5"/>
  <c r="D124" i="5"/>
  <c r="C124" i="5"/>
  <c r="B124" i="5"/>
  <c r="F123" i="5"/>
  <c r="E123" i="5"/>
  <c r="D123" i="5"/>
  <c r="C123" i="5"/>
  <c r="B123" i="5"/>
  <c r="F122" i="5"/>
  <c r="E122" i="5"/>
  <c r="D122" i="5"/>
  <c r="C122" i="5"/>
  <c r="B122" i="5"/>
  <c r="F121" i="5"/>
  <c r="E121" i="5"/>
  <c r="D121" i="5"/>
  <c r="C121" i="5"/>
  <c r="B121" i="5"/>
  <c r="K82" i="5"/>
  <c r="E82" i="5"/>
  <c r="C82" i="5"/>
  <c r="K80" i="5"/>
  <c r="G80" i="5"/>
  <c r="E80" i="5"/>
  <c r="C80" i="5"/>
  <c r="K78" i="5"/>
  <c r="I78" i="5"/>
  <c r="G78" i="5"/>
  <c r="E78" i="5"/>
  <c r="K76" i="5"/>
  <c r="I76" i="5"/>
  <c r="E76" i="5"/>
  <c r="C76" i="5"/>
  <c r="K74" i="5"/>
  <c r="I74" i="5"/>
  <c r="G74" i="5"/>
  <c r="C74" i="5"/>
  <c r="I72" i="5"/>
  <c r="E72" i="5"/>
  <c r="F100" i="5"/>
  <c r="E100" i="5"/>
  <c r="D100" i="5"/>
  <c r="C100" i="5"/>
  <c r="B100" i="5"/>
  <c r="F99" i="5"/>
  <c r="E99" i="5"/>
  <c r="D99" i="5"/>
  <c r="C99" i="5"/>
  <c r="B99" i="5"/>
  <c r="F98" i="5"/>
  <c r="E98" i="5"/>
  <c r="D98" i="5"/>
  <c r="C98" i="5"/>
  <c r="B98" i="5"/>
  <c r="F97" i="5"/>
  <c r="E97" i="5"/>
  <c r="D97" i="5"/>
  <c r="C97" i="5"/>
  <c r="B97" i="5"/>
  <c r="F96" i="5"/>
  <c r="E96" i="5"/>
  <c r="D96" i="5"/>
  <c r="C96" i="5"/>
  <c r="B96" i="5"/>
  <c r="F93" i="5"/>
  <c r="E93" i="5"/>
  <c r="D93" i="5"/>
  <c r="C93" i="5"/>
  <c r="B93" i="5"/>
  <c r="F92" i="5"/>
  <c r="E92" i="5"/>
  <c r="D92" i="5"/>
  <c r="C92" i="5"/>
  <c r="B92" i="5"/>
  <c r="F91" i="5"/>
  <c r="E91" i="5"/>
  <c r="D91" i="5"/>
  <c r="C91" i="5"/>
  <c r="B91" i="5"/>
  <c r="F90" i="5"/>
  <c r="E90" i="5"/>
  <c r="D90" i="5"/>
  <c r="C90" i="5"/>
  <c r="B90" i="5"/>
  <c r="F89" i="5"/>
  <c r="E89" i="5"/>
  <c r="D89" i="5"/>
  <c r="C89" i="5"/>
  <c r="B89" i="5"/>
  <c r="O87" i="5"/>
  <c r="N87" i="5"/>
  <c r="N86" i="5"/>
  <c r="J86" i="5"/>
  <c r="H86" i="5"/>
  <c r="F86" i="5"/>
  <c r="D86" i="5"/>
  <c r="B86" i="5"/>
  <c r="N82" i="5"/>
  <c r="N80" i="5"/>
  <c r="N78" i="5"/>
  <c r="N76" i="5"/>
  <c r="N74" i="5"/>
  <c r="N72" i="5"/>
  <c r="C50" i="5"/>
  <c r="E50" i="5"/>
  <c r="K50" i="5"/>
  <c r="K48" i="5"/>
  <c r="G48" i="5"/>
  <c r="E48" i="5"/>
  <c r="C48" i="5"/>
  <c r="K46" i="5"/>
  <c r="I46" i="5"/>
  <c r="E46" i="5"/>
  <c r="C46" i="5"/>
  <c r="K44" i="5"/>
  <c r="I44" i="5"/>
  <c r="E44" i="5"/>
  <c r="C44" i="5"/>
  <c r="K42" i="5"/>
  <c r="I42" i="5"/>
  <c r="C42" i="5"/>
  <c r="I40" i="5"/>
  <c r="G40" i="5"/>
  <c r="M16" i="5"/>
  <c r="I21" i="5"/>
  <c r="M18" i="5" s="1"/>
  <c r="K21" i="5" s="1"/>
  <c r="O55" i="5"/>
  <c r="N55" i="5"/>
  <c r="N54" i="5"/>
  <c r="J54" i="5"/>
  <c r="H54" i="5"/>
  <c r="F54" i="5"/>
  <c r="D54" i="5"/>
  <c r="B54" i="5"/>
  <c r="N50" i="5"/>
  <c r="N48" i="5"/>
  <c r="N46" i="5"/>
  <c r="N44" i="5"/>
  <c r="N42" i="5"/>
  <c r="N40" i="5"/>
  <c r="F68" i="5"/>
  <c r="E68" i="5"/>
  <c r="D68" i="5"/>
  <c r="C68" i="5"/>
  <c r="B68" i="5"/>
  <c r="F67" i="5"/>
  <c r="E67" i="5"/>
  <c r="D67" i="5"/>
  <c r="C67" i="5"/>
  <c r="B67" i="5"/>
  <c r="F66" i="5"/>
  <c r="E66" i="5"/>
  <c r="D66" i="5"/>
  <c r="C66" i="5"/>
  <c r="B66" i="5"/>
  <c r="F65" i="5"/>
  <c r="E65" i="5"/>
  <c r="D65" i="5"/>
  <c r="C65" i="5"/>
  <c r="B65" i="5"/>
  <c r="F64" i="5"/>
  <c r="E64" i="5"/>
  <c r="D64" i="5"/>
  <c r="C64" i="5"/>
  <c r="B64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F58" i="5"/>
  <c r="E58" i="5"/>
  <c r="D58" i="5"/>
  <c r="C58" i="5"/>
  <c r="B58" i="5"/>
  <c r="F57" i="5"/>
  <c r="E57" i="5"/>
  <c r="D57" i="5"/>
  <c r="C57" i="5"/>
  <c r="B57" i="5"/>
  <c r="N22" i="5"/>
  <c r="N8" i="5"/>
  <c r="N10" i="5"/>
  <c r="N12" i="5"/>
  <c r="N14" i="5"/>
  <c r="N16" i="5"/>
  <c r="N18" i="5"/>
  <c r="B22" i="5"/>
  <c r="D22" i="5"/>
  <c r="F22" i="5"/>
  <c r="H22" i="5"/>
  <c r="J22" i="5"/>
  <c r="N23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2" i="5"/>
  <c r="C32" i="5"/>
  <c r="D32" i="5"/>
  <c r="E32" i="5"/>
  <c r="F32" i="5"/>
  <c r="B33" i="5"/>
  <c r="C33" i="5"/>
  <c r="D33" i="5"/>
  <c r="E33" i="5"/>
  <c r="F33" i="5"/>
  <c r="O23" i="5"/>
  <c r="F36" i="5"/>
  <c r="E36" i="5"/>
  <c r="D36" i="5"/>
  <c r="C36" i="5"/>
  <c r="B36" i="5"/>
  <c r="F35" i="5"/>
  <c r="E35" i="5"/>
  <c r="D35" i="5"/>
  <c r="C35" i="5"/>
  <c r="B35" i="5"/>
  <c r="F34" i="5"/>
  <c r="E34" i="5"/>
  <c r="D34" i="5"/>
  <c r="C34" i="5"/>
  <c r="B34" i="5"/>
  <c r="M95" i="3"/>
  <c r="M97" i="3"/>
  <c r="M99" i="3"/>
  <c r="M101" i="3"/>
  <c r="M93" i="3"/>
  <c r="K103" i="3"/>
  <c r="G103" i="3"/>
  <c r="C103" i="3"/>
  <c r="K101" i="3"/>
  <c r="I101" i="3"/>
  <c r="G101" i="3"/>
  <c r="E101" i="3"/>
  <c r="K99" i="3"/>
  <c r="I99" i="3"/>
  <c r="G99" i="3"/>
  <c r="C99" i="3"/>
  <c r="K97" i="3"/>
  <c r="I97" i="3"/>
  <c r="E97" i="3"/>
  <c r="C97" i="3"/>
  <c r="K95" i="3"/>
  <c r="G95" i="3"/>
  <c r="E95" i="3"/>
  <c r="C95" i="3"/>
  <c r="I93" i="3"/>
  <c r="E93" i="3"/>
  <c r="C93" i="3"/>
  <c r="F105" i="3"/>
  <c r="D132" i="4"/>
  <c r="D131" i="4"/>
  <c r="G34" i="2"/>
  <c r="B177" i="7" l="1" a="1"/>
  <c r="B177" i="7" s="1"/>
  <c r="B153" i="7" a="1"/>
  <c r="C154" i="7" s="1"/>
  <c r="C177" i="7"/>
  <c r="C178" i="7"/>
  <c r="E174" i="7"/>
  <c r="C153" i="7"/>
  <c r="B154" i="7"/>
  <c r="B153" i="7"/>
  <c r="H107" i="7"/>
  <c r="F82" i="7"/>
  <c r="B85" i="7" a="1"/>
  <c r="B111" i="7" a="1"/>
  <c r="C66" i="7"/>
  <c r="C67" i="7"/>
  <c r="D67" i="7"/>
  <c r="D66" i="7"/>
  <c r="B67" i="7"/>
  <c r="C68" i="7"/>
  <c r="D68" i="7"/>
  <c r="B68" i="7"/>
  <c r="B21" i="7" a="1"/>
  <c r="O150" i="5"/>
  <c r="M118" i="5"/>
  <c r="O118" i="5"/>
  <c r="N117" i="5"/>
  <c r="M150" i="5"/>
  <c r="I8" i="5"/>
  <c r="O54" i="5"/>
  <c r="I14" i="5"/>
  <c r="N149" i="5"/>
  <c r="O86" i="5"/>
  <c r="M86" i="5"/>
  <c r="N85" i="5"/>
  <c r="M54" i="5"/>
  <c r="K10" i="5"/>
  <c r="G16" i="5"/>
  <c r="E16" i="5"/>
  <c r="K8" i="5"/>
  <c r="N53" i="5"/>
  <c r="G8" i="5"/>
  <c r="K16" i="5"/>
  <c r="M22" i="5"/>
  <c r="N21" i="5"/>
  <c r="O22" i="5"/>
  <c r="D128" i="4"/>
  <c r="G31" i="2"/>
  <c r="M105" i="3"/>
  <c r="J105" i="3"/>
  <c r="B105" i="3"/>
  <c r="D105" i="3"/>
  <c r="H105" i="3"/>
  <c r="B178" i="7" l="1"/>
  <c r="B181" i="7" a="1"/>
  <c r="B157" i="7" a="1"/>
  <c r="C87" i="7"/>
  <c r="C85" i="7"/>
  <c r="D85" i="7"/>
  <c r="B86" i="7"/>
  <c r="C86" i="7"/>
  <c r="D86" i="7"/>
  <c r="B87" i="7"/>
  <c r="B85" i="7"/>
  <c r="D87" i="7"/>
  <c r="B111" i="7"/>
  <c r="D115" i="7"/>
  <c r="C113" i="7"/>
  <c r="C114" i="7"/>
  <c r="B114" i="7"/>
  <c r="B112" i="7"/>
  <c r="F112" i="7"/>
  <c r="E115" i="7"/>
  <c r="F114" i="7"/>
  <c r="F115" i="7"/>
  <c r="C111" i="7"/>
  <c r="E111" i="7"/>
  <c r="E112" i="7"/>
  <c r="D111" i="7"/>
  <c r="F111" i="7"/>
  <c r="E113" i="7"/>
  <c r="F113" i="7"/>
  <c r="D112" i="7"/>
  <c r="E114" i="7"/>
  <c r="B115" i="7"/>
  <c r="C112" i="7"/>
  <c r="B113" i="7"/>
  <c r="D113" i="7"/>
  <c r="C115" i="7"/>
  <c r="D114" i="7"/>
  <c r="B21" i="7"/>
  <c r="C22" i="7"/>
  <c r="B22" i="7"/>
  <c r="C21" i="7"/>
  <c r="C14" i="5"/>
  <c r="G18" i="5"/>
  <c r="C16" i="5"/>
  <c r="E18" i="5"/>
  <c r="C18" i="5"/>
  <c r="C12" i="5"/>
  <c r="E12" i="5"/>
  <c r="K14" i="5"/>
  <c r="E14" i="5"/>
  <c r="K12" i="5"/>
  <c r="I12" i="5"/>
  <c r="F120" i="3"/>
  <c r="E120" i="3"/>
  <c r="D120" i="3"/>
  <c r="C120" i="3"/>
  <c r="B120" i="3"/>
  <c r="F119" i="3"/>
  <c r="E119" i="3"/>
  <c r="D119" i="3"/>
  <c r="C119" i="3"/>
  <c r="B119" i="3"/>
  <c r="F118" i="3"/>
  <c r="E118" i="3"/>
  <c r="D118" i="3"/>
  <c r="C118" i="3"/>
  <c r="B118" i="3"/>
  <c r="F117" i="3"/>
  <c r="E117" i="3"/>
  <c r="D117" i="3"/>
  <c r="C117" i="3"/>
  <c r="B117" i="3"/>
  <c r="F116" i="3"/>
  <c r="E116" i="3"/>
  <c r="D116" i="3"/>
  <c r="C116" i="3"/>
  <c r="B116" i="3"/>
  <c r="F113" i="3"/>
  <c r="E113" i="3"/>
  <c r="D113" i="3"/>
  <c r="C113" i="3"/>
  <c r="B113" i="3"/>
  <c r="F112" i="3"/>
  <c r="E112" i="3"/>
  <c r="D112" i="3"/>
  <c r="C112" i="3"/>
  <c r="B112" i="3"/>
  <c r="F111" i="3"/>
  <c r="E111" i="3"/>
  <c r="D111" i="3"/>
  <c r="C111" i="3"/>
  <c r="B111" i="3"/>
  <c r="F110" i="3"/>
  <c r="E110" i="3"/>
  <c r="D110" i="3"/>
  <c r="C110" i="3"/>
  <c r="B110" i="3"/>
  <c r="F109" i="3"/>
  <c r="E109" i="3"/>
  <c r="D109" i="3"/>
  <c r="C109" i="3"/>
  <c r="B109" i="3"/>
  <c r="N106" i="3"/>
  <c r="M106" i="3"/>
  <c r="M37" i="4"/>
  <c r="M39" i="4"/>
  <c r="M38" i="4"/>
  <c r="M40" i="4"/>
  <c r="M35" i="4"/>
  <c r="M68" i="3"/>
  <c r="N73" i="3"/>
  <c r="M72" i="3"/>
  <c r="F87" i="3"/>
  <c r="F86" i="3"/>
  <c r="F85" i="3"/>
  <c r="F84" i="3"/>
  <c r="F83" i="3"/>
  <c r="E87" i="3"/>
  <c r="E86" i="3"/>
  <c r="E85" i="3"/>
  <c r="E84" i="3"/>
  <c r="E83" i="3"/>
  <c r="D87" i="3"/>
  <c r="D86" i="3"/>
  <c r="D85" i="3"/>
  <c r="D84" i="3"/>
  <c r="D83" i="3"/>
  <c r="C87" i="3"/>
  <c r="C86" i="3"/>
  <c r="C85" i="3"/>
  <c r="C84" i="3"/>
  <c r="C83" i="3"/>
  <c r="B87" i="3"/>
  <c r="B86" i="3"/>
  <c r="B85" i="3"/>
  <c r="B84" i="3"/>
  <c r="B83" i="3"/>
  <c r="B80" i="3"/>
  <c r="B79" i="3"/>
  <c r="B78" i="3"/>
  <c r="B77" i="3"/>
  <c r="B76" i="3"/>
  <c r="C80" i="3"/>
  <c r="C79" i="3"/>
  <c r="C78" i="3"/>
  <c r="C77" i="3"/>
  <c r="C76" i="3"/>
  <c r="D80" i="3"/>
  <c r="D79" i="3"/>
  <c r="D78" i="3"/>
  <c r="D77" i="3"/>
  <c r="D76" i="3"/>
  <c r="E80" i="3"/>
  <c r="E79" i="3"/>
  <c r="E78" i="3"/>
  <c r="E77" i="3"/>
  <c r="E76" i="3"/>
  <c r="F78" i="3"/>
  <c r="F77" i="3"/>
  <c r="F76" i="3"/>
  <c r="F80" i="3"/>
  <c r="F79" i="3"/>
  <c r="M73" i="3"/>
  <c r="M66" i="3"/>
  <c r="M70" i="3"/>
  <c r="M64" i="3"/>
  <c r="M62" i="3"/>
  <c r="J72" i="3"/>
  <c r="H72" i="3"/>
  <c r="F72" i="3"/>
  <c r="D72" i="3"/>
  <c r="B72" i="3"/>
  <c r="K43" i="3"/>
  <c r="B47" i="3"/>
  <c r="H43" i="3"/>
  <c r="F43" i="3"/>
  <c r="D43" i="3"/>
  <c r="B43" i="3"/>
  <c r="K41" i="3"/>
  <c r="K39" i="3"/>
  <c r="K37" i="3"/>
  <c r="K35" i="3"/>
  <c r="G17" i="12"/>
  <c r="G21" i="12"/>
  <c r="G20" i="12"/>
  <c r="G35" i="2"/>
  <c r="G36" i="2"/>
  <c r="G19" i="2"/>
  <c r="G22" i="2"/>
  <c r="G23" i="2"/>
  <c r="G24" i="2"/>
  <c r="E56" i="3"/>
  <c r="D56" i="3"/>
  <c r="C56" i="3"/>
  <c r="B56" i="3"/>
  <c r="E55" i="3"/>
  <c r="D55" i="3"/>
  <c r="C55" i="3"/>
  <c r="B55" i="3"/>
  <c r="E54" i="3"/>
  <c r="D54" i="3"/>
  <c r="C54" i="3"/>
  <c r="B54" i="3"/>
  <c r="E53" i="3"/>
  <c r="D53" i="3"/>
  <c r="C53" i="3"/>
  <c r="E50" i="3"/>
  <c r="D50" i="3"/>
  <c r="C50" i="3"/>
  <c r="B50" i="3"/>
  <c r="E49" i="3"/>
  <c r="D49" i="3"/>
  <c r="C49" i="3"/>
  <c r="B49" i="3"/>
  <c r="E48" i="3"/>
  <c r="D48" i="3"/>
  <c r="C48" i="3"/>
  <c r="B48" i="3"/>
  <c r="E47" i="3"/>
  <c r="D47" i="3"/>
  <c r="C47" i="3"/>
  <c r="L44" i="3"/>
  <c r="K44" i="3"/>
  <c r="N15" i="3"/>
  <c r="K12" i="3"/>
  <c r="I12" i="3"/>
  <c r="G12" i="3"/>
  <c r="E12" i="3"/>
  <c r="C12" i="3"/>
  <c r="K10" i="3"/>
  <c r="I10" i="3"/>
  <c r="G10" i="3"/>
  <c r="E10" i="3"/>
  <c r="C10" i="3"/>
  <c r="K8" i="3"/>
  <c r="I8" i="3"/>
  <c r="G8" i="3"/>
  <c r="E8" i="3"/>
  <c r="C8" i="3"/>
  <c r="K6" i="3"/>
  <c r="I6" i="3"/>
  <c r="G6" i="3"/>
  <c r="E6" i="3"/>
  <c r="C6" i="3"/>
  <c r="J13" i="3"/>
  <c r="H13" i="3"/>
  <c r="F13" i="3"/>
  <c r="D13" i="3"/>
  <c r="B13" i="3"/>
  <c r="J11" i="3"/>
  <c r="H11" i="3"/>
  <c r="F11" i="3"/>
  <c r="D11" i="3"/>
  <c r="B11" i="3"/>
  <c r="J9" i="3"/>
  <c r="H9" i="3"/>
  <c r="F9" i="3"/>
  <c r="D9" i="3"/>
  <c r="B9" i="3"/>
  <c r="J7" i="3"/>
  <c r="H7" i="3"/>
  <c r="F7" i="3"/>
  <c r="D7" i="3"/>
  <c r="B7" i="3"/>
  <c r="N16" i="3"/>
  <c r="M16" i="3"/>
  <c r="I9" i="2"/>
  <c r="I7" i="2"/>
  <c r="F24" i="1"/>
  <c r="I12" i="2"/>
  <c r="I11" i="2"/>
  <c r="I10" i="2"/>
  <c r="F26" i="1"/>
  <c r="F10" i="12"/>
  <c r="F11" i="12"/>
  <c r="F9" i="12"/>
  <c r="F6" i="12"/>
  <c r="G120" i="1"/>
  <c r="G118" i="1"/>
  <c r="G119" i="1"/>
  <c r="G117" i="1"/>
  <c r="G115" i="1"/>
  <c r="F27" i="1"/>
  <c r="F28" i="1"/>
  <c r="E10" i="1"/>
  <c r="E12" i="1"/>
  <c r="E13" i="1"/>
  <c r="E14" i="1"/>
  <c r="E15" i="1"/>
  <c r="E9" i="1"/>
  <c r="B181" i="7" l="1"/>
  <c r="B182" i="7"/>
  <c r="B157" i="7"/>
  <c r="B158" i="7"/>
  <c r="B35" i="7" a="1"/>
  <c r="B36" i="7" s="1"/>
  <c r="H113" i="7"/>
  <c r="B26" i="7" a="1"/>
  <c r="M104" i="3"/>
  <c r="N105" i="3"/>
  <c r="L105" i="3"/>
  <c r="L72" i="3"/>
  <c r="N72" i="3"/>
  <c r="M71" i="3"/>
  <c r="H15" i="3"/>
  <c r="J43" i="3"/>
  <c r="K42" i="3"/>
  <c r="M15" i="3"/>
  <c r="M13" i="3"/>
  <c r="M7" i="3"/>
  <c r="F15" i="3"/>
  <c r="B15" i="3"/>
  <c r="M9" i="3"/>
  <c r="D15" i="3"/>
  <c r="M11" i="3"/>
  <c r="J15" i="3"/>
  <c r="B35" i="7" l="1"/>
  <c r="G184" i="7" a="1"/>
  <c r="G160" i="7" a="1"/>
  <c r="B26" i="7"/>
  <c r="B38" i="7" s="1"/>
  <c r="B27" i="7"/>
  <c r="B39" i="7"/>
  <c r="L15" i="3"/>
  <c r="M14" i="3"/>
  <c r="G184" i="7" l="1"/>
  <c r="H184" i="7"/>
  <c r="C188" i="7" s="1"/>
  <c r="H160" i="7"/>
  <c r="G160" i="7"/>
  <c r="G41" i="7" a="1"/>
  <c r="G41" i="7" s="1"/>
  <c r="B44" i="7" s="1"/>
  <c r="B53" i="3"/>
  <c r="L43" i="3" s="1"/>
  <c r="B188" i="7" l="1"/>
  <c r="B163" i="7"/>
  <c r="B164" i="7"/>
  <c r="B187" i="7" s="1"/>
  <c r="C164" i="7"/>
  <c r="C187" i="7" s="1"/>
  <c r="C163" i="7"/>
  <c r="B45" i="7"/>
  <c r="H41" i="7"/>
  <c r="H187" i="7" l="1"/>
  <c r="E187" i="7"/>
  <c r="H188" i="7"/>
  <c r="E188" i="7"/>
  <c r="E164" i="7"/>
  <c r="H164" i="7"/>
  <c r="E163" i="7"/>
  <c r="H163" i="7"/>
  <c r="C44" i="7"/>
  <c r="E44" i="7" s="1"/>
  <c r="C45" i="7"/>
  <c r="E45" i="7" s="1"/>
  <c r="H44" i="7" l="1" a="1"/>
  <c r="H44" i="7" l="1"/>
  <c r="H45" i="7"/>
  <c r="N134" i="14"/>
  <c r="N133" i="14"/>
  <c r="N132" i="14"/>
  <c r="N131" i="14"/>
  <c r="N130" i="14"/>
  <c r="N129" i="14"/>
  <c r="N128" i="14"/>
  <c r="N127" i="14"/>
  <c r="N126" i="14"/>
  <c r="N125" i="14"/>
  <c r="A134" i="14"/>
  <c r="A133" i="14"/>
  <c r="A132" i="14"/>
  <c r="A131" i="14"/>
  <c r="A130" i="14"/>
  <c r="A129" i="14"/>
  <c r="A128" i="14"/>
  <c r="A127" i="14"/>
  <c r="A126" i="14"/>
  <c r="A125" i="14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B39" i="8"/>
  <c r="B38" i="8"/>
  <c r="B37" i="8"/>
  <c r="B36" i="8"/>
  <c r="B35" i="8"/>
  <c r="B34" i="8"/>
  <c r="B23" i="8"/>
  <c r="B22" i="8"/>
  <c r="B21" i="8"/>
  <c r="B20" i="8"/>
  <c r="B19" i="8"/>
  <c r="B18" i="8"/>
  <c r="B12" i="8"/>
  <c r="B11" i="8"/>
  <c r="B10" i="8"/>
  <c r="B9" i="8"/>
  <c r="B8" i="8"/>
  <c r="B7" i="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<sst xmlns="http://schemas.openxmlformats.org/spreadsheetml/2006/main" count="1243" uniqueCount="404">
  <si>
    <t>Решение ЗЛП</t>
  </si>
  <si>
    <t>Типовое задание 1.</t>
  </si>
  <si>
    <t>Переменные</t>
  </si>
  <si>
    <t>ЦФ</t>
  </si>
  <si>
    <t>Коэф. ЦФ</t>
  </si>
  <si>
    <t>Ограничения</t>
  </si>
  <si>
    <t>≤</t>
  </si>
  <si>
    <t>≥</t>
  </si>
  <si>
    <t>Вывод: оптимум - 95000 при оптимальном плане x1 = 1500, x2 = 1250</t>
  </si>
  <si>
    <t>Типовое задание 2.</t>
  </si>
  <si>
    <t>Задание 4.</t>
  </si>
  <si>
    <t>Вывод: оптимум - 17 при оптимальном плане x1 = 2, x2 = 5</t>
  </si>
  <si>
    <t>Задание 3.</t>
  </si>
  <si>
    <t>Вывод: оптимум - 4.5 при оптимальном плане x1 = 0.375, x2 = 0.75</t>
  </si>
  <si>
    <t>Вариант 8</t>
  </si>
  <si>
    <t>Вариант 22, 29</t>
  </si>
  <si>
    <t>Методы решения и оптимизации ТЗ</t>
  </si>
  <si>
    <t>B1</t>
  </si>
  <si>
    <t>B2</t>
  </si>
  <si>
    <t>B3</t>
  </si>
  <si>
    <t>B4</t>
  </si>
  <si>
    <t>B5</t>
  </si>
  <si>
    <t>A1</t>
  </si>
  <si>
    <t>A2</t>
  </si>
  <si>
    <t>A3</t>
  </si>
  <si>
    <t>A4</t>
  </si>
  <si>
    <t>Метод СЗУ</t>
  </si>
  <si>
    <t>Осталось высезти</t>
  </si>
  <si>
    <t>A</t>
  </si>
  <si>
    <t>X</t>
  </si>
  <si>
    <t>=</t>
  </si>
  <si>
    <t>Задание 2. (22)</t>
  </si>
  <si>
    <t>Вывод: по 1-ой теореме двойственности - так как исходная задача не имеет решения, следовательно и двойственная не имеет решения</t>
  </si>
  <si>
    <t>Задание 3. (29)</t>
  </si>
  <si>
    <t>В5</t>
  </si>
  <si>
    <t>A5</t>
  </si>
  <si>
    <t>Задание 3. Вариант 8. Метод СЗУ</t>
  </si>
  <si>
    <t>Вывод: не все потребители получили свои заказы</t>
  </si>
  <si>
    <t>Составление математических моделей</t>
  </si>
  <si>
    <t>Вариант 1</t>
  </si>
  <si>
    <t>Задание 1.1</t>
  </si>
  <si>
    <t>Ограничения спроса</t>
  </si>
  <si>
    <t>x1</t>
  </si>
  <si>
    <t>x2</t>
  </si>
  <si>
    <t>x3</t>
  </si>
  <si>
    <t>Задание 2.1</t>
  </si>
  <si>
    <t>Метод min стоимости</t>
  </si>
  <si>
    <t>А6</t>
  </si>
  <si>
    <t>ГРАФИЧЕСКИЙ МЕТОД</t>
  </si>
  <si>
    <t>РЕШЕНИЕ ДВОЙСТВЕННОЙ ЗАДАЧИ. ПОИСК ДВОЙСТВЕННЫХ ОЦЕНОК</t>
  </si>
  <si>
    <t>V(i)=</t>
  </si>
  <si>
    <t>U(i)=</t>
  </si>
  <si>
    <t>Практическая работа №5</t>
  </si>
  <si>
    <t>Метод оптимизации ОП ТЗ.</t>
  </si>
  <si>
    <t>Осталось вывезти</t>
  </si>
  <si>
    <t xml:space="preserve"> </t>
  </si>
  <si>
    <t>u1</t>
  </si>
  <si>
    <t>u2</t>
  </si>
  <si>
    <t>u3</t>
  </si>
  <si>
    <t>u4</t>
  </si>
  <si>
    <t>v1</t>
  </si>
  <si>
    <t>v2</t>
  </si>
  <si>
    <t>v3</t>
  </si>
  <si>
    <t>v4</t>
  </si>
  <si>
    <t>v5</t>
  </si>
  <si>
    <t>u5</t>
  </si>
  <si>
    <t>u6</t>
  </si>
  <si>
    <t>Метод СЗУ. Вариант 8</t>
  </si>
  <si>
    <t>Вывод: в ходе оптимизации транспортной задачи цена упала, что снижает расходы на доставку</t>
  </si>
  <si>
    <t>рублей</t>
  </si>
  <si>
    <t>Откуда</t>
  </si>
  <si>
    <t>Куда</t>
  </si>
  <si>
    <t>Стоимость перевозок уменьшена на:</t>
  </si>
  <si>
    <t>Практическая работа №6</t>
  </si>
  <si>
    <t>Вариант № 1</t>
  </si>
  <si>
    <t>Найти решение</t>
  </si>
  <si>
    <t>f(x1,x2)</t>
  </si>
  <si>
    <t>Ответ: оптимальное решение при x1=2, x2=3 равно 5</t>
  </si>
  <si>
    <t>Ответ: оптимальное решение при x1=20, x2=50 равно 14600</t>
  </si>
  <si>
    <t>x1&gt;=0</t>
  </si>
  <si>
    <t>x2&gt;=0</t>
  </si>
  <si>
    <t>Найти оптимальное решение</t>
  </si>
  <si>
    <t>min Z=x1^2+x2^2-x3^2+1</t>
  </si>
  <si>
    <t>(x1-1)^2+(x2-1)^2+x3&lt;=4</t>
  </si>
  <si>
    <t>x3&gt;=0</t>
  </si>
  <si>
    <t>Задание 5.</t>
  </si>
  <si>
    <t>Z=(x1-4)^2+(x2-6)^2</t>
  </si>
  <si>
    <t>x1+x2&gt;=1</t>
  </si>
  <si>
    <t>2x1+3x2&lt;=12</t>
  </si>
  <si>
    <t>Максимум</t>
  </si>
  <si>
    <t>Минимум</t>
  </si>
  <si>
    <t>Вывод: оптимальное максимальное решение 40, при х1=6, х2=0 и оптимальное минимальное решение 15, при х1=1.85, х2=2.77</t>
  </si>
  <si>
    <t>Вывод: оптимальное решение -13, при x1=0.88, x2=0.88, x3=3.98</t>
  </si>
  <si>
    <t>Y</t>
  </si>
  <si>
    <t>Y=</t>
  </si>
  <si>
    <t>A=</t>
  </si>
  <si>
    <t>E=</t>
  </si>
  <si>
    <t>E-A=</t>
  </si>
  <si>
    <t>|E-A|=</t>
  </si>
  <si>
    <t>Матрица существует, так как определитель не равен нулю</t>
  </si>
  <si>
    <t>Х=</t>
  </si>
  <si>
    <t>Для того чтобы найти валовый продукт Х нужно Y умножить на обратную матрицу</t>
  </si>
  <si>
    <t>Х2=</t>
  </si>
  <si>
    <t>Дельта Х=</t>
  </si>
  <si>
    <t>Найдём объемы межтраслевых потоков</t>
  </si>
  <si>
    <t>X`=</t>
  </si>
  <si>
    <t>Вывод: матрица А является продуктивной</t>
  </si>
  <si>
    <t>а</t>
  </si>
  <si>
    <t>-а</t>
  </si>
  <si>
    <t>5а - λ</t>
  </si>
  <si>
    <t>4а - λ</t>
  </si>
  <si>
    <t>(5а-λ)(4а-λ)(4а-λ)+0+0-0-(-λ)(-λ)(5а-λ)</t>
  </si>
  <si>
    <t>(5a−λ)(4a−λ)(4a−λ)−(5a−λ)</t>
  </si>
  <si>
    <t>(5a-λ)((4a-λ)^2-1)=0</t>
  </si>
  <si>
    <t>5a-λ=0</t>
  </si>
  <si>
    <t>и</t>
  </si>
  <si>
    <t>(4a-λ)^2-1=0</t>
  </si>
  <si>
    <t>λ=5a</t>
  </si>
  <si>
    <t>λ = -1+4a</t>
  </si>
  <si>
    <t>λ = 1+4a</t>
  </si>
  <si>
    <t>max = 5a</t>
  </si>
  <si>
    <t>5a &lt; 1</t>
  </si>
  <si>
    <t>a &lt; 1/5</t>
  </si>
  <si>
    <t>Вывод:</t>
  </si>
  <si>
    <t>Задача 3. ПР7</t>
  </si>
  <si>
    <t>Задание 2.</t>
  </si>
  <si>
    <t>А=</t>
  </si>
  <si>
    <t>2 - λ</t>
  </si>
  <si>
    <t>4 - λ</t>
  </si>
  <si>
    <t>1 - λ</t>
  </si>
  <si>
    <t>3 - λ</t>
  </si>
  <si>
    <t>-3 - λ</t>
  </si>
  <si>
    <t>*5</t>
  </si>
  <si>
    <t>*3</t>
  </si>
  <si>
    <t>-9 - λ</t>
  </si>
  <si>
    <t>15-5λ</t>
  </si>
  <si>
    <t>10-3λ</t>
  </si>
  <si>
    <t>9 - λ</t>
  </si>
  <si>
    <t>(2 - λ) * (-1)^2)*</t>
  </si>
  <si>
    <t>+(-1*-1^3)*</t>
  </si>
  <si>
    <t>ПР7.</t>
  </si>
  <si>
    <t>типовое задание 1</t>
  </si>
  <si>
    <t>типовое задание 2</t>
  </si>
  <si>
    <t>задание 1. продуктивность без y</t>
  </si>
  <si>
    <t>задание 2. продуктивность по 1 критерию</t>
  </si>
  <si>
    <t>задание 3. также - найти число А</t>
  </si>
  <si>
    <t>задание 4. найти Х и Хij</t>
  </si>
  <si>
    <t>задание 5. Составить ММ и подобрать Y</t>
  </si>
  <si>
    <t>пример задания 3.</t>
  </si>
  <si>
    <t>А = а</t>
  </si>
  <si>
    <t>а&gt;0?</t>
  </si>
  <si>
    <t>А - продуктивная</t>
  </si>
  <si>
    <t>λ&gt;1</t>
  </si>
  <si>
    <t>Задание 1. Вариант 14</t>
  </si>
  <si>
    <t xml:space="preserve">А = </t>
  </si>
  <si>
    <t>E =</t>
  </si>
  <si>
    <t>Задание 2. Вариант 14</t>
  </si>
  <si>
    <t>Опред.</t>
  </si>
  <si>
    <t>Задание 4. Вариант 14</t>
  </si>
  <si>
    <t>Задание 3. Вариант 14</t>
  </si>
  <si>
    <t>С=</t>
  </si>
  <si>
    <t>С</t>
  </si>
  <si>
    <t>Задание 5. Вариант 14</t>
  </si>
  <si>
    <t>Сети и потоки.</t>
  </si>
  <si>
    <t>Пункт назначения</t>
  </si>
  <si>
    <t>S1</t>
  </si>
  <si>
    <t>S2</t>
  </si>
  <si>
    <t>Пункт отправления</t>
  </si>
  <si>
    <t>Зашел поток</t>
  </si>
  <si>
    <t>Вышел поток</t>
  </si>
  <si>
    <t>Целевая ячейка</t>
  </si>
  <si>
    <t>S</t>
  </si>
  <si>
    <t>B</t>
  </si>
  <si>
    <t>C</t>
  </si>
  <si>
    <t>D</t>
  </si>
  <si>
    <t>E</t>
  </si>
  <si>
    <t>F</t>
  </si>
  <si>
    <t>T</t>
  </si>
  <si>
    <t>Характестика графика:</t>
  </si>
  <si>
    <t>- Мультиграф</t>
  </si>
  <si>
    <t>- Количество вершин: 8</t>
  </si>
  <si>
    <t>Вывод: кратчайшее расстояние от истока к стоку - 6</t>
  </si>
  <si>
    <t>Найдём объемы межотраслевых потоков</t>
  </si>
  <si>
    <t>Матрица непродуктивна</t>
  </si>
  <si>
    <t>Расчитаем максимальный поток по алгоритму  Форда-Фалкерсона</t>
  </si>
  <si>
    <t>1) S-A-B-T</t>
  </si>
  <si>
    <t>2) S-C-T</t>
  </si>
  <si>
    <t>min (3, 2, 2) =</t>
  </si>
  <si>
    <t>min (9, 2) =</t>
  </si>
  <si>
    <t>3) S-D-E-T</t>
  </si>
  <si>
    <t>min (4, 4, 2) =</t>
  </si>
  <si>
    <t>Сумма =</t>
  </si>
  <si>
    <t>Вывод: максимальный поток в сети - 6</t>
  </si>
  <si>
    <t>Путь 1</t>
  </si>
  <si>
    <t>Путь 2</t>
  </si>
  <si>
    <t>Путь 3</t>
  </si>
  <si>
    <t>Вариант 17.</t>
  </si>
  <si>
    <t>- Петли отсутствуют</t>
  </si>
  <si>
    <t>- Присутствуют кратные ребра</t>
  </si>
  <si>
    <t>- Присутствуют дуги</t>
  </si>
  <si>
    <t>- Взвешанный</t>
  </si>
  <si>
    <t>- Количество рёбер: 23</t>
  </si>
  <si>
    <t>- Смешанный</t>
  </si>
  <si>
    <t xml:space="preserve"> - Связный</t>
  </si>
  <si>
    <t>Вариант 14.</t>
  </si>
  <si>
    <t>МММБ.</t>
  </si>
  <si>
    <t>Вывод: матрица А непродуктивна по первому критерию</t>
  </si>
  <si>
    <t>=&gt; Матрица                     существует, так как определитель отличен от нуля</t>
  </si>
  <si>
    <t>Вывод: так как матрица непродуктивна, следовательно вектор найти невозможно</t>
  </si>
  <si>
    <t>Прикладные задачи. Сети и потоки</t>
  </si>
  <si>
    <t>Вариант 4.</t>
  </si>
  <si>
    <t xml:space="preserve"> 0.5</t>
  </si>
  <si>
    <t xml:space="preserve"> 0.1</t>
  </si>
  <si>
    <t xml:space="preserve"> 3.5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</si>
  <si>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</si>
  <si>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</si>
  <si>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</si>
  <si>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</si>
  <si>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</si>
  <si>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</si>
  <si>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</si>
  <si>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</si>
  <si>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</si>
  <si>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</si>
  <si>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</si>
  <si>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</si>
  <si>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U</t>
  </si>
  <si>
    <t>Задание 2. Составить матрицу смежности</t>
  </si>
  <si>
    <t>Задание 1. Построить сеть по условию задачи</t>
  </si>
  <si>
    <t>Задание 3.  Определить величину максимального потока. Сделать вывод по условию задачи.</t>
  </si>
  <si>
    <t>Целевая ячейка:</t>
  </si>
  <si>
    <t>Регрессионный анализ.</t>
  </si>
  <si>
    <t>x</t>
  </si>
  <si>
    <t>y</t>
  </si>
  <si>
    <t>y = 2,6597x + 5,9135</t>
  </si>
  <si>
    <t>Прогнозное значение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</si>
  <si>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</si>
  <si>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</si>
  <si>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</si>
  <si>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</si>
  <si>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</si>
  <si>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</si>
  <si>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</si>
  <si>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</si>
  <si>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</si>
  <si>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</si>
  <si>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</si>
  <si>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</si>
  <si>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</si>
  <si>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</si>
  <si>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</si>
  <si>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</si>
  <si>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</si>
  <si>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</si>
  <si>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</si>
  <si>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</si>
  <si>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</si>
  <si>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</si>
  <si>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</si>
  <si>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Коэффициент детерминации близок к единице, поэтому модель качественна (или объективна)</t>
  </si>
  <si>
    <t>Коэффициент корреляции =</t>
  </si>
  <si>
    <t>- близок к единице, значит связь весьма тесная</t>
  </si>
  <si>
    <t>n - Объём выборки</t>
  </si>
  <si>
    <t>Среднее квадратическое отклонение</t>
  </si>
  <si>
    <t>Вывод: на основе полученных данных, полученных на основе линейной регрессии, можно сделать вывод о том, что прогноз можно считать объективным</t>
  </si>
  <si>
    <t>ПУТЬ 1</t>
  </si>
  <si>
    <t>min (3.5, 3, 2) =</t>
  </si>
  <si>
    <t>ПУТЬ 2</t>
  </si>
  <si>
    <t>ПУТЬ 3</t>
  </si>
  <si>
    <t>1) Y-F-I-U</t>
  </si>
  <si>
    <t>2) Y-A-B-P-Q-S-T-U</t>
  </si>
  <si>
    <t>min =</t>
  </si>
  <si>
    <t>0.1</t>
  </si>
  <si>
    <t>3) Y-A-D-O-P-Q-S-T-U</t>
  </si>
  <si>
    <t>ПУТЬ 4</t>
  </si>
  <si>
    <t>4) Y-F-K-L-M-P-Q-S-T-U</t>
  </si>
  <si>
    <t>ПУТЬ 5</t>
  </si>
  <si>
    <t>5) Y-F-K-L-N-P-Q-S-T-U</t>
  </si>
  <si>
    <t>Самый короткий путь:</t>
  </si>
  <si>
    <t>Y-A-B-P-Q-S-T-U</t>
  </si>
  <si>
    <t xml:space="preserve">Сумма путей: </t>
  </si>
  <si>
    <t>Вывод: максимальный поток в сети 2.4</t>
  </si>
  <si>
    <t>Типовое задание 9.1</t>
  </si>
  <si>
    <t>n</t>
  </si>
  <si>
    <t>xp</t>
  </si>
  <si>
    <t>y = -8,6x + 33</t>
  </si>
  <si>
    <r>
      <t>y = 4x</t>
    </r>
    <r>
      <rPr>
        <vertAlign val="superscript"/>
        <sz val="9"/>
        <color rgb="FF595959"/>
        <rFont val="Calibri"/>
        <family val="2"/>
        <charset val="204"/>
        <scheme val="minor"/>
      </rPr>
      <t>2</t>
    </r>
    <r>
      <rPr>
        <sz val="9"/>
        <color rgb="FF595959"/>
        <rFont val="Calibri"/>
        <family val="2"/>
        <charset val="204"/>
        <scheme val="minor"/>
      </rPr>
      <t xml:space="preserve"> - 28,6x + 53</t>
    </r>
  </si>
  <si>
    <r>
      <t>y = 33,719x</t>
    </r>
    <r>
      <rPr>
        <vertAlign val="superscript"/>
        <sz val="9"/>
        <color rgb="FF595959"/>
        <rFont val="Calibri"/>
        <family val="2"/>
        <charset val="204"/>
        <scheme val="minor"/>
      </rPr>
      <t>-2,091</t>
    </r>
  </si>
  <si>
    <r>
      <t>y = 79,373e</t>
    </r>
    <r>
      <rPr>
        <vertAlign val="superscript"/>
        <sz val="9"/>
        <color rgb="FF595959"/>
        <rFont val="Calibri"/>
        <family val="2"/>
        <charset val="204"/>
        <scheme val="minor"/>
      </rPr>
      <t>-1,007x</t>
    </r>
  </si>
  <si>
    <t>Проверим полученные модели на качество</t>
  </si>
  <si>
    <t>y^</t>
  </si>
  <si>
    <t>|(y-y^)/y|</t>
  </si>
  <si>
    <t>y = 4x2 - 28,6x + 53</t>
  </si>
  <si>
    <t>y = 79,373e-1,007x</t>
  </si>
  <si>
    <t>n=</t>
  </si>
  <si>
    <t>xp=</t>
  </si>
  <si>
    <t>Вариант 3.</t>
  </si>
  <si>
    <t>y = -0,0007x6 + 0,0218x5 - 0,2669x4 + 1,4855x3 - 3,2999x2 + 1,9718x - 2,3502 =&gt;</t>
  </si>
  <si>
    <t>y = -0,0007x6 + 0,0218x5 - 0,2669x4 + 1,4855x3 - 3,2999x2 + 1,9718x - 2,3502</t>
  </si>
  <si>
    <t xml:space="preserve">Коэффициент детерминации  = </t>
  </si>
  <si>
    <t>- близок к единице, поэтому модель качественна (или объективна)</t>
  </si>
  <si>
    <t>Ошибка апроксимации =</t>
  </si>
  <si>
    <t xml:space="preserve">Вывод: </t>
  </si>
  <si>
    <t>Вывод: на основе полученных данных, полученных на основе регрессии, можно сделать вывод о том, что прогноз можно считать объективным</t>
  </si>
  <si>
    <t>Минимальное время от работы А (оценка состава и содержания работ) до работы U (доставка неиспользованных материалов на склад) потребует 7.1 ед. времени
Работы, которые будут выполнены по ходу: B(осведомление потребителей электроэнергии о временном отключении системы); P(обесточивание и переключение линий); Q(включение и фазировка новой линии); S(снятие старых проводов); T(демонтаж старых опор)</t>
  </si>
  <si>
    <t>Регрессионный анализ</t>
  </si>
  <si>
    <t>Типовое задание</t>
  </si>
  <si>
    <t>y = -0,3459x + 76,877</t>
  </si>
  <si>
    <t>х</t>
  </si>
  <si>
    <t>у</t>
  </si>
  <si>
    <t>ху</t>
  </si>
  <si>
    <t>х^2</t>
  </si>
  <si>
    <t>у^2</t>
  </si>
  <si>
    <t>утеор</t>
  </si>
  <si>
    <t>Х</t>
  </si>
  <si>
    <t>У</t>
  </si>
  <si>
    <t>ХУ</t>
  </si>
  <si>
    <t>средние</t>
  </si>
  <si>
    <t>b=</t>
  </si>
  <si>
    <t>lga=</t>
  </si>
  <si>
    <t>a=</t>
  </si>
  <si>
    <t>r=</t>
  </si>
  <si>
    <t xml:space="preserve"> Связь обратная, слабая</t>
  </si>
  <si>
    <t>R^2=</t>
  </si>
  <si>
    <t xml:space="preserve"> Связь слабая</t>
  </si>
  <si>
    <t>p=</t>
  </si>
  <si>
    <t>Связь слабая</t>
  </si>
  <si>
    <t>Модель качественная</t>
  </si>
  <si>
    <t>Fфакт=</t>
  </si>
  <si>
    <t>m=</t>
  </si>
  <si>
    <t>Fтабл=</t>
  </si>
  <si>
    <t>Fa,m,(n-m-1)=6,61</t>
  </si>
  <si>
    <t>Fa,m,(n-m-1)=6,94</t>
  </si>
  <si>
    <t>k1=m=</t>
  </si>
  <si>
    <t>k2=n-m-1=</t>
  </si>
  <si>
    <t>Fфакт&lt;Fтабл</t>
  </si>
  <si>
    <t>Модель не надежная</t>
  </si>
  <si>
    <t>yp=</t>
  </si>
  <si>
    <t>k=</t>
  </si>
  <si>
    <t>n-2=</t>
  </si>
  <si>
    <t>tтабл=</t>
  </si>
  <si>
    <t>Вывод: найденный прогноз нельзя считать качественным и надежным, т.к. показатели….....говорят о некачественности моделей. Необходимо рассмотреть другую модель для получения надежного прогноза.</t>
  </si>
  <si>
    <r>
      <t>y = 190,03x</t>
    </r>
    <r>
      <rPr>
        <vertAlign val="superscript"/>
        <sz val="9"/>
        <color rgb="FF595959"/>
        <rFont val="Calibri"/>
        <family val="2"/>
        <charset val="204"/>
        <scheme val="minor"/>
      </rPr>
      <t>-0,298</t>
    </r>
  </si>
  <si>
    <t>Для линейной регрессии</t>
  </si>
  <si>
    <t>Для степенной регрессии</t>
  </si>
  <si>
    <t>Вариант 6</t>
  </si>
  <si>
    <t>Вариант 6.</t>
  </si>
  <si>
    <t>Fa,m,(n-m-1)=4,6</t>
  </si>
  <si>
    <t>Связь сильная и прямая</t>
  </si>
  <si>
    <t>Модель не качественная</t>
  </si>
  <si>
    <t>Вывод: найденный прогноз можно считать качественный и надежным, так как показатели говорят о качественной модели</t>
  </si>
  <si>
    <t>Fa,m,(n-m-1)=3,80557</t>
  </si>
  <si>
    <t>Итоговая работа.</t>
  </si>
  <si>
    <t>Задание 1.</t>
  </si>
  <si>
    <t>Пн</t>
  </si>
  <si>
    <t>Вт</t>
  </si>
  <si>
    <t>Ср</t>
  </si>
  <si>
    <t>Чт</t>
  </si>
  <si>
    <t>Пт</t>
  </si>
  <si>
    <t>Сб</t>
  </si>
  <si>
    <t>Вс</t>
  </si>
  <si>
    <t>+10 сотрудников</t>
  </si>
  <si>
    <t>+15 сотрудников</t>
  </si>
  <si>
    <t>График работы</t>
  </si>
  <si>
    <t>День</t>
  </si>
  <si>
    <t>Кол-во сотрудников</t>
  </si>
  <si>
    <t>Оплата =</t>
  </si>
  <si>
    <t>Зарплата</t>
  </si>
  <si>
    <t>Минимальная недельная зарплата =</t>
  </si>
  <si>
    <t>x4</t>
  </si>
  <si>
    <t>f(x)</t>
  </si>
  <si>
    <t>Нулевые значения x2 и x3 говорят о том, что продукция Б, В выходят в нулевые затраты</t>
  </si>
  <si>
    <t>y1</t>
  </si>
  <si>
    <t>y2</t>
  </si>
  <si>
    <t>y3</t>
  </si>
  <si>
    <t>b1</t>
  </si>
  <si>
    <t>b2</t>
  </si>
  <si>
    <t>b3</t>
  </si>
  <si>
    <t>b4</t>
  </si>
  <si>
    <t>ai</t>
  </si>
  <si>
    <t>a1</t>
  </si>
  <si>
    <t>a2</t>
  </si>
  <si>
    <t>a3</t>
  </si>
  <si>
    <t>a4</t>
  </si>
  <si>
    <t>bj</t>
  </si>
  <si>
    <t>Вывод: стоимость перевозок при методе СЗУ = 286</t>
  </si>
  <si>
    <t>При увеличении запасов:</t>
  </si>
  <si>
    <t xml:space="preserve">Вывод: общая стоимость при изменении запасов сырья снизилась </t>
  </si>
  <si>
    <t>x5</t>
  </si>
  <si>
    <t>При увеличении изделий:</t>
  </si>
  <si>
    <t>Вывод: нецелесообразно включать изделие Д, так как общая стоимость превышает изначальную почти на половину</t>
  </si>
  <si>
    <t>Отрасль</t>
  </si>
  <si>
    <t>Конечное потребление</t>
  </si>
  <si>
    <t>Объемы межтраслевых потоков</t>
  </si>
  <si>
    <t>Год</t>
  </si>
  <si>
    <t>Прогнозное значение=</t>
  </si>
  <si>
    <t xml:space="preserve">Отклонение точечного прогноза от реального = </t>
  </si>
  <si>
    <t>Вывод: отклонение точечного прогноза от реального равно ~-64%</t>
  </si>
  <si>
    <t>b5</t>
  </si>
  <si>
    <t>Потребитель</t>
  </si>
  <si>
    <t>Поставщик</t>
  </si>
  <si>
    <t>Потребность</t>
  </si>
  <si>
    <t>Запас</t>
  </si>
  <si>
    <t>Стоимость доставки продукци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</si>
</sst>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theme="1"/>
      <name val="Calibri "/>
      <charset val="204"/>
    </font>
    <font>
      <sz val="11"/>
      <color theme="1"/>
      <name val="Calibri"/>
      <family val="2"/>
      <charset val="204"/>
      <scheme val="minor"/>
    </font>
    <font>
      <sz val="11"/>
      <color rgb="FF333333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2"/>
      <color rgb="FF040C28"/>
      <name val="Arial"/>
      <family val="2"/>
      <charset val="204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"/>
      <color rgb="FF595959"/>
      <name val="Calibri"/>
      <family val="2"/>
      <charset val="204"/>
      <scheme val="minor"/>
    </font>
    <font>
      <vertAlign val="superscript"/>
      <sz val="9"/>
      <color rgb="FF595959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8"/>
      <color rgb="FF444444"/>
      <name val="Arial"/>
      <family val="2"/>
      <charset val="204"/>
    </font>
  </fonts>
  <fills count="1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7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applyFont="1"/>
    <xf numFmtId="0" fontId="0" fillId="2" borderId="0" xfId="0" applyFill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0" xfId="0" applyFill="1"/>
    <xf numFmtId="0" fontId="0" fillId="4" borderId="0" xfId="0" applyFill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1" fillId="0" borderId="1" xfId="0" applyFont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1" fillId="0" borderId="0" xfId="0" applyFont="1" applyAlignment="1">
      <alignment horizontal="center"/>
    </xf>
    <xf numFmtId="1" fontId="0" fillId="2" borderId="1" xfId="0" applyNumberFormat="1" applyFill="1" applyBorder="1"/>
    <xf numFmtId="0" fontId="3" fillId="0" borderId="0" xfId="0" applyFont="1" applyAlignment="1">
      <alignment horizontal="right"/>
    </xf>
    <xf numFmtId="0" fontId="4" fillId="7" borderId="0" xfId="0" applyFont="1" applyFill="1" applyAlignment="1">
      <alignment horizontal="right"/>
    </xf>
    <xf numFmtId="0" fontId="4" fillId="7" borderId="0" xfId="0" applyFont="1" applyFill="1" applyAlignment="1">
      <alignment horizontal="right" wrapText="1"/>
    </xf>
    <xf numFmtId="2" fontId="0" fillId="2" borderId="1" xfId="0" applyNumberFormat="1" applyFill="1" applyBorder="1" applyAlignment="1">
      <alignment horizontal="center"/>
    </xf>
    <xf numFmtId="0" fontId="0" fillId="8" borderId="5" xfId="0" applyFill="1" applyBorder="1"/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horizontal="right"/>
    </xf>
    <xf numFmtId="0" fontId="0" fillId="10" borderId="0" xfId="0" applyFill="1" applyAlignment="1">
      <alignment horizontal="left"/>
    </xf>
    <xf numFmtId="0" fontId="0" fillId="4" borderId="3" xfId="0" applyFill="1" applyBorder="1"/>
    <xf numFmtId="0" fontId="0" fillId="9" borderId="3" xfId="0" applyFill="1" applyBorder="1"/>
    <xf numFmtId="0" fontId="3" fillId="0" borderId="0" xfId="0" applyFont="1"/>
    <xf numFmtId="0" fontId="6" fillId="0" borderId="0" xfId="0" applyFont="1"/>
    <xf numFmtId="0" fontId="3" fillId="0" borderId="0" xfId="0" applyFont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0" fontId="3" fillId="11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8" fillId="0" borderId="0" xfId="0" applyFont="1" applyAlignment="1">
      <alignment vertical="center"/>
    </xf>
    <xf numFmtId="0" fontId="7" fillId="0" borderId="0" xfId="0" applyFont="1"/>
    <xf numFmtId="0" fontId="3" fillId="12" borderId="1" xfId="0" applyFont="1" applyFill="1" applyBorder="1" applyAlignment="1">
      <alignment horizontal="center" wrapText="1"/>
    </xf>
    <xf numFmtId="0" fontId="8" fillId="0" borderId="0" xfId="0" applyFont="1" applyAlignment="1">
      <alignment wrapText="1"/>
    </xf>
    <xf numFmtId="0" fontId="7" fillId="0" borderId="0" xfId="0" applyFont="1" applyAlignment="1">
      <alignment vertical="center"/>
    </xf>
    <xf numFmtId="0" fontId="3" fillId="2" borderId="1" xfId="0" applyFont="1" applyFill="1" applyBorder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0" borderId="1" xfId="0" applyFont="1" applyBorder="1" applyAlignment="1">
      <alignment horizontal="center"/>
    </xf>
    <xf numFmtId="0" fontId="7" fillId="13" borderId="0" xfId="0" applyFont="1" applyFill="1" applyAlignment="1">
      <alignment wrapText="1"/>
    </xf>
    <xf numFmtId="0" fontId="3" fillId="2" borderId="8" xfId="0" applyFont="1" applyFill="1" applyBorder="1"/>
    <xf numFmtId="0" fontId="3" fillId="0" borderId="11" xfId="0" applyFont="1" applyBorder="1"/>
    <xf numFmtId="0" fontId="3" fillId="0" borderId="13" xfId="0" applyFont="1" applyBorder="1" applyAlignment="1">
      <alignment horizontal="center"/>
    </xf>
    <xf numFmtId="0" fontId="3" fillId="0" borderId="14" xfId="0" applyFont="1" applyBorder="1"/>
    <xf numFmtId="0" fontId="3" fillId="0" borderId="9" xfId="0" applyFont="1" applyBorder="1" applyAlignment="1">
      <alignment horizontal="center"/>
    </xf>
    <xf numFmtId="0" fontId="3" fillId="3" borderId="11" xfId="0" applyFont="1" applyFill="1" applyBorder="1"/>
    <xf numFmtId="0" fontId="3" fillId="4" borderId="8" xfId="0" applyFont="1" applyFill="1" applyBorder="1"/>
    <xf numFmtId="0" fontId="3" fillId="4" borderId="12" xfId="0" applyFont="1" applyFill="1" applyBorder="1"/>
    <xf numFmtId="0" fontId="0" fillId="0" borderId="0" xfId="0" applyAlignment="1">
      <alignment horizontal="right"/>
    </xf>
    <xf numFmtId="2" fontId="0" fillId="0" borderId="1" xfId="0" applyNumberFormat="1" applyBorder="1"/>
    <xf numFmtId="0" fontId="0" fillId="0" borderId="1" xfId="0" applyBorder="1" applyAlignment="1">
      <alignment horizontal="center" vertical="center"/>
    </xf>
    <xf numFmtId="2" fontId="0" fillId="2" borderId="1" xfId="0" applyNumberFormat="1" applyFill="1" applyBorder="1"/>
    <xf numFmtId="0" fontId="0" fillId="0" borderId="0" xfId="0" quotePrefix="1"/>
    <xf numFmtId="0" fontId="0" fillId="0" borderId="1" xfId="0" applyBorder="1" applyAlignment="1">
      <alignment horizontal="right"/>
    </xf>
    <xf numFmtId="0" fontId="0" fillId="0" borderId="1" xfId="0" quotePrefix="1" applyBorder="1" applyAlignment="1">
      <alignment horizontal="right"/>
    </xf>
    <xf numFmtId="0" fontId="2" fillId="0" borderId="0" xfId="0" quotePrefix="1" applyFont="1"/>
    <xf numFmtId="0" fontId="9" fillId="0" borderId="0" xfId="0" applyFont="1"/>
    <xf numFmtId="0" fontId="0" fillId="0" borderId="21" xfId="0" applyBorder="1"/>
    <xf numFmtId="0" fontId="3" fillId="0" borderId="0" xfId="0" quotePrefix="1" applyFont="1"/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0" fillId="10" borderId="1" xfId="0" applyFill="1" applyBorder="1"/>
    <xf numFmtId="0" fontId="6" fillId="0" borderId="1" xfId="0" applyFont="1" applyBorder="1" applyAlignment="1">
      <alignment horizontal="center" vertical="center" wrapText="1"/>
    </xf>
    <xf numFmtId="0" fontId="0" fillId="5" borderId="25" xfId="0" applyFill="1" applyBorder="1"/>
    <xf numFmtId="0" fontId="0" fillId="5" borderId="24" xfId="0" applyFill="1" applyBorder="1"/>
    <xf numFmtId="164" fontId="0" fillId="0" borderId="1" xfId="0" applyNumberFormat="1" applyBorder="1"/>
    <xf numFmtId="0" fontId="10" fillId="0" borderId="0" xfId="0" applyFont="1"/>
    <xf numFmtId="0" fontId="0" fillId="0" borderId="0" xfId="0" applyAlignment="1">
      <alignment horizontal="left"/>
    </xf>
    <xf numFmtId="0" fontId="0" fillId="0" borderId="28" xfId="0" applyBorder="1"/>
    <xf numFmtId="0" fontId="0" fillId="0" borderId="22" xfId="0" applyBorder="1"/>
    <xf numFmtId="0" fontId="0" fillId="0" borderId="6" xfId="0" applyBorder="1"/>
    <xf numFmtId="0" fontId="0" fillId="0" borderId="27" xfId="0" applyBorder="1"/>
    <xf numFmtId="0" fontId="12" fillId="0" borderId="0" xfId="0" applyFont="1"/>
    <xf numFmtId="0" fontId="0" fillId="14" borderId="1" xfId="0" applyFill="1" applyBorder="1"/>
    <xf numFmtId="0" fontId="0" fillId="6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5" borderId="1" xfId="0" applyFill="1" applyBorder="1"/>
    <xf numFmtId="0" fontId="0" fillId="9" borderId="1" xfId="0" applyFill="1" applyBorder="1"/>
    <xf numFmtId="164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0" fillId="15" borderId="1" xfId="0" applyFill="1" applyBorder="1"/>
    <xf numFmtId="0" fontId="15" fillId="15" borderId="0" xfId="0" applyFont="1" applyFill="1"/>
    <xf numFmtId="0" fontId="0" fillId="15" borderId="0" xfId="0" applyFill="1"/>
    <xf numFmtId="0" fontId="0" fillId="0" borderId="0" xfId="0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vertical="center" textRotation="90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left" vertical="center"/>
    </xf>
    <xf numFmtId="2" fontId="0" fillId="0" borderId="0" xfId="0" applyNumberFormat="1"/>
    <xf numFmtId="164" fontId="0" fillId="0" borderId="0" xfId="0" applyNumberFormat="1" applyAlignment="1">
      <alignment horizontal="left"/>
    </xf>
    <xf numFmtId="0" fontId="16" fillId="0" borderId="0" xfId="0" applyFont="1" applyAlignment="1">
      <alignment horizontal="center" vertical="center" readingOrder="1"/>
    </xf>
    <xf numFmtId="0" fontId="18" fillId="0" borderId="0" xfId="0" applyFont="1" applyAlignment="1">
      <alignment horizontal="right" vertical="center" readingOrder="1"/>
    </xf>
    <xf numFmtId="0" fontId="0" fillId="0" borderId="0" xfId="0" quotePrefix="1" applyAlignment="1">
      <alignment horizontal="right"/>
    </xf>
    <xf numFmtId="0" fontId="0" fillId="0" borderId="30" xfId="0" applyBorder="1"/>
    <xf numFmtId="0" fontId="14" fillId="0" borderId="31" xfId="0" applyFont="1" applyBorder="1" applyAlignment="1">
      <alignment horizontal="center"/>
    </xf>
    <xf numFmtId="0" fontId="14" fillId="0" borderId="31" xfId="0" applyFont="1" applyBorder="1" applyAlignment="1">
      <alignment horizontal="centerContinuous"/>
    </xf>
    <xf numFmtId="0" fontId="14" fillId="0" borderId="0" xfId="0" applyFont="1" applyAlignment="1">
      <alignment horizontal="centerContinuous"/>
    </xf>
    <xf numFmtId="0" fontId="14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0" fillId="0" borderId="32" xfId="0" applyBorder="1"/>
    <xf numFmtId="0" fontId="14" fillId="0" borderId="19" xfId="0" applyFont="1" applyBorder="1" applyAlignment="1">
      <alignment horizontal="centerContinuous"/>
    </xf>
    <xf numFmtId="0" fontId="0" fillId="0" borderId="24" xfId="0" applyBorder="1" applyAlignment="1">
      <alignment horizontal="center" vertical="center"/>
    </xf>
    <xf numFmtId="0" fontId="0" fillId="15" borderId="1" xfId="0" applyFill="1" applyBorder="1" applyAlignment="1">
      <alignment horizontal="left"/>
    </xf>
    <xf numFmtId="0" fontId="0" fillId="15" borderId="0" xfId="0" applyFill="1" applyAlignment="1">
      <alignment horizontal="right"/>
    </xf>
    <xf numFmtId="0" fontId="6" fillId="0" borderId="1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23" xfId="0" applyFont="1" applyFill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34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0" fillId="0" borderId="23" xfId="0" applyBorder="1"/>
    <xf numFmtId="0" fontId="0" fillId="3" borderId="23" xfId="0" applyFill="1" applyBorder="1"/>
    <xf numFmtId="0" fontId="0" fillId="0" borderId="8" xfId="0" applyBorder="1"/>
    <xf numFmtId="0" fontId="0" fillId="0" borderId="11" xfId="0" applyBorder="1"/>
    <xf numFmtId="0" fontId="0" fillId="0" borderId="25" xfId="0" applyBorder="1"/>
    <xf numFmtId="0" fontId="0" fillId="3" borderId="21" xfId="0" applyFill="1" applyBorder="1"/>
    <xf numFmtId="0" fontId="0" fillId="3" borderId="2" xfId="0" applyFill="1" applyBorder="1"/>
    <xf numFmtId="0" fontId="0" fillId="0" borderId="36" xfId="0" applyBorder="1"/>
    <xf numFmtId="0" fontId="0" fillId="0" borderId="37" xfId="0" applyBorder="1"/>
    <xf numFmtId="0" fontId="0" fillId="0" borderId="33" xfId="0" applyBorder="1"/>
    <xf numFmtId="0" fontId="0" fillId="0" borderId="34" xfId="0" applyBorder="1"/>
    <xf numFmtId="0" fontId="0" fillId="0" borderId="38" xfId="0" applyBorder="1"/>
    <xf numFmtId="0" fontId="6" fillId="0" borderId="34" xfId="0" applyFont="1" applyBorder="1"/>
    <xf numFmtId="0" fontId="6" fillId="0" borderId="35" xfId="0" applyFont="1" applyBorder="1"/>
    <xf numFmtId="0" fontId="0" fillId="3" borderId="33" xfId="0" applyFill="1" applyBorder="1"/>
    <xf numFmtId="0" fontId="0" fillId="3" borderId="38" xfId="0" applyFill="1" applyBorder="1"/>
    <xf numFmtId="0" fontId="0" fillId="0" borderId="35" xfId="0" applyBorder="1"/>
    <xf numFmtId="0" fontId="0" fillId="0" borderId="19" xfId="0" applyBorder="1"/>
    <xf numFmtId="0" fontId="0" fillId="0" borderId="12" xfId="0" applyBorder="1"/>
    <xf numFmtId="0" fontId="0" fillId="0" borderId="13" xfId="0" applyBorder="1"/>
    <xf numFmtId="0" fontId="0" fillId="0" borderId="39" xfId="0" applyBorder="1"/>
    <xf numFmtId="0" fontId="0" fillId="0" borderId="14" xfId="0" applyBorder="1"/>
    <xf numFmtId="0" fontId="0" fillId="3" borderId="12" xfId="0" applyFill="1" applyBorder="1"/>
    <xf numFmtId="0" fontId="0" fillId="3" borderId="39" xfId="0" applyFill="1" applyBorder="1"/>
    <xf numFmtId="0" fontId="0" fillId="0" borderId="40" xfId="0" applyBorder="1"/>
    <xf numFmtId="0" fontId="0" fillId="0" borderId="28" xfId="0" applyBorder="1" applyAlignment="1">
      <alignment horizontal="right"/>
    </xf>
    <xf numFmtId="0" fontId="6" fillId="0" borderId="21" xfId="0" applyFont="1" applyBorder="1" applyAlignment="1">
      <alignment horizontal="center"/>
    </xf>
    <xf numFmtId="0" fontId="0" fillId="0" borderId="24" xfId="0" applyBorder="1"/>
    <xf numFmtId="0" fontId="0" fillId="0" borderId="41" xfId="0" applyBorder="1"/>
    <xf numFmtId="0" fontId="6" fillId="0" borderId="24" xfId="0" applyFont="1" applyBorder="1"/>
    <xf numFmtId="0" fontId="6" fillId="0" borderId="42" xfId="0" applyFont="1" applyBorder="1"/>
    <xf numFmtId="0" fontId="0" fillId="0" borderId="1" xfId="0" applyBorder="1" applyAlignment="1">
      <alignment horizontal="center" vertical="center" wrapText="1"/>
    </xf>
    <xf numFmtId="0" fontId="0" fillId="11" borderId="1" xfId="0" applyFill="1" applyBorder="1"/>
    <xf numFmtId="0" fontId="0" fillId="4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16" borderId="1" xfId="0" applyFill="1" applyBorder="1" applyAlignment="1">
      <alignment horizontal="center" vertical="center"/>
    </xf>
    <xf numFmtId="9" fontId="0" fillId="0" borderId="0" xfId="0" applyNumberFormat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0" fontId="0" fillId="14" borderId="0" xfId="0" applyFill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0" fillId="0" borderId="1" xfId="0" applyBorder="1" applyAlignment="1">
      <alignment horizontal="center" textRotation="90"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0" fillId="0" borderId="1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textRotation="90" wrapText="1"/>
    </xf>
    <xf numFmtId="0" fontId="0" fillId="0" borderId="26" xfId="0" applyBorder="1" applyAlignment="1">
      <alignment horizontal="center" textRotation="90" wrapText="1"/>
    </xf>
    <xf numFmtId="0" fontId="0" fillId="0" borderId="24" xfId="0" applyBorder="1" applyAlignment="1">
      <alignment horizontal="center" textRotation="90" wrapText="1"/>
    </xf>
    <xf numFmtId="0" fontId="6" fillId="0" borderId="1" xfId="0" applyFont="1" applyBorder="1" applyAlignment="1">
      <alignment horizontal="center"/>
    </xf>
    <xf numFmtId="0" fontId="6" fillId="0" borderId="21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0" fontId="0" fillId="0" borderId="2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5" xfId="0" applyBorder="1" applyAlignment="1">
      <alignment horizontal="center"/>
    </xf>
    <xf numFmtId="0" fontId="6" fillId="0" borderId="5" xfId="0" applyFont="1" applyBorder="1" applyAlignment="1">
      <alignment horizontal="center" wrapText="1"/>
    </xf>
    <xf numFmtId="0" fontId="0" fillId="0" borderId="3" xfId="0" applyBorder="1" applyAlignment="1">
      <alignment horizontal="center" vertical="center" textRotation="90" wrapText="1"/>
    </xf>
    <xf numFmtId="0" fontId="0" fillId="0" borderId="22" xfId="0" applyBorder="1" applyAlignment="1">
      <alignment horizontal="center" vertical="center" textRotation="90" wrapText="1"/>
    </xf>
    <xf numFmtId="0" fontId="6" fillId="0" borderId="23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0" fillId="0" borderId="21" xfId="0" applyBorder="1" applyAlignment="1">
      <alignment horizontal="center" vertical="center" textRotation="90" wrapText="1"/>
    </xf>
    <xf numFmtId="0" fontId="0" fillId="0" borderId="26" xfId="0" applyBorder="1" applyAlignment="1">
      <alignment horizontal="center" vertical="center" textRotation="90" wrapText="1"/>
    </xf>
    <xf numFmtId="0" fontId="0" fillId="0" borderId="24" xfId="0" applyBorder="1" applyAlignment="1">
      <alignment horizontal="center" vertical="center" textRotation="90" wrapText="1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3" fillId="0" borderId="29" xfId="0" applyFont="1" applyBorder="1" applyAlignment="1">
      <alignment horizontal="center" wrapText="1"/>
    </xf>
    <xf numFmtId="0" fontId="13" fillId="0" borderId="0" xfId="0" applyFont="1" applyAlignment="1">
      <alignment horizontal="center" wrapText="1"/>
    </xf>
    <xf numFmtId="0" fontId="13" fillId="15" borderId="1" xfId="0" applyFont="1" applyFill="1" applyBorder="1" applyAlignment="1">
      <alignment horizontal="center"/>
    </xf>
    <xf numFmtId="0" fontId="16" fillId="0" borderId="6" xfId="0" applyFont="1" applyBorder="1" applyAlignment="1">
      <alignment horizontal="center" vertical="center" readingOrder="1"/>
    </xf>
    <xf numFmtId="0" fontId="3" fillId="0" borderId="0" xfId="0" applyFont="1" applyAlignment="1">
      <alignment horizontal="center" vertical="center" readingOrder="1"/>
    </xf>
    <xf numFmtId="0" fontId="13" fillId="0" borderId="0" xfId="0" applyFont="1" applyAlignment="1">
      <alignment horizontal="center"/>
    </xf>
    <xf numFmtId="0" fontId="14" fillId="0" borderId="23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0" fillId="0" borderId="2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6" borderId="27" xfId="0" applyFill="1" applyBorder="1"/>
    <xf numFmtId="0" fontId="0" fillId="6" borderId="6" xfId="0" applyFill="1" applyBorder="1"/>
    <xf numFmtId="0" fontId="0" fillId="17" borderId="4" xfId="0" applyFill="1" applyBorder="1"/>
    <xf numFmtId="0" fontId="20" fillId="0" borderId="0" xfId="0" applyFont="1"/>
  </cellXfs>
  <cellStyles count="1">
    <cellStyle name="Обычный" xfId="0" builtinId="0"/>
  </cellStyles>
  <dxfs count="3"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</a:t>
            </a:r>
            <a:r>
              <a:rPr lang="ru-RU" baseline="0"/>
              <a:t> корреляции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Пр10!$B$28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2054090113735783"/>
                  <c:y val="3.66203703703703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backward val="2"/>
            <c:dispRSqr val="0"/>
            <c:dispEq val="0"/>
          </c:trendline>
          <c:xVal>
            <c:numRef>
              <c:f>Пр10!$A$29:$A$38</c:f>
              <c:numCache>
                <c:formatCode>0.0</c:formatCode>
                <c:ptCount val="10"/>
                <c:pt idx="0">
                  <c:v>3.5</c:v>
                </c:pt>
                <c:pt idx="1">
                  <c:v>2.4</c:v>
                </c:pt>
                <c:pt idx="2">
                  <c:v>4.9000000000000004</c:v>
                </c:pt>
                <c:pt idx="3">
                  <c:v>4.2</c:v>
                </c:pt>
                <c:pt idx="4">
                  <c:v>3</c:v>
                </c:pt>
                <c:pt idx="5">
                  <c:v>1.3</c:v>
                </c:pt>
                <c:pt idx="6">
                  <c:v>1</c:v>
                </c:pt>
                <c:pt idx="7">
                  <c:v>3</c:v>
                </c:pt>
                <c:pt idx="8">
                  <c:v>1.5</c:v>
                </c:pt>
                <c:pt idx="9">
                  <c:v>4.0999999999999996</c:v>
                </c:pt>
              </c:numCache>
            </c:numRef>
          </c:xVal>
          <c:yVal>
            <c:numRef>
              <c:f>Пр10!$B$29:$B$38</c:f>
              <c:numCache>
                <c:formatCode>0</c:formatCode>
                <c:ptCount val="10"/>
                <c:pt idx="0">
                  <c:v>16</c:v>
                </c:pt>
                <c:pt idx="1">
                  <c:v>13</c:v>
                </c:pt>
                <c:pt idx="2">
                  <c:v>19</c:v>
                </c:pt>
                <c:pt idx="3">
                  <c:v>18</c:v>
                </c:pt>
                <c:pt idx="4">
                  <c:v>12</c:v>
                </c:pt>
                <c:pt idx="5">
                  <c:v>11</c:v>
                </c:pt>
                <c:pt idx="6">
                  <c:v>8</c:v>
                </c:pt>
                <c:pt idx="7">
                  <c:v>14</c:v>
                </c:pt>
                <c:pt idx="8">
                  <c:v>9</c:v>
                </c:pt>
                <c:pt idx="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C8-4F40-AF42-D10A3BA66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20896"/>
        <c:axId val="1744517152"/>
      </c:scatterChart>
      <c:valAx>
        <c:axId val="174452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4517152"/>
        <c:crosses val="autoZero"/>
        <c:crossBetween val="midCat"/>
      </c:valAx>
      <c:valAx>
        <c:axId val="174451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452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</a:t>
            </a:r>
            <a:r>
              <a:rPr lang="ru-RU" baseline="0"/>
              <a:t>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Пр10!$B$83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"/>
            <c:backward val="1"/>
            <c:dispRSqr val="0"/>
            <c:dispEq val="1"/>
            <c:trendlineLbl>
              <c:layout>
                <c:manualLayout>
                  <c:x val="0.13870025828594881"/>
                  <c:y val="5.7984379379719727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rgbClr val="92D050"/>
                </a:solidFill>
                <a:prstDash val="solid"/>
              </a:ln>
              <a:effectLst/>
            </c:spPr>
            <c:trendlineType val="poly"/>
            <c:order val="2"/>
            <c:forward val="2"/>
            <c:backward val="1"/>
            <c:dispRSqr val="0"/>
            <c:dispEq val="1"/>
            <c:trendlineLbl>
              <c:layout>
                <c:manualLayout>
                  <c:x val="-3.1242613082483571E-2"/>
                  <c:y val="-9.218772510746389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wer"/>
            <c:forward val="2"/>
            <c:backward val="0.5"/>
            <c:dispRSqr val="0"/>
            <c:dispEq val="1"/>
            <c:trendlineLbl>
              <c:layout>
                <c:manualLayout>
                  <c:x val="-0.58352895280953443"/>
                  <c:y val="-0.6023722704610828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rgbClr val="FFFF00"/>
                </a:solidFill>
                <a:prstDash val="solid"/>
              </a:ln>
              <a:effectLst/>
            </c:spPr>
            <c:trendlineType val="exp"/>
            <c:forward val="2"/>
            <c:backward val="1"/>
            <c:dispRSqr val="0"/>
            <c:dispEq val="1"/>
            <c:trendlineLbl>
              <c:layout>
                <c:manualLayout>
                  <c:x val="-0.63280597598527677"/>
                  <c:y val="-0.356973103360154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Пр10!$A$84:$A$87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Пр10!$B$84:$B$87</c:f>
              <c:numCache>
                <c:formatCode>General</c:formatCode>
                <c:ptCount val="4"/>
                <c:pt idx="0">
                  <c:v>30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F-4A67-ACC1-5FED69727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08671"/>
        <c:axId val="1469046783"/>
      </c:scatterChart>
      <c:valAx>
        <c:axId val="122940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9046783"/>
        <c:crosses val="autoZero"/>
        <c:crossBetween val="midCat"/>
      </c:valAx>
      <c:valAx>
        <c:axId val="146904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40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</a:t>
            </a:r>
            <a:r>
              <a:rPr lang="ru-RU" baseline="0"/>
              <a:t>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Пр10!$B$125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forward val="0.5"/>
            <c:backward val="0.5"/>
            <c:dispRSqr val="0"/>
            <c:dispEq val="1"/>
            <c:trendlineLbl>
              <c:layout>
                <c:manualLayout>
                  <c:x val="-3.4052930883639546E-2"/>
                  <c:y val="-4.20833333333333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Пр10!$A$126:$A$135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Пр10!$B$126:$B$135</c:f>
              <c:numCache>
                <c:formatCode>General</c:formatCode>
                <c:ptCount val="10"/>
                <c:pt idx="0">
                  <c:v>-2.2999999999999998</c:v>
                </c:pt>
                <c:pt idx="1">
                  <c:v>-2.7</c:v>
                </c:pt>
                <c:pt idx="2">
                  <c:v>-2.9</c:v>
                </c:pt>
                <c:pt idx="3">
                  <c:v>-2.8</c:v>
                </c:pt>
                <c:pt idx="4">
                  <c:v>-2.1</c:v>
                </c:pt>
                <c:pt idx="5">
                  <c:v>3</c:v>
                </c:pt>
                <c:pt idx="6">
                  <c:v>2.2000000000000002</c:v>
                </c:pt>
                <c:pt idx="7">
                  <c:v>4.7</c:v>
                </c:pt>
                <c:pt idx="8">
                  <c:v>4.5</c:v>
                </c:pt>
                <c:pt idx="9">
                  <c:v>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4D-49D4-99F8-91079E8AA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775056"/>
        <c:axId val="941772560"/>
      </c:scatterChart>
      <c:valAx>
        <c:axId val="94177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1772560"/>
        <c:crosses val="autoZero"/>
        <c:crossBetween val="midCat"/>
      </c:valAx>
      <c:valAx>
        <c:axId val="94177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177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7478440194975625E-2"/>
          <c:y val="0.19486111111111112"/>
          <c:w val="0.92156917885264344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forward val="10"/>
            <c:backward val="10"/>
            <c:dispRSqr val="0"/>
            <c:dispEq val="1"/>
            <c:trendlineLbl>
              <c:layout>
                <c:manualLayout>
                  <c:x val="-0.52005511811023619"/>
                  <c:y val="-0.116881379410906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38648956371309473"/>
                  <c:y val="6.38375870292264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45.1</c:v>
              </c:pt>
              <c:pt idx="1">
                <c:v>59</c:v>
              </c:pt>
              <c:pt idx="2">
                <c:v>57.2</c:v>
              </c:pt>
              <c:pt idx="3">
                <c:v>61.8</c:v>
              </c:pt>
              <c:pt idx="4">
                <c:v>58.8</c:v>
              </c:pt>
              <c:pt idx="5">
                <c:v>47.2</c:v>
              </c:pt>
              <c:pt idx="6">
                <c:v>55.2</c:v>
              </c:pt>
            </c:numLit>
          </c:xVal>
          <c:yVal>
            <c:numLit>
              <c:formatCode>General</c:formatCode>
              <c:ptCount val="7"/>
              <c:pt idx="0">
                <c:v>68.8</c:v>
              </c:pt>
              <c:pt idx="1">
                <c:v>61.2</c:v>
              </c:pt>
              <c:pt idx="2">
                <c:v>59.9</c:v>
              </c:pt>
              <c:pt idx="3">
                <c:v>56.7</c:v>
              </c:pt>
              <c:pt idx="4">
                <c:v>55</c:v>
              </c:pt>
              <c:pt idx="5">
                <c:v>54.3</c:v>
              </c:pt>
              <c:pt idx="6">
                <c:v>49.3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998-48D2-9421-10CCAB5C5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33151"/>
        <c:axId val="866435231"/>
      </c:scatterChart>
      <c:valAx>
        <c:axId val="866433151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435231"/>
        <c:crosses val="autoZero"/>
        <c:crossBetween val="midCat"/>
      </c:valAx>
      <c:valAx>
        <c:axId val="86643523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433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</a:t>
            </a:r>
            <a:r>
              <a:rPr lang="ru-RU" baseline="0"/>
              <a:t> корреляции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power"/>
            <c:forward val="10"/>
            <c:backward val="10"/>
            <c:dispRSqr val="0"/>
            <c:dispEq val="1"/>
            <c:trendlineLbl>
              <c:layout>
                <c:manualLayout>
                  <c:x val="-2.2178477690288715E-4"/>
                  <c:y val="7.11781860600758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0"/>
            <c:trendlineLbl>
              <c:layout>
                <c:manualLayout>
                  <c:x val="0.20813429571303588"/>
                  <c:y val="0.19992490522018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45.1</c:v>
              </c:pt>
              <c:pt idx="1">
                <c:v>59</c:v>
              </c:pt>
              <c:pt idx="2">
                <c:v>57.2</c:v>
              </c:pt>
              <c:pt idx="3">
                <c:v>61.8</c:v>
              </c:pt>
              <c:pt idx="4">
                <c:v>58.8</c:v>
              </c:pt>
              <c:pt idx="5">
                <c:v>47.2</c:v>
              </c:pt>
              <c:pt idx="6">
                <c:v>55.2</c:v>
              </c:pt>
            </c:numLit>
          </c:xVal>
          <c:yVal>
            <c:numLit>
              <c:formatCode>General</c:formatCode>
              <c:ptCount val="7"/>
              <c:pt idx="0">
                <c:v>68.8</c:v>
              </c:pt>
              <c:pt idx="1">
                <c:v>61.2</c:v>
              </c:pt>
              <c:pt idx="2">
                <c:v>59.9</c:v>
              </c:pt>
              <c:pt idx="3">
                <c:v>56.7</c:v>
              </c:pt>
              <c:pt idx="4">
                <c:v>55</c:v>
              </c:pt>
              <c:pt idx="5">
                <c:v>54.3</c:v>
              </c:pt>
              <c:pt idx="6">
                <c:v>49.3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2A0-47A0-8BB8-7362FC4E8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425663"/>
        <c:axId val="866436895"/>
      </c:scatterChart>
      <c:valAx>
        <c:axId val="866425663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436895"/>
        <c:crosses val="autoZero"/>
        <c:crossBetween val="midCat"/>
      </c:valAx>
      <c:valAx>
        <c:axId val="8664368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6425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100"/>
            <c:backward val="100"/>
            <c:dispRSqr val="0"/>
            <c:dispEq val="1"/>
            <c:trendlineLbl>
              <c:layout>
                <c:manualLayout>
                  <c:x val="-6.8995844269466311E-2"/>
                  <c:y val="-3.86129337999416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Пр11!$I$83:$I$98</c:f>
              <c:numCache>
                <c:formatCode>General</c:formatCode>
                <c:ptCount val="16"/>
                <c:pt idx="0">
                  <c:v>524</c:v>
                </c:pt>
                <c:pt idx="1">
                  <c:v>371</c:v>
                </c:pt>
                <c:pt idx="2">
                  <c:v>453</c:v>
                </c:pt>
                <c:pt idx="3">
                  <c:v>1006</c:v>
                </c:pt>
                <c:pt idx="4">
                  <c:v>997</c:v>
                </c:pt>
                <c:pt idx="5">
                  <c:v>217</c:v>
                </c:pt>
                <c:pt idx="6">
                  <c:v>486</c:v>
                </c:pt>
                <c:pt idx="7">
                  <c:v>1989</c:v>
                </c:pt>
                <c:pt idx="8">
                  <c:v>595</c:v>
                </c:pt>
                <c:pt idx="9">
                  <c:v>1550</c:v>
                </c:pt>
                <c:pt idx="10">
                  <c:v>937</c:v>
                </c:pt>
                <c:pt idx="11">
                  <c:v>761</c:v>
                </c:pt>
                <c:pt idx="12">
                  <c:v>767</c:v>
                </c:pt>
                <c:pt idx="13">
                  <c:v>1720</c:v>
                </c:pt>
                <c:pt idx="14">
                  <c:v>1735</c:v>
                </c:pt>
                <c:pt idx="15">
                  <c:v>1052</c:v>
                </c:pt>
              </c:numCache>
            </c:numRef>
          </c:xVal>
          <c:yVal>
            <c:numRef>
              <c:f>Пр11!$J$83:$J$98</c:f>
              <c:numCache>
                <c:formatCode>General</c:formatCode>
                <c:ptCount val="16"/>
                <c:pt idx="0">
                  <c:v>408</c:v>
                </c:pt>
                <c:pt idx="1">
                  <c:v>249</c:v>
                </c:pt>
                <c:pt idx="2">
                  <c:v>253</c:v>
                </c:pt>
                <c:pt idx="3">
                  <c:v>580</c:v>
                </c:pt>
                <c:pt idx="4">
                  <c:v>651</c:v>
                </c:pt>
                <c:pt idx="5">
                  <c:v>139</c:v>
                </c:pt>
                <c:pt idx="6">
                  <c:v>322</c:v>
                </c:pt>
                <c:pt idx="7">
                  <c:v>899</c:v>
                </c:pt>
                <c:pt idx="8">
                  <c:v>330</c:v>
                </c:pt>
                <c:pt idx="9">
                  <c:v>446</c:v>
                </c:pt>
                <c:pt idx="10">
                  <c:v>642</c:v>
                </c:pt>
                <c:pt idx="11">
                  <c:v>542</c:v>
                </c:pt>
                <c:pt idx="12">
                  <c:v>504</c:v>
                </c:pt>
                <c:pt idx="13">
                  <c:v>861</c:v>
                </c:pt>
                <c:pt idx="14">
                  <c:v>707</c:v>
                </c:pt>
                <c:pt idx="15">
                  <c:v>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2D-420F-A220-500134AA7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468736"/>
        <c:axId val="953443360"/>
      </c:scatterChart>
      <c:valAx>
        <c:axId val="95346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443360"/>
        <c:crosses val="autoZero"/>
        <c:crossBetween val="midCat"/>
      </c:valAx>
      <c:valAx>
        <c:axId val="95344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346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 корреляции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power"/>
            <c:forward val="100"/>
            <c:backward val="100"/>
            <c:dispRSqr val="0"/>
            <c:dispEq val="0"/>
          </c:trendline>
          <c:xVal>
            <c:numRef>
              <c:f>Пр11!$U$83:$U$98</c:f>
              <c:numCache>
                <c:formatCode>General</c:formatCode>
                <c:ptCount val="16"/>
                <c:pt idx="0">
                  <c:v>524</c:v>
                </c:pt>
                <c:pt idx="1">
                  <c:v>371</c:v>
                </c:pt>
                <c:pt idx="2">
                  <c:v>453</c:v>
                </c:pt>
                <c:pt idx="3">
                  <c:v>1006</c:v>
                </c:pt>
                <c:pt idx="4">
                  <c:v>997</c:v>
                </c:pt>
                <c:pt idx="5">
                  <c:v>217</c:v>
                </c:pt>
                <c:pt idx="6">
                  <c:v>486</c:v>
                </c:pt>
                <c:pt idx="7">
                  <c:v>1989</c:v>
                </c:pt>
                <c:pt idx="8">
                  <c:v>595</c:v>
                </c:pt>
                <c:pt idx="9">
                  <c:v>1550</c:v>
                </c:pt>
                <c:pt idx="10">
                  <c:v>937</c:v>
                </c:pt>
                <c:pt idx="11">
                  <c:v>761</c:v>
                </c:pt>
                <c:pt idx="12">
                  <c:v>767</c:v>
                </c:pt>
                <c:pt idx="13">
                  <c:v>1720</c:v>
                </c:pt>
                <c:pt idx="14">
                  <c:v>1735</c:v>
                </c:pt>
                <c:pt idx="15">
                  <c:v>1052</c:v>
                </c:pt>
              </c:numCache>
            </c:numRef>
          </c:xVal>
          <c:yVal>
            <c:numRef>
              <c:f>Пр11!$V$83:$V$98</c:f>
              <c:numCache>
                <c:formatCode>General</c:formatCode>
                <c:ptCount val="16"/>
                <c:pt idx="0">
                  <c:v>408</c:v>
                </c:pt>
                <c:pt idx="1">
                  <c:v>249</c:v>
                </c:pt>
                <c:pt idx="2">
                  <c:v>253</c:v>
                </c:pt>
                <c:pt idx="3">
                  <c:v>580</c:v>
                </c:pt>
                <c:pt idx="4">
                  <c:v>651</c:v>
                </c:pt>
                <c:pt idx="5">
                  <c:v>139</c:v>
                </c:pt>
                <c:pt idx="6">
                  <c:v>322</c:v>
                </c:pt>
                <c:pt idx="7">
                  <c:v>899</c:v>
                </c:pt>
                <c:pt idx="8">
                  <c:v>330</c:v>
                </c:pt>
                <c:pt idx="9">
                  <c:v>446</c:v>
                </c:pt>
                <c:pt idx="10">
                  <c:v>642</c:v>
                </c:pt>
                <c:pt idx="11">
                  <c:v>542</c:v>
                </c:pt>
                <c:pt idx="12">
                  <c:v>504</c:v>
                </c:pt>
                <c:pt idx="13">
                  <c:v>861</c:v>
                </c:pt>
                <c:pt idx="14">
                  <c:v>707</c:v>
                </c:pt>
                <c:pt idx="15">
                  <c:v>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B-4215-82E4-30F4DA6EE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375055"/>
        <c:axId val="489373807"/>
      </c:scatterChart>
      <c:valAx>
        <c:axId val="489375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373807"/>
        <c:crosses val="autoZero"/>
        <c:crossBetween val="midCat"/>
      </c:valAx>
      <c:valAx>
        <c:axId val="48937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9375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Поле</a:t>
            </a:r>
            <a:r>
              <a:rPr lang="ru-RU" baseline="0"/>
              <a:t> корреляции</a:t>
            </a:r>
            <a:r>
              <a:rPr lang="en-US" baseline="0"/>
              <a:t> (</a:t>
            </a:r>
            <a:r>
              <a:rPr lang="ru-RU" baseline="0"/>
              <a:t>степенная)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power"/>
            <c:forward val="1"/>
            <c:backward val="1"/>
            <c:dispRSqr val="1"/>
            <c:dispEq val="1"/>
            <c:trendlineLbl>
              <c:layout>
                <c:manualLayout>
                  <c:x val="9.3990376202974624E-2"/>
                  <c:y val="-0.139305555555555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Пр12!$B$241:$B$250</c:f>
              <c:numCache>
                <c:formatCode>General</c:formatCode>
                <c:ptCount val="10"/>
                <c:pt idx="0">
                  <c:v>90.1</c:v>
                </c:pt>
                <c:pt idx="1">
                  <c:v>95.1</c:v>
                </c:pt>
                <c:pt idx="2">
                  <c:v>102.4</c:v>
                </c:pt>
                <c:pt idx="3">
                  <c:v>102.8</c:v>
                </c:pt>
                <c:pt idx="4">
                  <c:v>106.1</c:v>
                </c:pt>
                <c:pt idx="5">
                  <c:v>108.7</c:v>
                </c:pt>
                <c:pt idx="6">
                  <c:v>112.6</c:v>
                </c:pt>
                <c:pt idx="7">
                  <c:v>112.9</c:v>
                </c:pt>
                <c:pt idx="8">
                  <c:v>113.8</c:v>
                </c:pt>
                <c:pt idx="9">
                  <c:v>115.7</c:v>
                </c:pt>
              </c:numCache>
            </c:numRef>
          </c:xVal>
          <c:yVal>
            <c:numRef>
              <c:f>Пр12!$C$241:$C$250</c:f>
              <c:numCache>
                <c:formatCode>General</c:formatCode>
                <c:ptCount val="10"/>
                <c:pt idx="0">
                  <c:v>18.100000000000001</c:v>
                </c:pt>
                <c:pt idx="1">
                  <c:v>19.399999999999999</c:v>
                </c:pt>
                <c:pt idx="2">
                  <c:v>20.2</c:v>
                </c:pt>
                <c:pt idx="3">
                  <c:v>20.5</c:v>
                </c:pt>
                <c:pt idx="4">
                  <c:v>21.1</c:v>
                </c:pt>
                <c:pt idx="5">
                  <c:v>21.6</c:v>
                </c:pt>
                <c:pt idx="6">
                  <c:v>22.3</c:v>
                </c:pt>
                <c:pt idx="7">
                  <c:v>22.4</c:v>
                </c:pt>
                <c:pt idx="8">
                  <c:v>22.6</c:v>
                </c:pt>
                <c:pt idx="9">
                  <c:v>22.8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2-4A66-BD10-80D9674FD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06271"/>
        <c:axId val="828108351"/>
      </c:scatterChart>
      <c:valAx>
        <c:axId val="82810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108351"/>
        <c:crosses val="autoZero"/>
        <c:crossBetween val="midCat"/>
      </c:valAx>
      <c:valAx>
        <c:axId val="82810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810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7" Type="http://schemas.openxmlformats.org/officeDocument/2006/relationships/chart" Target="../charts/chart3.xml"/><Relationship Id="rId2" Type="http://schemas.openxmlformats.org/officeDocument/2006/relationships/chart" Target="../charts/chart1.xml"/><Relationship Id="rId1" Type="http://schemas.openxmlformats.org/officeDocument/2006/relationships/image" Target="../media/image61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chart" Target="../charts/chart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chart" Target="../charts/chart4.xml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66.png"/><Relationship Id="rId16" Type="http://schemas.openxmlformats.org/officeDocument/2006/relationships/image" Target="../media/image78.png"/><Relationship Id="rId20" Type="http://schemas.openxmlformats.org/officeDocument/2006/relationships/chart" Target="../charts/chart7.xml"/><Relationship Id="rId1" Type="http://schemas.openxmlformats.org/officeDocument/2006/relationships/image" Target="../media/image65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chart" Target="../charts/chart5.xml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19" Type="http://schemas.openxmlformats.org/officeDocument/2006/relationships/chart" Target="../charts/chart6.xml"/><Relationship Id="rId4" Type="http://schemas.openxmlformats.org/officeDocument/2006/relationships/image" Target="../media/image67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10" Type="http://schemas.openxmlformats.org/officeDocument/2006/relationships/image" Target="../media/image89.png"/><Relationship Id="rId4" Type="http://schemas.openxmlformats.org/officeDocument/2006/relationships/image" Target="../media/image84.png"/><Relationship Id="rId9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106680</xdr:rowOff>
    </xdr:from>
    <xdr:ext cx="152721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8146C041-72D5-92A0-1352-BEBDF2077FB7}"/>
                </a:ext>
              </a:extLst>
            </xdr:cNvPr>
            <xdr:cNvSpPr txBox="1"/>
          </xdr:nvSpPr>
          <xdr:spPr>
            <a:xfrm>
              <a:off x="0" y="655320"/>
              <a:ext cx="152721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max</m:t>
                        </m:r>
                      </m:fName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𝑓</m:t>
                        </m:r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=30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40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8146C041-72D5-92A0-1352-BEBDF2077FB7}"/>
                </a:ext>
              </a:extLst>
            </xdr:cNvPr>
            <xdr:cNvSpPr txBox="1"/>
          </xdr:nvSpPr>
          <xdr:spPr>
            <a:xfrm>
              <a:off x="0" y="655320"/>
              <a:ext cx="152721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max⁡〖𝑓(𝑥)=30𝑥_1+〖40𝑥〗_2 〗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22860</xdr:colOff>
      <xdr:row>4</xdr:row>
      <xdr:rowOff>106680</xdr:rowOff>
    </xdr:from>
    <xdr:ext cx="104951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9CC3C16-EAF1-218D-69E1-CF1239CB603E}"/>
                </a:ext>
              </a:extLst>
            </xdr:cNvPr>
            <xdr:cNvSpPr txBox="1"/>
          </xdr:nvSpPr>
          <xdr:spPr>
            <a:xfrm>
              <a:off x="22860" y="960120"/>
              <a:ext cx="104951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≤4000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9CC3C16-EAF1-218D-69E1-CF1239CB603E}"/>
                </a:ext>
              </a:extLst>
            </xdr:cNvPr>
            <xdr:cNvSpPr txBox="1"/>
          </xdr:nvSpPr>
          <xdr:spPr>
            <a:xfrm>
              <a:off x="22860" y="960120"/>
              <a:ext cx="104951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𝑥_1+〖2𝑥〗_2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≤4000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30480</xdr:colOff>
      <xdr:row>5</xdr:row>
      <xdr:rowOff>76200</xdr:rowOff>
    </xdr:from>
    <xdr:ext cx="66415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27456DDC-5FD4-BF78-5EE1-C2014D1CA6BF}"/>
                </a:ext>
              </a:extLst>
            </xdr:cNvPr>
            <xdr:cNvSpPr txBox="1"/>
          </xdr:nvSpPr>
          <xdr:spPr>
            <a:xfrm>
              <a:off x="30480" y="1295400"/>
              <a:ext cx="66415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ru-RU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2250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27456DDC-5FD4-BF78-5EE1-C2014D1CA6BF}"/>
                </a:ext>
              </a:extLst>
            </xdr:cNvPr>
            <xdr:cNvSpPr txBox="1"/>
          </xdr:nvSpPr>
          <xdr:spPr>
            <a:xfrm>
              <a:off x="30480" y="1295400"/>
              <a:ext cx="66415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</a:t>
              </a:r>
              <a:r>
                <a:rPr lang="ru-RU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2250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22860</xdr:colOff>
      <xdr:row>6</xdr:row>
      <xdr:rowOff>76200</xdr:rowOff>
    </xdr:from>
    <xdr:ext cx="66742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3A31ADF4-3302-1976-E770-9E87F69CFF71}"/>
                </a:ext>
              </a:extLst>
            </xdr:cNvPr>
            <xdr:cNvSpPr txBox="1"/>
          </xdr:nvSpPr>
          <xdr:spPr>
            <a:xfrm>
              <a:off x="22860" y="1623060"/>
              <a:ext cx="66742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ru-RU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1750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3A31ADF4-3302-1976-E770-9E87F69CFF71}"/>
                </a:ext>
              </a:extLst>
            </xdr:cNvPr>
            <xdr:cNvSpPr txBox="1"/>
          </xdr:nvSpPr>
          <xdr:spPr>
            <a:xfrm>
              <a:off x="22860" y="1623060"/>
              <a:ext cx="66742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2</a:t>
              </a:r>
              <a:r>
                <a:rPr lang="ru-RU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1750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60960</xdr:colOff>
      <xdr:row>7</xdr:row>
      <xdr:rowOff>99060</xdr:rowOff>
    </xdr:from>
    <xdr:ext cx="58605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8FF63041-E140-DEC1-C072-CB52146DD9E9}"/>
                </a:ext>
              </a:extLst>
            </xdr:cNvPr>
            <xdr:cNvSpPr txBox="1"/>
          </xdr:nvSpPr>
          <xdr:spPr>
            <a:xfrm>
              <a:off x="60960" y="1943100"/>
              <a:ext cx="5860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ru-RU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600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8FF63041-E140-DEC1-C072-CB52146DD9E9}"/>
                </a:ext>
              </a:extLst>
            </xdr:cNvPr>
            <xdr:cNvSpPr txBox="1"/>
          </xdr:nvSpPr>
          <xdr:spPr>
            <a:xfrm>
              <a:off x="60960" y="1943100"/>
              <a:ext cx="5860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</a:t>
              </a:r>
              <a:r>
                <a:rPr lang="ru-RU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600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45720</xdr:colOff>
      <xdr:row>8</xdr:row>
      <xdr:rowOff>53340</xdr:rowOff>
    </xdr:from>
    <xdr:ext cx="97142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D345B88-BD0F-7233-16E7-0499A963699B}"/>
                </a:ext>
              </a:extLst>
            </xdr:cNvPr>
            <xdr:cNvSpPr txBox="1"/>
          </xdr:nvSpPr>
          <xdr:spPr>
            <a:xfrm>
              <a:off x="45720" y="2263140"/>
              <a:ext cx="97142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≥1500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D345B88-BD0F-7233-16E7-0499A963699B}"/>
                </a:ext>
              </a:extLst>
            </xdr:cNvPr>
            <xdr:cNvSpPr txBox="1"/>
          </xdr:nvSpPr>
          <xdr:spPr>
            <a:xfrm>
              <a:off x="45720" y="2263140"/>
              <a:ext cx="97142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1+𝑥_2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≥1500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9</xdr:row>
      <xdr:rowOff>76200</xdr:rowOff>
    </xdr:from>
    <xdr:ext cx="120571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693F32B3-3FF5-C5B2-8A07-73DB38AF863A}"/>
                </a:ext>
              </a:extLst>
            </xdr:cNvPr>
            <xdr:cNvSpPr txBox="1"/>
          </xdr:nvSpPr>
          <xdr:spPr>
            <a:xfrm>
              <a:off x="0" y="2560320"/>
              <a:ext cx="120571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≤10000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693F32B3-3FF5-C5B2-8A07-73DB38AF863A}"/>
                </a:ext>
              </a:extLst>
            </xdr:cNvPr>
            <xdr:cNvSpPr txBox="1"/>
          </xdr:nvSpPr>
          <xdr:spPr>
            <a:xfrm>
              <a:off x="0" y="2560320"/>
              <a:ext cx="120571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2𝑥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1+〖5𝑥〗_2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≤10000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38100</xdr:colOff>
      <xdr:row>10</xdr:row>
      <xdr:rowOff>144780</xdr:rowOff>
    </xdr:from>
    <xdr:ext cx="120571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EC6F745-D36B-68B9-43D7-3325A5354831}"/>
                </a:ext>
              </a:extLst>
            </xdr:cNvPr>
            <xdr:cNvSpPr txBox="1"/>
          </xdr:nvSpPr>
          <xdr:spPr>
            <a:xfrm>
              <a:off x="38100" y="2903220"/>
              <a:ext cx="120571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≤10000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EC6F745-D36B-68B9-43D7-3325A5354831}"/>
                </a:ext>
              </a:extLst>
            </xdr:cNvPr>
            <xdr:cNvSpPr txBox="1"/>
          </xdr:nvSpPr>
          <xdr:spPr>
            <a:xfrm>
              <a:off x="38100" y="2903220"/>
              <a:ext cx="120571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5𝑥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1+〖2𝑥〗_2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≤10000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68580</xdr:colOff>
      <xdr:row>11</xdr:row>
      <xdr:rowOff>129540</xdr:rowOff>
    </xdr:from>
    <xdr:ext cx="62145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7134E91-06B8-3BF7-1D7F-3F7C3AEC58AC}"/>
                </a:ext>
              </a:extLst>
            </xdr:cNvPr>
            <xdr:cNvSpPr txBox="1"/>
          </xdr:nvSpPr>
          <xdr:spPr>
            <a:xfrm>
              <a:off x="68580" y="3276600"/>
              <a:ext cx="62145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7134E91-06B8-3BF7-1D7F-3F7C3AEC58AC}"/>
                </a:ext>
              </a:extLst>
            </xdr:cNvPr>
            <xdr:cNvSpPr txBox="1"/>
          </xdr:nvSpPr>
          <xdr:spPr>
            <a:xfrm>
              <a:off x="68580" y="3276600"/>
              <a:ext cx="62145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1,𝑥_2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601980</xdr:colOff>
      <xdr:row>20</xdr:row>
      <xdr:rowOff>91440</xdr:rowOff>
    </xdr:from>
    <xdr:ext cx="132337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C0C7DA9-A8A2-AC45-D867-94CCCE3E2012}"/>
                </a:ext>
              </a:extLst>
            </xdr:cNvPr>
            <xdr:cNvSpPr txBox="1"/>
          </xdr:nvSpPr>
          <xdr:spPr>
            <a:xfrm>
              <a:off x="5448300" y="640080"/>
              <a:ext cx="13233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𝑚𝑎𝑥𝑓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C0C7DA9-A8A2-AC45-D867-94CCCE3E2012}"/>
                </a:ext>
              </a:extLst>
            </xdr:cNvPr>
            <xdr:cNvSpPr txBox="1"/>
          </xdr:nvSpPr>
          <xdr:spPr>
            <a:xfrm>
              <a:off x="5448300" y="640080"/>
              <a:ext cx="13233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𝑚𝑎𝑥𝑓(𝑥)=𝑥_1+〖3𝑥〗_2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679938</xdr:colOff>
      <xdr:row>21</xdr:row>
      <xdr:rowOff>48064</xdr:rowOff>
    </xdr:from>
    <xdr:ext cx="84253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E6F3B10A-5B8A-DC56-5382-7956A1A97E5E}"/>
                </a:ext>
              </a:extLst>
            </xdr:cNvPr>
            <xdr:cNvSpPr txBox="1"/>
          </xdr:nvSpPr>
          <xdr:spPr>
            <a:xfrm>
              <a:off x="679938" y="5235526"/>
              <a:ext cx="84253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E6F3B10A-5B8A-DC56-5382-7956A1A97E5E}"/>
                </a:ext>
              </a:extLst>
            </xdr:cNvPr>
            <xdr:cNvSpPr txBox="1"/>
          </xdr:nvSpPr>
          <xdr:spPr>
            <a:xfrm>
              <a:off x="679938" y="5235526"/>
              <a:ext cx="84253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−𝑥_1+𝑥_2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656492</xdr:colOff>
      <xdr:row>22</xdr:row>
      <xdr:rowOff>165296</xdr:rowOff>
    </xdr:from>
    <xdr:ext cx="73712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1E10F5E-F2C6-36F4-2AAC-4AA6C04E3121}"/>
                </a:ext>
              </a:extLst>
            </xdr:cNvPr>
            <xdr:cNvSpPr txBox="1"/>
          </xdr:nvSpPr>
          <xdr:spPr>
            <a:xfrm>
              <a:off x="656492" y="5534465"/>
              <a:ext cx="7371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≤7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1E10F5E-F2C6-36F4-2AAC-4AA6C04E3121}"/>
                </a:ext>
              </a:extLst>
            </xdr:cNvPr>
            <xdr:cNvSpPr txBox="1"/>
          </xdr:nvSpPr>
          <xdr:spPr>
            <a:xfrm>
              <a:off x="656492" y="5534465"/>
              <a:ext cx="7371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1+𝑥_2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≤7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601980</xdr:colOff>
      <xdr:row>22</xdr:row>
      <xdr:rowOff>15240</xdr:rowOff>
    </xdr:from>
    <xdr:ext cx="89332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9BF6808-8664-49EC-8C8B-110EF76DB05F}"/>
                </a:ext>
              </a:extLst>
            </xdr:cNvPr>
            <xdr:cNvSpPr txBox="1"/>
          </xdr:nvSpPr>
          <xdr:spPr>
            <a:xfrm>
              <a:off x="5448300" y="1234440"/>
              <a:ext cx="89332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≤15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9BF6808-8664-49EC-8C8B-110EF76DB05F}"/>
                </a:ext>
              </a:extLst>
            </xdr:cNvPr>
            <xdr:cNvSpPr txBox="1"/>
          </xdr:nvSpPr>
          <xdr:spPr>
            <a:xfrm>
              <a:off x="5448300" y="1234440"/>
              <a:ext cx="89332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3𝑥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1+𝑥_2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≤15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656492</xdr:colOff>
      <xdr:row>23</xdr:row>
      <xdr:rowOff>165295</xdr:rowOff>
    </xdr:from>
    <xdr:ext cx="62145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224F5005-B00F-D998-CF44-6CC3888BC826}"/>
                </a:ext>
              </a:extLst>
            </xdr:cNvPr>
            <xdr:cNvSpPr txBox="1"/>
          </xdr:nvSpPr>
          <xdr:spPr>
            <a:xfrm>
              <a:off x="656492" y="5716172"/>
              <a:ext cx="62145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224F5005-B00F-D998-CF44-6CC3888BC826}"/>
                </a:ext>
              </a:extLst>
            </xdr:cNvPr>
            <xdr:cNvSpPr txBox="1"/>
          </xdr:nvSpPr>
          <xdr:spPr>
            <a:xfrm>
              <a:off x="656492" y="5716172"/>
              <a:ext cx="62145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1,𝑥_2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</xdr:col>
      <xdr:colOff>7620</xdr:colOff>
      <xdr:row>111</xdr:row>
      <xdr:rowOff>30480</xdr:rowOff>
    </xdr:from>
    <xdr:ext cx="131760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87D9A20E-B49F-F255-1FE4-5C1B96399465}"/>
                </a:ext>
              </a:extLst>
            </xdr:cNvPr>
            <xdr:cNvSpPr txBox="1"/>
          </xdr:nvSpPr>
          <xdr:spPr>
            <a:xfrm>
              <a:off x="10949940" y="579120"/>
              <a:ext cx="13176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/>
                <a:t>min</a:t>
              </a:r>
              <a:r>
                <a:rPr lang="en-US" sz="1100" b="0" baseline="0"/>
                <a:t> </a:t>
              </a:r>
              <a14:m>
                <m:oMath xmlns:m="http://schemas.openxmlformats.org/officeDocument/2006/math">
                  <m:r>
                    <a:rPr lang="en-US" sz="1100" b="0" i="1">
                      <a:latin typeface="Cambria Math" panose="02040503050406030204" pitchFamily="18" charset="0"/>
                    </a:rPr>
                    <m:t>𝑍</m:t>
                  </m:r>
                  <m:d>
                    <m:d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</m:d>
                  <m:r>
                    <a:rPr lang="en-US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2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n-US" sz="11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5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endParaRPr lang="ru-RU" sz="1100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87D9A20E-B49F-F255-1FE4-5C1B96399465}"/>
                </a:ext>
              </a:extLst>
            </xdr:cNvPr>
            <xdr:cNvSpPr txBox="1"/>
          </xdr:nvSpPr>
          <xdr:spPr>
            <a:xfrm>
              <a:off x="10949940" y="579120"/>
              <a:ext cx="13176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/>
                <a:t>min</a:t>
              </a:r>
              <a:r>
                <a:rPr lang="en-US" sz="1100" b="0" baseline="0"/>
                <a:t> </a:t>
              </a:r>
              <a:r>
                <a:rPr lang="en-US" sz="1100" b="0" i="0">
                  <a:latin typeface="Cambria Math" panose="02040503050406030204" pitchFamily="18" charset="0"/>
                </a:rPr>
                <a:t>𝑍(𝑥)=〖2𝑥〗_1+〖5𝑥〗_2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1282480</xdr:colOff>
      <xdr:row>112</xdr:row>
      <xdr:rowOff>10602</xdr:rowOff>
    </xdr:from>
    <xdr:ext cx="81522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D6B80D5B-1D45-9377-8E88-96B0DE557566}"/>
                </a:ext>
              </a:extLst>
            </xdr:cNvPr>
            <xdr:cNvSpPr txBox="1"/>
          </xdr:nvSpPr>
          <xdr:spPr>
            <a:xfrm>
              <a:off x="1282480" y="22121854"/>
              <a:ext cx="81522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en-US" sz="1100" b="0"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D6B80D5B-1D45-9377-8E88-96B0DE557566}"/>
                </a:ext>
              </a:extLst>
            </xdr:cNvPr>
            <xdr:cNvSpPr txBox="1"/>
          </xdr:nvSpPr>
          <xdr:spPr>
            <a:xfrm>
              <a:off x="1282480" y="22121854"/>
              <a:ext cx="81522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2𝑥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1−𝑥_2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en-US" sz="1100" b="0"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1268233</xdr:colOff>
      <xdr:row>112</xdr:row>
      <xdr:rowOff>142461</xdr:rowOff>
    </xdr:from>
    <xdr:ext cx="89332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27164E93-C25A-4453-B97B-D156974200F1}"/>
                </a:ext>
              </a:extLst>
            </xdr:cNvPr>
            <xdr:cNvSpPr txBox="1"/>
          </xdr:nvSpPr>
          <xdr:spPr>
            <a:xfrm>
              <a:off x="1268233" y="22253713"/>
              <a:ext cx="89332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≤16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27164E93-C25A-4453-B97B-D156974200F1}"/>
                </a:ext>
              </a:extLst>
            </xdr:cNvPr>
            <xdr:cNvSpPr txBox="1"/>
          </xdr:nvSpPr>
          <xdr:spPr>
            <a:xfrm>
              <a:off x="1268233" y="22253713"/>
              <a:ext cx="89332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2𝑥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1+𝑥_2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≤16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1188720</xdr:colOff>
      <xdr:row>113</xdr:row>
      <xdr:rowOff>116619</xdr:rowOff>
    </xdr:from>
    <xdr:ext cx="99873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5C0EC04-152A-1E7B-2CE4-D68B4F0932A0}"/>
                </a:ext>
              </a:extLst>
            </xdr:cNvPr>
            <xdr:cNvSpPr txBox="1"/>
          </xdr:nvSpPr>
          <xdr:spPr>
            <a:xfrm>
              <a:off x="1188720" y="22413402"/>
              <a:ext cx="9987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5C0EC04-152A-1E7B-2CE4-D68B4F0932A0}"/>
                </a:ext>
              </a:extLst>
            </xdr:cNvPr>
            <xdr:cNvSpPr txBox="1"/>
          </xdr:nvSpPr>
          <xdr:spPr>
            <a:xfrm>
              <a:off x="1188720" y="22413402"/>
              <a:ext cx="9987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−〖2𝑥〗_1+〖5𝑥〗_2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1196340</xdr:colOff>
      <xdr:row>114</xdr:row>
      <xdr:rowOff>91109</xdr:rowOff>
    </xdr:from>
    <xdr:ext cx="9206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674B76F3-3EFE-C0A6-9967-6F6A5A73DE56}"/>
                </a:ext>
              </a:extLst>
            </xdr:cNvPr>
            <xdr:cNvSpPr txBox="1"/>
          </xdr:nvSpPr>
          <xdr:spPr>
            <a:xfrm>
              <a:off x="1196340" y="22573422"/>
              <a:ext cx="9206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≤2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674B76F3-3EFE-C0A6-9967-6F6A5A73DE56}"/>
                </a:ext>
              </a:extLst>
            </xdr:cNvPr>
            <xdr:cNvSpPr txBox="1"/>
          </xdr:nvSpPr>
          <xdr:spPr>
            <a:xfrm>
              <a:off x="1196340" y="22573422"/>
              <a:ext cx="9206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−𝑥_1+〖2𝑥〗_2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≤2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</xdr:col>
      <xdr:colOff>7620</xdr:colOff>
      <xdr:row>37</xdr:row>
      <xdr:rowOff>30480</xdr:rowOff>
    </xdr:from>
    <xdr:ext cx="131760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B7C1F21E-4A27-4993-B885-00AD1D6F273F}"/>
                </a:ext>
              </a:extLst>
            </xdr:cNvPr>
            <xdr:cNvSpPr txBox="1"/>
          </xdr:nvSpPr>
          <xdr:spPr>
            <a:xfrm>
              <a:off x="10949940" y="579120"/>
              <a:ext cx="13176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/>
                <a:t>min</a:t>
              </a:r>
              <a:r>
                <a:rPr lang="en-US" sz="1100" b="0" baseline="0"/>
                <a:t> </a:t>
              </a:r>
              <a14:m>
                <m:oMath xmlns:m="http://schemas.openxmlformats.org/officeDocument/2006/math">
                  <m:r>
                    <a:rPr lang="en-US" sz="1100" b="0" i="1">
                      <a:latin typeface="Cambria Math" panose="02040503050406030204" pitchFamily="18" charset="0"/>
                    </a:rPr>
                    <m:t>𝑍</m:t>
                  </m:r>
                  <m:d>
                    <m:d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</m:d>
                  <m:r>
                    <a:rPr lang="en-US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2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n-US" sz="11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5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endParaRPr lang="ru-RU" sz="1100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B7C1F21E-4A27-4993-B885-00AD1D6F273F}"/>
                </a:ext>
              </a:extLst>
            </xdr:cNvPr>
            <xdr:cNvSpPr txBox="1"/>
          </xdr:nvSpPr>
          <xdr:spPr>
            <a:xfrm>
              <a:off x="10949940" y="579120"/>
              <a:ext cx="13176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/>
                <a:t>min</a:t>
              </a:r>
              <a:r>
                <a:rPr lang="en-US" sz="1100" b="0" baseline="0"/>
                <a:t> </a:t>
              </a:r>
              <a:r>
                <a:rPr lang="en-US" sz="1100" b="0" i="0">
                  <a:latin typeface="Cambria Math" panose="02040503050406030204" pitchFamily="18" charset="0"/>
                </a:rPr>
                <a:t>𝑍(𝑥)=〖2𝑥〗_1+〖5𝑥〗_2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1284263</xdr:colOff>
      <xdr:row>37</xdr:row>
      <xdr:rowOff>171157</xdr:rowOff>
    </xdr:from>
    <xdr:ext cx="81522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34546356-A2CE-4613-8A06-0CC6A96465C2}"/>
                </a:ext>
              </a:extLst>
            </xdr:cNvPr>
            <xdr:cNvSpPr txBox="1"/>
          </xdr:nvSpPr>
          <xdr:spPr>
            <a:xfrm>
              <a:off x="1284263" y="8265942"/>
              <a:ext cx="81522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en-US" sz="1100" b="0"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34546356-A2CE-4613-8A06-0CC6A96465C2}"/>
                </a:ext>
              </a:extLst>
            </xdr:cNvPr>
            <xdr:cNvSpPr txBox="1"/>
          </xdr:nvSpPr>
          <xdr:spPr>
            <a:xfrm>
              <a:off x="1284263" y="8265942"/>
              <a:ext cx="81522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2𝑥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1−𝑥_2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en-US" sz="1100" b="0"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0</xdr:col>
      <xdr:colOff>1270782</xdr:colOff>
      <xdr:row>38</xdr:row>
      <xdr:rowOff>128953</xdr:rowOff>
    </xdr:from>
    <xdr:ext cx="89332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B6E2272-7626-466A-B1D4-68731DDBA158}"/>
                </a:ext>
              </a:extLst>
            </xdr:cNvPr>
            <xdr:cNvSpPr txBox="1"/>
          </xdr:nvSpPr>
          <xdr:spPr>
            <a:xfrm>
              <a:off x="1270782" y="8405445"/>
              <a:ext cx="89332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≤16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B6E2272-7626-466A-B1D4-68731DDBA158}"/>
                </a:ext>
              </a:extLst>
            </xdr:cNvPr>
            <xdr:cNvSpPr txBox="1"/>
          </xdr:nvSpPr>
          <xdr:spPr>
            <a:xfrm>
              <a:off x="1270782" y="8405445"/>
              <a:ext cx="89332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2𝑥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1+𝑥_2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≤16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1165274</xdr:colOff>
      <xdr:row>39</xdr:row>
      <xdr:rowOff>77372</xdr:rowOff>
    </xdr:from>
    <xdr:ext cx="99873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47AA74D-E6E3-466A-BDF9-83B1DFBC40CC}"/>
                </a:ext>
              </a:extLst>
            </xdr:cNvPr>
            <xdr:cNvSpPr txBox="1"/>
          </xdr:nvSpPr>
          <xdr:spPr>
            <a:xfrm>
              <a:off x="1165274" y="8535572"/>
              <a:ext cx="9987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47AA74D-E6E3-466A-BDF9-83B1DFBC40CC}"/>
                </a:ext>
              </a:extLst>
            </xdr:cNvPr>
            <xdr:cNvSpPr txBox="1"/>
          </xdr:nvSpPr>
          <xdr:spPr>
            <a:xfrm>
              <a:off x="1165274" y="8535572"/>
              <a:ext cx="9987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−〖2𝑥〗_1+〖5𝑥〗_2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1178756</xdr:colOff>
      <xdr:row>40</xdr:row>
      <xdr:rowOff>32238</xdr:rowOff>
    </xdr:from>
    <xdr:ext cx="9206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632C9CED-F86F-4CE4-B463-315C1589BDA1}"/>
                </a:ext>
              </a:extLst>
            </xdr:cNvPr>
            <xdr:cNvSpPr txBox="1"/>
          </xdr:nvSpPr>
          <xdr:spPr>
            <a:xfrm>
              <a:off x="1178756" y="8672146"/>
              <a:ext cx="9206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≤2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632C9CED-F86F-4CE4-B463-315C1589BDA1}"/>
                </a:ext>
              </a:extLst>
            </xdr:cNvPr>
            <xdr:cNvSpPr txBox="1"/>
          </xdr:nvSpPr>
          <xdr:spPr>
            <a:xfrm>
              <a:off x="1178756" y="8672146"/>
              <a:ext cx="9206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−𝑥_1+〖2𝑥〗_2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≤2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0</xdr:col>
      <xdr:colOff>545514</xdr:colOff>
      <xdr:row>44</xdr:row>
      <xdr:rowOff>88737</xdr:rowOff>
    </xdr:from>
    <xdr:to>
      <xdr:col>10</xdr:col>
      <xdr:colOff>491953</xdr:colOff>
      <xdr:row>55</xdr:row>
      <xdr:rowOff>62132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568B775B-9972-CD6D-757F-C0440AD7C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514" y="9584429"/>
          <a:ext cx="6589516" cy="2015165"/>
        </a:xfrm>
        <a:prstGeom prst="rect">
          <a:avLst/>
        </a:prstGeom>
      </xdr:spPr>
    </xdr:pic>
    <xdr:clientData/>
  </xdr:twoCellAnchor>
  <xdr:twoCellAnchor editAs="oneCell">
    <xdr:from>
      <xdr:col>11</xdr:col>
      <xdr:colOff>5863</xdr:colOff>
      <xdr:row>37</xdr:row>
      <xdr:rowOff>165662</xdr:rowOff>
    </xdr:from>
    <xdr:to>
      <xdr:col>16</xdr:col>
      <xdr:colOff>166648</xdr:colOff>
      <xdr:row>54</xdr:row>
      <xdr:rowOff>126219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3D6FB4C-BB40-9B3D-372F-205A1AB3E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4632" y="8362047"/>
          <a:ext cx="3189247" cy="3116018"/>
        </a:xfrm>
        <a:prstGeom prst="rect">
          <a:avLst/>
        </a:prstGeom>
      </xdr:spPr>
    </xdr:pic>
    <xdr:clientData/>
  </xdr:twoCellAnchor>
  <xdr:twoCellAnchor editAs="oneCell">
    <xdr:from>
      <xdr:col>0</xdr:col>
      <xdr:colOff>72400</xdr:colOff>
      <xdr:row>56</xdr:row>
      <xdr:rowOff>46157</xdr:rowOff>
    </xdr:from>
    <xdr:to>
      <xdr:col>10</xdr:col>
      <xdr:colOff>441441</xdr:colOff>
      <xdr:row>105</xdr:row>
      <xdr:rowOff>95091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160A69A2-4359-6F4E-BF3B-E56B8C6A1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00" y="11759186"/>
          <a:ext cx="7041984" cy="9116734"/>
        </a:xfrm>
        <a:prstGeom prst="rect">
          <a:avLst/>
        </a:prstGeom>
      </xdr:spPr>
    </xdr:pic>
    <xdr:clientData/>
  </xdr:twoCellAnchor>
  <xdr:twoCellAnchor editAs="oneCell">
    <xdr:from>
      <xdr:col>10</xdr:col>
      <xdr:colOff>424542</xdr:colOff>
      <xdr:row>56</xdr:row>
      <xdr:rowOff>40149</xdr:rowOff>
    </xdr:from>
    <xdr:to>
      <xdr:col>21</xdr:col>
      <xdr:colOff>119621</xdr:colOff>
      <xdr:row>80</xdr:row>
      <xdr:rowOff>142750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696BFA7D-1059-94E1-9733-0D9FB230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7485" y="11753178"/>
          <a:ext cx="6400679" cy="45439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15240</xdr:rowOff>
    </xdr:from>
    <xdr:ext cx="234333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992CE35-4FA4-8A3A-9D13-E8CA1EB70672}"/>
                </a:ext>
              </a:extLst>
            </xdr:cNvPr>
            <xdr:cNvSpPr txBox="1"/>
          </xdr:nvSpPr>
          <xdr:spPr>
            <a:xfrm>
              <a:off x="0" y="563880"/>
              <a:ext cx="234333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min</m:t>
                        </m:r>
                      </m:fName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𝑍</m:t>
                        </m:r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=−2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+14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  <m:r>
                          <m:rPr>
                            <m:nor/>
                          </m:rPr>
                          <a:rPr lang="ru-RU">
                            <a:effectLst/>
                          </a:rPr>
                          <m:t> </m:t>
                        </m:r>
                      </m:e>
                    </m:fun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992CE35-4FA4-8A3A-9D13-E8CA1EB70672}"/>
                </a:ext>
              </a:extLst>
            </xdr:cNvPr>
            <xdr:cNvSpPr txBox="1"/>
          </xdr:nvSpPr>
          <xdr:spPr>
            <a:xfrm>
              <a:off x="0" y="563880"/>
              <a:ext cx="234333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min⁡〖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𝑍(𝑥)=−2𝑥_1+〖4𝑥〗_2+14𝑥_3+〖2𝑥〗_4</a:t>
              </a:r>
              <a:r>
                <a:rPr lang="ru-RU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</a:t>
              </a:r>
              <a:r>
                <a:rPr lang="ru-RU" i="0">
                  <a:effectLst/>
                </a:rPr>
                <a:t> </a:t>
              </a:r>
              <a:r>
                <a:rPr lang="en-US" sz="1100" b="0" i="0">
                  <a:effectLst/>
                  <a:latin typeface="Cambria Math" panose="02040503050406030204" pitchFamily="18" charset="0"/>
                </a:rPr>
                <a:t>" 〗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4</xdr:row>
      <xdr:rowOff>15240</xdr:rowOff>
    </xdr:from>
    <xdr:ext cx="193354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D062358-2F47-46EE-FC55-11BED2F7B9A9}"/>
                </a:ext>
              </a:extLst>
            </xdr:cNvPr>
            <xdr:cNvSpPr txBox="1"/>
          </xdr:nvSpPr>
          <xdr:spPr>
            <a:xfrm>
              <a:off x="0" y="746760"/>
              <a:ext cx="193354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=−2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=6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1D062358-2F47-46EE-FC55-11BED2F7B9A9}"/>
                </a:ext>
              </a:extLst>
            </xdr:cNvPr>
            <xdr:cNvSpPr txBox="1"/>
          </xdr:nvSpPr>
          <xdr:spPr>
            <a:xfrm>
              <a:off x="0" y="746760"/>
              <a:ext cx="193354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𝑦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1=−2𝑥_1−𝑥_2+𝑥_3+〖2𝑥〗_4=6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5</xdr:row>
      <xdr:rowOff>45720</xdr:rowOff>
    </xdr:from>
    <xdr:ext cx="20930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74328DB-F9F2-4164-B262-158F9AFD9E7B}"/>
                </a:ext>
              </a:extLst>
            </xdr:cNvPr>
            <xdr:cNvSpPr txBox="1"/>
          </xdr:nvSpPr>
          <xdr:spPr>
            <a:xfrm>
              <a:off x="0" y="960120"/>
              <a:ext cx="20930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=30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74328DB-F9F2-4164-B262-158F9AFD9E7B}"/>
                </a:ext>
              </a:extLst>
            </xdr:cNvPr>
            <xdr:cNvSpPr txBox="1"/>
          </xdr:nvSpPr>
          <xdr:spPr>
            <a:xfrm>
              <a:off x="0" y="960120"/>
              <a:ext cx="20930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𝑦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2=−𝑥_1+2𝑥_2+〖4𝑥〗_3−〖5𝑥〗_4=30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</xdr:row>
      <xdr:rowOff>45720</xdr:rowOff>
    </xdr:from>
    <xdr:ext cx="1101455" cy="1831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B37F5DE-106E-4170-D2D7-FD00CC019E9D}"/>
                </a:ext>
              </a:extLst>
            </xdr:cNvPr>
            <xdr:cNvSpPr txBox="1"/>
          </xdr:nvSpPr>
          <xdr:spPr>
            <a:xfrm>
              <a:off x="0" y="1143000"/>
              <a:ext cx="1101455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ru-RU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0, 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=1,2,3,4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B37F5DE-106E-4170-D2D7-FD00CC019E9D}"/>
                </a:ext>
              </a:extLst>
            </xdr:cNvPr>
            <xdr:cNvSpPr txBox="1"/>
          </xdr:nvSpPr>
          <xdr:spPr>
            <a:xfrm>
              <a:off x="0" y="1143000"/>
              <a:ext cx="1101455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𝑗</a:t>
              </a:r>
              <a:r>
                <a:rPr lang="ru-RU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0, 𝑗=1,2,3,4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3</xdr:col>
      <xdr:colOff>182880</xdr:colOff>
      <xdr:row>3</xdr:row>
      <xdr:rowOff>15240</xdr:rowOff>
    </xdr:from>
    <xdr:ext cx="150028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93DD320-8B81-FC81-E68A-0C7AE4D8777B}"/>
                </a:ext>
              </a:extLst>
            </xdr:cNvPr>
            <xdr:cNvSpPr txBox="1"/>
          </xdr:nvSpPr>
          <xdr:spPr>
            <a:xfrm>
              <a:off x="2651760" y="563880"/>
              <a:ext cx="150028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max</m:t>
                        </m:r>
                      </m:fName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=6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</m:e>
                    </m:fun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93DD320-8B81-FC81-E68A-0C7AE4D8777B}"/>
                </a:ext>
              </a:extLst>
            </xdr:cNvPr>
            <xdr:cNvSpPr txBox="1"/>
          </xdr:nvSpPr>
          <xdr:spPr>
            <a:xfrm>
              <a:off x="2651760" y="563880"/>
              <a:ext cx="150028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max⁡〖𝐹(𝑥)=6𝑦_1+〖30𝑦〗_2 〗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3</xdr:col>
      <xdr:colOff>220980</xdr:colOff>
      <xdr:row>4</xdr:row>
      <xdr:rowOff>0</xdr:rowOff>
    </xdr:from>
    <xdr:ext cx="102784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49E2A44-1519-1AA3-5D6F-889AB9F2E22A}"/>
                </a:ext>
              </a:extLst>
            </xdr:cNvPr>
            <xdr:cNvSpPr txBox="1"/>
          </xdr:nvSpPr>
          <xdr:spPr>
            <a:xfrm>
              <a:off x="2689860" y="731520"/>
              <a:ext cx="10278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−2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≤−2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49E2A44-1519-1AA3-5D6F-889AB9F2E22A}"/>
                </a:ext>
              </a:extLst>
            </xdr:cNvPr>
            <xdr:cNvSpPr txBox="1"/>
          </xdr:nvSpPr>
          <xdr:spPr>
            <a:xfrm>
              <a:off x="2689860" y="731520"/>
              <a:ext cx="10278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−2𝑦_1−𝑦_2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≤−2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3</xdr:col>
      <xdr:colOff>220980</xdr:colOff>
      <xdr:row>4</xdr:row>
      <xdr:rowOff>152400</xdr:rowOff>
    </xdr:from>
    <xdr:ext cx="92243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D2114D20-5B5B-F111-037B-EB05EFD0141C}"/>
                </a:ext>
              </a:extLst>
            </xdr:cNvPr>
            <xdr:cNvSpPr txBox="1"/>
          </xdr:nvSpPr>
          <xdr:spPr>
            <a:xfrm>
              <a:off x="2689860" y="883920"/>
              <a:ext cx="92243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≤4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D2114D20-5B5B-F111-037B-EB05EFD0141C}"/>
                </a:ext>
              </a:extLst>
            </xdr:cNvPr>
            <xdr:cNvSpPr txBox="1"/>
          </xdr:nvSpPr>
          <xdr:spPr>
            <a:xfrm>
              <a:off x="2689860" y="883920"/>
              <a:ext cx="92243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−𝑦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1+〖2𝑦〗_2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≤4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3</xdr:col>
      <xdr:colOff>335280</xdr:colOff>
      <xdr:row>5</xdr:row>
      <xdr:rowOff>144780</xdr:rowOff>
    </xdr:from>
    <xdr:ext cx="8951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4577B3F-E3D5-C2F1-94CE-E8E6B01F58E7}"/>
                </a:ext>
              </a:extLst>
            </xdr:cNvPr>
            <xdr:cNvSpPr txBox="1"/>
          </xdr:nvSpPr>
          <xdr:spPr>
            <a:xfrm>
              <a:off x="2804160" y="1059180"/>
              <a:ext cx="8951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≤14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4577B3F-E3D5-C2F1-94CE-E8E6B01F58E7}"/>
                </a:ext>
              </a:extLst>
            </xdr:cNvPr>
            <xdr:cNvSpPr txBox="1"/>
          </xdr:nvSpPr>
          <xdr:spPr>
            <a:xfrm>
              <a:off x="2804160" y="1059180"/>
              <a:ext cx="8951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𝑦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1+〖4𝑦〗_2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≤14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3</xdr:col>
      <xdr:colOff>259080</xdr:colOff>
      <xdr:row>6</xdr:row>
      <xdr:rowOff>152400</xdr:rowOff>
    </xdr:from>
    <xdr:ext cx="8951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93540D88-CA41-1FC0-374A-34FB0EF6AD22}"/>
                </a:ext>
              </a:extLst>
            </xdr:cNvPr>
            <xdr:cNvSpPr txBox="1"/>
          </xdr:nvSpPr>
          <xdr:spPr>
            <a:xfrm>
              <a:off x="2727960" y="1249680"/>
              <a:ext cx="8951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−5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≤2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93540D88-CA41-1FC0-374A-34FB0EF6AD22}"/>
                </a:ext>
              </a:extLst>
            </xdr:cNvPr>
            <xdr:cNvSpPr txBox="1"/>
          </xdr:nvSpPr>
          <xdr:spPr>
            <a:xfrm>
              <a:off x="2727960" y="1249680"/>
              <a:ext cx="8951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2𝑦_1−5𝑦_2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≤2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45720</xdr:colOff>
      <xdr:row>15</xdr:row>
      <xdr:rowOff>68580</xdr:rowOff>
    </xdr:from>
    <xdr:ext cx="170296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666E29D-A49D-8100-1D5C-2DB313970BAF}"/>
                </a:ext>
              </a:extLst>
            </xdr:cNvPr>
            <xdr:cNvSpPr txBox="1"/>
          </xdr:nvSpPr>
          <xdr:spPr>
            <a:xfrm>
              <a:off x="45720" y="2811780"/>
              <a:ext cx="170296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/>
                <a:t>min </a:t>
              </a:r>
              <a14:m>
                <m:oMath xmlns:m="http://schemas.openxmlformats.org/officeDocument/2006/math">
                  <m:r>
                    <a:rPr lang="en-US" sz="1100" b="0" i="1">
                      <a:latin typeface="Cambria Math" panose="02040503050406030204" pitchFamily="18" charset="0"/>
                    </a:rPr>
                    <m:t>𝑍</m:t>
                  </m:r>
                  <m:d>
                    <m:d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</m:d>
                  <m:r>
                    <a:rPr lang="en-US" sz="1100" b="0" i="1">
                      <a:latin typeface="Cambria Math" panose="02040503050406030204" pitchFamily="18" charset="0"/>
                    </a:rPr>
                    <m:t>=3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n-US" sz="1100" b="0" i="1">
                      <a:latin typeface="Cambria Math" panose="02040503050406030204" pitchFamily="18" charset="0"/>
                    </a:rPr>
                    <m:t>+4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n-US" sz="1100" b="0" i="1">
                      <a:latin typeface="Cambria Math" panose="02040503050406030204" pitchFamily="18" charset="0"/>
                    </a:rPr>
                    <m:t>+2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𝑥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3</m:t>
                      </m:r>
                    </m:sub>
                  </m:sSub>
                </m:oMath>
              </a14:m>
              <a:endParaRPr lang="ru-RU" sz="11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666E29D-A49D-8100-1D5C-2DB313970BAF}"/>
                </a:ext>
              </a:extLst>
            </xdr:cNvPr>
            <xdr:cNvSpPr txBox="1"/>
          </xdr:nvSpPr>
          <xdr:spPr>
            <a:xfrm>
              <a:off x="45720" y="2811780"/>
              <a:ext cx="170296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/>
                <a:t>min </a:t>
              </a:r>
              <a:r>
                <a:rPr lang="en-US" sz="1100" b="0" i="0">
                  <a:latin typeface="Cambria Math" panose="02040503050406030204" pitchFamily="18" charset="0"/>
                </a:rPr>
                <a:t>𝑍(𝑥)=3𝑥_1+4𝑥_2+2𝑥_3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68580</xdr:colOff>
      <xdr:row>16</xdr:row>
      <xdr:rowOff>60960</xdr:rowOff>
    </xdr:from>
    <xdr:ext cx="138409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FC69DCC9-B71F-5E8F-08C7-AFB62A5E43AA}"/>
                </a:ext>
              </a:extLst>
            </xdr:cNvPr>
            <xdr:cNvSpPr txBox="1"/>
          </xdr:nvSpPr>
          <xdr:spPr>
            <a:xfrm>
              <a:off x="68580" y="2987040"/>
              <a:ext cx="138409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ru-RU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5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ru-RU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≥</m:t>
                    </m:r>
                    <m:r>
                      <a:rPr lang="ru-RU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FC69DCC9-B71F-5E8F-08C7-AFB62A5E43AA}"/>
                </a:ext>
              </a:extLst>
            </xdr:cNvPr>
            <xdr:cNvSpPr txBox="1"/>
          </xdr:nvSpPr>
          <xdr:spPr>
            <a:xfrm>
              <a:off x="68580" y="2987040"/>
              <a:ext cx="138409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3𝑥_1</a:t>
              </a:r>
              <a:r>
                <a:rPr lang="ru-RU" sz="1100" b="0" i="0">
                  <a:latin typeface="Cambria Math" panose="02040503050406030204" pitchFamily="18" charset="0"/>
                </a:rPr>
                <a:t>+</a:t>
              </a:r>
              <a:r>
                <a:rPr lang="en-US" sz="1100" b="0" i="0">
                  <a:latin typeface="Cambria Math" panose="02040503050406030204" pitchFamily="18" charset="0"/>
                </a:rPr>
                <a:t>5𝑥_2</a:t>
              </a:r>
              <a:r>
                <a:rPr lang="ru-RU" sz="1100" b="0" i="0">
                  <a:latin typeface="Cambria Math" panose="02040503050406030204" pitchFamily="18" charset="0"/>
                </a:rPr>
                <a:t>−</a:t>
              </a:r>
              <a:r>
                <a:rPr lang="en-US" sz="1100" b="0" i="0">
                  <a:latin typeface="Cambria Math" panose="02040503050406030204" pitchFamily="18" charset="0"/>
                </a:rPr>
                <a:t>2𝑥_3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≥</a:t>
              </a:r>
              <a:r>
                <a:rPr lang="ru-RU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4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22860</xdr:colOff>
      <xdr:row>17</xdr:row>
      <xdr:rowOff>22860</xdr:rowOff>
    </xdr:from>
    <xdr:ext cx="130599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851436C-B452-E7A8-7F61-F07BBC8854A1}"/>
                </a:ext>
              </a:extLst>
            </xdr:cNvPr>
            <xdr:cNvSpPr txBox="1"/>
          </xdr:nvSpPr>
          <xdr:spPr>
            <a:xfrm>
              <a:off x="22860" y="3131820"/>
              <a:ext cx="130599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−2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851436C-B452-E7A8-7F61-F07BBC8854A1}"/>
                </a:ext>
              </a:extLst>
            </xdr:cNvPr>
            <xdr:cNvSpPr txBox="1"/>
          </xdr:nvSpPr>
          <xdr:spPr>
            <a:xfrm>
              <a:off x="22860" y="3131820"/>
              <a:ext cx="130599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−2𝑥_1−3𝑥_2+𝑥_3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121920</xdr:colOff>
      <xdr:row>18</xdr:row>
      <xdr:rowOff>0</xdr:rowOff>
    </xdr:from>
    <xdr:ext cx="120058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3BD62DA-2E67-BFF6-5937-0B8A7F549CFF}"/>
                </a:ext>
              </a:extLst>
            </xdr:cNvPr>
            <xdr:cNvSpPr txBox="1"/>
          </xdr:nvSpPr>
          <xdr:spPr>
            <a:xfrm>
              <a:off x="121920" y="3291840"/>
              <a:ext cx="120058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+6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≥5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3BD62DA-2E67-BFF6-5937-0B8A7F549CFF}"/>
                </a:ext>
              </a:extLst>
            </xdr:cNvPr>
            <xdr:cNvSpPr txBox="1"/>
          </xdr:nvSpPr>
          <xdr:spPr>
            <a:xfrm>
              <a:off x="121920" y="3291840"/>
              <a:ext cx="120058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3𝑥_1+6𝑥_2−𝑥_3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≥5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106680</xdr:colOff>
      <xdr:row>18</xdr:row>
      <xdr:rowOff>175260</xdr:rowOff>
    </xdr:from>
    <xdr:ext cx="994439" cy="1831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46693420-6E9A-3E1B-39E3-98EE8A41BBAE}"/>
                </a:ext>
              </a:extLst>
            </xdr:cNvPr>
            <xdr:cNvSpPr txBox="1"/>
          </xdr:nvSpPr>
          <xdr:spPr>
            <a:xfrm>
              <a:off x="106680" y="3467100"/>
              <a:ext cx="994439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</m:t>
                        </m:r>
                      </m:sub>
                    </m:sSub>
                    <m:r>
                      <a:rPr lang="ru-RU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0, 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=1,2,3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46693420-6E9A-3E1B-39E3-98EE8A41BBAE}"/>
                </a:ext>
              </a:extLst>
            </xdr:cNvPr>
            <xdr:cNvSpPr txBox="1"/>
          </xdr:nvSpPr>
          <xdr:spPr>
            <a:xfrm>
              <a:off x="106680" y="3467100"/>
              <a:ext cx="994439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𝑗</a:t>
              </a:r>
              <a:r>
                <a:rPr lang="ru-RU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0, 𝑗=1,2,3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12</xdr:col>
      <xdr:colOff>533400</xdr:colOff>
      <xdr:row>14</xdr:row>
      <xdr:rowOff>83820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0F1D15C-2911-40CB-B347-21AAAB8FBD83}"/>
            </a:ext>
          </a:extLst>
        </xdr:cNvPr>
        <xdr:cNvSpPr txBox="1"/>
      </xdr:nvSpPr>
      <xdr:spPr>
        <a:xfrm>
          <a:off x="6629400" y="227838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0</xdr:col>
      <xdr:colOff>68580</xdr:colOff>
      <xdr:row>26</xdr:row>
      <xdr:rowOff>15240</xdr:rowOff>
    </xdr:from>
    <xdr:ext cx="187763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9167942F-395B-6A83-260C-62FBF8D27D6B}"/>
                </a:ext>
              </a:extLst>
            </xdr:cNvPr>
            <xdr:cNvSpPr txBox="1"/>
          </xdr:nvSpPr>
          <xdr:spPr>
            <a:xfrm>
              <a:off x="68580" y="4770120"/>
              <a:ext cx="187763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𝑚𝑎𝑥𝐹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d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ru-RU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4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+5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9167942F-395B-6A83-260C-62FBF8D27D6B}"/>
                </a:ext>
              </a:extLst>
            </xdr:cNvPr>
            <xdr:cNvSpPr txBox="1"/>
          </xdr:nvSpPr>
          <xdr:spPr>
            <a:xfrm>
              <a:off x="68580" y="4770120"/>
              <a:ext cx="187763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𝑚𝑎𝑥𝐹(𝑌)=</a:t>
              </a:r>
              <a:r>
                <a:rPr lang="ru-RU" sz="1100" b="0" i="0">
                  <a:latin typeface="Cambria Math" panose="02040503050406030204" pitchFamily="18" charset="0"/>
                </a:rPr>
                <a:t>−</a:t>
              </a:r>
              <a:r>
                <a:rPr lang="en-US" sz="1100" b="0" i="0">
                  <a:latin typeface="Cambria Math" panose="02040503050406030204" pitchFamily="18" charset="0"/>
                </a:rPr>
                <a:t>4𝑦_1+3𝑦_2+5𝑦_3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60960</xdr:colOff>
      <xdr:row>27</xdr:row>
      <xdr:rowOff>15240</xdr:rowOff>
    </xdr:from>
    <xdr:ext cx="128137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A94F09D4-5024-4E96-3AE7-D2559BE83E63}"/>
                </a:ext>
              </a:extLst>
            </xdr:cNvPr>
            <xdr:cNvSpPr txBox="1"/>
          </xdr:nvSpPr>
          <xdr:spPr>
            <a:xfrm>
              <a:off x="60960" y="4953000"/>
              <a:ext cx="12813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A94F09D4-5024-4E96-3AE7-D2559BE83E63}"/>
                </a:ext>
              </a:extLst>
            </xdr:cNvPr>
            <xdr:cNvSpPr txBox="1"/>
          </xdr:nvSpPr>
          <xdr:spPr>
            <a:xfrm>
              <a:off x="60960" y="4953000"/>
              <a:ext cx="12813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3𝑦_1−2𝑦_2+3𝑦_3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45720</xdr:colOff>
      <xdr:row>28</xdr:row>
      <xdr:rowOff>7620</xdr:rowOff>
    </xdr:from>
    <xdr:ext cx="128137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13C2A9C6-7B75-E48F-047B-72E297EDC424}"/>
                </a:ext>
              </a:extLst>
            </xdr:cNvPr>
            <xdr:cNvSpPr txBox="1"/>
          </xdr:nvSpPr>
          <xdr:spPr>
            <a:xfrm>
              <a:off x="45720" y="5128260"/>
              <a:ext cx="12813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5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+6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≤4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13C2A9C6-7B75-E48F-047B-72E297EDC424}"/>
                </a:ext>
              </a:extLst>
            </xdr:cNvPr>
            <xdr:cNvSpPr txBox="1"/>
          </xdr:nvSpPr>
          <xdr:spPr>
            <a:xfrm>
              <a:off x="45720" y="5128260"/>
              <a:ext cx="12813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5𝑦_1−3𝑦_2+6𝑦_3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≤4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91440</xdr:colOff>
      <xdr:row>29</xdr:row>
      <xdr:rowOff>38100</xdr:rowOff>
    </xdr:from>
    <xdr:ext cx="123059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52A64578-6753-D33E-E1E3-C08F2B088951}"/>
                </a:ext>
              </a:extLst>
            </xdr:cNvPr>
            <xdr:cNvSpPr txBox="1"/>
          </xdr:nvSpPr>
          <xdr:spPr>
            <a:xfrm>
              <a:off x="91440" y="5341620"/>
              <a:ext cx="123059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ru-RU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≤2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52A64578-6753-D33E-E1E3-C08F2B088951}"/>
                </a:ext>
              </a:extLst>
            </xdr:cNvPr>
            <xdr:cNvSpPr txBox="1"/>
          </xdr:nvSpPr>
          <xdr:spPr>
            <a:xfrm>
              <a:off x="91440" y="5341620"/>
              <a:ext cx="123059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b="0" i="0">
                  <a:latin typeface="Cambria Math" panose="02040503050406030204" pitchFamily="18" charset="0"/>
                </a:rPr>
                <a:t>−</a:t>
              </a:r>
              <a:r>
                <a:rPr lang="en-US" sz="1100" b="0" i="0">
                  <a:latin typeface="Cambria Math" panose="02040503050406030204" pitchFamily="18" charset="0"/>
                </a:rPr>
                <a:t>2𝑦_1+𝑦_2−𝑦_3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≤2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68580</xdr:colOff>
      <xdr:row>30</xdr:row>
      <xdr:rowOff>30480</xdr:rowOff>
    </xdr:from>
    <xdr:ext cx="99559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DED1BA7A-2196-DC5D-EEB8-2608DB912EDB}"/>
                </a:ext>
              </a:extLst>
            </xdr:cNvPr>
            <xdr:cNvSpPr txBox="1"/>
          </xdr:nvSpPr>
          <xdr:spPr>
            <a:xfrm>
              <a:off x="68580" y="5516880"/>
              <a:ext cx="9955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ru-RU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0, 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𝑗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=1,2,3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DED1BA7A-2196-DC5D-EEB8-2608DB912EDB}"/>
                </a:ext>
              </a:extLst>
            </xdr:cNvPr>
            <xdr:cNvSpPr txBox="1"/>
          </xdr:nvSpPr>
          <xdr:spPr>
            <a:xfrm>
              <a:off x="68580" y="5516880"/>
              <a:ext cx="9955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𝑦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𝑖</a:t>
              </a:r>
              <a:r>
                <a:rPr lang="ru-RU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0, 𝑗=1,2,3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9</xdr:col>
      <xdr:colOff>289560</xdr:colOff>
      <xdr:row>19</xdr:row>
      <xdr:rowOff>7620</xdr:rowOff>
    </xdr:from>
    <xdr:to>
      <xdr:col>20</xdr:col>
      <xdr:colOff>61864</xdr:colOff>
      <xdr:row>24</xdr:row>
      <xdr:rowOff>83958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EE5A63F-8AC6-CAE4-C973-72824B85E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6040" y="3482340"/>
          <a:ext cx="6477904" cy="990738"/>
        </a:xfrm>
        <a:prstGeom prst="rect">
          <a:avLst/>
        </a:prstGeom>
      </xdr:spPr>
    </xdr:pic>
    <xdr:clientData/>
  </xdr:twoCellAnchor>
  <xdr:twoCellAnchor editAs="oneCell">
    <xdr:from>
      <xdr:col>9</xdr:col>
      <xdr:colOff>281940</xdr:colOff>
      <xdr:row>30</xdr:row>
      <xdr:rowOff>30480</xdr:rowOff>
    </xdr:from>
    <xdr:to>
      <xdr:col>20</xdr:col>
      <xdr:colOff>35191</xdr:colOff>
      <xdr:row>35</xdr:row>
      <xdr:rowOff>173503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1A6262A-6E1D-2DCF-5433-76B237E4E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8420" y="5516880"/>
          <a:ext cx="6458851" cy="105742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40</xdr:row>
      <xdr:rowOff>22860</xdr:rowOff>
    </xdr:from>
    <xdr:to>
      <xdr:col>5</xdr:col>
      <xdr:colOff>605263</xdr:colOff>
      <xdr:row>73</xdr:row>
      <xdr:rowOff>109863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89E3E803-6FF6-0569-EA70-E9920EE03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7338060"/>
          <a:ext cx="4179043" cy="6122043"/>
        </a:xfrm>
        <a:prstGeom prst="rect">
          <a:avLst/>
        </a:prstGeom>
      </xdr:spPr>
    </xdr:pic>
    <xdr:clientData/>
  </xdr:twoCellAnchor>
  <xdr:twoCellAnchor editAs="oneCell">
    <xdr:from>
      <xdr:col>5</xdr:col>
      <xdr:colOff>600151</xdr:colOff>
      <xdr:row>40</xdr:row>
      <xdr:rowOff>22861</xdr:rowOff>
    </xdr:from>
    <xdr:to>
      <xdr:col>13</xdr:col>
      <xdr:colOff>134417</xdr:colOff>
      <xdr:row>73</xdr:row>
      <xdr:rowOff>114301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13929E6B-0204-ED45-382D-93820E87C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8231" y="7338061"/>
          <a:ext cx="4411066" cy="612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137160</xdr:colOff>
      <xdr:row>40</xdr:row>
      <xdr:rowOff>22861</xdr:rowOff>
    </xdr:from>
    <xdr:to>
      <xdr:col>21</xdr:col>
      <xdr:colOff>336689</xdr:colOff>
      <xdr:row>73</xdr:row>
      <xdr:rowOff>106681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3925D3C-45C8-D1F5-88E5-578C2D6F5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02040" y="7338061"/>
          <a:ext cx="5076329" cy="61188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26</xdr:row>
      <xdr:rowOff>73610</xdr:rowOff>
    </xdr:from>
    <xdr:to>
      <xdr:col>8</xdr:col>
      <xdr:colOff>343590</xdr:colOff>
      <xdr:row>49</xdr:row>
      <xdr:rowOff>83819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6BCF5FE-DBB7-07EA-A6D2-29FF43C60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" y="622250"/>
          <a:ext cx="4511730" cy="4216449"/>
        </a:xfrm>
        <a:prstGeom prst="rect">
          <a:avLst/>
        </a:prstGeom>
      </xdr:spPr>
    </xdr:pic>
    <xdr:clientData/>
  </xdr:twoCellAnchor>
  <xdr:twoCellAnchor editAs="oneCell">
    <xdr:from>
      <xdr:col>1</xdr:col>
      <xdr:colOff>99059</xdr:colOff>
      <xdr:row>3</xdr:row>
      <xdr:rowOff>50672</xdr:rowOff>
    </xdr:from>
    <xdr:to>
      <xdr:col>10</xdr:col>
      <xdr:colOff>338168</xdr:colOff>
      <xdr:row>25</xdr:row>
      <xdr:rowOff>175260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CA3FE4D-1303-812F-7E2A-EF3CF4CF3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59" y="599312"/>
          <a:ext cx="5725509" cy="4147948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380999</xdr:colOff>
      <xdr:row>99</xdr:row>
      <xdr:rowOff>107573</xdr:rowOff>
    </xdr:from>
    <xdr:to>
      <xdr:col>13</xdr:col>
      <xdr:colOff>47367</xdr:colOff>
      <xdr:row>116</xdr:row>
      <xdr:rowOff>76201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E833C29-4327-828B-D6E5-CFDFE8C3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199" y="18212693"/>
          <a:ext cx="3323968" cy="3077588"/>
        </a:xfrm>
        <a:prstGeom prst="rect">
          <a:avLst/>
        </a:prstGeom>
      </xdr:spPr>
    </xdr:pic>
    <xdr:clientData/>
  </xdr:twoCellAnchor>
  <xdr:twoCellAnchor editAs="oneCell">
    <xdr:from>
      <xdr:col>7</xdr:col>
      <xdr:colOff>320039</xdr:colOff>
      <xdr:row>79</xdr:row>
      <xdr:rowOff>166231</xdr:rowOff>
    </xdr:from>
    <xdr:to>
      <xdr:col>18</xdr:col>
      <xdr:colOff>133436</xdr:colOff>
      <xdr:row>98</xdr:row>
      <xdr:rowOff>167640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B2B1A6D-C6A0-BCA6-F9C3-2310C83A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7239" y="14613751"/>
          <a:ext cx="6518997" cy="3476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44311</xdr:rowOff>
    </xdr:from>
    <xdr:to>
      <xdr:col>8</xdr:col>
      <xdr:colOff>19733</xdr:colOff>
      <xdr:row>76</xdr:row>
      <xdr:rowOff>123040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FA28F1-F1F4-96C0-23C4-10E7D491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54071"/>
          <a:ext cx="4896533" cy="4467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153293</xdr:rowOff>
    </xdr:from>
    <xdr:to>
      <xdr:col>7</xdr:col>
      <xdr:colOff>322990</xdr:colOff>
      <xdr:row>113</xdr:row>
      <xdr:rowOff>175260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031AA63-5E2F-849F-053A-9E27ADC46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600813"/>
          <a:ext cx="4590190" cy="6239887"/>
        </a:xfrm>
        <a:prstGeom prst="rect">
          <a:avLst/>
        </a:prstGeom>
      </xdr:spPr>
    </xdr:pic>
    <xdr:clientData/>
  </xdr:twoCellAnchor>
  <xdr:oneCellAnchor>
    <xdr:from>
      <xdr:col>0</xdr:col>
      <xdr:colOff>83820</xdr:colOff>
      <xdr:row>118</xdr:row>
      <xdr:rowOff>45720</xdr:rowOff>
    </xdr:from>
    <xdr:ext cx="24668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D47632FE-46DC-AFE5-E0DD-0DB59B9E4FF4}"/>
                </a:ext>
              </a:extLst>
            </xdr:cNvPr>
            <xdr:cNvSpPr txBox="1"/>
          </xdr:nvSpPr>
          <xdr:spPr>
            <a:xfrm>
              <a:off x="83820" y="21717000"/>
              <a:ext cx="24668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min</m:t>
                        </m:r>
                      </m:fName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</m:t>
                        </m:r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d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2000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e>
                    </m:func>
                    <m:r>
                      <a:rPr lang="en-US" sz="1100" b="0" i="1">
                        <a:latin typeface="Cambria Math" panose="02040503050406030204" pitchFamily="18" charset="0"/>
                      </a:rPr>
                      <m:t>+1400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+800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D47632FE-46DC-AFE5-E0DD-0DB59B9E4FF4}"/>
                </a:ext>
              </a:extLst>
            </xdr:cNvPr>
            <xdr:cNvSpPr txBox="1"/>
          </xdr:nvSpPr>
          <xdr:spPr>
            <a:xfrm>
              <a:off x="83820" y="21717000"/>
              <a:ext cx="24668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min⁡〖𝐹(𝑦)=〖2000𝑦〗_1 〗+1400𝑦_2+800𝑦_3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129540</xdr:colOff>
      <xdr:row>119</xdr:row>
      <xdr:rowOff>76200</xdr:rowOff>
    </xdr:from>
    <xdr:ext cx="1359475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916FAF5B-109D-33E1-6A00-523F0FAD3051}"/>
                </a:ext>
              </a:extLst>
            </xdr:cNvPr>
            <xdr:cNvSpPr txBox="1"/>
          </xdr:nvSpPr>
          <xdr:spPr>
            <a:xfrm>
              <a:off x="129540" y="21930360"/>
              <a:ext cx="1359475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≥40</m:t>
                    </m:r>
                  </m:oMath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≥60</m:t>
                    </m:r>
                  </m:oMath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1,2,3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916FAF5B-109D-33E1-6A00-523F0FAD3051}"/>
                </a:ext>
              </a:extLst>
            </xdr:cNvPr>
            <xdr:cNvSpPr txBox="1"/>
          </xdr:nvSpPr>
          <xdr:spPr>
            <a:xfrm>
              <a:off x="129540" y="21930360"/>
              <a:ext cx="1359475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2𝑦</a:t>
              </a:r>
              <a:r>
                <a:rPr lang="ru-RU" sz="1100" b="0" i="0"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latin typeface="Cambria Math" panose="02040503050406030204" pitchFamily="18" charset="0"/>
                </a:rPr>
                <a:t>1+〖4𝑦〗_2+〖2𝑦〗_3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≥40</a:t>
              </a:r>
              <a:br>
                <a:rPr lang="en-US" sz="1100" b="0">
                  <a:ea typeface="Cambria Math" panose="02040503050406030204" pitchFamily="18" charset="0"/>
                </a:rPr>
              </a:b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〖4𝑦〗_1+𝑦_2+𝑦_3≥60</a:t>
              </a:r>
              <a:br>
                <a:rPr lang="en-US" sz="1100" b="0">
                  <a:ea typeface="Cambria Math" panose="02040503050406030204" pitchFamily="18" charset="0"/>
                </a:rPr>
              </a:b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𝑦_1,2,3≥0</a:t>
              </a:r>
              <a:endParaRPr lang="ru-RU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</xdr:col>
      <xdr:colOff>339910</xdr:colOff>
      <xdr:row>7</xdr:row>
      <xdr:rowOff>175260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8040431-0BB5-68F6-D6BD-3C7CA0289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"/>
          <a:ext cx="219919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3</xdr:col>
      <xdr:colOff>358140</xdr:colOff>
      <xdr:row>23</xdr:row>
      <xdr:rowOff>662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63B59A2-7F7D-0C2B-2088-B967865B1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0420"/>
          <a:ext cx="2827020" cy="915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45720</xdr:colOff>
      <xdr:row>0</xdr:row>
      <xdr:rowOff>99060</xdr:rowOff>
    </xdr:from>
    <xdr:to>
      <xdr:col>18</xdr:col>
      <xdr:colOff>522972</xdr:colOff>
      <xdr:row>31</xdr:row>
      <xdr:rowOff>38908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8AB2D05-1A24-567D-89A7-96269BE5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99060"/>
          <a:ext cx="7182852" cy="5792008"/>
        </a:xfrm>
        <a:prstGeom prst="rect">
          <a:avLst/>
        </a:prstGeom>
      </xdr:spPr>
    </xdr:pic>
    <xdr:clientData/>
  </xdr:twoCellAnchor>
  <xdr:twoCellAnchor editAs="oneCell">
    <xdr:from>
      <xdr:col>5</xdr:col>
      <xdr:colOff>53789</xdr:colOff>
      <xdr:row>42</xdr:row>
      <xdr:rowOff>35861</xdr:rowOff>
    </xdr:from>
    <xdr:to>
      <xdr:col>9</xdr:col>
      <xdr:colOff>457147</xdr:colOff>
      <xdr:row>59</xdr:row>
      <xdr:rowOff>1347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696BFBA-00B1-C8FF-7919-04A2ADF6A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38283" y="7754473"/>
          <a:ext cx="2841758" cy="3013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31825</xdr:rowOff>
    </xdr:from>
    <xdr:to>
      <xdr:col>5</xdr:col>
      <xdr:colOff>76110</xdr:colOff>
      <xdr:row>52</xdr:row>
      <xdr:rowOff>112059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94EADB6-EAFF-BBB8-B998-11AA82034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50437"/>
          <a:ext cx="3760604" cy="18731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158228</xdr:rowOff>
    </xdr:from>
    <xdr:to>
      <xdr:col>5</xdr:col>
      <xdr:colOff>78155</xdr:colOff>
      <xdr:row>72</xdr:row>
      <xdr:rowOff>62753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7587CA3-2482-3BFA-0E6D-B3C593B75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490487"/>
          <a:ext cx="3762648" cy="36697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86681</xdr:rowOff>
    </xdr:from>
    <xdr:to>
      <xdr:col>5</xdr:col>
      <xdr:colOff>82373</xdr:colOff>
      <xdr:row>90</xdr:row>
      <xdr:rowOff>170330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70ABEF4-5A08-054F-D8BA-846A95169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3004822"/>
          <a:ext cx="3766866" cy="34902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21</xdr:row>
      <xdr:rowOff>7620</xdr:rowOff>
    </xdr:from>
    <xdr:ext cx="680058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FB5EA26E-F704-7B21-56F7-A69B0A7B340F}"/>
                </a:ext>
              </a:extLst>
            </xdr:cNvPr>
            <xdr:cNvSpPr txBox="1"/>
          </xdr:nvSpPr>
          <xdr:spPr>
            <a:xfrm>
              <a:off x="53340" y="366522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(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𝐸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𝐴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)</m:t>
                      </m:r>
                    </m:e>
                    <m:sup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</m:oMath>
              </a14:m>
              <a:r>
                <a:rPr lang="ru-RU" sz="1100"/>
                <a:t>=</a:t>
              </a: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FB5EA26E-F704-7B21-56F7-A69B0A7B340F}"/>
                </a:ext>
              </a:extLst>
            </xdr:cNvPr>
            <xdr:cNvSpPr txBox="1"/>
          </xdr:nvSpPr>
          <xdr:spPr>
            <a:xfrm>
              <a:off x="53340" y="366522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r>
                <a:rPr lang="ru-RU" sz="1100"/>
                <a:t>=</a:t>
              </a:r>
            </a:p>
          </xdr:txBody>
        </xdr:sp>
      </mc:Fallback>
    </mc:AlternateContent>
    <xdr:clientData/>
  </xdr:oneCellAnchor>
  <xdr:oneCellAnchor>
    <xdr:from>
      <xdr:col>0</xdr:col>
      <xdr:colOff>510540</xdr:colOff>
      <xdr:row>29</xdr:row>
      <xdr:rowOff>22860</xdr:rowOff>
    </xdr:from>
    <xdr:ext cx="25051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0671306-4D12-B191-8E90-3C8CBE7EFC50}"/>
                </a:ext>
              </a:extLst>
            </xdr:cNvPr>
            <xdr:cNvSpPr txBox="1"/>
          </xdr:nvSpPr>
          <xdr:spPr>
            <a:xfrm>
              <a:off x="510540" y="5143500"/>
              <a:ext cx="25051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el-GR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Δ</m:t>
                    </m:r>
                    <m:r>
                      <m:rPr>
                        <m:nor/>
                      </m:rPr>
                      <a:rPr lang="en-US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Y</m:t>
                    </m:r>
                    <m:r>
                      <m:rPr>
                        <m:nor/>
                      </m:rPr>
                      <a:rPr lang="en-US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=</m:t>
                    </m:r>
                  </m:oMath>
                </m:oMathPara>
              </a14:m>
              <a:endParaRPr lang="en-US" sz="1100" b="0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0671306-4D12-B191-8E90-3C8CBE7EFC50}"/>
                </a:ext>
              </a:extLst>
            </xdr:cNvPr>
            <xdr:cNvSpPr txBox="1"/>
          </xdr:nvSpPr>
          <xdr:spPr>
            <a:xfrm>
              <a:off x="510540" y="5143500"/>
              <a:ext cx="25051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l-G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"Δ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Y=</a:t>
              </a:r>
              <a:r>
                <a:rPr lang="ru-RU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en-US" sz="1100" b="0">
                <a:solidFill>
                  <a:schemeClr val="tx1"/>
                </a:solidFill>
                <a:effectLst/>
                <a:ea typeface="+mn-ea"/>
                <a:cs typeface="+mn-cs"/>
              </a:endParaRPr>
            </a:p>
          </xdr:txBody>
        </xdr:sp>
      </mc:Fallback>
    </mc:AlternateContent>
    <xdr:clientData/>
  </xdr:oneCellAnchor>
  <xdr:oneCellAnchor>
    <xdr:from>
      <xdr:col>0</xdr:col>
      <xdr:colOff>541020</xdr:colOff>
      <xdr:row>32</xdr:row>
      <xdr:rowOff>7620</xdr:rowOff>
    </xdr:from>
    <xdr:ext cx="19755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7400148-0F0D-55CE-02D0-1C53ED91F1D8}"/>
                </a:ext>
              </a:extLst>
            </xdr:cNvPr>
            <xdr:cNvSpPr txBox="1"/>
          </xdr:nvSpPr>
          <xdr:spPr>
            <a:xfrm>
              <a:off x="541020" y="5676900"/>
              <a:ext cx="19755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𝑌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</m:oMath>
              </a14:m>
              <a:r>
                <a:rPr lang="en-US" sz="1100"/>
                <a:t>=</a:t>
              </a: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47400148-0F0D-55CE-02D0-1C53ED91F1D8}"/>
                </a:ext>
              </a:extLst>
            </xdr:cNvPr>
            <xdr:cNvSpPr txBox="1"/>
          </xdr:nvSpPr>
          <xdr:spPr>
            <a:xfrm>
              <a:off x="541020" y="5676900"/>
              <a:ext cx="19755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𝑌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2</a:t>
              </a:r>
              <a:r>
                <a:rPr lang="en-US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426720</xdr:colOff>
      <xdr:row>40</xdr:row>
      <xdr:rowOff>7620</xdr:rowOff>
    </xdr:from>
    <xdr:ext cx="235064" cy="1831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2E798A68-EDE5-D486-11EE-8645F199BB2D}"/>
                </a:ext>
              </a:extLst>
            </xdr:cNvPr>
            <xdr:cNvSpPr txBox="1"/>
          </xdr:nvSpPr>
          <xdr:spPr>
            <a:xfrm>
              <a:off x="2446020" y="713994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2E798A68-EDE5-D486-11EE-8645F199BB2D}"/>
                </a:ext>
              </a:extLst>
            </xdr:cNvPr>
            <xdr:cNvSpPr txBox="1"/>
          </xdr:nvSpPr>
          <xdr:spPr>
            <a:xfrm>
              <a:off x="2446020" y="713994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𝑋</a:t>
              </a:r>
              <a:r>
                <a:rPr lang="ru-RU" sz="1100" b="0" i="0">
                  <a:latin typeface="Cambria Math" panose="02040503050406030204" pitchFamily="18" charset="0"/>
                </a:rPr>
                <a:t>_(</a:t>
              </a:r>
              <a:r>
                <a:rPr lang="en-US" sz="1100" b="0" i="0">
                  <a:latin typeface="Cambria Math" panose="02040503050406030204" pitchFamily="18" charset="0"/>
                </a:rPr>
                <a:t>𝑖,𝑗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10</xdr:col>
      <xdr:colOff>342900</xdr:colOff>
      <xdr:row>13</xdr:row>
      <xdr:rowOff>83820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393B253-DE1D-A146-5B4E-C6B4A0E885AE}"/>
            </a:ext>
          </a:extLst>
        </xdr:cNvPr>
        <xdr:cNvSpPr txBox="1"/>
      </xdr:nvSpPr>
      <xdr:spPr>
        <a:xfrm>
          <a:off x="6629400" y="227838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ru-RU" sz="1100"/>
        </a:p>
      </xdr:txBody>
    </xdr:sp>
    <xdr:clientData/>
  </xdr:oneCellAnchor>
  <xdr:twoCellAnchor editAs="oneCell">
    <xdr:from>
      <xdr:col>0</xdr:col>
      <xdr:colOff>0</xdr:colOff>
      <xdr:row>47</xdr:row>
      <xdr:rowOff>0</xdr:rowOff>
    </xdr:from>
    <xdr:to>
      <xdr:col>5</xdr:col>
      <xdr:colOff>365760</xdr:colOff>
      <xdr:row>54</xdr:row>
      <xdr:rowOff>81136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2016513-4CF6-72A5-0957-F8487BA5B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12480"/>
          <a:ext cx="3604260" cy="136129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67</xdr:row>
      <xdr:rowOff>0</xdr:rowOff>
    </xdr:from>
    <xdr:ext cx="680058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E4114673-AB3E-4F92-B86F-247EDAE04CEE}"/>
                </a:ext>
              </a:extLst>
            </xdr:cNvPr>
            <xdr:cNvSpPr txBox="1"/>
          </xdr:nvSpPr>
          <xdr:spPr>
            <a:xfrm>
              <a:off x="0" y="1207008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(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𝐸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𝐴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)</m:t>
                      </m:r>
                    </m:e>
                    <m:sup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</m:oMath>
              </a14:m>
              <a:r>
                <a:rPr lang="ru-RU" sz="1100"/>
                <a:t>=</a:t>
              </a: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E4114673-AB3E-4F92-B86F-247EDAE04CEE}"/>
                </a:ext>
              </a:extLst>
            </xdr:cNvPr>
            <xdr:cNvSpPr txBox="1"/>
          </xdr:nvSpPr>
          <xdr:spPr>
            <a:xfrm>
              <a:off x="0" y="1207008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r>
                <a:rPr lang="ru-RU" sz="1100"/>
                <a:t>=</a:t>
              </a:r>
            </a:p>
          </xdr:txBody>
        </xdr:sp>
      </mc:Fallback>
    </mc:AlternateContent>
    <xdr:clientData/>
  </xdr:oneCellAnchor>
  <xdr:twoCellAnchor editAs="oneCell">
    <xdr:from>
      <xdr:col>0</xdr:col>
      <xdr:colOff>472441</xdr:colOff>
      <xdr:row>3</xdr:row>
      <xdr:rowOff>77836</xdr:rowOff>
    </xdr:from>
    <xdr:to>
      <xdr:col>3</xdr:col>
      <xdr:colOff>114301</xdr:colOff>
      <xdr:row>7</xdr:row>
      <xdr:rowOff>83477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224E9AE-F633-3C41-A3F8-92A25E41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1" y="443596"/>
          <a:ext cx="1661160" cy="737161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70</xdr:row>
      <xdr:rowOff>157149</xdr:rowOff>
    </xdr:from>
    <xdr:to>
      <xdr:col>7</xdr:col>
      <xdr:colOff>114300</xdr:colOff>
      <xdr:row>76</xdr:row>
      <xdr:rowOff>57254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5B9BAC7-A704-4DD8-78BA-46E1C45FA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12775869"/>
          <a:ext cx="1866900" cy="997385"/>
        </a:xfrm>
        <a:prstGeom prst="rect">
          <a:avLst/>
        </a:prstGeom>
      </xdr:spPr>
    </xdr:pic>
    <xdr:clientData/>
  </xdr:twoCellAnchor>
  <xdr:twoCellAnchor editAs="oneCell">
    <xdr:from>
      <xdr:col>6</xdr:col>
      <xdr:colOff>182880</xdr:colOff>
      <xdr:row>90</xdr:row>
      <xdr:rowOff>83820</xdr:rowOff>
    </xdr:from>
    <xdr:to>
      <xdr:col>9</xdr:col>
      <xdr:colOff>573715</xdr:colOff>
      <xdr:row>96</xdr:row>
      <xdr:rowOff>158279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1AA968C9-1C72-089D-453D-FC9450FB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0980" y="15628620"/>
          <a:ext cx="2219635" cy="1171739"/>
        </a:xfrm>
        <a:prstGeom prst="rect">
          <a:avLst/>
        </a:prstGeom>
      </xdr:spPr>
    </xdr:pic>
    <xdr:clientData/>
  </xdr:twoCellAnchor>
  <xdr:oneCellAnchor>
    <xdr:from>
      <xdr:col>10</xdr:col>
      <xdr:colOff>121920</xdr:colOff>
      <xdr:row>106</xdr:row>
      <xdr:rowOff>15240</xdr:rowOff>
    </xdr:from>
    <xdr:ext cx="641651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F417663-7030-4DCE-A0BD-A1AAB1B6F865}"/>
                </a:ext>
              </a:extLst>
            </xdr:cNvPr>
            <xdr:cNvSpPr txBox="1"/>
          </xdr:nvSpPr>
          <xdr:spPr>
            <a:xfrm>
              <a:off x="6408420" y="1848612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𝐸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𝐴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F417663-7030-4DCE-A0BD-A1AAB1B6F865}"/>
                </a:ext>
              </a:extLst>
            </xdr:cNvPr>
            <xdr:cNvSpPr txBox="1"/>
          </xdr:nvSpPr>
          <xdr:spPr>
            <a:xfrm>
              <a:off x="6408420" y="18486120"/>
              <a:ext cx="641651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53340</xdr:colOff>
      <xdr:row>112</xdr:row>
      <xdr:rowOff>0</xdr:rowOff>
    </xdr:from>
    <xdr:ext cx="680058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8A999A8C-EC6E-4F40-8996-940B49B9EE64}"/>
                </a:ext>
              </a:extLst>
            </xdr:cNvPr>
            <xdr:cNvSpPr txBox="1"/>
          </xdr:nvSpPr>
          <xdr:spPr>
            <a:xfrm>
              <a:off x="53340" y="1956816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(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𝐸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𝐴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)</m:t>
                      </m:r>
                    </m:e>
                    <m:sup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</m:oMath>
              </a14:m>
              <a:r>
                <a:rPr lang="ru-RU" sz="1100"/>
                <a:t>=</a:t>
              </a: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8A999A8C-EC6E-4F40-8996-940B49B9EE64}"/>
                </a:ext>
              </a:extLst>
            </xdr:cNvPr>
            <xdr:cNvSpPr txBox="1"/>
          </xdr:nvSpPr>
          <xdr:spPr>
            <a:xfrm>
              <a:off x="53340" y="1956816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r>
                <a:rPr lang="ru-RU" sz="1100"/>
                <a:t>=</a:t>
              </a:r>
            </a:p>
          </xdr:txBody>
        </xdr:sp>
      </mc:Fallback>
    </mc:AlternateContent>
    <xdr:clientData/>
  </xdr:oneCellAnchor>
  <xdr:twoCellAnchor editAs="oneCell">
    <xdr:from>
      <xdr:col>7</xdr:col>
      <xdr:colOff>91440</xdr:colOff>
      <xdr:row>118</xdr:row>
      <xdr:rowOff>114300</xdr:rowOff>
    </xdr:from>
    <xdr:to>
      <xdr:col>9</xdr:col>
      <xdr:colOff>415505</xdr:colOff>
      <xdr:row>122</xdr:row>
      <xdr:rowOff>106781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7B36D6F-8939-264C-CB90-C4B0D3CA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9140" y="20779740"/>
          <a:ext cx="1543265" cy="724001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138</xdr:row>
      <xdr:rowOff>167640</xdr:rowOff>
    </xdr:from>
    <xdr:to>
      <xdr:col>6</xdr:col>
      <xdr:colOff>320306</xdr:colOff>
      <xdr:row>142</xdr:row>
      <xdr:rowOff>17226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DD4A3ED4-0646-513D-17FC-B332A17BF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3140" y="24521160"/>
          <a:ext cx="1905266" cy="58110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86</xdr:row>
      <xdr:rowOff>0</xdr:rowOff>
    </xdr:from>
    <xdr:ext cx="680058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4FA7987-28F0-4D3C-AF98-68129048D3EC}"/>
                </a:ext>
              </a:extLst>
            </xdr:cNvPr>
            <xdr:cNvSpPr txBox="1"/>
          </xdr:nvSpPr>
          <xdr:spPr>
            <a:xfrm>
              <a:off x="0" y="1554480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(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𝐸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𝐴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)</m:t>
                      </m:r>
                    </m:e>
                    <m:sup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</m:oMath>
              </a14:m>
              <a:r>
                <a:rPr lang="ru-RU" sz="1100"/>
                <a:t>=</a:t>
              </a:r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4FA7987-28F0-4D3C-AF98-68129048D3EC}"/>
                </a:ext>
              </a:extLst>
            </xdr:cNvPr>
            <xdr:cNvSpPr txBox="1"/>
          </xdr:nvSpPr>
          <xdr:spPr>
            <a:xfrm>
              <a:off x="0" y="1554480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r>
                <a:rPr lang="ru-RU" sz="1100"/>
                <a:t>=</a:t>
              </a:r>
            </a:p>
          </xdr:txBody>
        </xdr:sp>
      </mc:Fallback>
    </mc:AlternateContent>
    <xdr:clientData/>
  </xdr:oneCellAnchor>
  <xdr:oneCellAnchor>
    <xdr:from>
      <xdr:col>0</xdr:col>
      <xdr:colOff>53340</xdr:colOff>
      <xdr:row>153</xdr:row>
      <xdr:rowOff>7620</xdr:rowOff>
    </xdr:from>
    <xdr:ext cx="680058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4EE46FFD-AF5B-475D-91C9-9E373A4B28F9}"/>
                </a:ext>
              </a:extLst>
            </xdr:cNvPr>
            <xdr:cNvSpPr txBox="1"/>
          </xdr:nvSpPr>
          <xdr:spPr>
            <a:xfrm>
              <a:off x="53340" y="366522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(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𝐸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𝐴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)</m:t>
                      </m:r>
                    </m:e>
                    <m:sup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</m:oMath>
              </a14:m>
              <a:r>
                <a:rPr lang="ru-RU" sz="1100"/>
                <a:t>=</a:t>
              </a:r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4EE46FFD-AF5B-475D-91C9-9E373A4B28F9}"/>
                </a:ext>
              </a:extLst>
            </xdr:cNvPr>
            <xdr:cNvSpPr txBox="1"/>
          </xdr:nvSpPr>
          <xdr:spPr>
            <a:xfrm>
              <a:off x="53340" y="366522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r>
                <a:rPr lang="ru-RU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426720</xdr:colOff>
      <xdr:row>159</xdr:row>
      <xdr:rowOff>7620</xdr:rowOff>
    </xdr:from>
    <xdr:ext cx="235064" cy="1831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75A60039-6FF7-428E-A662-D3443C67A18E}"/>
                </a:ext>
              </a:extLst>
            </xdr:cNvPr>
            <xdr:cNvSpPr txBox="1"/>
          </xdr:nvSpPr>
          <xdr:spPr>
            <a:xfrm>
              <a:off x="2446020" y="713994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75A60039-6FF7-428E-A662-D3443C67A18E}"/>
                </a:ext>
              </a:extLst>
            </xdr:cNvPr>
            <xdr:cNvSpPr txBox="1"/>
          </xdr:nvSpPr>
          <xdr:spPr>
            <a:xfrm>
              <a:off x="2446020" y="713994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𝑋</a:t>
              </a:r>
              <a:r>
                <a:rPr lang="ru-RU" sz="1100" b="0" i="0">
                  <a:latin typeface="Cambria Math" panose="02040503050406030204" pitchFamily="18" charset="0"/>
                </a:rPr>
                <a:t>_(</a:t>
              </a:r>
              <a:r>
                <a:rPr lang="en-US" sz="1100" b="0" i="0">
                  <a:latin typeface="Cambria Math" panose="02040503050406030204" pitchFamily="18" charset="0"/>
                </a:rPr>
                <a:t>𝑖,𝑗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3</xdr:col>
      <xdr:colOff>358140</xdr:colOff>
      <xdr:row>165</xdr:row>
      <xdr:rowOff>129540</xdr:rowOff>
    </xdr:from>
    <xdr:to>
      <xdr:col>5</xdr:col>
      <xdr:colOff>548837</xdr:colOff>
      <xdr:row>168</xdr:row>
      <xdr:rowOff>95322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BE0C7499-6D07-4D60-B198-F36A59FBE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77440" y="30152340"/>
          <a:ext cx="1409897" cy="514422"/>
        </a:xfrm>
        <a:prstGeom prst="rect">
          <a:avLst/>
        </a:prstGeom>
      </xdr:spPr>
    </xdr:pic>
    <xdr:clientData/>
  </xdr:twoCellAnchor>
  <xdr:oneCellAnchor>
    <xdr:from>
      <xdr:col>0</xdr:col>
      <xdr:colOff>53340</xdr:colOff>
      <xdr:row>177</xdr:row>
      <xdr:rowOff>7620</xdr:rowOff>
    </xdr:from>
    <xdr:ext cx="680058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9DEE2BB-913D-49F0-982E-F028B2EC25A0}"/>
                </a:ext>
              </a:extLst>
            </xdr:cNvPr>
            <xdr:cNvSpPr txBox="1"/>
          </xdr:nvSpPr>
          <xdr:spPr>
            <a:xfrm>
              <a:off x="53340" y="2783586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(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𝐸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𝐴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)</m:t>
                      </m:r>
                    </m:e>
                    <m:sup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</m:oMath>
              </a14:m>
              <a:r>
                <a:rPr lang="ru-RU" sz="1100"/>
                <a:t>=</a:t>
              </a: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09DEE2BB-913D-49F0-982E-F028B2EC25A0}"/>
                </a:ext>
              </a:extLst>
            </xdr:cNvPr>
            <xdr:cNvSpPr txBox="1"/>
          </xdr:nvSpPr>
          <xdr:spPr>
            <a:xfrm>
              <a:off x="53340" y="2783586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r>
                <a:rPr lang="ru-RU" sz="1100"/>
                <a:t>=</a:t>
              </a:r>
            </a:p>
          </xdr:txBody>
        </xdr:sp>
      </mc:Fallback>
    </mc:AlternateContent>
    <xdr:clientData/>
  </xdr:oneCellAnchor>
  <xdr:oneCellAnchor>
    <xdr:from>
      <xdr:col>3</xdr:col>
      <xdr:colOff>426720</xdr:colOff>
      <xdr:row>183</xdr:row>
      <xdr:rowOff>7620</xdr:rowOff>
    </xdr:from>
    <xdr:ext cx="235064" cy="1831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E6BBF0A0-3929-4510-A20E-F2B22B38753C}"/>
                </a:ext>
              </a:extLst>
            </xdr:cNvPr>
            <xdr:cNvSpPr txBox="1"/>
          </xdr:nvSpPr>
          <xdr:spPr>
            <a:xfrm>
              <a:off x="2446020" y="2893314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E6BBF0A0-3929-4510-A20E-F2B22B38753C}"/>
                </a:ext>
              </a:extLst>
            </xdr:cNvPr>
            <xdr:cNvSpPr txBox="1"/>
          </xdr:nvSpPr>
          <xdr:spPr>
            <a:xfrm>
              <a:off x="2446020" y="2893314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𝑋</a:t>
              </a:r>
              <a:r>
                <a:rPr lang="ru-RU" sz="1100" b="0" i="0">
                  <a:latin typeface="Cambria Math" panose="02040503050406030204" pitchFamily="18" charset="0"/>
                </a:rPr>
                <a:t>_(</a:t>
              </a:r>
              <a:r>
                <a:rPr lang="en-US" sz="1100" b="0" i="0">
                  <a:latin typeface="Cambria Math" panose="02040503050406030204" pitchFamily="18" charset="0"/>
                </a:rPr>
                <a:t>𝑖,𝑗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</xdr:colOff>
      <xdr:row>1</xdr:row>
      <xdr:rowOff>83820</xdr:rowOff>
    </xdr:from>
    <xdr:to>
      <xdr:col>15</xdr:col>
      <xdr:colOff>210951</xdr:colOff>
      <xdr:row>13</xdr:row>
      <xdr:rowOff>53340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37FF88F-F2A8-447E-AF4D-3BEC0B33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7360" y="266700"/>
          <a:ext cx="3807591" cy="2164080"/>
        </a:xfrm>
        <a:prstGeom prst="rect">
          <a:avLst/>
        </a:prstGeom>
      </xdr:spPr>
    </xdr:pic>
    <xdr:clientData/>
  </xdr:twoCellAnchor>
  <xdr:twoCellAnchor editAs="oneCell">
    <xdr:from>
      <xdr:col>12</xdr:col>
      <xdr:colOff>83820</xdr:colOff>
      <xdr:row>28</xdr:row>
      <xdr:rowOff>60960</xdr:rowOff>
    </xdr:from>
    <xdr:to>
      <xdr:col>20</xdr:col>
      <xdr:colOff>589396</xdr:colOff>
      <xdr:row>43</xdr:row>
      <xdr:rowOff>32764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F1DE2E7-1DD7-4203-95F5-7A5932010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9020" y="5181600"/>
          <a:ext cx="5382376" cy="2715004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58</xdr:row>
      <xdr:rowOff>160020</xdr:rowOff>
    </xdr:from>
    <xdr:to>
      <xdr:col>10</xdr:col>
      <xdr:colOff>181128</xdr:colOff>
      <xdr:row>67</xdr:row>
      <xdr:rowOff>28786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7260B07-0B4C-4365-B07D-67EE3DDE5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600" y="10759440"/>
          <a:ext cx="1095528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67</xdr:row>
      <xdr:rowOff>45721</xdr:rowOff>
    </xdr:from>
    <xdr:to>
      <xdr:col>7</xdr:col>
      <xdr:colOff>515733</xdr:colOff>
      <xdr:row>84</xdr:row>
      <xdr:rowOff>160021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4E38E19-B770-41CA-9383-7A3288AE8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12291061"/>
          <a:ext cx="4561953" cy="3223260"/>
        </a:xfrm>
        <a:prstGeom prst="rect">
          <a:avLst/>
        </a:prstGeom>
      </xdr:spPr>
    </xdr:pic>
    <xdr:clientData/>
  </xdr:twoCellAnchor>
  <xdr:twoCellAnchor editAs="oneCell">
    <xdr:from>
      <xdr:col>9</xdr:col>
      <xdr:colOff>335280</xdr:colOff>
      <xdr:row>85</xdr:row>
      <xdr:rowOff>152401</xdr:rowOff>
    </xdr:from>
    <xdr:to>
      <xdr:col>15</xdr:col>
      <xdr:colOff>2540</xdr:colOff>
      <xdr:row>97</xdr:row>
      <xdr:rowOff>30481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2D1D773-3469-4CC4-970F-B6E01CA5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689581"/>
          <a:ext cx="3324860" cy="2072640"/>
        </a:xfrm>
        <a:prstGeom prst="rect">
          <a:avLst/>
        </a:prstGeom>
      </xdr:spPr>
    </xdr:pic>
    <xdr:clientData/>
  </xdr:twoCellAnchor>
  <xdr:twoCellAnchor editAs="oneCell">
    <xdr:from>
      <xdr:col>15</xdr:col>
      <xdr:colOff>320040</xdr:colOff>
      <xdr:row>86</xdr:row>
      <xdr:rowOff>23784</xdr:rowOff>
    </xdr:from>
    <xdr:to>
      <xdr:col>21</xdr:col>
      <xdr:colOff>56188</xdr:colOff>
      <xdr:row>98</xdr:row>
      <xdr:rowOff>31091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E8A7504-09EE-416E-A94D-16F19D85C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64040" y="15743844"/>
          <a:ext cx="3393748" cy="220186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129541</xdr:colOff>
      <xdr:row>113</xdr:row>
      <xdr:rowOff>121920</xdr:rowOff>
    </xdr:from>
    <xdr:to>
      <xdr:col>16</xdr:col>
      <xdr:colOff>22301</xdr:colOff>
      <xdr:row>125</xdr:row>
      <xdr:rowOff>175260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D109D53-421A-4489-9791-7B6EE7F4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25541" y="20779740"/>
          <a:ext cx="3550360" cy="2247900"/>
        </a:xfrm>
        <a:prstGeom prst="rect">
          <a:avLst/>
        </a:prstGeom>
      </xdr:spPr>
    </xdr:pic>
    <xdr:clientData/>
  </xdr:twoCellAnchor>
  <xdr:twoCellAnchor editAs="oneCell">
    <xdr:from>
      <xdr:col>11</xdr:col>
      <xdr:colOff>510540</xdr:colOff>
      <xdr:row>98</xdr:row>
      <xdr:rowOff>83624</xdr:rowOff>
    </xdr:from>
    <xdr:to>
      <xdr:col>18</xdr:col>
      <xdr:colOff>211342</xdr:colOff>
      <xdr:row>110</xdr:row>
      <xdr:rowOff>83820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726A2C8D-074E-4043-8FB4-6C0A6AE5A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6140" y="17998244"/>
          <a:ext cx="3968002" cy="2194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22860</xdr:rowOff>
    </xdr:from>
    <xdr:to>
      <xdr:col>5</xdr:col>
      <xdr:colOff>502360</xdr:colOff>
      <xdr:row>152</xdr:row>
      <xdr:rowOff>30480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4DE642C-AF39-4264-AECA-1C20466C0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633680"/>
          <a:ext cx="3550360" cy="2247900"/>
        </a:xfrm>
        <a:prstGeom prst="rect">
          <a:avLst/>
        </a:prstGeom>
      </xdr:spPr>
    </xdr:pic>
    <xdr:clientData/>
  </xdr:twoCellAnchor>
  <xdr:twoCellAnchor editAs="oneCell">
    <xdr:from>
      <xdr:col>6</xdr:col>
      <xdr:colOff>220980</xdr:colOff>
      <xdr:row>141</xdr:row>
      <xdr:rowOff>38101</xdr:rowOff>
    </xdr:from>
    <xdr:to>
      <xdr:col>11</xdr:col>
      <xdr:colOff>487680</xdr:colOff>
      <xdr:row>151</xdr:row>
      <xdr:rowOff>66990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2A18EB8-DE53-49D1-9D9A-F6E0CE4A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78580" y="25877521"/>
          <a:ext cx="3314700" cy="1857689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228601</xdr:colOff>
      <xdr:row>152</xdr:row>
      <xdr:rowOff>53341</xdr:rowOff>
    </xdr:from>
    <xdr:to>
      <xdr:col>11</xdr:col>
      <xdr:colOff>482225</xdr:colOff>
      <xdr:row>162</xdr:row>
      <xdr:rowOff>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EAA8245B-79BB-49D8-B172-58F074DE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86201" y="27904441"/>
          <a:ext cx="3301624" cy="1775459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141</xdr:row>
      <xdr:rowOff>68580</xdr:rowOff>
    </xdr:from>
    <xdr:to>
      <xdr:col>17</xdr:col>
      <xdr:colOff>563880</xdr:colOff>
      <xdr:row>151</xdr:row>
      <xdr:rowOff>95829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5156A3B9-6E90-46D8-BECF-30C6A12A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8540" y="25908000"/>
          <a:ext cx="3558540" cy="1856049"/>
        </a:xfrm>
        <a:prstGeom prst="rect">
          <a:avLst/>
        </a:prstGeom>
      </xdr:spPr>
    </xdr:pic>
    <xdr:clientData/>
  </xdr:twoCellAnchor>
  <xdr:twoCellAnchor editAs="oneCell">
    <xdr:from>
      <xdr:col>12</xdr:col>
      <xdr:colOff>373381</xdr:colOff>
      <xdr:row>152</xdr:row>
      <xdr:rowOff>68581</xdr:rowOff>
    </xdr:from>
    <xdr:to>
      <xdr:col>17</xdr:col>
      <xdr:colOff>335280</xdr:colOff>
      <xdr:row>161</xdr:row>
      <xdr:rowOff>64944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B4F6A3C-ED1C-4481-BA11-F7CB31CEE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88581" y="27919681"/>
          <a:ext cx="3009899" cy="1642283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83821</xdr:colOff>
      <xdr:row>141</xdr:row>
      <xdr:rowOff>15241</xdr:rowOff>
    </xdr:from>
    <xdr:to>
      <xdr:col>24</xdr:col>
      <xdr:colOff>30480</xdr:colOff>
      <xdr:row>151</xdr:row>
      <xdr:rowOff>29840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B77BD80-E6D8-4D8C-829C-049070D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56621" y="25854661"/>
          <a:ext cx="3604259" cy="1843399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15241</xdr:colOff>
      <xdr:row>152</xdr:row>
      <xdr:rowOff>30481</xdr:rowOff>
    </xdr:from>
    <xdr:to>
      <xdr:col>23</xdr:col>
      <xdr:colOff>525780</xdr:colOff>
      <xdr:row>161</xdr:row>
      <xdr:rowOff>121920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588F9278-9A5D-4AB1-8C4B-033D1894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88041" y="27881581"/>
          <a:ext cx="3558539" cy="1737359"/>
        </a:xfrm>
        <a:prstGeom prst="rect">
          <a:avLst/>
        </a:prstGeom>
      </xdr:spPr>
    </xdr:pic>
    <xdr:clientData/>
  </xdr:twoCellAnchor>
  <xdr:twoCellAnchor editAs="oneCell">
    <xdr:from>
      <xdr:col>10</xdr:col>
      <xdr:colOff>167641</xdr:colOff>
      <xdr:row>125</xdr:row>
      <xdr:rowOff>129540</xdr:rowOff>
    </xdr:from>
    <xdr:to>
      <xdr:col>15</xdr:col>
      <xdr:colOff>449581</xdr:colOff>
      <xdr:row>135</xdr:row>
      <xdr:rowOff>29995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CDFC6224-9AFF-43F2-98A5-26432C71E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63641" y="22981920"/>
          <a:ext cx="3329940" cy="17292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157</xdr:row>
      <xdr:rowOff>38100</xdr:rowOff>
    </xdr:from>
    <xdr:to>
      <xdr:col>5</xdr:col>
      <xdr:colOff>314784</xdr:colOff>
      <xdr:row>166</xdr:row>
      <xdr:rowOff>116446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4DF715F-3001-4F3F-89E7-44D09194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" y="28803600"/>
          <a:ext cx="3286584" cy="172426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8</xdr:col>
      <xdr:colOff>19470</xdr:colOff>
      <xdr:row>30</xdr:row>
      <xdr:rowOff>137160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FF9172F-FD03-4E1C-AB43-8FBC209BD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"/>
          <a:ext cx="4896270" cy="5029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121920</xdr:colOff>
      <xdr:row>2</xdr:row>
      <xdr:rowOff>91440</xdr:rowOff>
    </xdr:from>
    <xdr:to>
      <xdr:col>15</xdr:col>
      <xdr:colOff>216625</xdr:colOff>
      <xdr:row>29</xdr:row>
      <xdr:rowOff>134632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C33D6B9-0650-46CC-9941-FC03EE5D0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8720" y="510540"/>
          <a:ext cx="4361905" cy="49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13734</xdr:colOff>
      <xdr:row>85</xdr:row>
      <xdr:rowOff>26895</xdr:rowOff>
    </xdr:from>
    <xdr:to>
      <xdr:col>14</xdr:col>
      <xdr:colOff>509980</xdr:colOff>
      <xdr:row>106</xdr:row>
      <xdr:rowOff>161365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B82DC9B-C04A-4826-87AE-0D47CE7B8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0534" y="15329648"/>
          <a:ext cx="4153846" cy="3899646"/>
        </a:xfrm>
        <a:prstGeom prst="rect">
          <a:avLst/>
        </a:prstGeom>
      </xdr:spPr>
    </xdr:pic>
    <xdr:clientData/>
  </xdr:twoCellAnchor>
  <xdr:twoCellAnchor editAs="oneCell">
    <xdr:from>
      <xdr:col>0</xdr:col>
      <xdr:colOff>71718</xdr:colOff>
      <xdr:row>111</xdr:row>
      <xdr:rowOff>170329</xdr:rowOff>
    </xdr:from>
    <xdr:to>
      <xdr:col>6</xdr:col>
      <xdr:colOff>209043</xdr:colOff>
      <xdr:row>135</xdr:row>
      <xdr:rowOff>116541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11B3BD78-3F59-41EC-8647-C54A63ED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8" y="20134729"/>
          <a:ext cx="3794925" cy="4249271"/>
        </a:xfrm>
        <a:prstGeom prst="rect">
          <a:avLst/>
        </a:prstGeom>
      </xdr:spPr>
    </xdr:pic>
    <xdr:clientData/>
  </xdr:twoCellAnchor>
  <xdr:twoCellAnchor editAs="oneCell">
    <xdr:from>
      <xdr:col>8</xdr:col>
      <xdr:colOff>170328</xdr:colOff>
      <xdr:row>114</xdr:row>
      <xdr:rowOff>63491</xdr:rowOff>
    </xdr:from>
    <xdr:to>
      <xdr:col>12</xdr:col>
      <xdr:colOff>319371</xdr:colOff>
      <xdr:row>128</xdr:row>
      <xdr:rowOff>110375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B608AF7-9EBE-459E-BC0D-B5160082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7128" y="20565773"/>
          <a:ext cx="2587443" cy="2557002"/>
        </a:xfrm>
        <a:prstGeom prst="rect">
          <a:avLst/>
        </a:prstGeom>
      </xdr:spPr>
    </xdr:pic>
    <xdr:clientData/>
  </xdr:twoCellAnchor>
  <xdr:twoCellAnchor editAs="oneCell">
    <xdr:from>
      <xdr:col>8</xdr:col>
      <xdr:colOff>107577</xdr:colOff>
      <xdr:row>129</xdr:row>
      <xdr:rowOff>116541</xdr:rowOff>
    </xdr:from>
    <xdr:to>
      <xdr:col>12</xdr:col>
      <xdr:colOff>492448</xdr:colOff>
      <xdr:row>143</xdr:row>
      <xdr:rowOff>90542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C6E976D-8BF1-48D8-9D66-3C21E197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84377" y="23308235"/>
          <a:ext cx="2823271" cy="2617693"/>
        </a:xfrm>
        <a:prstGeom prst="rect">
          <a:avLst/>
        </a:prstGeom>
      </xdr:spPr>
    </xdr:pic>
    <xdr:clientData/>
  </xdr:twoCellAnchor>
  <xdr:twoCellAnchor editAs="oneCell">
    <xdr:from>
      <xdr:col>13</xdr:col>
      <xdr:colOff>35859</xdr:colOff>
      <xdr:row>114</xdr:row>
      <xdr:rowOff>62751</xdr:rowOff>
    </xdr:from>
    <xdr:to>
      <xdr:col>17</xdr:col>
      <xdr:colOff>519953</xdr:colOff>
      <xdr:row>128</xdr:row>
      <xdr:rowOff>143876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40F0680-D5B9-41E9-8041-0D0A23B0E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0659" y="20565033"/>
          <a:ext cx="2922494" cy="2591243"/>
        </a:xfrm>
        <a:prstGeom prst="rect">
          <a:avLst/>
        </a:prstGeom>
      </xdr:spPr>
    </xdr:pic>
    <xdr:clientData/>
  </xdr:twoCellAnchor>
  <xdr:twoCellAnchor editAs="oneCell">
    <xdr:from>
      <xdr:col>13</xdr:col>
      <xdr:colOff>53788</xdr:colOff>
      <xdr:row>129</xdr:row>
      <xdr:rowOff>62753</xdr:rowOff>
    </xdr:from>
    <xdr:to>
      <xdr:col>17</xdr:col>
      <xdr:colOff>570729</xdr:colOff>
      <xdr:row>143</xdr:row>
      <xdr:rowOff>81579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AA18583-7F8F-4B5E-903A-80D16DDDF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78588" y="23254447"/>
          <a:ext cx="2955341" cy="2662518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44822</xdr:colOff>
      <xdr:row>114</xdr:row>
      <xdr:rowOff>71718</xdr:rowOff>
    </xdr:from>
    <xdr:to>
      <xdr:col>22</xdr:col>
      <xdr:colOff>510987</xdr:colOff>
      <xdr:row>128</xdr:row>
      <xdr:rowOff>53788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73A4D067-6F8C-47A5-88DB-D4EB687A9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17622" y="20574000"/>
          <a:ext cx="2904565" cy="2492188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44824</xdr:colOff>
      <xdr:row>129</xdr:row>
      <xdr:rowOff>152400</xdr:rowOff>
    </xdr:from>
    <xdr:to>
      <xdr:col>22</xdr:col>
      <xdr:colOff>602989</xdr:colOff>
      <xdr:row>143</xdr:row>
      <xdr:rowOff>72614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4C6F9668-346D-4CE0-B325-3041624CD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17624" y="23344094"/>
          <a:ext cx="2996565" cy="2563906"/>
        </a:xfrm>
        <a:prstGeom prst="rect">
          <a:avLst/>
        </a:prstGeom>
      </xdr:spPr>
    </xdr:pic>
    <xdr:clientData/>
  </xdr:twoCellAnchor>
  <xdr:twoCellAnchor editAs="oneCell">
    <xdr:from>
      <xdr:col>23</xdr:col>
      <xdr:colOff>125506</xdr:colOff>
      <xdr:row>114</xdr:row>
      <xdr:rowOff>35859</xdr:rowOff>
    </xdr:from>
    <xdr:to>
      <xdr:col>27</xdr:col>
      <xdr:colOff>382099</xdr:colOff>
      <xdr:row>128</xdr:row>
      <xdr:rowOff>53788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3FC2A60-36A9-4A92-8854-B2D07A8A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46306" y="20538141"/>
          <a:ext cx="2694993" cy="2528047"/>
        </a:xfrm>
        <a:prstGeom prst="rect">
          <a:avLst/>
        </a:prstGeom>
      </xdr:spPr>
    </xdr:pic>
    <xdr:clientData/>
  </xdr:twoCellAnchor>
  <xdr:twoCellAnchor editAs="oneCell">
    <xdr:from>
      <xdr:col>23</xdr:col>
      <xdr:colOff>44824</xdr:colOff>
      <xdr:row>129</xdr:row>
      <xdr:rowOff>26896</xdr:rowOff>
    </xdr:from>
    <xdr:to>
      <xdr:col>27</xdr:col>
      <xdr:colOff>469599</xdr:colOff>
      <xdr:row>143</xdr:row>
      <xdr:rowOff>108474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29A4116-4686-4845-85F1-8563D54C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65624" y="23218590"/>
          <a:ext cx="2863175" cy="2725270"/>
        </a:xfrm>
        <a:prstGeom prst="rect">
          <a:avLst/>
        </a:prstGeom>
      </xdr:spPr>
    </xdr:pic>
    <xdr:clientData/>
  </xdr:twoCellAnchor>
  <xdr:twoCellAnchor editAs="oneCell">
    <xdr:from>
      <xdr:col>28</xdr:col>
      <xdr:colOff>116542</xdr:colOff>
      <xdr:row>114</xdr:row>
      <xdr:rowOff>53789</xdr:rowOff>
    </xdr:from>
    <xdr:to>
      <xdr:col>32</xdr:col>
      <xdr:colOff>358589</xdr:colOff>
      <xdr:row>128</xdr:row>
      <xdr:rowOff>121719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F9BBE74-3142-4875-BF4E-7A48B621A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85342" y="20556071"/>
          <a:ext cx="2680447" cy="2578048"/>
        </a:xfrm>
        <a:prstGeom prst="rect">
          <a:avLst/>
        </a:prstGeom>
      </xdr:spPr>
    </xdr:pic>
    <xdr:clientData/>
  </xdr:twoCellAnchor>
  <xdr:twoCellAnchor editAs="oneCell">
    <xdr:from>
      <xdr:col>28</xdr:col>
      <xdr:colOff>116541</xdr:colOff>
      <xdr:row>129</xdr:row>
      <xdr:rowOff>89647</xdr:rowOff>
    </xdr:from>
    <xdr:to>
      <xdr:col>32</xdr:col>
      <xdr:colOff>469167</xdr:colOff>
      <xdr:row>143</xdr:row>
      <xdr:rowOff>81579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4F3E808-A203-42B6-9F55-4598A1D65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85341" y="23281341"/>
          <a:ext cx="2791026" cy="2635624"/>
        </a:xfrm>
        <a:prstGeom prst="rect">
          <a:avLst/>
        </a:prstGeom>
      </xdr:spPr>
    </xdr:pic>
    <xdr:clientData/>
  </xdr:twoCellAnchor>
  <xdr:twoCellAnchor editAs="oneCell">
    <xdr:from>
      <xdr:col>0</xdr:col>
      <xdr:colOff>80682</xdr:colOff>
      <xdr:row>198</xdr:row>
      <xdr:rowOff>17930</xdr:rowOff>
    </xdr:from>
    <xdr:to>
      <xdr:col>7</xdr:col>
      <xdr:colOff>319436</xdr:colOff>
      <xdr:row>227</xdr:row>
      <xdr:rowOff>10251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D3AB2EF-D5D0-4C5E-81EF-D9A23CF3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682" y="31457154"/>
          <a:ext cx="4505954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7</xdr:col>
      <xdr:colOff>596</xdr:colOff>
      <xdr:row>162</xdr:row>
      <xdr:rowOff>134039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154899B9-0018-4210-887D-A28E01006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885140"/>
          <a:ext cx="4267796" cy="493463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197</xdr:row>
      <xdr:rowOff>0</xdr:rowOff>
    </xdr:from>
    <xdr:to>
      <xdr:col>17</xdr:col>
      <xdr:colOff>19470</xdr:colOff>
      <xdr:row>224</xdr:row>
      <xdr:rowOff>91440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23352AD4-7280-47A3-B6BB-E6F90E133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7132260"/>
          <a:ext cx="4896270" cy="5029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5</xdr:col>
      <xdr:colOff>108026</xdr:colOff>
      <xdr:row>26</xdr:row>
      <xdr:rowOff>20493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1362DB1-7E50-49A6-819E-829E8C923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48641"/>
          <a:ext cx="4975860" cy="4226732"/>
        </a:xfrm>
        <a:prstGeom prst="rect">
          <a:avLst/>
        </a:prstGeom>
      </xdr:spPr>
    </xdr:pic>
    <xdr:clientData/>
  </xdr:twoCellAnchor>
  <xdr:twoCellAnchor>
    <xdr:from>
      <xdr:col>2</xdr:col>
      <xdr:colOff>205740</xdr:colOff>
      <xdr:row>26</xdr:row>
      <xdr:rowOff>57150</xdr:rowOff>
    </xdr:from>
    <xdr:to>
      <xdr:col>9</xdr:col>
      <xdr:colOff>510540</xdr:colOff>
      <xdr:row>41</xdr:row>
      <xdr:rowOff>57150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FE18050-A128-482D-BB34-9349F2433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</xdr:colOff>
      <xdr:row>68</xdr:row>
      <xdr:rowOff>0</xdr:rowOff>
    </xdr:from>
    <xdr:to>
      <xdr:col>4</xdr:col>
      <xdr:colOff>168986</xdr:colOff>
      <xdr:row>81</xdr:row>
      <xdr:rowOff>23048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B1AB0DE-BCD8-4E53-94C2-32068D6F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2580620"/>
          <a:ext cx="4213860" cy="2400488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81</xdr:row>
      <xdr:rowOff>140970</xdr:rowOff>
    </xdr:from>
    <xdr:to>
      <xdr:col>8</xdr:col>
      <xdr:colOff>833717</xdr:colOff>
      <xdr:row>105</xdr:row>
      <xdr:rowOff>134471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22A9EF9-D98B-4D09-BAC0-878423663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430306</xdr:colOff>
      <xdr:row>120</xdr:row>
      <xdr:rowOff>170329</xdr:rowOff>
    </xdr:from>
    <xdr:to>
      <xdr:col>8</xdr:col>
      <xdr:colOff>342050</xdr:colOff>
      <xdr:row>123</xdr:row>
      <xdr:rowOff>80184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BABE1BB-1FED-4854-86FD-394FC8C60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54941" y="21873882"/>
          <a:ext cx="5953956" cy="447737"/>
        </a:xfrm>
        <a:prstGeom prst="rect">
          <a:avLst/>
        </a:prstGeom>
      </xdr:spPr>
    </xdr:pic>
    <xdr:clientData/>
  </xdr:twoCellAnchor>
  <xdr:twoCellAnchor editAs="oneCell">
    <xdr:from>
      <xdr:col>2</xdr:col>
      <xdr:colOff>268942</xdr:colOff>
      <xdr:row>123</xdr:row>
      <xdr:rowOff>134470</xdr:rowOff>
    </xdr:from>
    <xdr:to>
      <xdr:col>10</xdr:col>
      <xdr:colOff>974434</xdr:colOff>
      <xdr:row>135</xdr:row>
      <xdr:rowOff>145417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E4F272E-83E8-4581-A93E-B63A2C013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5718" y="22160752"/>
          <a:ext cx="8621328" cy="21624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137</xdr:row>
      <xdr:rowOff>44823</xdr:rowOff>
    </xdr:from>
    <xdr:to>
      <xdr:col>5</xdr:col>
      <xdr:colOff>457200</xdr:colOff>
      <xdr:row>152</xdr:row>
      <xdr:rowOff>80683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772EE30-2EDF-42A4-A19C-AC7FE21CD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60960</xdr:rowOff>
    </xdr:from>
    <xdr:to>
      <xdr:col>5</xdr:col>
      <xdr:colOff>537958</xdr:colOff>
      <xdr:row>32</xdr:row>
      <xdr:rowOff>157330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B62753E-6DE5-4334-AA54-E3CCFFF22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"/>
          <a:ext cx="3585958" cy="5417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400050</xdr:colOff>
      <xdr:row>11</xdr:row>
      <xdr:rowOff>3810</xdr:rowOff>
    </xdr:from>
    <xdr:ext cx="10913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24E15A5-8291-4528-BA07-F2978113CA47}"/>
                </a:ext>
              </a:extLst>
            </xdr:cNvPr>
            <xdr:cNvSpPr txBox="1"/>
          </xdr:nvSpPr>
          <xdr:spPr>
            <a:xfrm>
              <a:off x="4057650" y="2030730"/>
              <a:ext cx="10913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</a:rPr>
                      <m:t>Ʃ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24E15A5-8291-4528-BA07-F2978113CA47}"/>
                </a:ext>
              </a:extLst>
            </xdr:cNvPr>
            <xdr:cNvSpPr txBox="1"/>
          </xdr:nvSpPr>
          <xdr:spPr>
            <a:xfrm>
              <a:off x="4057650" y="2030730"/>
              <a:ext cx="10913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Ʃ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6</xdr:col>
      <xdr:colOff>228600</xdr:colOff>
      <xdr:row>14</xdr:row>
      <xdr:rowOff>19050</xdr:rowOff>
    </xdr:from>
    <xdr:ext cx="37815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15F2371-7D8D-4425-A504-F4AA65D7DE43}"/>
                </a:ext>
              </a:extLst>
            </xdr:cNvPr>
            <xdr:cNvSpPr txBox="1"/>
          </xdr:nvSpPr>
          <xdr:spPr>
            <a:xfrm>
              <a:off x="3886200" y="2602230"/>
              <a:ext cx="37815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х</m:t>
                        </m:r>
                      </m:e>
                    </m:ac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15F2371-7D8D-4425-A504-F4AA65D7DE43}"/>
                </a:ext>
              </a:extLst>
            </xdr:cNvPr>
            <xdr:cNvSpPr txBox="1"/>
          </xdr:nvSpPr>
          <xdr:spPr>
            <a:xfrm>
              <a:off x="3886200" y="2602230"/>
              <a:ext cx="37815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ru-RU" sz="1100" b="0" i="0">
                  <a:latin typeface="Cambria Math" panose="02040503050406030204" pitchFamily="18" charset="0"/>
                </a:rPr>
                <a:t>х ̅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6</xdr:col>
      <xdr:colOff>354330</xdr:colOff>
      <xdr:row>14</xdr:row>
      <xdr:rowOff>179070</xdr:rowOff>
    </xdr:from>
    <xdr:ext cx="10297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0A83D3D-2764-49DA-BEFC-756A08080508}"/>
                </a:ext>
              </a:extLst>
            </xdr:cNvPr>
            <xdr:cNvSpPr txBox="1"/>
          </xdr:nvSpPr>
          <xdr:spPr>
            <a:xfrm>
              <a:off x="4011930" y="2762250"/>
              <a:ext cx="10297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у</m:t>
                        </m:r>
                      </m:e>
                    </m:ac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0A83D3D-2764-49DA-BEFC-756A08080508}"/>
                </a:ext>
              </a:extLst>
            </xdr:cNvPr>
            <xdr:cNvSpPr txBox="1"/>
          </xdr:nvSpPr>
          <xdr:spPr>
            <a:xfrm>
              <a:off x="4011930" y="2762250"/>
              <a:ext cx="10297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b="0" i="0">
                  <a:latin typeface="Cambria Math" panose="02040503050406030204" pitchFamily="18" charset="0"/>
                </a:rPr>
                <a:t>у ̅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6</xdr:col>
      <xdr:colOff>129540</xdr:colOff>
      <xdr:row>16</xdr:row>
      <xdr:rowOff>1</xdr:rowOff>
    </xdr:from>
    <xdr:to>
      <xdr:col>11</xdr:col>
      <xdr:colOff>29342</xdr:colOff>
      <xdr:row>19</xdr:row>
      <xdr:rowOff>83821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0B07EAD-F6D1-49CB-813F-504EC4A3F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7140" y="2948941"/>
          <a:ext cx="3091237" cy="632460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25</xdr:row>
      <xdr:rowOff>3810</xdr:rowOff>
    </xdr:from>
    <xdr:to>
      <xdr:col>14</xdr:col>
      <xdr:colOff>312420</xdr:colOff>
      <xdr:row>36</xdr:row>
      <xdr:rowOff>76200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CBBADD7-22BF-4ACE-9485-37DD4EAC5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30480</xdr:colOff>
      <xdr:row>0</xdr:row>
      <xdr:rowOff>0</xdr:rowOff>
    </xdr:from>
    <xdr:to>
      <xdr:col>22</xdr:col>
      <xdr:colOff>461256</xdr:colOff>
      <xdr:row>3</xdr:row>
      <xdr:rowOff>188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959773D2-C855-4C0D-9093-D80830BB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22480" y="0"/>
          <a:ext cx="1933005" cy="548828"/>
        </a:xfrm>
        <a:prstGeom prst="rect">
          <a:avLst/>
        </a:prstGeom>
      </xdr:spPr>
    </xdr:pic>
    <xdr:clientData/>
  </xdr:twoCellAnchor>
  <xdr:twoCellAnchor>
    <xdr:from>
      <xdr:col>18</xdr:col>
      <xdr:colOff>30480</xdr:colOff>
      <xdr:row>24</xdr:row>
      <xdr:rowOff>102870</xdr:rowOff>
    </xdr:from>
    <xdr:to>
      <xdr:col>25</xdr:col>
      <xdr:colOff>335280</xdr:colOff>
      <xdr:row>39</xdr:row>
      <xdr:rowOff>102870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5464A60-A7DC-42E5-92B3-767A2B19F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0</xdr:colOff>
      <xdr:row>39</xdr:row>
      <xdr:rowOff>1</xdr:rowOff>
    </xdr:from>
    <xdr:to>
      <xdr:col>9</xdr:col>
      <xdr:colOff>123265</xdr:colOff>
      <xdr:row>41</xdr:row>
      <xdr:rowOff>99238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EBE837C-2083-46BB-ADFE-6EE50E19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7155181"/>
          <a:ext cx="2095500" cy="464996"/>
        </a:xfrm>
        <a:prstGeom prst="rect">
          <a:avLst/>
        </a:prstGeom>
      </xdr:spPr>
    </xdr:pic>
    <xdr:clientData/>
  </xdr:twoCellAnchor>
  <xdr:twoCellAnchor editAs="oneCell">
    <xdr:from>
      <xdr:col>19</xdr:col>
      <xdr:colOff>213360</xdr:colOff>
      <xdr:row>40</xdr:row>
      <xdr:rowOff>30480</xdr:rowOff>
    </xdr:from>
    <xdr:to>
      <xdr:col>22</xdr:col>
      <xdr:colOff>442483</xdr:colOff>
      <xdr:row>43</xdr:row>
      <xdr:rowOff>167641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01E628A-F9A6-4068-AA66-5B9927399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95760" y="7368540"/>
          <a:ext cx="2340952" cy="685800"/>
        </a:xfrm>
        <a:prstGeom prst="rect">
          <a:avLst/>
        </a:prstGeom>
      </xdr:spPr>
    </xdr:pic>
    <xdr:clientData/>
  </xdr:twoCellAnchor>
  <xdr:oneCellAnchor>
    <xdr:from>
      <xdr:col>13</xdr:col>
      <xdr:colOff>22860</xdr:colOff>
      <xdr:row>2</xdr:row>
      <xdr:rowOff>95250</xdr:rowOff>
    </xdr:from>
    <xdr:ext cx="580287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7F7323E6-03CD-4163-8577-A84C1EF671F8}"/>
                </a:ext>
              </a:extLst>
            </xdr:cNvPr>
            <xdr:cNvSpPr txBox="1"/>
          </xdr:nvSpPr>
          <xdr:spPr>
            <a:xfrm>
              <a:off x="7947660" y="461010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7F7323E6-03CD-4163-8577-A84C1EF671F8}"/>
                </a:ext>
              </a:extLst>
            </xdr:cNvPr>
            <xdr:cNvSpPr txBox="1"/>
          </xdr:nvSpPr>
          <xdr:spPr>
            <a:xfrm>
              <a:off x="7947660" y="461010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̂)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14</xdr:col>
      <xdr:colOff>0</xdr:colOff>
      <xdr:row>2</xdr:row>
      <xdr:rowOff>114300</xdr:rowOff>
    </xdr:from>
    <xdr:ext cx="624840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5DE6AA3-5A70-4F9D-B953-1903F0D20075}"/>
                </a:ext>
              </a:extLst>
            </xdr:cNvPr>
            <xdr:cNvSpPr txBox="1"/>
          </xdr:nvSpPr>
          <xdr:spPr>
            <a:xfrm>
              <a:off x="8534400" y="480060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5DE6AA3-5A70-4F9D-B953-1903F0D20075}"/>
                </a:ext>
              </a:extLst>
            </xdr:cNvPr>
            <xdr:cNvSpPr txBox="1"/>
          </xdr:nvSpPr>
          <xdr:spPr>
            <a:xfrm>
              <a:off x="8534400" y="480060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̅)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25</xdr:col>
      <xdr:colOff>22860</xdr:colOff>
      <xdr:row>2</xdr:row>
      <xdr:rowOff>95250</xdr:rowOff>
    </xdr:from>
    <xdr:ext cx="580287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B3FF31D-B9D1-4E60-BEBB-A85BBDD1FABA}"/>
                </a:ext>
              </a:extLst>
            </xdr:cNvPr>
            <xdr:cNvSpPr txBox="1"/>
          </xdr:nvSpPr>
          <xdr:spPr>
            <a:xfrm>
              <a:off x="15262860" y="461010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3B3FF31D-B9D1-4E60-BEBB-A85BBDD1FABA}"/>
                </a:ext>
              </a:extLst>
            </xdr:cNvPr>
            <xdr:cNvSpPr txBox="1"/>
          </xdr:nvSpPr>
          <xdr:spPr>
            <a:xfrm>
              <a:off x="15262860" y="461010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̂)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26</xdr:col>
      <xdr:colOff>0</xdr:colOff>
      <xdr:row>2</xdr:row>
      <xdr:rowOff>114300</xdr:rowOff>
    </xdr:from>
    <xdr:ext cx="624840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CD5EEDC-DF85-4157-A775-5ED271B2367A}"/>
                </a:ext>
              </a:extLst>
            </xdr:cNvPr>
            <xdr:cNvSpPr txBox="1"/>
          </xdr:nvSpPr>
          <xdr:spPr>
            <a:xfrm>
              <a:off x="15849600" y="480060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CD5EEDC-DF85-4157-A775-5ED271B2367A}"/>
                </a:ext>
              </a:extLst>
            </xdr:cNvPr>
            <xdr:cNvSpPr txBox="1"/>
          </xdr:nvSpPr>
          <xdr:spPr>
            <a:xfrm>
              <a:off x="15849600" y="480060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̅)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6</xdr:col>
      <xdr:colOff>152400</xdr:colOff>
      <xdr:row>44</xdr:row>
      <xdr:rowOff>99060</xdr:rowOff>
    </xdr:from>
    <xdr:to>
      <xdr:col>9</xdr:col>
      <xdr:colOff>30997</xdr:colOff>
      <xdr:row>47</xdr:row>
      <xdr:rowOff>160019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31AFF6C4-315D-4EBD-A975-676CFCCF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" y="8168640"/>
          <a:ext cx="1850832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1</xdr:row>
      <xdr:rowOff>76200</xdr:rowOff>
    </xdr:from>
    <xdr:to>
      <xdr:col>15</xdr:col>
      <xdr:colOff>533400</xdr:colOff>
      <xdr:row>3</xdr:row>
      <xdr:rowOff>129540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46FB9BDA-FDBC-47F1-A81C-F9FE5897E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58300" y="25908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27</xdr:col>
      <xdr:colOff>68580</xdr:colOff>
      <xdr:row>1</xdr:row>
      <xdr:rowOff>106680</xdr:rowOff>
    </xdr:from>
    <xdr:to>
      <xdr:col>27</xdr:col>
      <xdr:colOff>487680</xdr:colOff>
      <xdr:row>3</xdr:row>
      <xdr:rowOff>160020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85AFB234-7E95-4782-8D5A-9E687DF44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27780" y="28956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38</xdr:row>
      <xdr:rowOff>15240</xdr:rowOff>
    </xdr:from>
    <xdr:to>
      <xdr:col>13</xdr:col>
      <xdr:colOff>137161</xdr:colOff>
      <xdr:row>41</xdr:row>
      <xdr:rowOff>39860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8E8241-C9EA-4260-85C0-98D130BDB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9901" y="6987540"/>
          <a:ext cx="1242060" cy="573259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</xdr:colOff>
      <xdr:row>40</xdr:row>
      <xdr:rowOff>114300</xdr:rowOff>
    </xdr:from>
    <xdr:to>
      <xdr:col>26</xdr:col>
      <xdr:colOff>45720</xdr:colOff>
      <xdr:row>43</xdr:row>
      <xdr:rowOff>138920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58971A6-6CFC-42AF-8148-1922CF333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53260" y="7452360"/>
          <a:ext cx="1242060" cy="57325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30481</xdr:colOff>
      <xdr:row>50</xdr:row>
      <xdr:rowOff>121921</xdr:rowOff>
    </xdr:from>
    <xdr:to>
      <xdr:col>14</xdr:col>
      <xdr:colOff>53341</xdr:colOff>
      <xdr:row>53</xdr:row>
      <xdr:rowOff>80177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8B146E8A-7210-4931-AD88-F471774B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6481" y="9288781"/>
          <a:ext cx="2461260" cy="50689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27</xdr:col>
      <xdr:colOff>576943</xdr:colOff>
      <xdr:row>53</xdr:row>
      <xdr:rowOff>141136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6D5112A7-DFDE-47BF-8ED3-93B6BF9A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30400" y="9470571"/>
          <a:ext cx="2405743" cy="511251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62</xdr:row>
      <xdr:rowOff>7620</xdr:rowOff>
    </xdr:from>
    <xdr:to>
      <xdr:col>17</xdr:col>
      <xdr:colOff>327659</xdr:colOff>
      <xdr:row>74</xdr:row>
      <xdr:rowOff>39842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85B3F30F-E5B6-48C6-AFD4-C6CCCEF13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92340" y="11369040"/>
          <a:ext cx="3398519" cy="2226783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</xdr:colOff>
      <xdr:row>65</xdr:row>
      <xdr:rowOff>106681</xdr:rowOff>
    </xdr:from>
    <xdr:to>
      <xdr:col>6</xdr:col>
      <xdr:colOff>541020</xdr:colOff>
      <xdr:row>66</xdr:row>
      <xdr:rowOff>154507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843E88A-B799-4073-BE8B-F31C8925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49040" y="12016741"/>
          <a:ext cx="449580" cy="230706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</xdr:colOff>
      <xdr:row>3</xdr:row>
      <xdr:rowOff>1</xdr:rowOff>
    </xdr:from>
    <xdr:to>
      <xdr:col>16</xdr:col>
      <xdr:colOff>586740</xdr:colOff>
      <xdr:row>3</xdr:row>
      <xdr:rowOff>159907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F7B379-EE33-48D2-89C8-A98610E8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6460" y="556261"/>
          <a:ext cx="563880" cy="159906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</xdr:colOff>
      <xdr:row>66</xdr:row>
      <xdr:rowOff>160020</xdr:rowOff>
    </xdr:from>
    <xdr:to>
      <xdr:col>6</xdr:col>
      <xdr:colOff>561022</xdr:colOff>
      <xdr:row>68</xdr:row>
      <xdr:rowOff>106681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50B01997-CAE7-4D59-8D9D-E31353BFC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0940" y="12252960"/>
          <a:ext cx="507682" cy="312420"/>
        </a:xfrm>
        <a:prstGeom prst="rect">
          <a:avLst/>
        </a:prstGeom>
      </xdr:spPr>
    </xdr:pic>
    <xdr:clientData/>
  </xdr:twoCellAnchor>
  <xdr:twoCellAnchor editAs="oneCell">
    <xdr:from>
      <xdr:col>6</xdr:col>
      <xdr:colOff>182880</xdr:colOff>
      <xdr:row>72</xdr:row>
      <xdr:rowOff>160020</xdr:rowOff>
    </xdr:from>
    <xdr:to>
      <xdr:col>6</xdr:col>
      <xdr:colOff>563880</xdr:colOff>
      <xdr:row>74</xdr:row>
      <xdr:rowOff>110089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AD4987DF-A735-4C04-BDA8-30957D077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40480" y="13350240"/>
          <a:ext cx="381000" cy="315829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</xdr:colOff>
      <xdr:row>65</xdr:row>
      <xdr:rowOff>137160</xdr:rowOff>
    </xdr:from>
    <xdr:to>
      <xdr:col>19</xdr:col>
      <xdr:colOff>472440</xdr:colOff>
      <xdr:row>67</xdr:row>
      <xdr:rowOff>2107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756072A1-1147-47EA-98F2-299DA991A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05260" y="12047220"/>
          <a:ext cx="449580" cy="23070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67</xdr:row>
      <xdr:rowOff>0</xdr:rowOff>
    </xdr:from>
    <xdr:to>
      <xdr:col>19</xdr:col>
      <xdr:colOff>522922</xdr:colOff>
      <xdr:row>68</xdr:row>
      <xdr:rowOff>129540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1386F16-7CD8-4CF2-B165-C3FDAC6A0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97640" y="12275820"/>
          <a:ext cx="507682" cy="312420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0</xdr:rowOff>
    </xdr:from>
    <xdr:to>
      <xdr:col>28</xdr:col>
      <xdr:colOff>601980</xdr:colOff>
      <xdr:row>3</xdr:row>
      <xdr:rowOff>159906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28863096-9571-4136-99AF-F1ABF3CF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06900" y="556260"/>
          <a:ext cx="563880" cy="159906"/>
        </a:xfrm>
        <a:prstGeom prst="rect">
          <a:avLst/>
        </a:prstGeom>
      </xdr:spPr>
    </xdr:pic>
    <xdr:clientData/>
  </xdr:twoCellAnchor>
  <xdr:twoCellAnchor editAs="oneCell">
    <xdr:from>
      <xdr:col>19</xdr:col>
      <xdr:colOff>175260</xdr:colOff>
      <xdr:row>72</xdr:row>
      <xdr:rowOff>160020</xdr:rowOff>
    </xdr:from>
    <xdr:to>
      <xdr:col>19</xdr:col>
      <xdr:colOff>556260</xdr:colOff>
      <xdr:row>74</xdr:row>
      <xdr:rowOff>110089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633798AF-799C-44FF-A022-F93147598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57660" y="13350240"/>
          <a:ext cx="381000" cy="315829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19</xdr:row>
      <xdr:rowOff>182879</xdr:rowOff>
    </xdr:from>
    <xdr:to>
      <xdr:col>5</xdr:col>
      <xdr:colOff>548640</xdr:colOff>
      <xdr:row>35</xdr:row>
      <xdr:rowOff>101208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66BA56A0-24D9-49B9-B6D4-15E3694EA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" y="3680459"/>
          <a:ext cx="3535680" cy="2844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6</xdr:col>
      <xdr:colOff>567521</xdr:colOff>
      <xdr:row>121</xdr:row>
      <xdr:rowOff>128707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5CECCB74-F79F-4DBA-8AA0-F85B93C7D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837229"/>
          <a:ext cx="4225121" cy="7750628"/>
        </a:xfrm>
        <a:prstGeom prst="rect">
          <a:avLst/>
        </a:prstGeom>
      </xdr:spPr>
    </xdr:pic>
    <xdr:clientData/>
  </xdr:twoCellAnchor>
  <xdr:oneCellAnchor>
    <xdr:from>
      <xdr:col>7</xdr:col>
      <xdr:colOff>400050</xdr:colOff>
      <xdr:row>98</xdr:row>
      <xdr:rowOff>3810</xdr:rowOff>
    </xdr:from>
    <xdr:ext cx="10913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DDF78B0E-5405-49C7-9573-2ABB904B1FCF}"/>
                </a:ext>
              </a:extLst>
            </xdr:cNvPr>
            <xdr:cNvSpPr txBox="1"/>
          </xdr:nvSpPr>
          <xdr:spPr>
            <a:xfrm>
              <a:off x="4057650" y="2061210"/>
              <a:ext cx="10913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</a:rPr>
                      <m:t>Ʃ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DDF78B0E-5405-49C7-9573-2ABB904B1FCF}"/>
                </a:ext>
              </a:extLst>
            </xdr:cNvPr>
            <xdr:cNvSpPr txBox="1"/>
          </xdr:nvSpPr>
          <xdr:spPr>
            <a:xfrm>
              <a:off x="4057650" y="2061210"/>
              <a:ext cx="10913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Ʃ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14</xdr:col>
      <xdr:colOff>22860</xdr:colOff>
      <xdr:row>80</xdr:row>
      <xdr:rowOff>95250</xdr:rowOff>
    </xdr:from>
    <xdr:ext cx="580287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ACB4734D-395D-493A-BBB0-B6B3149DA6BC}"/>
                </a:ext>
              </a:extLst>
            </xdr:cNvPr>
            <xdr:cNvSpPr txBox="1"/>
          </xdr:nvSpPr>
          <xdr:spPr>
            <a:xfrm>
              <a:off x="7947660" y="465364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40" name="TextBox 39">
              <a:extLst>
                <a:ext uri="{FF2B5EF4-FFF2-40B4-BE49-F238E27FC236}">
                  <a16:creationId xmlns:a16="http://schemas.microsoft.com/office/drawing/2014/main" id="{ACB4734D-395D-493A-BBB0-B6B3149DA6BC}"/>
                </a:ext>
              </a:extLst>
            </xdr:cNvPr>
            <xdr:cNvSpPr txBox="1"/>
          </xdr:nvSpPr>
          <xdr:spPr>
            <a:xfrm>
              <a:off x="7947660" y="465364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̂)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15</xdr:col>
      <xdr:colOff>0</xdr:colOff>
      <xdr:row>80</xdr:row>
      <xdr:rowOff>114300</xdr:rowOff>
    </xdr:from>
    <xdr:ext cx="624840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A5F91517-9A2C-4BCB-A67C-0193B1340982}"/>
                </a:ext>
              </a:extLst>
            </xdr:cNvPr>
            <xdr:cNvSpPr txBox="1"/>
          </xdr:nvSpPr>
          <xdr:spPr>
            <a:xfrm>
              <a:off x="8534400" y="484414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41" name="TextBox 40">
              <a:extLst>
                <a:ext uri="{FF2B5EF4-FFF2-40B4-BE49-F238E27FC236}">
                  <a16:creationId xmlns:a16="http://schemas.microsoft.com/office/drawing/2014/main" id="{A5F91517-9A2C-4BCB-A67C-0193B1340982}"/>
                </a:ext>
              </a:extLst>
            </xdr:cNvPr>
            <xdr:cNvSpPr txBox="1"/>
          </xdr:nvSpPr>
          <xdr:spPr>
            <a:xfrm>
              <a:off x="8534400" y="484414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̅)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17</xdr:col>
      <xdr:colOff>22860</xdr:colOff>
      <xdr:row>81</xdr:row>
      <xdr:rowOff>1</xdr:rowOff>
    </xdr:from>
    <xdr:ext cx="563880" cy="159906"/>
    <xdr:pic>
      <xdr:nvPicPr>
        <xdr:cNvPr id="42" name="Рисунок 41">
          <a:extLst>
            <a:ext uri="{FF2B5EF4-FFF2-40B4-BE49-F238E27FC236}">
              <a16:creationId xmlns:a16="http://schemas.microsoft.com/office/drawing/2014/main" id="{2CD2FCDE-9827-49CF-87F5-B751DB9E0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6460" y="566058"/>
          <a:ext cx="563880" cy="159906"/>
        </a:xfrm>
        <a:prstGeom prst="rect">
          <a:avLst/>
        </a:prstGeom>
      </xdr:spPr>
    </xdr:pic>
    <xdr:clientData/>
  </xdr:oneCellAnchor>
  <xdr:oneCellAnchor>
    <xdr:from>
      <xdr:col>8</xdr:col>
      <xdr:colOff>228600</xdr:colOff>
      <xdr:row>101</xdr:row>
      <xdr:rowOff>19050</xdr:rowOff>
    </xdr:from>
    <xdr:ext cx="37815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C4285856-495E-4F26-91FB-C05DB3ECFE96}"/>
                </a:ext>
              </a:extLst>
            </xdr:cNvPr>
            <xdr:cNvSpPr txBox="1"/>
          </xdr:nvSpPr>
          <xdr:spPr>
            <a:xfrm>
              <a:off x="3886200" y="2556062"/>
              <a:ext cx="37815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х</m:t>
                        </m:r>
                      </m:e>
                    </m:ac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49" name="TextBox 48">
              <a:extLst>
                <a:ext uri="{FF2B5EF4-FFF2-40B4-BE49-F238E27FC236}">
                  <a16:creationId xmlns:a16="http://schemas.microsoft.com/office/drawing/2014/main" id="{C4285856-495E-4F26-91FB-C05DB3ECFE96}"/>
                </a:ext>
              </a:extLst>
            </xdr:cNvPr>
            <xdr:cNvSpPr txBox="1"/>
          </xdr:nvSpPr>
          <xdr:spPr>
            <a:xfrm>
              <a:off x="3886200" y="2556062"/>
              <a:ext cx="37815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ru-RU" sz="1100" b="0" i="0">
                  <a:latin typeface="Cambria Math" panose="02040503050406030204" pitchFamily="18" charset="0"/>
                </a:rPr>
                <a:t>х ̅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8</xdr:col>
      <xdr:colOff>354330</xdr:colOff>
      <xdr:row>101</xdr:row>
      <xdr:rowOff>179070</xdr:rowOff>
    </xdr:from>
    <xdr:ext cx="10297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51E6644A-5037-4BD7-8290-3DBE1F271C69}"/>
                </a:ext>
              </a:extLst>
            </xdr:cNvPr>
            <xdr:cNvSpPr txBox="1"/>
          </xdr:nvSpPr>
          <xdr:spPr>
            <a:xfrm>
              <a:off x="4011930" y="2716082"/>
              <a:ext cx="10297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у</m:t>
                        </m:r>
                      </m:e>
                    </m:ac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51E6644A-5037-4BD7-8290-3DBE1F271C69}"/>
                </a:ext>
              </a:extLst>
            </xdr:cNvPr>
            <xdr:cNvSpPr txBox="1"/>
          </xdr:nvSpPr>
          <xdr:spPr>
            <a:xfrm>
              <a:off x="4011930" y="2716082"/>
              <a:ext cx="10297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b="0" i="0">
                  <a:latin typeface="Cambria Math" panose="02040503050406030204" pitchFamily="18" charset="0"/>
                </a:rPr>
                <a:t>у ̅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8</xdr:col>
      <xdr:colOff>129540</xdr:colOff>
      <xdr:row>103</xdr:row>
      <xdr:rowOff>26895</xdr:rowOff>
    </xdr:from>
    <xdr:ext cx="3091237" cy="621702"/>
    <xdr:pic>
      <xdr:nvPicPr>
        <xdr:cNvPr id="51" name="Рисунок 50">
          <a:extLst>
            <a:ext uri="{FF2B5EF4-FFF2-40B4-BE49-F238E27FC236}">
              <a16:creationId xmlns:a16="http://schemas.microsoft.com/office/drawing/2014/main" id="{70A1AAE7-34E8-443D-B6B7-3F1D3627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6340" y="18539013"/>
          <a:ext cx="3091237" cy="621702"/>
        </a:xfrm>
        <a:prstGeom prst="rect">
          <a:avLst/>
        </a:prstGeom>
      </xdr:spPr>
    </xdr:pic>
    <xdr:clientData/>
  </xdr:oneCellAnchor>
  <xdr:twoCellAnchor>
    <xdr:from>
      <xdr:col>7</xdr:col>
      <xdr:colOff>348343</xdr:colOff>
      <xdr:row>110</xdr:row>
      <xdr:rowOff>65315</xdr:rowOff>
    </xdr:from>
    <xdr:to>
      <xdr:col>14</xdr:col>
      <xdr:colOff>511629</xdr:colOff>
      <xdr:row>125</xdr:row>
      <xdr:rowOff>32658</xdr:rowOff>
    </xdr:to>
    <xdr:graphicFrame macro="">
      <xdr:nvGraphicFramePr>
        <xdr:cNvPr id="33" name="Диаграмма 32">
          <a:extLst>
            <a:ext uri="{FF2B5EF4-FFF2-40B4-BE49-F238E27FC236}">
              <a16:creationId xmlns:a16="http://schemas.microsoft.com/office/drawing/2014/main" id="{2503C6AD-60EB-4D72-B940-4D26C624C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7</xdr:col>
      <xdr:colOff>0</xdr:colOff>
      <xdr:row>127</xdr:row>
      <xdr:rowOff>1</xdr:rowOff>
    </xdr:from>
    <xdr:ext cx="2093579" cy="469351"/>
    <xdr:pic>
      <xdr:nvPicPr>
        <xdr:cNvPr id="47" name="Рисунок 46">
          <a:extLst>
            <a:ext uri="{FF2B5EF4-FFF2-40B4-BE49-F238E27FC236}">
              <a16:creationId xmlns:a16="http://schemas.microsoft.com/office/drawing/2014/main" id="{2101291F-3D2E-4775-BA2D-FFB73AB3B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7249887"/>
          <a:ext cx="2093579" cy="469351"/>
        </a:xfrm>
        <a:prstGeom prst="rect">
          <a:avLst/>
        </a:prstGeom>
      </xdr:spPr>
    </xdr:pic>
    <xdr:clientData/>
  </xdr:oneCellAnchor>
  <xdr:oneCellAnchor>
    <xdr:from>
      <xdr:col>7</xdr:col>
      <xdr:colOff>152400</xdr:colOff>
      <xdr:row>132</xdr:row>
      <xdr:rowOff>99060</xdr:rowOff>
    </xdr:from>
    <xdr:ext cx="1848911" cy="616131"/>
    <xdr:pic>
      <xdr:nvPicPr>
        <xdr:cNvPr id="48" name="Рисунок 47">
          <a:extLst>
            <a:ext uri="{FF2B5EF4-FFF2-40B4-BE49-F238E27FC236}">
              <a16:creationId xmlns:a16="http://schemas.microsoft.com/office/drawing/2014/main" id="{A9AB725C-1E25-4211-869A-62D49F723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0" y="8274231"/>
          <a:ext cx="1848911" cy="616131"/>
        </a:xfrm>
        <a:prstGeom prst="rect">
          <a:avLst/>
        </a:prstGeom>
      </xdr:spPr>
    </xdr:pic>
    <xdr:clientData/>
  </xdr:oneCellAnchor>
  <xdr:oneCellAnchor>
    <xdr:from>
      <xdr:col>12</xdr:col>
      <xdr:colOff>114301</xdr:colOff>
      <xdr:row>126</xdr:row>
      <xdr:rowOff>15240</xdr:rowOff>
    </xdr:from>
    <xdr:ext cx="1242060" cy="579791"/>
    <xdr:pic>
      <xdr:nvPicPr>
        <xdr:cNvPr id="52" name="Рисунок 51">
          <a:extLst>
            <a:ext uri="{FF2B5EF4-FFF2-40B4-BE49-F238E27FC236}">
              <a16:creationId xmlns:a16="http://schemas.microsoft.com/office/drawing/2014/main" id="{32321246-FCC8-4A0E-8AA6-CAC872E07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61415" y="7080069"/>
          <a:ext cx="1242060" cy="579791"/>
        </a:xfrm>
        <a:prstGeom prst="rect">
          <a:avLst/>
        </a:prstGeom>
      </xdr:spPr>
    </xdr:pic>
    <xdr:clientData/>
  </xdr:oneCellAnchor>
  <xdr:oneCellAnchor>
    <xdr:from>
      <xdr:col>11</xdr:col>
      <xdr:colOff>30481</xdr:colOff>
      <xdr:row>138</xdr:row>
      <xdr:rowOff>121921</xdr:rowOff>
    </xdr:from>
    <xdr:ext cx="2461260" cy="513428"/>
    <xdr:pic>
      <xdr:nvPicPr>
        <xdr:cNvPr id="53" name="Рисунок 52">
          <a:extLst>
            <a:ext uri="{FF2B5EF4-FFF2-40B4-BE49-F238E27FC236}">
              <a16:creationId xmlns:a16="http://schemas.microsoft.com/office/drawing/2014/main" id="{0EE2C275-2A16-485E-A5A5-6769100D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67995" y="9407435"/>
          <a:ext cx="2461260" cy="513428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139</xdr:row>
      <xdr:rowOff>0</xdr:rowOff>
    </xdr:from>
    <xdr:ext cx="2405743" cy="511251"/>
    <xdr:pic>
      <xdr:nvPicPr>
        <xdr:cNvPr id="54" name="Рисунок 53">
          <a:extLst>
            <a:ext uri="{FF2B5EF4-FFF2-40B4-BE49-F238E27FC236}">
              <a16:creationId xmlns:a16="http://schemas.microsoft.com/office/drawing/2014/main" id="{B85855BC-862A-4B4C-8796-CCED1266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771914" y="9470571"/>
          <a:ext cx="2405743" cy="511251"/>
        </a:xfrm>
        <a:prstGeom prst="rect">
          <a:avLst/>
        </a:prstGeom>
      </xdr:spPr>
    </xdr:pic>
    <xdr:clientData/>
  </xdr:oneCellAnchor>
  <xdr:oneCellAnchor>
    <xdr:from>
      <xdr:col>12</xdr:col>
      <xdr:colOff>586740</xdr:colOff>
      <xdr:row>150</xdr:row>
      <xdr:rowOff>7620</xdr:rowOff>
    </xdr:from>
    <xdr:ext cx="3398519" cy="2252908"/>
    <xdr:pic>
      <xdr:nvPicPr>
        <xdr:cNvPr id="55" name="Рисунок 54">
          <a:extLst>
            <a:ext uri="{FF2B5EF4-FFF2-40B4-BE49-F238E27FC236}">
              <a16:creationId xmlns:a16="http://schemas.microsoft.com/office/drawing/2014/main" id="{CCF077B6-9D28-4933-B559-DCB05B2DE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33854" y="11513820"/>
          <a:ext cx="3398519" cy="2252908"/>
        </a:xfrm>
        <a:prstGeom prst="rect">
          <a:avLst/>
        </a:prstGeom>
      </xdr:spPr>
    </xdr:pic>
    <xdr:clientData/>
  </xdr:oneCellAnchor>
  <xdr:oneCellAnchor>
    <xdr:from>
      <xdr:col>7</xdr:col>
      <xdr:colOff>91440</xdr:colOff>
      <xdr:row>153</xdr:row>
      <xdr:rowOff>106681</xdr:rowOff>
    </xdr:from>
    <xdr:ext cx="449580" cy="232884"/>
    <xdr:pic>
      <xdr:nvPicPr>
        <xdr:cNvPr id="56" name="Рисунок 55">
          <a:extLst>
            <a:ext uri="{FF2B5EF4-FFF2-40B4-BE49-F238E27FC236}">
              <a16:creationId xmlns:a16="http://schemas.microsoft.com/office/drawing/2014/main" id="{352174AB-DA31-48A6-A43A-7375AFAE3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49040" y="12168052"/>
          <a:ext cx="449580" cy="232884"/>
        </a:xfrm>
        <a:prstGeom prst="rect">
          <a:avLst/>
        </a:prstGeom>
      </xdr:spPr>
    </xdr:pic>
    <xdr:clientData/>
  </xdr:oneCellAnchor>
  <xdr:oneCellAnchor>
    <xdr:from>
      <xdr:col>7</xdr:col>
      <xdr:colOff>53340</xdr:colOff>
      <xdr:row>154</xdr:row>
      <xdr:rowOff>160020</xdr:rowOff>
    </xdr:from>
    <xdr:ext cx="507682" cy="316775"/>
    <xdr:pic>
      <xdr:nvPicPr>
        <xdr:cNvPr id="57" name="Рисунок 56">
          <a:extLst>
            <a:ext uri="{FF2B5EF4-FFF2-40B4-BE49-F238E27FC236}">
              <a16:creationId xmlns:a16="http://schemas.microsoft.com/office/drawing/2014/main" id="{FED2B09F-D499-47D9-B0CA-EA62943E7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0940" y="12406449"/>
          <a:ext cx="507682" cy="316775"/>
        </a:xfrm>
        <a:prstGeom prst="rect">
          <a:avLst/>
        </a:prstGeom>
      </xdr:spPr>
    </xdr:pic>
    <xdr:clientData/>
  </xdr:oneCellAnchor>
  <xdr:oneCellAnchor>
    <xdr:from>
      <xdr:col>7</xdr:col>
      <xdr:colOff>182880</xdr:colOff>
      <xdr:row>160</xdr:row>
      <xdr:rowOff>160020</xdr:rowOff>
    </xdr:from>
    <xdr:ext cx="381000" cy="320184"/>
    <xdr:pic>
      <xdr:nvPicPr>
        <xdr:cNvPr id="58" name="Рисунок 57">
          <a:extLst>
            <a:ext uri="{FF2B5EF4-FFF2-40B4-BE49-F238E27FC236}">
              <a16:creationId xmlns:a16="http://schemas.microsoft.com/office/drawing/2014/main" id="{81CA4512-DE32-457C-9BC2-59118465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40480" y="13516791"/>
          <a:ext cx="381000" cy="320184"/>
        </a:xfrm>
        <a:prstGeom prst="rect">
          <a:avLst/>
        </a:prstGeom>
      </xdr:spPr>
    </xdr:pic>
    <xdr:clientData/>
  </xdr:oneCellAnchor>
  <xdr:oneCellAnchor>
    <xdr:from>
      <xdr:col>20</xdr:col>
      <xdr:colOff>22860</xdr:colOff>
      <xdr:row>153</xdr:row>
      <xdr:rowOff>137160</xdr:rowOff>
    </xdr:from>
    <xdr:ext cx="449580" cy="235062"/>
    <xdr:pic>
      <xdr:nvPicPr>
        <xdr:cNvPr id="59" name="Рисунок 58">
          <a:extLst>
            <a:ext uri="{FF2B5EF4-FFF2-40B4-BE49-F238E27FC236}">
              <a16:creationId xmlns:a16="http://schemas.microsoft.com/office/drawing/2014/main" id="{839E7C6A-0025-48E8-A915-3E6A80DED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46774" y="12198531"/>
          <a:ext cx="449580" cy="235062"/>
        </a:xfrm>
        <a:prstGeom prst="rect">
          <a:avLst/>
        </a:prstGeom>
      </xdr:spPr>
    </xdr:pic>
    <xdr:clientData/>
  </xdr:oneCellAnchor>
  <xdr:oneCellAnchor>
    <xdr:from>
      <xdr:col>20</xdr:col>
      <xdr:colOff>15240</xdr:colOff>
      <xdr:row>155</xdr:row>
      <xdr:rowOff>0</xdr:rowOff>
    </xdr:from>
    <xdr:ext cx="507682" cy="314597"/>
    <xdr:pic>
      <xdr:nvPicPr>
        <xdr:cNvPr id="60" name="Рисунок 59">
          <a:extLst>
            <a:ext uri="{FF2B5EF4-FFF2-40B4-BE49-F238E27FC236}">
              <a16:creationId xmlns:a16="http://schemas.microsoft.com/office/drawing/2014/main" id="{E405D27F-FFB5-44B1-AA3F-48568467E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9154" y="12431486"/>
          <a:ext cx="507682" cy="314597"/>
        </a:xfrm>
        <a:prstGeom prst="rect">
          <a:avLst/>
        </a:prstGeom>
      </xdr:spPr>
    </xdr:pic>
    <xdr:clientData/>
  </xdr:oneCellAnchor>
  <xdr:oneCellAnchor>
    <xdr:from>
      <xdr:col>20</xdr:col>
      <xdr:colOff>175260</xdr:colOff>
      <xdr:row>160</xdr:row>
      <xdr:rowOff>160020</xdr:rowOff>
    </xdr:from>
    <xdr:ext cx="381000" cy="320184"/>
    <xdr:pic>
      <xdr:nvPicPr>
        <xdr:cNvPr id="61" name="Рисунок 60">
          <a:extLst>
            <a:ext uri="{FF2B5EF4-FFF2-40B4-BE49-F238E27FC236}">
              <a16:creationId xmlns:a16="http://schemas.microsoft.com/office/drawing/2014/main" id="{116B6D8E-0DD6-4378-BD40-B467B106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99174" y="13516791"/>
          <a:ext cx="381000" cy="320184"/>
        </a:xfrm>
        <a:prstGeom prst="rect">
          <a:avLst/>
        </a:prstGeom>
      </xdr:spPr>
    </xdr:pic>
    <xdr:clientData/>
  </xdr:oneCellAnchor>
  <xdr:twoCellAnchor editAs="oneCell">
    <xdr:from>
      <xdr:col>16</xdr:col>
      <xdr:colOff>97971</xdr:colOff>
      <xdr:row>79</xdr:row>
      <xdr:rowOff>65315</xdr:rowOff>
    </xdr:from>
    <xdr:to>
      <xdr:col>16</xdr:col>
      <xdr:colOff>517071</xdr:colOff>
      <xdr:row>81</xdr:row>
      <xdr:rowOff>106912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496A4E2A-1FEE-45CE-AED4-0658C01BC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93085" y="14717486"/>
          <a:ext cx="419100" cy="422597"/>
        </a:xfrm>
        <a:prstGeom prst="rect">
          <a:avLst/>
        </a:prstGeom>
      </xdr:spPr>
    </xdr:pic>
    <xdr:clientData/>
  </xdr:twoCellAnchor>
  <xdr:oneCellAnchor>
    <xdr:from>
      <xdr:col>22</xdr:col>
      <xdr:colOff>30480</xdr:colOff>
      <xdr:row>78</xdr:row>
      <xdr:rowOff>0</xdr:rowOff>
    </xdr:from>
    <xdr:ext cx="1933005" cy="566245"/>
    <xdr:pic>
      <xdr:nvPicPr>
        <xdr:cNvPr id="68" name="Рисунок 67">
          <a:extLst>
            <a:ext uri="{FF2B5EF4-FFF2-40B4-BE49-F238E27FC236}">
              <a16:creationId xmlns:a16="http://schemas.microsoft.com/office/drawing/2014/main" id="{7D0B319D-57A6-4715-894D-B012CE850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63994" y="0"/>
          <a:ext cx="1933005" cy="566245"/>
        </a:xfrm>
        <a:prstGeom prst="rect">
          <a:avLst/>
        </a:prstGeom>
      </xdr:spPr>
    </xdr:pic>
    <xdr:clientData/>
  </xdr:oneCellAnchor>
  <xdr:oneCellAnchor>
    <xdr:from>
      <xdr:col>27</xdr:col>
      <xdr:colOff>22860</xdr:colOff>
      <xdr:row>80</xdr:row>
      <xdr:rowOff>95250</xdr:rowOff>
    </xdr:from>
    <xdr:ext cx="580287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59897969-9770-43CE-A4F0-8361688B4885}"/>
                </a:ext>
              </a:extLst>
            </xdr:cNvPr>
            <xdr:cNvSpPr txBox="1"/>
          </xdr:nvSpPr>
          <xdr:spPr>
            <a:xfrm>
              <a:off x="15404374" y="465364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̂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59897969-9770-43CE-A4F0-8361688B4885}"/>
                </a:ext>
              </a:extLst>
            </xdr:cNvPr>
            <xdr:cNvSpPr txBox="1"/>
          </xdr:nvSpPr>
          <xdr:spPr>
            <a:xfrm>
              <a:off x="15404374" y="465364"/>
              <a:ext cx="580287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̂)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28</xdr:col>
      <xdr:colOff>0</xdr:colOff>
      <xdr:row>80</xdr:row>
      <xdr:rowOff>114300</xdr:rowOff>
    </xdr:from>
    <xdr:ext cx="624840" cy="25295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EC096F8A-2148-4792-91AA-B50315A79597}"/>
                </a:ext>
              </a:extLst>
            </xdr:cNvPr>
            <xdr:cNvSpPr txBox="1"/>
          </xdr:nvSpPr>
          <xdr:spPr>
            <a:xfrm>
              <a:off x="15991114" y="484414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ru-RU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</m:acc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)</m:t>
                        </m:r>
                      </m:e>
                      <m:sup>
                        <m:eqArr>
                          <m:eqArr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  <m:e/>
                        </m:eqArr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EC096F8A-2148-4792-91AA-B50315A79597}"/>
                </a:ext>
              </a:extLst>
            </xdr:cNvPr>
            <xdr:cNvSpPr txBox="1"/>
          </xdr:nvSpPr>
          <xdr:spPr>
            <a:xfrm>
              <a:off x="15991114" y="484414"/>
              <a:ext cx="624840" cy="2529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ru-RU" sz="1100" b="0" i="0"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𝑦−𝑦 ̅)</a:t>
              </a:r>
              <a:r>
                <a:rPr lang="ru-RU" sz="1100" b="0" i="0"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latin typeface="Cambria Math" panose="02040503050406030204" pitchFamily="18" charset="0"/>
                </a:rPr>
                <a:t>█(2@)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29</xdr:col>
      <xdr:colOff>68580</xdr:colOff>
      <xdr:row>79</xdr:row>
      <xdr:rowOff>106680</xdr:rowOff>
    </xdr:from>
    <xdr:ext cx="419100" cy="434340"/>
    <xdr:pic>
      <xdr:nvPicPr>
        <xdr:cNvPr id="71" name="Рисунок 70">
          <a:extLst>
            <a:ext uri="{FF2B5EF4-FFF2-40B4-BE49-F238E27FC236}">
              <a16:creationId xmlns:a16="http://schemas.microsoft.com/office/drawing/2014/main" id="{E8279187-3D08-41E9-8BFA-0065AEE74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9294" y="291737"/>
          <a:ext cx="419100" cy="434340"/>
        </a:xfrm>
        <a:prstGeom prst="rect">
          <a:avLst/>
        </a:prstGeom>
      </xdr:spPr>
    </xdr:pic>
    <xdr:clientData/>
  </xdr:oneCellAnchor>
  <xdr:oneCellAnchor>
    <xdr:from>
      <xdr:col>30</xdr:col>
      <xdr:colOff>38100</xdr:colOff>
      <xdr:row>81</xdr:row>
      <xdr:rowOff>0</xdr:rowOff>
    </xdr:from>
    <xdr:ext cx="563880" cy="159906"/>
    <xdr:pic>
      <xdr:nvPicPr>
        <xdr:cNvPr id="72" name="Рисунок 71">
          <a:extLst>
            <a:ext uri="{FF2B5EF4-FFF2-40B4-BE49-F238E27FC236}">
              <a16:creationId xmlns:a16="http://schemas.microsoft.com/office/drawing/2014/main" id="{CBB1FFA4-9148-4EDF-808D-C647548B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248414" y="566057"/>
          <a:ext cx="563880" cy="159906"/>
        </a:xfrm>
        <a:prstGeom prst="rect">
          <a:avLst/>
        </a:prstGeom>
      </xdr:spPr>
    </xdr:pic>
    <xdr:clientData/>
  </xdr:oneCellAnchor>
  <xdr:twoCellAnchor>
    <xdr:from>
      <xdr:col>20</xdr:col>
      <xdr:colOff>152401</xdr:colOff>
      <xdr:row>106</xdr:row>
      <xdr:rowOff>119745</xdr:rowOff>
    </xdr:from>
    <xdr:to>
      <xdr:col>27</xdr:col>
      <xdr:colOff>457201</xdr:colOff>
      <xdr:row>121</xdr:row>
      <xdr:rowOff>87087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7B202169-71F0-40AE-BFA3-0106F1F93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19</xdr:col>
      <xdr:colOff>213360</xdr:colOff>
      <xdr:row>128</xdr:row>
      <xdr:rowOff>30480</xdr:rowOff>
    </xdr:from>
    <xdr:ext cx="2340952" cy="692332"/>
    <xdr:pic>
      <xdr:nvPicPr>
        <xdr:cNvPr id="75" name="Рисунок 74">
          <a:extLst>
            <a:ext uri="{FF2B5EF4-FFF2-40B4-BE49-F238E27FC236}">
              <a16:creationId xmlns:a16="http://schemas.microsoft.com/office/drawing/2014/main" id="{80B40BEF-EFD0-43F6-BC3F-C60AD9C3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7274" y="7465423"/>
          <a:ext cx="2340952" cy="692332"/>
        </a:xfrm>
        <a:prstGeom prst="rect">
          <a:avLst/>
        </a:prstGeom>
      </xdr:spPr>
    </xdr:pic>
    <xdr:clientData/>
  </xdr:oneCellAnchor>
  <xdr:oneCellAnchor>
    <xdr:from>
      <xdr:col>24</xdr:col>
      <xdr:colOff>22860</xdr:colOff>
      <xdr:row>128</xdr:row>
      <xdr:rowOff>114300</xdr:rowOff>
    </xdr:from>
    <xdr:ext cx="1242060" cy="579791"/>
    <xdr:pic>
      <xdr:nvPicPr>
        <xdr:cNvPr id="76" name="Рисунок 75">
          <a:extLst>
            <a:ext uri="{FF2B5EF4-FFF2-40B4-BE49-F238E27FC236}">
              <a16:creationId xmlns:a16="http://schemas.microsoft.com/office/drawing/2014/main" id="{08D2440B-F150-40E7-8FBE-743D871AE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94774" y="7549243"/>
          <a:ext cx="1242060" cy="579791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538026</xdr:colOff>
      <xdr:row>14</xdr:row>
      <xdr:rowOff>74586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90469A4-DDD0-4429-89AA-C3449FE51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"/>
          <a:ext cx="5849166" cy="2086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</xdr:rowOff>
    </xdr:from>
    <xdr:to>
      <xdr:col>6</xdr:col>
      <xdr:colOff>407699</xdr:colOff>
      <xdr:row>45</xdr:row>
      <xdr:rowOff>114301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EFF7EA7-B7DB-4E24-9BFF-9FD59BE88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3521"/>
          <a:ext cx="4499639" cy="3223260"/>
        </a:xfrm>
        <a:prstGeom prst="rect">
          <a:avLst/>
        </a:prstGeom>
      </xdr:spPr>
    </xdr:pic>
    <xdr:clientData/>
  </xdr:twoCellAnchor>
  <xdr:oneCellAnchor>
    <xdr:from>
      <xdr:col>0</xdr:col>
      <xdr:colOff>68580</xdr:colOff>
      <xdr:row>46</xdr:row>
      <xdr:rowOff>3810</xdr:rowOff>
    </xdr:from>
    <xdr:ext cx="193238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C03C8DB-7CC2-40F4-B09F-6C3AC966FDAD}"/>
                </a:ext>
              </a:extLst>
            </xdr:cNvPr>
            <xdr:cNvSpPr txBox="1"/>
          </xdr:nvSpPr>
          <xdr:spPr>
            <a:xfrm>
              <a:off x="68580" y="8599170"/>
              <a:ext cx="193238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max</m:t>
                        </m:r>
                      </m:fName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𝑓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=5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+7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6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</m:e>
                    </m:fun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C03C8DB-7CC2-40F4-B09F-6C3AC966FDAD}"/>
                </a:ext>
              </a:extLst>
            </xdr:cNvPr>
            <xdr:cNvSpPr txBox="1"/>
          </xdr:nvSpPr>
          <xdr:spPr>
            <a:xfrm>
              <a:off x="68580" y="8599170"/>
              <a:ext cx="193238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max⁡〖𝑓=5𝑥_1+7𝑥_2+〖3𝑥〗_3+〖6𝑥〗_4 〗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91440</xdr:colOff>
      <xdr:row>47</xdr:row>
      <xdr:rowOff>26670</xdr:rowOff>
    </xdr:from>
    <xdr:ext cx="1742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6E8C256-B129-4827-8E27-F937E7148F16}"/>
                </a:ext>
              </a:extLst>
            </xdr:cNvPr>
            <xdr:cNvSpPr txBox="1"/>
          </xdr:nvSpPr>
          <xdr:spPr>
            <a:xfrm>
              <a:off x="91440" y="880491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≤200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6E8C256-B129-4827-8E27-F937E7148F16}"/>
                </a:ext>
              </a:extLst>
            </xdr:cNvPr>
            <xdr:cNvSpPr txBox="1"/>
          </xdr:nvSpPr>
          <xdr:spPr>
            <a:xfrm>
              <a:off x="91440" y="880491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2𝑥_1+𝑥_2+〖3𝑥〗_3+2𝑥_4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≤200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48</xdr:row>
      <xdr:rowOff>19050</xdr:rowOff>
    </xdr:from>
    <xdr:ext cx="1742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1CE5BC0-ED9C-4B94-9F37-93185515AFAC}"/>
                </a:ext>
              </a:extLst>
            </xdr:cNvPr>
            <xdr:cNvSpPr txBox="1"/>
          </xdr:nvSpPr>
          <xdr:spPr>
            <a:xfrm>
              <a:off x="99060" y="898017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+8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≤160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1CE5BC0-ED9C-4B94-9F37-93185515AFAC}"/>
                </a:ext>
              </a:extLst>
            </xdr:cNvPr>
            <xdr:cNvSpPr txBox="1"/>
          </xdr:nvSpPr>
          <xdr:spPr>
            <a:xfrm>
              <a:off x="99060" y="898017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𝑥_1+〖2𝑥〗_2+〖4𝑥〗_3+8𝑥_4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≤160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49</xdr:row>
      <xdr:rowOff>11430</xdr:rowOff>
    </xdr:from>
    <xdr:ext cx="166404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1E0C487-372D-4322-99F5-2E005CCF4CC7}"/>
                </a:ext>
              </a:extLst>
            </xdr:cNvPr>
            <xdr:cNvSpPr txBox="1"/>
          </xdr:nvSpPr>
          <xdr:spPr>
            <a:xfrm>
              <a:off x="99060" y="9155430"/>
              <a:ext cx="16640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≤170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1E0C487-372D-4322-99F5-2E005CCF4CC7}"/>
                </a:ext>
              </a:extLst>
            </xdr:cNvPr>
            <xdr:cNvSpPr txBox="1"/>
          </xdr:nvSpPr>
          <xdr:spPr>
            <a:xfrm>
              <a:off x="99060" y="9155430"/>
              <a:ext cx="16640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2𝑥_1+〖4𝑥〗_2+𝑥_3+𝑥_4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≤170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49</xdr:row>
      <xdr:rowOff>171450</xdr:rowOff>
    </xdr:from>
    <xdr:ext cx="100463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0CC336B-D83A-4466-9F95-3ED20A61343E}"/>
                </a:ext>
              </a:extLst>
            </xdr:cNvPr>
            <xdr:cNvSpPr txBox="1"/>
          </xdr:nvSpPr>
          <xdr:spPr>
            <a:xfrm>
              <a:off x="99060" y="9315450"/>
              <a:ext cx="100463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0CC336B-D83A-4466-9F95-3ED20A61343E}"/>
                </a:ext>
              </a:extLst>
            </xdr:cNvPr>
            <xdr:cNvSpPr txBox="1"/>
          </xdr:nvSpPr>
          <xdr:spPr>
            <a:xfrm>
              <a:off x="99060" y="9315450"/>
              <a:ext cx="100463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𝑥_1,𝑥_2,𝑥_3,𝑥_4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5</xdr:col>
      <xdr:colOff>220981</xdr:colOff>
      <xdr:row>46</xdr:row>
      <xdr:rowOff>2</xdr:rowOff>
    </xdr:from>
    <xdr:to>
      <xdr:col>11</xdr:col>
      <xdr:colOff>22861</xdr:colOff>
      <xdr:row>58</xdr:row>
      <xdr:rowOff>56772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1DEE25C-3D75-46CA-A0B7-0CD995981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2821" y="8595362"/>
          <a:ext cx="3459480" cy="22513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60</xdr:row>
      <xdr:rowOff>26670</xdr:rowOff>
    </xdr:from>
    <xdr:ext cx="201741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31F4F06-670F-4052-871F-A5B6085A8021}"/>
                </a:ext>
              </a:extLst>
            </xdr:cNvPr>
            <xdr:cNvSpPr txBox="1"/>
          </xdr:nvSpPr>
          <xdr:spPr>
            <a:xfrm>
              <a:off x="0" y="11182350"/>
              <a:ext cx="201741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min</m:t>
                        </m:r>
                      </m:fName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𝑍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=200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+160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170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e>
                    </m:fun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31F4F06-670F-4052-871F-A5B6085A8021}"/>
                </a:ext>
              </a:extLst>
            </xdr:cNvPr>
            <xdr:cNvSpPr txBox="1"/>
          </xdr:nvSpPr>
          <xdr:spPr>
            <a:xfrm>
              <a:off x="0" y="11182350"/>
              <a:ext cx="201741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min⁡〖𝑍=200𝑦_1+160𝑦_2+〖170𝑦〗_3 〗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7620</xdr:colOff>
      <xdr:row>60</xdr:row>
      <xdr:rowOff>179070</xdr:rowOff>
    </xdr:from>
    <xdr:ext cx="120238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D69D8A58-682C-4DDE-8C70-DE2057D264D2}"/>
                </a:ext>
              </a:extLst>
            </xdr:cNvPr>
            <xdr:cNvSpPr txBox="1"/>
          </xdr:nvSpPr>
          <xdr:spPr>
            <a:xfrm>
              <a:off x="7620" y="11334750"/>
              <a:ext cx="120238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≥5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D69D8A58-682C-4DDE-8C70-DE2057D264D2}"/>
                </a:ext>
              </a:extLst>
            </xdr:cNvPr>
            <xdr:cNvSpPr txBox="1"/>
          </xdr:nvSpPr>
          <xdr:spPr>
            <a:xfrm>
              <a:off x="7620" y="11334750"/>
              <a:ext cx="120238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2𝑦_1+𝑦_2+〖2𝑦〗_3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≥5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171450</xdr:rowOff>
    </xdr:from>
    <xdr:ext cx="120327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EA4AD15A-4E3B-446E-A7DC-498DC69E3C03}"/>
                </a:ext>
              </a:extLst>
            </xdr:cNvPr>
            <xdr:cNvSpPr txBox="1"/>
          </xdr:nvSpPr>
          <xdr:spPr>
            <a:xfrm>
              <a:off x="0" y="11510010"/>
              <a:ext cx="120327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≥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7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EA4AD15A-4E3B-446E-A7DC-498DC69E3C03}"/>
                </a:ext>
              </a:extLst>
            </xdr:cNvPr>
            <xdr:cNvSpPr txBox="1"/>
          </xdr:nvSpPr>
          <xdr:spPr>
            <a:xfrm>
              <a:off x="0" y="11510010"/>
              <a:ext cx="120327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𝑦_1+〖2𝑦〗_2+〖4𝑦〗_3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≥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7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7620</xdr:colOff>
      <xdr:row>62</xdr:row>
      <xdr:rowOff>163830</xdr:rowOff>
    </xdr:from>
    <xdr:ext cx="120327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4EAE91B-C71B-4B55-87F2-E705FA678B47}"/>
                </a:ext>
              </a:extLst>
            </xdr:cNvPr>
            <xdr:cNvSpPr txBox="1"/>
          </xdr:nvSpPr>
          <xdr:spPr>
            <a:xfrm>
              <a:off x="7620" y="11685270"/>
              <a:ext cx="120327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3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≥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4EAE91B-C71B-4B55-87F2-E705FA678B47}"/>
                </a:ext>
              </a:extLst>
            </xdr:cNvPr>
            <xdr:cNvSpPr txBox="1"/>
          </xdr:nvSpPr>
          <xdr:spPr>
            <a:xfrm>
              <a:off x="7620" y="11685270"/>
              <a:ext cx="120327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3𝑦_1+〖4𝑦〗_2+𝑦_3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≥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3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7620</xdr:colOff>
      <xdr:row>63</xdr:row>
      <xdr:rowOff>140970</xdr:rowOff>
    </xdr:from>
    <xdr:ext cx="120327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F56E9886-BBA0-4EFE-842D-80E3D60A64B2}"/>
                </a:ext>
              </a:extLst>
            </xdr:cNvPr>
            <xdr:cNvSpPr txBox="1"/>
          </xdr:nvSpPr>
          <xdr:spPr>
            <a:xfrm>
              <a:off x="7620" y="11845290"/>
              <a:ext cx="120327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8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≥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F56E9886-BBA0-4EFE-842D-80E3D60A64B2}"/>
                </a:ext>
              </a:extLst>
            </xdr:cNvPr>
            <xdr:cNvSpPr txBox="1"/>
          </xdr:nvSpPr>
          <xdr:spPr>
            <a:xfrm>
              <a:off x="7620" y="11845290"/>
              <a:ext cx="120327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2𝑦_1+〖8𝑦〗_2+𝑦_3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≥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6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64</xdr:row>
      <xdr:rowOff>133350</xdr:rowOff>
    </xdr:from>
    <xdr:ext cx="8157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E1A896E-2012-4A30-BF91-C8A7156D3281}"/>
                </a:ext>
              </a:extLst>
            </xdr:cNvPr>
            <xdr:cNvSpPr txBox="1"/>
          </xdr:nvSpPr>
          <xdr:spPr>
            <a:xfrm>
              <a:off x="0" y="12020550"/>
              <a:ext cx="8157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≥0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E1A896E-2012-4A30-BF91-C8A7156D3281}"/>
                </a:ext>
              </a:extLst>
            </xdr:cNvPr>
            <xdr:cNvSpPr txBox="1"/>
          </xdr:nvSpPr>
          <xdr:spPr>
            <a:xfrm>
              <a:off x="0" y="12020550"/>
              <a:ext cx="8157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𝑦_1,𝑦_2,𝑦_3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≥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4</xdr:col>
      <xdr:colOff>121921</xdr:colOff>
      <xdr:row>60</xdr:row>
      <xdr:rowOff>83820</xdr:rowOff>
    </xdr:from>
    <xdr:to>
      <xdr:col>10</xdr:col>
      <xdr:colOff>53341</xdr:colOff>
      <xdr:row>73</xdr:row>
      <xdr:rowOff>80654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60E0A79-E6EB-4BB5-8849-09D780EC1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4161" y="11239500"/>
          <a:ext cx="3589020" cy="23742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182</xdr:row>
      <xdr:rowOff>0</xdr:rowOff>
    </xdr:from>
    <xdr:to>
      <xdr:col>6</xdr:col>
      <xdr:colOff>388621</xdr:colOff>
      <xdr:row>190</xdr:row>
      <xdr:rowOff>96049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4B4CDBD5-7500-416D-A9C8-A411CE893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9041" y="731520"/>
          <a:ext cx="4480560" cy="1559089"/>
        </a:xfrm>
        <a:prstGeom prst="rect">
          <a:avLst/>
        </a:prstGeom>
      </xdr:spPr>
    </xdr:pic>
    <xdr:clientData/>
  </xdr:twoCellAnchor>
  <xdr:oneCellAnchor>
    <xdr:from>
      <xdr:col>0</xdr:col>
      <xdr:colOff>68580</xdr:colOff>
      <xdr:row>75</xdr:row>
      <xdr:rowOff>3810</xdr:rowOff>
    </xdr:from>
    <xdr:ext cx="193238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7EB22E80-7A0C-47A8-A750-908A55384F9D}"/>
                </a:ext>
              </a:extLst>
            </xdr:cNvPr>
            <xdr:cNvSpPr txBox="1"/>
          </xdr:nvSpPr>
          <xdr:spPr>
            <a:xfrm>
              <a:off x="68580" y="8599170"/>
              <a:ext cx="193238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max</m:t>
                        </m:r>
                      </m:fName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𝑓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=5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+7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6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</m:e>
                    </m:func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7EB22E80-7A0C-47A8-A750-908A55384F9D}"/>
                </a:ext>
              </a:extLst>
            </xdr:cNvPr>
            <xdr:cNvSpPr txBox="1"/>
          </xdr:nvSpPr>
          <xdr:spPr>
            <a:xfrm>
              <a:off x="68580" y="8599170"/>
              <a:ext cx="193238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max⁡〖𝑓=5𝑥_1+7𝑥_2+〖3𝑥〗_3+〖6𝑥〗_4 〗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91440</xdr:colOff>
      <xdr:row>76</xdr:row>
      <xdr:rowOff>26670</xdr:rowOff>
    </xdr:from>
    <xdr:ext cx="1742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631677B4-6503-4459-BD5D-0E23CA650206}"/>
                </a:ext>
              </a:extLst>
            </xdr:cNvPr>
            <xdr:cNvSpPr txBox="1"/>
          </xdr:nvSpPr>
          <xdr:spPr>
            <a:xfrm>
              <a:off x="91440" y="1410843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≤20</m:t>
                    </m:r>
                    <m:r>
                      <a:rPr lang="ru-RU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8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631677B4-6503-4459-BD5D-0E23CA650206}"/>
                </a:ext>
              </a:extLst>
            </xdr:cNvPr>
            <xdr:cNvSpPr txBox="1"/>
          </xdr:nvSpPr>
          <xdr:spPr>
            <a:xfrm>
              <a:off x="91440" y="1410843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2𝑥_1+𝑥_2+〖3𝑥〗_3+2𝑥_4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≤20</a:t>
              </a:r>
              <a:r>
                <a:rPr lang="ru-RU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8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77</xdr:row>
      <xdr:rowOff>19050</xdr:rowOff>
    </xdr:from>
    <xdr:ext cx="1742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7F1CA1C1-8DF3-469A-BA94-A934C44F8F77}"/>
                </a:ext>
              </a:extLst>
            </xdr:cNvPr>
            <xdr:cNvSpPr txBox="1"/>
          </xdr:nvSpPr>
          <xdr:spPr>
            <a:xfrm>
              <a:off x="99060" y="898017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+8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</m:t>
                    </m:r>
                    <m:r>
                      <a:rPr lang="ru-RU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7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7F1CA1C1-8DF3-469A-BA94-A934C44F8F77}"/>
                </a:ext>
              </a:extLst>
            </xdr:cNvPr>
            <xdr:cNvSpPr txBox="1"/>
          </xdr:nvSpPr>
          <xdr:spPr>
            <a:xfrm>
              <a:off x="99060" y="8980170"/>
              <a:ext cx="1742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𝑥_1+〖2𝑥〗_2+〖4𝑥〗_3+8𝑥_4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</a:t>
              </a:r>
              <a:r>
                <a:rPr lang="ru-RU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7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78</xdr:row>
      <xdr:rowOff>11430</xdr:rowOff>
    </xdr:from>
    <xdr:ext cx="166404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F2E17F1A-51A8-4877-AB55-AF2AC30E1827}"/>
                </a:ext>
              </a:extLst>
            </xdr:cNvPr>
            <xdr:cNvSpPr txBox="1"/>
          </xdr:nvSpPr>
          <xdr:spPr>
            <a:xfrm>
              <a:off x="99060" y="14458950"/>
              <a:ext cx="16640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</m:t>
                    </m:r>
                    <m:r>
                      <a:rPr lang="ru-RU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65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F2E17F1A-51A8-4877-AB55-AF2AC30E1827}"/>
                </a:ext>
              </a:extLst>
            </xdr:cNvPr>
            <xdr:cNvSpPr txBox="1"/>
          </xdr:nvSpPr>
          <xdr:spPr>
            <a:xfrm>
              <a:off x="99060" y="14458950"/>
              <a:ext cx="16640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2𝑥_1+〖4𝑥〗_2+𝑥_3+𝑥_4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</a:t>
              </a:r>
              <a:r>
                <a:rPr lang="ru-RU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65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78</xdr:row>
      <xdr:rowOff>171450</xdr:rowOff>
    </xdr:from>
    <xdr:ext cx="100463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B0A30CD7-011C-458A-8290-E486CCBE8401}"/>
                </a:ext>
              </a:extLst>
            </xdr:cNvPr>
            <xdr:cNvSpPr txBox="1"/>
          </xdr:nvSpPr>
          <xdr:spPr>
            <a:xfrm>
              <a:off x="99060" y="9315450"/>
              <a:ext cx="100463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B0A30CD7-011C-458A-8290-E486CCBE8401}"/>
                </a:ext>
              </a:extLst>
            </xdr:cNvPr>
            <xdr:cNvSpPr txBox="1"/>
          </xdr:nvSpPr>
          <xdr:spPr>
            <a:xfrm>
              <a:off x="99060" y="9315450"/>
              <a:ext cx="100463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𝑥_1,𝑥_2,𝑥_3,𝑥_4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5</xdr:col>
      <xdr:colOff>220981</xdr:colOff>
      <xdr:row>75</xdr:row>
      <xdr:rowOff>2</xdr:rowOff>
    </xdr:from>
    <xdr:ext cx="3459480" cy="2251330"/>
    <xdr:pic>
      <xdr:nvPicPr>
        <xdr:cNvPr id="25" name="Рисунок 24">
          <a:extLst>
            <a:ext uri="{FF2B5EF4-FFF2-40B4-BE49-F238E27FC236}">
              <a16:creationId xmlns:a16="http://schemas.microsoft.com/office/drawing/2014/main" id="{17D41482-822C-4E8E-8B01-15F3E0DEB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2821" y="8595362"/>
          <a:ext cx="3459480" cy="2251330"/>
        </a:xfrm>
        <a:prstGeom prst="rect">
          <a:avLst/>
        </a:prstGeom>
      </xdr:spPr>
    </xdr:pic>
    <xdr:clientData/>
  </xdr:oneCellAnchor>
  <xdr:oneCellAnchor>
    <xdr:from>
      <xdr:col>0</xdr:col>
      <xdr:colOff>68580</xdr:colOff>
      <xdr:row>90</xdr:row>
      <xdr:rowOff>3810</xdr:rowOff>
    </xdr:from>
    <xdr:ext cx="249972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8786430-3649-4099-89EE-39F9C9E5CE73}"/>
                </a:ext>
              </a:extLst>
            </xdr:cNvPr>
            <xdr:cNvSpPr txBox="1"/>
          </xdr:nvSpPr>
          <xdr:spPr>
            <a:xfrm>
              <a:off x="68580" y="16645890"/>
              <a:ext cx="249972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max</m:t>
                        </m:r>
                      </m:fName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𝑓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=5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+7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6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ru-RU" sz="11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ru-RU" sz="1100" b="0" i="1">
                        <a:latin typeface="Cambria Math" panose="02040503050406030204" pitchFamily="18" charset="0"/>
                      </a:rPr>
                      <m:t>+10</m:t>
                    </m:r>
                    <m:sSub>
                      <m:sSubPr>
                        <m:ctrlPr>
                          <a:rPr lang="ru-RU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8786430-3649-4099-89EE-39F9C9E5CE73}"/>
                </a:ext>
              </a:extLst>
            </xdr:cNvPr>
            <xdr:cNvSpPr txBox="1"/>
          </xdr:nvSpPr>
          <xdr:spPr>
            <a:xfrm>
              <a:off x="68580" y="16645890"/>
              <a:ext cx="249972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max⁡〖𝑓=5𝑥_1+7𝑥_2+〖3𝑥〗_3+〖6𝑥〗_</a:t>
              </a:r>
              <a:r>
                <a:rPr lang="ru-RU" sz="1100" b="0" i="0">
                  <a:latin typeface="Cambria Math" panose="02040503050406030204" pitchFamily="18" charset="0"/>
                </a:rPr>
                <a:t>4</a:t>
              </a:r>
              <a:r>
                <a:rPr lang="en-US" sz="1100" b="0" i="0">
                  <a:latin typeface="Cambria Math" panose="02040503050406030204" pitchFamily="18" charset="0"/>
                </a:rPr>
                <a:t> 〗</a:t>
              </a:r>
              <a:r>
                <a:rPr lang="ru-RU" sz="1100" b="0" i="0">
                  <a:latin typeface="Cambria Math" panose="02040503050406030204" pitchFamily="18" charset="0"/>
                </a:rPr>
                <a:t>+10</a:t>
              </a:r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r>
                <a:rPr lang="ru-RU" sz="1100" b="0" i="0">
                  <a:latin typeface="Cambria Math" panose="02040503050406030204" pitchFamily="18" charset="0"/>
                </a:rPr>
                <a:t>_</a:t>
              </a:r>
              <a:r>
                <a:rPr lang="en-US" sz="1100" b="0" i="0">
                  <a:latin typeface="Cambria Math" panose="02040503050406030204" pitchFamily="18" charset="0"/>
                </a:rPr>
                <a:t>5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91440</xdr:colOff>
      <xdr:row>91</xdr:row>
      <xdr:rowOff>26670</xdr:rowOff>
    </xdr:from>
    <xdr:ext cx="212750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FA346FB-B2EA-4329-A4F7-3B80D82B3973}"/>
                </a:ext>
              </a:extLst>
            </xdr:cNvPr>
            <xdr:cNvSpPr txBox="1"/>
          </xdr:nvSpPr>
          <xdr:spPr>
            <a:xfrm>
              <a:off x="91440" y="16851630"/>
              <a:ext cx="21275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≤20</m:t>
                    </m:r>
                    <m:r>
                      <a:rPr lang="ru-RU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8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FA346FB-B2EA-4329-A4F7-3B80D82B3973}"/>
                </a:ext>
              </a:extLst>
            </xdr:cNvPr>
            <xdr:cNvSpPr txBox="1"/>
          </xdr:nvSpPr>
          <xdr:spPr>
            <a:xfrm>
              <a:off x="91440" y="16851630"/>
              <a:ext cx="21275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2𝑥_1+𝑥_2+〖3𝑥〗_3+2𝑥_4+2𝑥_5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≤20</a:t>
              </a:r>
              <a:r>
                <a:rPr lang="ru-RU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8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92</xdr:row>
      <xdr:rowOff>19050</xdr:rowOff>
    </xdr:from>
    <xdr:ext cx="212750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A68AB883-35DD-4B16-B758-2571518C7E39}"/>
                </a:ext>
              </a:extLst>
            </xdr:cNvPr>
            <xdr:cNvSpPr txBox="1"/>
          </xdr:nvSpPr>
          <xdr:spPr>
            <a:xfrm>
              <a:off x="99060" y="17026890"/>
              <a:ext cx="21275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+8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</m:t>
                    </m:r>
                    <m:r>
                      <a:rPr lang="ru-RU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7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A68AB883-35DD-4B16-B758-2571518C7E39}"/>
                </a:ext>
              </a:extLst>
            </xdr:cNvPr>
            <xdr:cNvSpPr txBox="1"/>
          </xdr:nvSpPr>
          <xdr:spPr>
            <a:xfrm>
              <a:off x="99060" y="17026890"/>
              <a:ext cx="21275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𝑥_1+〖2𝑥〗_2+〖4𝑥〗_3+8𝑥_4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+2𝑥_5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</a:t>
              </a:r>
              <a:r>
                <a:rPr lang="ru-RU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7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93</xdr:row>
      <xdr:rowOff>11430</xdr:rowOff>
    </xdr:from>
    <xdr:ext cx="204940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4FB99159-7BD9-439E-B5C2-7C9869563F30}"/>
                </a:ext>
              </a:extLst>
            </xdr:cNvPr>
            <xdr:cNvSpPr txBox="1"/>
          </xdr:nvSpPr>
          <xdr:spPr>
            <a:xfrm>
              <a:off x="99060" y="17202150"/>
              <a:ext cx="204940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2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+2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≤1</m:t>
                    </m:r>
                    <m:r>
                      <a:rPr lang="ru-RU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65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4FB99159-7BD9-439E-B5C2-7C9869563F30}"/>
                </a:ext>
              </a:extLst>
            </xdr:cNvPr>
            <xdr:cNvSpPr txBox="1"/>
          </xdr:nvSpPr>
          <xdr:spPr>
            <a:xfrm>
              <a:off x="99060" y="17202150"/>
              <a:ext cx="204940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2𝑥_1+〖4𝑥〗_2+𝑥_3+𝑥_4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+2𝑥_5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≤1</a:t>
              </a:r>
              <a:r>
                <a:rPr lang="ru-RU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65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0</xdr:col>
      <xdr:colOff>99060</xdr:colOff>
      <xdr:row>93</xdr:row>
      <xdr:rowOff>171450</xdr:rowOff>
    </xdr:from>
    <xdr:ext cx="123264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98DBE3A5-1828-4120-A748-30C68B7F7822}"/>
                </a:ext>
              </a:extLst>
            </xdr:cNvPr>
            <xdr:cNvSpPr txBox="1"/>
          </xdr:nvSpPr>
          <xdr:spPr>
            <a:xfrm>
              <a:off x="99060" y="17362170"/>
              <a:ext cx="12326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5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98DBE3A5-1828-4120-A748-30C68B7F7822}"/>
                </a:ext>
              </a:extLst>
            </xdr:cNvPr>
            <xdr:cNvSpPr txBox="1"/>
          </xdr:nvSpPr>
          <xdr:spPr>
            <a:xfrm>
              <a:off x="99060" y="17362170"/>
              <a:ext cx="123264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𝑥_1,𝑥_2,𝑥_3,𝑥_4,𝑥_5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6</xdr:col>
      <xdr:colOff>381001</xdr:colOff>
      <xdr:row>90</xdr:row>
      <xdr:rowOff>30482</xdr:rowOff>
    </xdr:from>
    <xdr:ext cx="3459480" cy="2251330"/>
    <xdr:pic>
      <xdr:nvPicPr>
        <xdr:cNvPr id="31" name="Рисунок 30">
          <a:extLst>
            <a:ext uri="{FF2B5EF4-FFF2-40B4-BE49-F238E27FC236}">
              <a16:creationId xmlns:a16="http://schemas.microsoft.com/office/drawing/2014/main" id="{28716CF0-9BC7-4BCC-8057-34D7B760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2441" y="16672562"/>
          <a:ext cx="3459480" cy="225133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105</xdr:row>
      <xdr:rowOff>0</xdr:rowOff>
    </xdr:from>
    <xdr:to>
      <xdr:col>6</xdr:col>
      <xdr:colOff>51078</xdr:colOff>
      <xdr:row>119</xdr:row>
      <xdr:rowOff>137160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2704025C-A740-477C-B70B-913F09B4B2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34201"/>
        <a:stretch/>
      </xdr:blipFill>
      <xdr:spPr>
        <a:xfrm>
          <a:off x="0" y="19385280"/>
          <a:ext cx="4143018" cy="2697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144781</xdr:rowOff>
    </xdr:from>
    <xdr:to>
      <xdr:col>5</xdr:col>
      <xdr:colOff>365250</xdr:colOff>
      <xdr:row>121</xdr:row>
      <xdr:rowOff>99061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34DB053F-AFFF-4458-A849-4955E81E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090381"/>
          <a:ext cx="3847590" cy="32004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150</xdr:row>
      <xdr:rowOff>0</xdr:rowOff>
    </xdr:from>
    <xdr:ext cx="680058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93CC36E6-77D9-48A4-A69E-A64B80DB70FC}"/>
                </a:ext>
              </a:extLst>
            </xdr:cNvPr>
            <xdr:cNvSpPr txBox="1"/>
          </xdr:nvSpPr>
          <xdr:spPr>
            <a:xfrm>
              <a:off x="0" y="2782062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ru-RU" sz="110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(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𝐸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𝐴</m:t>
                      </m:r>
                      <m:r>
                        <a:rPr lang="en-US" sz="1100" b="0" i="1">
                          <a:latin typeface="Cambria Math" panose="02040503050406030204" pitchFamily="18" charset="0"/>
                        </a:rPr>
                        <m:t>)</m:t>
                      </m:r>
                    </m:e>
                    <m:sup>
                      <m:r>
                        <a:rPr lang="en-US" sz="1100" b="0" i="1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</m:oMath>
              </a14:m>
              <a:r>
                <a:rPr lang="ru-RU" sz="1100"/>
                <a:t>=</a:t>
              </a:r>
            </a:p>
          </xdr:txBody>
        </xdr:sp>
      </mc:Choice>
      <mc:Fallback xmlns="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93CC36E6-77D9-48A4-A69E-A64B80DB70FC}"/>
                </a:ext>
              </a:extLst>
            </xdr:cNvPr>
            <xdr:cNvSpPr txBox="1"/>
          </xdr:nvSpPr>
          <xdr:spPr>
            <a:xfrm>
              <a:off x="0" y="27820620"/>
              <a:ext cx="680058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ru-RU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(𝐸−𝐴)</a:t>
              </a:r>
              <a:r>
                <a:rPr lang="ru-RU" sz="1100" b="0" i="0">
                  <a:latin typeface="Cambria Math" panose="02040503050406030204" pitchFamily="18" charset="0"/>
                </a:rPr>
                <a:t>〗^(</a:t>
              </a:r>
              <a:r>
                <a:rPr lang="en-US" sz="1100" b="0" i="0">
                  <a:latin typeface="Cambria Math" panose="02040503050406030204" pitchFamily="18" charset="0"/>
                </a:rPr>
                <a:t>−1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r>
                <a:rPr lang="ru-RU" sz="11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396240</xdr:colOff>
      <xdr:row>165</xdr:row>
      <xdr:rowOff>175260</xdr:rowOff>
    </xdr:from>
    <xdr:ext cx="235064" cy="1831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3EAE50E7-7B6D-42F7-893E-C6A885D2882A}"/>
                </a:ext>
              </a:extLst>
            </xdr:cNvPr>
            <xdr:cNvSpPr txBox="1"/>
          </xdr:nvSpPr>
          <xdr:spPr>
            <a:xfrm>
              <a:off x="2049780" y="3073908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ru-RU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</m:t>
                        </m:r>
                      </m:sub>
                    </m:sSub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37" name="TextBox 36">
              <a:extLst>
                <a:ext uri="{FF2B5EF4-FFF2-40B4-BE49-F238E27FC236}">
                  <a16:creationId xmlns:a16="http://schemas.microsoft.com/office/drawing/2014/main" id="{3EAE50E7-7B6D-42F7-893E-C6A885D2882A}"/>
                </a:ext>
              </a:extLst>
            </xdr:cNvPr>
            <xdr:cNvSpPr txBox="1"/>
          </xdr:nvSpPr>
          <xdr:spPr>
            <a:xfrm>
              <a:off x="2049780" y="30739080"/>
              <a:ext cx="235064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𝑋</a:t>
              </a:r>
              <a:r>
                <a:rPr lang="ru-RU" sz="1100" b="0" i="0">
                  <a:latin typeface="Cambria Math" panose="02040503050406030204" pitchFamily="18" charset="0"/>
                </a:rPr>
                <a:t>_(</a:t>
              </a:r>
              <a:r>
                <a:rPr lang="en-US" sz="1100" b="0" i="0">
                  <a:latin typeface="Cambria Math" panose="02040503050406030204" pitchFamily="18" charset="0"/>
                </a:rPr>
                <a:t>𝑖,𝑗</a:t>
              </a:r>
              <a:r>
                <a:rPr lang="ru-RU" sz="1100" b="0" i="0">
                  <a:latin typeface="Cambria Math" panose="02040503050406030204" pitchFamily="18" charset="0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twoCellAnchor editAs="oneCell">
    <xdr:from>
      <xdr:col>0</xdr:col>
      <xdr:colOff>1</xdr:colOff>
      <xdr:row>225</xdr:row>
      <xdr:rowOff>0</xdr:rowOff>
    </xdr:from>
    <xdr:to>
      <xdr:col>6</xdr:col>
      <xdr:colOff>45721</xdr:colOff>
      <xdr:row>238</xdr:row>
      <xdr:rowOff>98317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9BB4EF6A-658D-421D-B457-8B4A4E01B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1536620"/>
          <a:ext cx="4137660" cy="2475757"/>
        </a:xfrm>
        <a:prstGeom prst="rect">
          <a:avLst/>
        </a:prstGeom>
      </xdr:spPr>
    </xdr:pic>
    <xdr:clientData/>
  </xdr:twoCellAnchor>
  <xdr:twoCellAnchor>
    <xdr:from>
      <xdr:col>3</xdr:col>
      <xdr:colOff>464820</xdr:colOff>
      <xdr:row>239</xdr:row>
      <xdr:rowOff>26670</xdr:rowOff>
    </xdr:from>
    <xdr:to>
      <xdr:col>11</xdr:col>
      <xdr:colOff>160020</xdr:colOff>
      <xdr:row>254</xdr:row>
      <xdr:rowOff>26670</xdr:rowOff>
    </xdr:to>
    <xdr:graphicFrame macro="">
      <xdr:nvGraphicFramePr>
        <xdr:cNvPr id="39" name="Диаграмма 38">
          <a:extLst>
            <a:ext uri="{FF2B5EF4-FFF2-40B4-BE49-F238E27FC236}">
              <a16:creationId xmlns:a16="http://schemas.microsoft.com/office/drawing/2014/main" id="{F1371B50-6366-4BCC-803C-4A502113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350520</xdr:colOff>
      <xdr:row>221</xdr:row>
      <xdr:rowOff>77330</xdr:rowOff>
    </xdr:from>
    <xdr:to>
      <xdr:col>14</xdr:col>
      <xdr:colOff>248546</xdr:colOff>
      <xdr:row>240</xdr:row>
      <xdr:rowOff>10164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6CE025E-1525-BE5F-7DB9-682431754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42460" y="40882430"/>
          <a:ext cx="4774826" cy="340755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430695</xdr:colOff>
      <xdr:row>36</xdr:row>
      <xdr:rowOff>132520</xdr:rowOff>
    </xdr:from>
    <xdr:to>
      <xdr:col>25</xdr:col>
      <xdr:colOff>414787</xdr:colOff>
      <xdr:row>48</xdr:row>
      <xdr:rowOff>66999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97A5AEF-3FFC-B90E-5D09-3FD261FB9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43391" y="6891129"/>
          <a:ext cx="6665396" cy="2187348"/>
        </a:xfrm>
        <a:prstGeom prst="rect">
          <a:avLst/>
        </a:prstGeom>
      </xdr:spPr>
    </xdr:pic>
    <xdr:clientData/>
  </xdr:twoCellAnchor>
  <xdr:twoCellAnchor editAs="oneCell">
    <xdr:from>
      <xdr:col>9</xdr:col>
      <xdr:colOff>439089</xdr:colOff>
      <xdr:row>7</xdr:row>
      <xdr:rowOff>103587</xdr:rowOff>
    </xdr:from>
    <xdr:to>
      <xdr:col>16</xdr:col>
      <xdr:colOff>564101</xdr:colOff>
      <xdr:row>16</xdr:row>
      <xdr:rowOff>11897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7144C59-411B-4F61-9352-D3D7E0139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611" y="1417761"/>
          <a:ext cx="4465099" cy="1597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54298-7AC9-46CC-99AE-278F64F4D2A3}">
  <dimension ref="A2:X1048576"/>
  <sheetViews>
    <sheetView topLeftCell="A13" zoomScale="119" workbookViewId="0">
      <selection activeCell="A25" sqref="A25:I43"/>
    </sheetView>
  </sheetViews>
  <sheetFormatPr defaultRowHeight="14.4"/>
  <cols>
    <col min="15" max="15" width="12.88671875" customWidth="1"/>
    <col min="20" max="20" width="12.109375" customWidth="1"/>
  </cols>
  <sheetData>
    <row r="2" spans="2:11">
      <c r="B2" t="s">
        <v>2</v>
      </c>
    </row>
    <row r="3" spans="2:11">
      <c r="B3" s="9">
        <v>0</v>
      </c>
      <c r="C3" s="9">
        <v>3</v>
      </c>
      <c r="D3" s="9">
        <v>1</v>
      </c>
      <c r="E3" s="9">
        <v>0</v>
      </c>
    </row>
    <row r="5" spans="2:11">
      <c r="B5" t="s">
        <v>4</v>
      </c>
    </row>
    <row r="6" spans="2:11">
      <c r="B6">
        <v>3</v>
      </c>
      <c r="C6">
        <v>4</v>
      </c>
      <c r="D6">
        <v>3</v>
      </c>
      <c r="E6">
        <v>1</v>
      </c>
      <c r="F6" s="3">
        <f>SUMPRODUCT(B6:E6,B3:E3)</f>
        <v>15</v>
      </c>
    </row>
    <row r="8" spans="2:11">
      <c r="B8" t="s">
        <v>5</v>
      </c>
      <c r="K8" s="10"/>
    </row>
    <row r="9" spans="2:11">
      <c r="B9">
        <v>2</v>
      </c>
      <c r="C9">
        <v>4</v>
      </c>
      <c r="D9">
        <v>0</v>
      </c>
      <c r="E9">
        <v>8</v>
      </c>
      <c r="F9" s="6">
        <f>SUMPRODUCT(B9:E9,$B$3:$E$3)</f>
        <v>12</v>
      </c>
      <c r="G9" s="10" t="s">
        <v>6</v>
      </c>
      <c r="H9">
        <v>12</v>
      </c>
    </row>
    <row r="10" spans="2:11">
      <c r="B10">
        <v>7</v>
      </c>
      <c r="C10">
        <v>2</v>
      </c>
      <c r="D10">
        <v>2</v>
      </c>
      <c r="E10">
        <v>6</v>
      </c>
      <c r="F10" s="6">
        <f t="shared" ref="F10:F11" si="0">SUMPRODUCT(B10:E10,$B$3:$E$3)</f>
        <v>8</v>
      </c>
      <c r="G10" s="10" t="s">
        <v>6</v>
      </c>
      <c r="H10">
        <v>8</v>
      </c>
    </row>
    <row r="11" spans="2:11">
      <c r="B11">
        <v>5</v>
      </c>
      <c r="C11">
        <v>8</v>
      </c>
      <c r="D11">
        <v>4</v>
      </c>
      <c r="E11">
        <v>3</v>
      </c>
      <c r="F11" s="6">
        <f t="shared" si="0"/>
        <v>28</v>
      </c>
      <c r="G11" s="10" t="s">
        <v>6</v>
      </c>
      <c r="H11">
        <v>48</v>
      </c>
    </row>
    <row r="13" spans="2:11">
      <c r="B13" t="s">
        <v>2</v>
      </c>
    </row>
    <row r="14" spans="2:11">
      <c r="B14" s="9">
        <v>0</v>
      </c>
      <c r="C14" s="9">
        <v>0</v>
      </c>
      <c r="D14" s="9">
        <v>0.99999999999999989</v>
      </c>
      <c r="E14" s="9">
        <v>1.0000000000000002</v>
      </c>
      <c r="F14" s="9">
        <v>0</v>
      </c>
    </row>
    <row r="16" spans="2:11">
      <c r="B16" t="s">
        <v>4</v>
      </c>
    </row>
    <row r="17" spans="1:9">
      <c r="B17">
        <v>1</v>
      </c>
      <c r="C17">
        <v>2</v>
      </c>
      <c r="D17">
        <v>4</v>
      </c>
      <c r="E17">
        <v>5</v>
      </c>
      <c r="F17">
        <v>6</v>
      </c>
      <c r="G17" s="3">
        <f>SUMPRODUCT(B17:F17,B14:F14)</f>
        <v>9</v>
      </c>
    </row>
    <row r="19" spans="1:9">
      <c r="B19" t="s">
        <v>5</v>
      </c>
    </row>
    <row r="20" spans="1:9">
      <c r="B20">
        <v>1</v>
      </c>
      <c r="C20">
        <v>2</v>
      </c>
      <c r="D20">
        <v>1</v>
      </c>
      <c r="E20">
        <v>2</v>
      </c>
      <c r="F20">
        <v>3</v>
      </c>
      <c r="G20" s="6">
        <f>SUMPRODUCT(B20:F20,$B$14:$F$14)</f>
        <v>3.0000000000000004</v>
      </c>
      <c r="H20" s="10" t="s">
        <v>30</v>
      </c>
      <c r="I20">
        <v>3</v>
      </c>
    </row>
    <row r="21" spans="1:9">
      <c r="B21">
        <v>1</v>
      </c>
      <c r="C21">
        <v>1</v>
      </c>
      <c r="D21">
        <v>2</v>
      </c>
      <c r="E21">
        <v>1</v>
      </c>
      <c r="F21">
        <v>1</v>
      </c>
      <c r="G21" s="6">
        <f t="shared" ref="G21" si="1">SUMPRODUCT(B21:F21,$B$14:$F$14)</f>
        <v>3</v>
      </c>
      <c r="H21" s="10" t="s">
        <v>30</v>
      </c>
      <c r="I21">
        <v>3</v>
      </c>
    </row>
    <row r="25" spans="1:9">
      <c r="A25" t="s">
        <v>124</v>
      </c>
    </row>
    <row r="26" spans="1:9">
      <c r="B26" s="2">
        <v>5</v>
      </c>
      <c r="C26" s="2">
        <v>0</v>
      </c>
      <c r="D26" s="2">
        <v>0</v>
      </c>
    </row>
    <row r="27" spans="1:9">
      <c r="B27" s="2">
        <v>1</v>
      </c>
      <c r="C27" s="2">
        <v>4</v>
      </c>
      <c r="D27" s="2">
        <v>-1</v>
      </c>
      <c r="F27">
        <f>B26*C27*D28+B27*C28*D26+C26*D27*B28-D26*C27*B28-C28*D27*B26-B27*C26*D28</f>
        <v>75</v>
      </c>
    </row>
    <row r="28" spans="1:9">
      <c r="B28" s="2">
        <v>1</v>
      </c>
      <c r="C28" s="2">
        <v>-1</v>
      </c>
      <c r="D28" s="2">
        <v>4</v>
      </c>
    </row>
    <row r="31" spans="1:9">
      <c r="B31" s="74" t="s">
        <v>109</v>
      </c>
      <c r="C31" s="74">
        <v>0</v>
      </c>
      <c r="D31" s="74">
        <v>0</v>
      </c>
    </row>
    <row r="32" spans="1:9">
      <c r="B32" s="74" t="s">
        <v>107</v>
      </c>
      <c r="C32" s="74" t="s">
        <v>110</v>
      </c>
      <c r="D32" s="75" t="s">
        <v>108</v>
      </c>
      <c r="F32" s="73" t="s">
        <v>111</v>
      </c>
    </row>
    <row r="33" spans="1:8">
      <c r="B33" s="74" t="s">
        <v>107</v>
      </c>
      <c r="C33" s="75" t="s">
        <v>108</v>
      </c>
      <c r="D33" s="74" t="s">
        <v>110</v>
      </c>
      <c r="F33" s="76" t="s">
        <v>112</v>
      </c>
    </row>
    <row r="34" spans="1:8">
      <c r="F34" t="s">
        <v>113</v>
      </c>
    </row>
    <row r="35" spans="1:8">
      <c r="F35" t="s">
        <v>114</v>
      </c>
      <c r="G35" s="4" t="s">
        <v>115</v>
      </c>
      <c r="H35" t="s">
        <v>116</v>
      </c>
    </row>
    <row r="36" spans="1:8" ht="15.6">
      <c r="F36" s="77" t="s">
        <v>117</v>
      </c>
      <c r="H36" s="77" t="s">
        <v>118</v>
      </c>
    </row>
    <row r="37" spans="1:8" ht="15.6">
      <c r="H37" s="77" t="s">
        <v>119</v>
      </c>
    </row>
    <row r="38" spans="1:8">
      <c r="F38" t="s">
        <v>120</v>
      </c>
    </row>
    <row r="39" spans="1:8">
      <c r="F39" t="s">
        <v>121</v>
      </c>
    </row>
    <row r="40" spans="1:8">
      <c r="F40" t="s">
        <v>122</v>
      </c>
    </row>
    <row r="41" spans="1:8">
      <c r="B41" s="2">
        <f t="array" ref="B41:D43">(1/5)*B26:D28</f>
        <v>1</v>
      </c>
      <c r="C41" s="2">
        <v>0</v>
      </c>
      <c r="D41" s="2">
        <v>0</v>
      </c>
    </row>
    <row r="42" spans="1:8">
      <c r="A42" s="69" t="s">
        <v>123</v>
      </c>
      <c r="B42" s="2">
        <v>0.2</v>
      </c>
      <c r="C42" s="2">
        <v>0.8</v>
      </c>
      <c r="D42" s="2">
        <v>-0.2</v>
      </c>
    </row>
    <row r="43" spans="1:8">
      <c r="B43" s="2">
        <v>0.2</v>
      </c>
      <c r="C43" s="2">
        <v>-0.2</v>
      </c>
      <c r="D43" s="2">
        <v>0.8</v>
      </c>
    </row>
    <row r="46" spans="1:8">
      <c r="A46" t="s">
        <v>125</v>
      </c>
    </row>
    <row r="48" spans="1:8">
      <c r="B48" s="2">
        <v>2</v>
      </c>
      <c r="C48" s="2">
        <v>1</v>
      </c>
      <c r="D48" s="2">
        <v>-4</v>
      </c>
      <c r="E48" s="2">
        <v>2</v>
      </c>
      <c r="F48" s="2">
        <v>2</v>
      </c>
    </row>
    <row r="49" spans="1:24">
      <c r="B49" s="2">
        <v>-1</v>
      </c>
      <c r="C49" s="2">
        <v>4</v>
      </c>
      <c r="D49" s="2">
        <v>-2</v>
      </c>
      <c r="E49" s="2">
        <v>0</v>
      </c>
      <c r="F49" s="2">
        <v>2</v>
      </c>
    </row>
    <row r="50" spans="1:24">
      <c r="A50" s="69" t="s">
        <v>126</v>
      </c>
      <c r="B50" s="2">
        <v>5</v>
      </c>
      <c r="C50" s="2">
        <v>-5</v>
      </c>
      <c r="D50" s="2">
        <v>1</v>
      </c>
      <c r="E50" s="2">
        <v>1</v>
      </c>
      <c r="F50" s="2">
        <v>1</v>
      </c>
    </row>
    <row r="51" spans="1:24">
      <c r="B51" s="2">
        <v>0</v>
      </c>
      <c r="C51" s="2">
        <v>2</v>
      </c>
      <c r="D51" s="2">
        <v>1</v>
      </c>
      <c r="E51" s="2">
        <v>-3</v>
      </c>
      <c r="F51" s="2">
        <v>3</v>
      </c>
    </row>
    <row r="52" spans="1:24">
      <c r="B52" s="2">
        <v>3</v>
      </c>
      <c r="C52" s="2">
        <v>-2</v>
      </c>
      <c r="D52" s="2">
        <v>-3</v>
      </c>
      <c r="E52" s="2">
        <v>2</v>
      </c>
      <c r="F52" s="2">
        <v>3</v>
      </c>
    </row>
    <row r="54" spans="1:24">
      <c r="B54" s="74" t="s">
        <v>127</v>
      </c>
      <c r="C54" s="74">
        <v>1</v>
      </c>
      <c r="D54" s="74">
        <v>-4</v>
      </c>
      <c r="E54" s="74">
        <v>2</v>
      </c>
      <c r="F54" s="74">
        <v>2</v>
      </c>
      <c r="I54" s="74" t="s">
        <v>127</v>
      </c>
      <c r="J54" s="74">
        <v>1</v>
      </c>
      <c r="K54" s="74">
        <v>-4</v>
      </c>
      <c r="L54" s="74">
        <v>2</v>
      </c>
      <c r="M54" s="74">
        <v>2</v>
      </c>
      <c r="O54" s="74" t="s">
        <v>138</v>
      </c>
    </row>
    <row r="55" spans="1:24">
      <c r="B55" s="74">
        <v>-1</v>
      </c>
      <c r="C55" s="74" t="s">
        <v>128</v>
      </c>
      <c r="D55" s="74">
        <v>-2</v>
      </c>
      <c r="E55" s="74">
        <v>0</v>
      </c>
      <c r="F55" s="74">
        <v>2</v>
      </c>
      <c r="G55" t="s">
        <v>132</v>
      </c>
      <c r="H55" t="s">
        <v>133</v>
      </c>
      <c r="I55" s="74">
        <v>-1</v>
      </c>
      <c r="J55" s="74" t="s">
        <v>128</v>
      </c>
      <c r="K55" s="74">
        <v>-2</v>
      </c>
      <c r="L55" s="74">
        <v>0</v>
      </c>
      <c r="M55" s="74">
        <v>2</v>
      </c>
      <c r="P55" s="74" t="s">
        <v>128</v>
      </c>
      <c r="Q55" s="74">
        <v>-2</v>
      </c>
      <c r="R55" s="74">
        <v>0</v>
      </c>
      <c r="S55" s="74">
        <v>2</v>
      </c>
      <c r="U55" s="74">
        <v>1</v>
      </c>
      <c r="V55" s="74">
        <v>-4</v>
      </c>
      <c r="W55" s="74">
        <v>2</v>
      </c>
      <c r="X55" s="74">
        <v>2</v>
      </c>
    </row>
    <row r="56" spans="1:24">
      <c r="A56" s="69" t="s">
        <v>95</v>
      </c>
      <c r="B56" s="74">
        <v>5</v>
      </c>
      <c r="C56" s="74">
        <v>-5</v>
      </c>
      <c r="D56" s="74" t="s">
        <v>129</v>
      </c>
      <c r="E56" s="74">
        <v>1</v>
      </c>
      <c r="F56" s="74">
        <v>1</v>
      </c>
      <c r="I56" s="74">
        <v>0</v>
      </c>
      <c r="J56" s="75" t="s">
        <v>135</v>
      </c>
      <c r="K56" s="75" t="s">
        <v>134</v>
      </c>
      <c r="L56" s="74">
        <v>1</v>
      </c>
      <c r="M56" s="74">
        <v>11</v>
      </c>
      <c r="P56" s="75" t="s">
        <v>135</v>
      </c>
      <c r="Q56" s="75" t="s">
        <v>134</v>
      </c>
      <c r="R56" s="74">
        <v>1</v>
      </c>
      <c r="S56" s="74">
        <v>11</v>
      </c>
      <c r="T56" s="73" t="s">
        <v>139</v>
      </c>
      <c r="U56" s="75" t="s">
        <v>135</v>
      </c>
      <c r="V56" s="75" t="s">
        <v>134</v>
      </c>
      <c r="W56" s="74">
        <v>1</v>
      </c>
      <c r="X56" s="74">
        <v>11</v>
      </c>
    </row>
    <row r="57" spans="1:24">
      <c r="B57" s="74">
        <v>0</v>
      </c>
      <c r="C57" s="74">
        <v>2</v>
      </c>
      <c r="D57" s="74">
        <v>1</v>
      </c>
      <c r="E57" s="75" t="s">
        <v>131</v>
      </c>
      <c r="F57" s="74">
        <v>3</v>
      </c>
      <c r="I57" s="74">
        <v>0</v>
      </c>
      <c r="J57" s="74">
        <v>2</v>
      </c>
      <c r="K57" s="74">
        <v>1</v>
      </c>
      <c r="L57" s="75" t="s">
        <v>131</v>
      </c>
      <c r="M57" s="74">
        <v>3</v>
      </c>
      <c r="P57" s="74">
        <v>2</v>
      </c>
      <c r="Q57" s="74">
        <v>1</v>
      </c>
      <c r="R57" s="75" t="s">
        <v>131</v>
      </c>
      <c r="S57" s="74">
        <v>3</v>
      </c>
      <c r="U57" s="74">
        <v>2</v>
      </c>
      <c r="V57" s="74">
        <v>1</v>
      </c>
      <c r="W57" s="75" t="s">
        <v>131</v>
      </c>
      <c r="X57" s="74">
        <v>3</v>
      </c>
    </row>
    <row r="58" spans="1:24">
      <c r="B58" s="74">
        <v>3</v>
      </c>
      <c r="C58" s="74">
        <v>-2</v>
      </c>
      <c r="D58" s="74">
        <v>-3</v>
      </c>
      <c r="E58" s="74">
        <v>2</v>
      </c>
      <c r="F58" s="74" t="s">
        <v>130</v>
      </c>
      <c r="I58" s="74">
        <v>0</v>
      </c>
      <c r="J58" s="74" t="s">
        <v>136</v>
      </c>
      <c r="K58" s="74">
        <v>-6</v>
      </c>
      <c r="L58" s="74">
        <v>2</v>
      </c>
      <c r="M58" s="74" t="s">
        <v>137</v>
      </c>
      <c r="P58" s="74" t="s">
        <v>136</v>
      </c>
      <c r="Q58" s="74">
        <v>-6</v>
      </c>
      <c r="R58" s="74">
        <v>2</v>
      </c>
      <c r="S58" s="74" t="s">
        <v>137</v>
      </c>
      <c r="U58" s="74" t="s">
        <v>136</v>
      </c>
      <c r="V58" s="74">
        <v>-6</v>
      </c>
      <c r="W58" s="74">
        <v>2</v>
      </c>
      <c r="X58" s="74" t="s">
        <v>137</v>
      </c>
    </row>
    <row r="60" spans="1:24">
      <c r="A60" t="s">
        <v>140</v>
      </c>
    </row>
    <row r="61" spans="1:24">
      <c r="A61" t="s">
        <v>141</v>
      </c>
    </row>
    <row r="62" spans="1:24">
      <c r="A62" t="s">
        <v>142</v>
      </c>
    </row>
    <row r="63" spans="1:24">
      <c r="A63" t="s">
        <v>143</v>
      </c>
    </row>
    <row r="64" spans="1:24">
      <c r="A64" t="s">
        <v>144</v>
      </c>
    </row>
    <row r="65" spans="1:6">
      <c r="A65" t="s">
        <v>145</v>
      </c>
    </row>
    <row r="66" spans="1:6">
      <c r="A66" t="s">
        <v>146</v>
      </c>
    </row>
    <row r="67" spans="1:6">
      <c r="A67" t="s">
        <v>147</v>
      </c>
    </row>
    <row r="69" spans="1:6">
      <c r="A69" t="s">
        <v>148</v>
      </c>
    </row>
    <row r="70" spans="1:6">
      <c r="B70" s="2">
        <v>3</v>
      </c>
      <c r="C70" s="2">
        <v>2</v>
      </c>
      <c r="D70" s="2">
        <v>1</v>
      </c>
    </row>
    <row r="71" spans="1:6">
      <c r="A71" t="s">
        <v>149</v>
      </c>
      <c r="B71" s="2">
        <v>0</v>
      </c>
      <c r="C71" s="2">
        <v>5</v>
      </c>
      <c r="D71" s="2">
        <v>0</v>
      </c>
      <c r="F71" t="s">
        <v>150</v>
      </c>
    </row>
    <row r="72" spans="1:6">
      <c r="B72" s="2">
        <v>0</v>
      </c>
      <c r="C72" s="2">
        <v>4</v>
      </c>
      <c r="D72" s="2">
        <v>2</v>
      </c>
      <c r="F72" t="s">
        <v>151</v>
      </c>
    </row>
    <row r="73" spans="1:6">
      <c r="F73" t="s">
        <v>152</v>
      </c>
    </row>
    <row r="1048576" spans="7:7">
      <c r="G1048576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5"/>
  <sheetViews>
    <sheetView zoomScale="85" zoomScaleNormal="85" workbookViewId="0">
      <selection activeCell="F12" sqref="F12"/>
    </sheetView>
  </sheetViews>
  <sheetFormatPr defaultRowHeight="14.4"/>
  <cols>
    <col min="1" max="1" width="18.77734375" bestFit="1" customWidth="1"/>
    <col min="3" max="3" width="7.44140625" customWidth="1"/>
  </cols>
  <sheetData>
    <row r="1" spans="1:7">
      <c r="A1" t="s">
        <v>0</v>
      </c>
    </row>
    <row r="2" spans="1:7">
      <c r="A2" t="s">
        <v>14</v>
      </c>
    </row>
    <row r="3" spans="1:7">
      <c r="A3" t="s">
        <v>1</v>
      </c>
    </row>
    <row r="4" spans="1:7" ht="24" customHeight="1">
      <c r="C4" t="s">
        <v>2</v>
      </c>
    </row>
    <row r="5" spans="1:7" ht="28.8" customHeight="1">
      <c r="C5" s="1">
        <v>1500</v>
      </c>
      <c r="D5" s="1">
        <v>1250</v>
      </c>
    </row>
    <row r="6" spans="1:7" ht="25.8" customHeight="1">
      <c r="C6" t="s">
        <v>4</v>
      </c>
      <c r="E6" s="4" t="s">
        <v>3</v>
      </c>
    </row>
    <row r="7" spans="1:7" ht="23.4" customHeight="1">
      <c r="C7" s="2">
        <v>30</v>
      </c>
      <c r="D7" s="2">
        <v>40</v>
      </c>
      <c r="E7" s="3">
        <f>SUMPRODUCT(C7:D7,C5:D5)</f>
        <v>95000</v>
      </c>
    </row>
    <row r="8" spans="1:7" ht="28.8" customHeight="1">
      <c r="C8" t="s">
        <v>5</v>
      </c>
    </row>
    <row r="9" spans="1:7" ht="21.6" customHeight="1">
      <c r="C9" s="5">
        <v>1</v>
      </c>
      <c r="D9" s="5">
        <v>2</v>
      </c>
      <c r="E9" s="6">
        <f>SUMPRODUCT(C9:D9,$C$5:$D$5)</f>
        <v>4000</v>
      </c>
      <c r="F9" s="7" t="s">
        <v>6</v>
      </c>
      <c r="G9" s="5">
        <v>4000</v>
      </c>
    </row>
    <row r="10" spans="1:7" ht="21.6" customHeight="1">
      <c r="C10" s="5">
        <v>1</v>
      </c>
      <c r="D10" s="5">
        <v>0</v>
      </c>
      <c r="E10" s="6">
        <f t="shared" ref="E10:E15" si="0">SUMPRODUCT(C10:D10,$C$5:$D$5)</f>
        <v>1500</v>
      </c>
      <c r="F10" s="7" t="s">
        <v>6</v>
      </c>
      <c r="G10" s="5">
        <v>2250</v>
      </c>
    </row>
    <row r="11" spans="1:7" ht="30.6" customHeight="1">
      <c r="C11" s="5">
        <v>0</v>
      </c>
      <c r="D11" s="5">
        <v>1</v>
      </c>
      <c r="E11" s="6">
        <f>SUMPRODUCT(C11:D11,$C$5:$D$5)</f>
        <v>1250</v>
      </c>
      <c r="F11" s="7" t="s">
        <v>6</v>
      </c>
      <c r="G11" s="5">
        <v>1750</v>
      </c>
    </row>
    <row r="12" spans="1:7" ht="32.4" customHeight="1">
      <c r="C12" s="5">
        <v>1</v>
      </c>
      <c r="D12" s="5">
        <v>0</v>
      </c>
      <c r="E12" s="6">
        <f t="shared" si="0"/>
        <v>1500</v>
      </c>
      <c r="F12" s="5" t="s">
        <v>7</v>
      </c>
      <c r="G12" s="5">
        <v>600</v>
      </c>
    </row>
    <row r="13" spans="1:7">
      <c r="C13" s="5">
        <v>1</v>
      </c>
      <c r="D13" s="5">
        <v>1</v>
      </c>
      <c r="E13" s="6">
        <f t="shared" si="0"/>
        <v>2750</v>
      </c>
      <c r="F13" s="7" t="s">
        <v>7</v>
      </c>
      <c r="G13" s="5">
        <v>1500</v>
      </c>
    </row>
    <row r="14" spans="1:7">
      <c r="C14" s="5">
        <v>2</v>
      </c>
      <c r="D14" s="5">
        <v>5</v>
      </c>
      <c r="E14" s="6">
        <f t="shared" si="0"/>
        <v>9250</v>
      </c>
      <c r="F14" s="7" t="s">
        <v>6</v>
      </c>
      <c r="G14" s="5">
        <v>10000</v>
      </c>
    </row>
    <row r="15" spans="1:7">
      <c r="C15" s="5">
        <v>5</v>
      </c>
      <c r="D15" s="5">
        <v>2</v>
      </c>
      <c r="E15" s="6">
        <f t="shared" si="0"/>
        <v>10000</v>
      </c>
      <c r="F15" s="7" t="s">
        <v>6</v>
      </c>
      <c r="G15" s="5">
        <v>10000</v>
      </c>
    </row>
    <row r="17" spans="1:8">
      <c r="A17" s="8" t="s">
        <v>8</v>
      </c>
    </row>
    <row r="20" spans="1:8">
      <c r="A20" t="s">
        <v>9</v>
      </c>
    </row>
    <row r="21" spans="1:8">
      <c r="D21" t="s">
        <v>2</v>
      </c>
    </row>
    <row r="22" spans="1:8">
      <c r="D22" s="1">
        <v>2</v>
      </c>
      <c r="E22" s="1">
        <v>5</v>
      </c>
    </row>
    <row r="23" spans="1:8">
      <c r="D23" t="s">
        <v>4</v>
      </c>
      <c r="F23" s="4" t="s">
        <v>3</v>
      </c>
    </row>
    <row r="24" spans="1:8">
      <c r="D24" s="2">
        <v>1</v>
      </c>
      <c r="E24" s="2">
        <v>3</v>
      </c>
      <c r="F24" s="3">
        <f>SUMPRODUCT(D24:E24,D22:E22)</f>
        <v>17</v>
      </c>
    </row>
    <row r="25" spans="1:8">
      <c r="D25" t="s">
        <v>5</v>
      </c>
    </row>
    <row r="26" spans="1:8">
      <c r="D26" s="5">
        <v>-1</v>
      </c>
      <c r="E26" s="5">
        <v>1</v>
      </c>
      <c r="F26" s="6">
        <f>SUMPRODUCT(D26:E26,$D$22:$E$22)</f>
        <v>3</v>
      </c>
      <c r="G26" s="7" t="s">
        <v>6</v>
      </c>
      <c r="H26" s="5">
        <v>3</v>
      </c>
    </row>
    <row r="27" spans="1:8">
      <c r="D27" s="5">
        <v>1</v>
      </c>
      <c r="E27" s="5">
        <v>1</v>
      </c>
      <c r="F27" s="6">
        <f>SUMPRODUCT(D27:E27,$D$22:$E$22)</f>
        <v>7</v>
      </c>
      <c r="G27" s="7" t="s">
        <v>6</v>
      </c>
      <c r="H27" s="5">
        <v>7</v>
      </c>
    </row>
    <row r="28" spans="1:8">
      <c r="D28" s="5">
        <v>3</v>
      </c>
      <c r="E28" s="5">
        <v>1</v>
      </c>
      <c r="F28" s="6">
        <f>SUMPRODUCT(D28:E28,$D$22:$E$22)</f>
        <v>11</v>
      </c>
      <c r="G28" s="7" t="s">
        <v>6</v>
      </c>
      <c r="H28" s="5">
        <v>15</v>
      </c>
    </row>
    <row r="34" spans="1:2">
      <c r="A34" s="8" t="s">
        <v>11</v>
      </c>
    </row>
    <row r="37" spans="1:2">
      <c r="B37" t="s">
        <v>12</v>
      </c>
    </row>
    <row r="108" spans="2:5">
      <c r="B108" s="8" t="s">
        <v>13</v>
      </c>
    </row>
    <row r="111" spans="2:5">
      <c r="B111" t="s">
        <v>10</v>
      </c>
    </row>
    <row r="112" spans="2:5">
      <c r="E112" t="s">
        <v>2</v>
      </c>
    </row>
    <row r="113" spans="2:9">
      <c r="E113" s="1">
        <v>0.375</v>
      </c>
      <c r="F113" s="1">
        <v>0.75</v>
      </c>
    </row>
    <row r="114" spans="2:9">
      <c r="E114" t="s">
        <v>4</v>
      </c>
      <c r="G114" s="4" t="s">
        <v>3</v>
      </c>
    </row>
    <row r="115" spans="2:9">
      <c r="E115" s="2">
        <v>2</v>
      </c>
      <c r="F115" s="2">
        <v>5</v>
      </c>
      <c r="G115" s="3">
        <f>SUMPRODUCT(E115:F115,E113:F113)</f>
        <v>4.5</v>
      </c>
    </row>
    <row r="116" spans="2:9">
      <c r="E116" t="s">
        <v>5</v>
      </c>
    </row>
    <row r="117" spans="2:9">
      <c r="E117" s="5">
        <v>2</v>
      </c>
      <c r="F117" s="5">
        <v>-1</v>
      </c>
      <c r="G117" s="6">
        <f>SUMPRODUCT(E117:F117,$E$113:$F$113)</f>
        <v>0</v>
      </c>
      <c r="H117" s="7" t="s">
        <v>7</v>
      </c>
      <c r="I117" s="5">
        <v>0</v>
      </c>
    </row>
    <row r="118" spans="2:9">
      <c r="E118" s="5">
        <v>2</v>
      </c>
      <c r="F118" s="5">
        <v>1</v>
      </c>
      <c r="G118" s="6">
        <f>SUMPRODUCT(E118:F118,$E$113:$F$113)</f>
        <v>1.5</v>
      </c>
      <c r="H118" s="7" t="s">
        <v>6</v>
      </c>
      <c r="I118" s="5">
        <v>16</v>
      </c>
    </row>
    <row r="119" spans="2:9">
      <c r="E119" s="5">
        <v>-2</v>
      </c>
      <c r="F119" s="5">
        <v>5</v>
      </c>
      <c r="G119" s="6">
        <f>SUMPRODUCT(E119:F119,$E$113:$F$113)</f>
        <v>3</v>
      </c>
      <c r="H119" s="7" t="s">
        <v>7</v>
      </c>
      <c r="I119" s="5">
        <v>3</v>
      </c>
    </row>
    <row r="120" spans="2:9">
      <c r="E120" s="5">
        <v>-1</v>
      </c>
      <c r="F120" s="5">
        <v>2</v>
      </c>
      <c r="G120" s="6">
        <f>SUMPRODUCT(E120:F120,$E$113:$F$113)</f>
        <v>1.125</v>
      </c>
      <c r="H120" s="7" t="s">
        <v>6</v>
      </c>
      <c r="I120" s="5">
        <v>2</v>
      </c>
    </row>
    <row r="125" spans="2:9">
      <c r="B125" s="8" t="s">
        <v>13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F20C6-303B-4160-8AC4-5D5C07AB7742}">
  <dimension ref="A1:K40"/>
  <sheetViews>
    <sheetView topLeftCell="A59" zoomScaleNormal="100" workbookViewId="0">
      <selection activeCell="G34" sqref="G34"/>
    </sheetView>
  </sheetViews>
  <sheetFormatPr defaultRowHeight="14.4"/>
  <cols>
    <col min="1" max="1" width="18.21875" bestFit="1" customWidth="1"/>
  </cols>
  <sheetData>
    <row r="1" spans="1:11">
      <c r="A1" t="s">
        <v>0</v>
      </c>
    </row>
    <row r="2" spans="1:11">
      <c r="A2" t="s">
        <v>15</v>
      </c>
    </row>
    <row r="3" spans="1:11">
      <c r="A3" t="s">
        <v>1</v>
      </c>
    </row>
    <row r="4" spans="1:11">
      <c r="G4" t="s">
        <v>2</v>
      </c>
    </row>
    <row r="5" spans="1:11">
      <c r="G5" s="1">
        <v>1.9999999999999996</v>
      </c>
      <c r="H5" s="1">
        <v>3</v>
      </c>
    </row>
    <row r="6" spans="1:11">
      <c r="G6" t="s">
        <v>4</v>
      </c>
      <c r="I6" s="4" t="s">
        <v>3</v>
      </c>
    </row>
    <row r="7" spans="1:11">
      <c r="G7" s="2">
        <v>6</v>
      </c>
      <c r="H7" s="2">
        <v>30</v>
      </c>
      <c r="I7" s="3">
        <f>SUMPRODUCT(G7:H7,G5:H5)</f>
        <v>102</v>
      </c>
    </row>
    <row r="8" spans="1:11">
      <c r="G8" t="s">
        <v>5</v>
      </c>
    </row>
    <row r="9" spans="1:11">
      <c r="G9" s="5">
        <v>-2</v>
      </c>
      <c r="H9" s="5">
        <v>-1</v>
      </c>
      <c r="I9" s="6">
        <f>SUMPRODUCT(G9:H9,$G$5:$H$5)</f>
        <v>-6.9999999999999991</v>
      </c>
      <c r="J9" s="7" t="s">
        <v>6</v>
      </c>
      <c r="K9" s="5">
        <v>-2</v>
      </c>
    </row>
    <row r="10" spans="1:11">
      <c r="G10" s="5">
        <v>-1</v>
      </c>
      <c r="H10" s="5">
        <v>2</v>
      </c>
      <c r="I10" s="6">
        <f>SUMPRODUCT(G10:H10,$G$5:$H$5)</f>
        <v>4</v>
      </c>
      <c r="J10" s="7" t="s">
        <v>6</v>
      </c>
      <c r="K10" s="5">
        <v>4</v>
      </c>
    </row>
    <row r="11" spans="1:11">
      <c r="G11" s="5">
        <v>1</v>
      </c>
      <c r="H11" s="5">
        <v>4</v>
      </c>
      <c r="I11" s="6">
        <f>SUMPRODUCT(G11:H11,$G$5:$H$5)</f>
        <v>14</v>
      </c>
      <c r="J11" s="7" t="s">
        <v>6</v>
      </c>
      <c r="K11" s="5">
        <v>14</v>
      </c>
    </row>
    <row r="12" spans="1:11">
      <c r="G12" s="5">
        <v>2</v>
      </c>
      <c r="H12" s="5">
        <v>-5</v>
      </c>
      <c r="I12" s="6">
        <f>SUMPRODUCT(G12:H12,$G$5:$H$5)</f>
        <v>-11</v>
      </c>
      <c r="J12" s="7" t="s">
        <v>6</v>
      </c>
      <c r="K12" s="5">
        <v>2</v>
      </c>
    </row>
    <row r="15" spans="1:11">
      <c r="A15" t="s">
        <v>31</v>
      </c>
      <c r="D15" t="s">
        <v>2</v>
      </c>
    </row>
    <row r="16" spans="1:11">
      <c r="D16" s="1">
        <v>0</v>
      </c>
      <c r="E16" s="1">
        <v>2</v>
      </c>
      <c r="F16" s="1">
        <v>7</v>
      </c>
    </row>
    <row r="18" spans="4:9">
      <c r="D18" t="s">
        <v>4</v>
      </c>
    </row>
    <row r="19" spans="4:9">
      <c r="D19" s="2">
        <v>3</v>
      </c>
      <c r="E19" s="2">
        <v>4</v>
      </c>
      <c r="F19" s="2">
        <v>2</v>
      </c>
      <c r="G19" s="3">
        <f>SUMPRODUCT(D19:F19,D16:F16)</f>
        <v>22</v>
      </c>
    </row>
    <row r="21" spans="4:9">
      <c r="D21" t="s">
        <v>5</v>
      </c>
    </row>
    <row r="22" spans="4:9">
      <c r="D22" s="2">
        <v>3</v>
      </c>
      <c r="E22" s="2">
        <v>5</v>
      </c>
      <c r="F22" s="2">
        <v>-2</v>
      </c>
      <c r="G22" s="6">
        <f>SUMPRODUCT(D22:F22,$D$16:$F$16)</f>
        <v>-4</v>
      </c>
      <c r="H22" s="21" t="s">
        <v>7</v>
      </c>
      <c r="I22" s="2">
        <v>-4</v>
      </c>
    </row>
    <row r="23" spans="4:9">
      <c r="D23" s="2">
        <v>-2</v>
      </c>
      <c r="E23" s="2">
        <v>-3</v>
      </c>
      <c r="F23" s="2">
        <v>1</v>
      </c>
      <c r="G23" s="6">
        <f>SUMPRODUCT(D23:F23,$D$16:$F$16)</f>
        <v>1</v>
      </c>
      <c r="H23" s="21" t="s">
        <v>7</v>
      </c>
      <c r="I23" s="2">
        <v>3</v>
      </c>
    </row>
    <row r="24" spans="4:9">
      <c r="D24" s="2">
        <v>3</v>
      </c>
      <c r="E24" s="2">
        <v>6</v>
      </c>
      <c r="F24" s="2">
        <v>-1</v>
      </c>
      <c r="G24" s="6">
        <f>SUMPRODUCT(D24:F24,$D$16:$F$16)</f>
        <v>5</v>
      </c>
      <c r="H24" s="21" t="s">
        <v>7</v>
      </c>
      <c r="I24" s="2">
        <v>5</v>
      </c>
    </row>
    <row r="27" spans="4:9">
      <c r="D27" t="s">
        <v>2</v>
      </c>
    </row>
    <row r="28" spans="4:9">
      <c r="D28" s="1">
        <v>-1</v>
      </c>
      <c r="E28" s="1">
        <v>0</v>
      </c>
      <c r="F28" s="1">
        <v>0</v>
      </c>
    </row>
    <row r="30" spans="4:9">
      <c r="D30" t="s">
        <v>4</v>
      </c>
    </row>
    <row r="31" spans="4:9">
      <c r="D31" s="2">
        <v>-4</v>
      </c>
      <c r="E31" s="2">
        <v>3</v>
      </c>
      <c r="F31" s="2">
        <v>5</v>
      </c>
      <c r="G31" s="3">
        <f>SUMPRODUCT(D31:F31,D28:F28)</f>
        <v>4</v>
      </c>
    </row>
    <row r="33" spans="1:9">
      <c r="D33" t="s">
        <v>5</v>
      </c>
    </row>
    <row r="34" spans="1:9">
      <c r="D34" s="2">
        <v>3</v>
      </c>
      <c r="E34" s="2">
        <v>-2</v>
      </c>
      <c r="F34" s="2">
        <v>3</v>
      </c>
      <c r="G34" s="6">
        <f>SUMPRODUCT(D34:F34,$D$28:$F$28)</f>
        <v>-3</v>
      </c>
      <c r="H34" s="21" t="s">
        <v>6</v>
      </c>
      <c r="I34" s="2">
        <v>3</v>
      </c>
    </row>
    <row r="35" spans="1:9">
      <c r="D35" s="2">
        <v>5</v>
      </c>
      <c r="E35" s="2">
        <v>-3</v>
      </c>
      <c r="F35" s="2">
        <v>6</v>
      </c>
      <c r="G35" s="6">
        <f>SUMPRODUCT(D35:F35,$D$28:$F$28)</f>
        <v>-5</v>
      </c>
      <c r="H35" s="21" t="s">
        <v>6</v>
      </c>
      <c r="I35" s="2">
        <v>4</v>
      </c>
    </row>
    <row r="36" spans="1:9">
      <c r="D36" s="2">
        <v>-2</v>
      </c>
      <c r="E36" s="2">
        <v>1</v>
      </c>
      <c r="F36" s="2">
        <v>-1</v>
      </c>
      <c r="G36" s="6">
        <f>SUMPRODUCT(D36:F36,$D$28:$F$28)</f>
        <v>2</v>
      </c>
      <c r="H36" s="21" t="s">
        <v>6</v>
      </c>
      <c r="I36" s="2">
        <v>2</v>
      </c>
    </row>
    <row r="38" spans="1:9">
      <c r="A38" t="s">
        <v>32</v>
      </c>
    </row>
    <row r="40" spans="1:9">
      <c r="A40" t="s">
        <v>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1C22-9A96-45C3-90B8-3AB515A57742}">
  <dimension ref="A1:N120"/>
  <sheetViews>
    <sheetView topLeftCell="A79" workbookViewId="0">
      <selection activeCell="B90" sqref="B90:N106"/>
    </sheetView>
  </sheetViews>
  <sheetFormatPr defaultRowHeight="14.4"/>
  <sheetData>
    <row r="1" spans="1:14">
      <c r="A1" t="s">
        <v>16</v>
      </c>
    </row>
    <row r="2" spans="1:14">
      <c r="A2" t="s">
        <v>14</v>
      </c>
    </row>
    <row r="3" spans="1:14">
      <c r="A3" t="s">
        <v>1</v>
      </c>
    </row>
    <row r="4" spans="1:14">
      <c r="A4" t="s">
        <v>26</v>
      </c>
    </row>
    <row r="5" spans="1:14">
      <c r="B5" t="s">
        <v>17</v>
      </c>
      <c r="D5" t="s">
        <v>18</v>
      </c>
      <c r="F5" t="s">
        <v>19</v>
      </c>
      <c r="H5" t="s">
        <v>20</v>
      </c>
      <c r="J5" t="s">
        <v>21</v>
      </c>
      <c r="M5" t="s">
        <v>54</v>
      </c>
    </row>
    <row r="6" spans="1:14">
      <c r="A6" t="s">
        <v>22</v>
      </c>
      <c r="B6" s="17"/>
      <c r="C6" s="18">
        <f>B25</f>
        <v>13</v>
      </c>
      <c r="D6" s="17"/>
      <c r="E6" s="18">
        <f>C25</f>
        <v>7</v>
      </c>
      <c r="F6" s="11"/>
      <c r="G6" s="12">
        <f>D25</f>
        <v>14</v>
      </c>
      <c r="H6" s="11"/>
      <c r="I6" s="12">
        <f>E25</f>
        <v>7</v>
      </c>
      <c r="J6" s="11"/>
      <c r="K6" s="12">
        <f>F25</f>
        <v>5</v>
      </c>
    </row>
    <row r="7" spans="1:14">
      <c r="B7" s="19">
        <f>B19</f>
        <v>18</v>
      </c>
      <c r="C7" s="20"/>
      <c r="D7" s="19">
        <f>C19</f>
        <v>12</v>
      </c>
      <c r="E7" s="20"/>
      <c r="F7" s="13">
        <f>D19</f>
        <v>0</v>
      </c>
      <c r="G7" s="14"/>
      <c r="H7" s="13">
        <f>E19</f>
        <v>0</v>
      </c>
      <c r="I7" s="14"/>
      <c r="J7" s="13">
        <f>F19</f>
        <v>0</v>
      </c>
      <c r="K7" s="14"/>
      <c r="M7">
        <f>N7-SUM(B7:K7)</f>
        <v>0</v>
      </c>
      <c r="N7">
        <v>30</v>
      </c>
    </row>
    <row r="8" spans="1:14">
      <c r="A8" t="s">
        <v>23</v>
      </c>
      <c r="B8" s="11"/>
      <c r="C8" s="12">
        <f>B26</f>
        <v>11</v>
      </c>
      <c r="D8" s="17"/>
      <c r="E8" s="18">
        <f>C26</f>
        <v>8</v>
      </c>
      <c r="F8" s="17"/>
      <c r="G8" s="18">
        <f>D26</f>
        <v>12</v>
      </c>
      <c r="H8" s="11"/>
      <c r="I8" s="12">
        <f>E26</f>
        <v>6</v>
      </c>
      <c r="J8" s="11"/>
      <c r="K8" s="12">
        <f>F26</f>
        <v>8</v>
      </c>
    </row>
    <row r="9" spans="1:14">
      <c r="B9" s="13">
        <f>B20</f>
        <v>0</v>
      </c>
      <c r="C9" s="14"/>
      <c r="D9" s="19">
        <f>C20</f>
        <v>15</v>
      </c>
      <c r="E9" s="20"/>
      <c r="F9" s="19">
        <f>D20</f>
        <v>33</v>
      </c>
      <c r="G9" s="20"/>
      <c r="H9" s="13">
        <f>E20</f>
        <v>0</v>
      </c>
      <c r="I9" s="14"/>
      <c r="J9" s="13">
        <f>F20</f>
        <v>0</v>
      </c>
      <c r="K9" s="14"/>
      <c r="M9">
        <f>N9-SUM(B9:K9)</f>
        <v>0</v>
      </c>
      <c r="N9">
        <v>48</v>
      </c>
    </row>
    <row r="10" spans="1:14">
      <c r="A10" t="s">
        <v>24</v>
      </c>
      <c r="B10" s="11"/>
      <c r="C10" s="12">
        <f>B27</f>
        <v>6</v>
      </c>
      <c r="D10" s="11"/>
      <c r="E10" s="12">
        <f>C27</f>
        <v>10</v>
      </c>
      <c r="F10" s="17"/>
      <c r="G10" s="18">
        <f>D27</f>
        <v>10</v>
      </c>
      <c r="H10" s="17"/>
      <c r="I10" s="18">
        <f>E27</f>
        <v>8</v>
      </c>
      <c r="J10" s="11"/>
      <c r="K10" s="12">
        <f>F27</f>
        <v>11</v>
      </c>
    </row>
    <row r="11" spans="1:14">
      <c r="B11" s="13">
        <f>B21</f>
        <v>0</v>
      </c>
      <c r="C11" s="14"/>
      <c r="D11" s="13">
        <f>C21</f>
        <v>0</v>
      </c>
      <c r="E11" s="14"/>
      <c r="F11" s="19">
        <f>D21</f>
        <v>9</v>
      </c>
      <c r="G11" s="20"/>
      <c r="H11" s="19">
        <f>E21</f>
        <v>11</v>
      </c>
      <c r="I11" s="20"/>
      <c r="J11" s="13">
        <f>F21</f>
        <v>0</v>
      </c>
      <c r="K11" s="14"/>
      <c r="M11">
        <f>N11-SUM(B11:K11)</f>
        <v>0</v>
      </c>
      <c r="N11">
        <v>20</v>
      </c>
    </row>
    <row r="12" spans="1:14">
      <c r="A12" t="s">
        <v>25</v>
      </c>
      <c r="B12" s="11"/>
      <c r="C12" s="12">
        <f>B28</f>
        <v>14</v>
      </c>
      <c r="D12" s="11"/>
      <c r="E12" s="12">
        <f>C28</f>
        <v>8</v>
      </c>
      <c r="F12" s="11"/>
      <c r="G12" s="12">
        <f>D28</f>
        <v>10</v>
      </c>
      <c r="H12" s="17"/>
      <c r="I12" s="18">
        <f>E28</f>
        <v>10</v>
      </c>
      <c r="J12" s="17"/>
      <c r="K12" s="18">
        <f>F28</f>
        <v>15</v>
      </c>
    </row>
    <row r="13" spans="1:14">
      <c r="B13" s="13">
        <f>B22</f>
        <v>0</v>
      </c>
      <c r="C13" s="14"/>
      <c r="D13" s="13">
        <f>C22</f>
        <v>0</v>
      </c>
      <c r="E13" s="14"/>
      <c r="F13" s="13">
        <f>D22</f>
        <v>0</v>
      </c>
      <c r="G13" s="14"/>
      <c r="H13" s="19">
        <f>E22</f>
        <v>15</v>
      </c>
      <c r="I13" s="20"/>
      <c r="J13" s="19">
        <f>F22</f>
        <v>15</v>
      </c>
      <c r="K13" s="20"/>
      <c r="M13">
        <f>N13-SUM(B13:K13)</f>
        <v>0</v>
      </c>
      <c r="N13">
        <v>30</v>
      </c>
    </row>
    <row r="14" spans="1:14">
      <c r="M14">
        <f>SUM(M7:M13)</f>
        <v>0</v>
      </c>
    </row>
    <row r="15" spans="1:14">
      <c r="B15">
        <f>SUM(B6:B13)-B16</f>
        <v>0</v>
      </c>
      <c r="D15">
        <f t="shared" ref="D15:F15" si="0">SUM(D6:D13)-D16</f>
        <v>0</v>
      </c>
      <c r="F15">
        <f t="shared" si="0"/>
        <v>0</v>
      </c>
      <c r="H15">
        <f>SUM(H6:H13)-H16</f>
        <v>0</v>
      </c>
      <c r="J15">
        <f>SUM(J6:J13)-J16</f>
        <v>0</v>
      </c>
      <c r="L15">
        <f>SUM(B15:J15)</f>
        <v>0</v>
      </c>
      <c r="M15" s="15">
        <f>B7*C6+D9*E8+F11*G10+H13*I12+D7*E6+F9*G8+H11*I10+J13*K12</f>
        <v>1387</v>
      </c>
      <c r="N15" s="15">
        <f>SUMPRODUCT(B19:F22,B25:F28)</f>
        <v>1387</v>
      </c>
    </row>
    <row r="16" spans="1:14">
      <c r="B16">
        <v>18</v>
      </c>
      <c r="D16">
        <v>27</v>
      </c>
      <c r="F16">
        <v>42</v>
      </c>
      <c r="H16">
        <v>26</v>
      </c>
      <c r="J16">
        <v>15</v>
      </c>
      <c r="M16" s="16">
        <f>SUM(B16:J16)</f>
        <v>128</v>
      </c>
      <c r="N16" s="16">
        <f>SUM(N7:N13)</f>
        <v>128</v>
      </c>
    </row>
    <row r="19" spans="1:6">
      <c r="B19" s="1">
        <v>18</v>
      </c>
      <c r="C19" s="1">
        <v>12</v>
      </c>
      <c r="D19" s="1">
        <v>0</v>
      </c>
      <c r="E19" s="1">
        <v>0</v>
      </c>
      <c r="F19" s="1">
        <v>0</v>
      </c>
    </row>
    <row r="20" spans="1:6">
      <c r="B20" s="1">
        <v>0</v>
      </c>
      <c r="C20" s="1">
        <v>15</v>
      </c>
      <c r="D20" s="1">
        <v>33</v>
      </c>
      <c r="E20" s="1">
        <v>0</v>
      </c>
      <c r="F20" s="1">
        <v>0</v>
      </c>
    </row>
    <row r="21" spans="1:6">
      <c r="A21" t="s">
        <v>29</v>
      </c>
      <c r="B21" s="1">
        <v>0</v>
      </c>
      <c r="C21" s="1">
        <v>0</v>
      </c>
      <c r="D21" s="1">
        <v>9</v>
      </c>
      <c r="E21" s="1">
        <v>11</v>
      </c>
      <c r="F21" s="1">
        <v>0</v>
      </c>
    </row>
    <row r="22" spans="1:6">
      <c r="B22" s="1">
        <v>0</v>
      </c>
      <c r="C22" s="1">
        <v>0</v>
      </c>
      <c r="D22" s="1">
        <v>0</v>
      </c>
      <c r="E22" s="1">
        <v>15</v>
      </c>
      <c r="F22" s="1">
        <v>15</v>
      </c>
    </row>
    <row r="25" spans="1:6">
      <c r="B25" s="2">
        <v>13</v>
      </c>
      <c r="C25" s="2">
        <v>7</v>
      </c>
      <c r="D25" s="2">
        <v>14</v>
      </c>
      <c r="E25" s="2">
        <v>7</v>
      </c>
      <c r="F25" s="2">
        <v>5</v>
      </c>
    </row>
    <row r="26" spans="1:6">
      <c r="B26" s="2">
        <v>11</v>
      </c>
      <c r="C26" s="2">
        <v>8</v>
      </c>
      <c r="D26" s="2">
        <v>12</v>
      </c>
      <c r="E26" s="2">
        <v>6</v>
      </c>
      <c r="F26" s="2">
        <v>8</v>
      </c>
    </row>
    <row r="27" spans="1:6">
      <c r="A27" t="s">
        <v>28</v>
      </c>
      <c r="B27" s="2">
        <v>6</v>
      </c>
      <c r="C27" s="2">
        <v>10</v>
      </c>
      <c r="D27" s="2">
        <v>10</v>
      </c>
      <c r="E27" s="2">
        <v>8</v>
      </c>
      <c r="F27" s="2">
        <v>11</v>
      </c>
    </row>
    <row r="28" spans="1:6">
      <c r="B28" s="2">
        <v>14</v>
      </c>
      <c r="C28" s="2">
        <v>8</v>
      </c>
      <c r="D28" s="2">
        <v>10</v>
      </c>
      <c r="E28" s="2">
        <v>10</v>
      </c>
      <c r="F28" s="2">
        <v>15</v>
      </c>
    </row>
    <row r="31" spans="1:6">
      <c r="A31" t="s">
        <v>9</v>
      </c>
    </row>
    <row r="33" spans="1:12">
      <c r="B33" t="s">
        <v>17</v>
      </c>
      <c r="D33" t="s">
        <v>18</v>
      </c>
      <c r="F33" t="s">
        <v>19</v>
      </c>
      <c r="H33" t="s">
        <v>20</v>
      </c>
      <c r="K33" t="s">
        <v>27</v>
      </c>
    </row>
    <row r="34" spans="1:12">
      <c r="A34" t="s">
        <v>22</v>
      </c>
      <c r="B34" s="17"/>
      <c r="C34" s="18">
        <v>14</v>
      </c>
      <c r="D34" s="17"/>
      <c r="E34" s="18">
        <v>12</v>
      </c>
      <c r="F34" s="11"/>
      <c r="G34" s="12">
        <v>12</v>
      </c>
      <c r="H34" s="11"/>
      <c r="I34" s="12">
        <v>16</v>
      </c>
    </row>
    <row r="35" spans="1:12">
      <c r="B35" s="19">
        <v>25</v>
      </c>
      <c r="C35" s="20"/>
      <c r="D35" s="19">
        <v>30</v>
      </c>
      <c r="E35" s="20"/>
      <c r="F35" s="13">
        <v>0</v>
      </c>
      <c r="G35" s="14"/>
      <c r="H35" s="13">
        <v>0</v>
      </c>
      <c r="I35" s="14"/>
      <c r="K35">
        <f>L35-SUM(B35:H35)</f>
        <v>0</v>
      </c>
      <c r="L35">
        <v>55</v>
      </c>
    </row>
    <row r="36" spans="1:12">
      <c r="A36" t="s">
        <v>23</v>
      </c>
      <c r="B36" s="11"/>
      <c r="C36" s="12">
        <v>15</v>
      </c>
      <c r="D36" s="11"/>
      <c r="E36" s="12">
        <v>13</v>
      </c>
      <c r="F36" s="17"/>
      <c r="G36" s="18">
        <v>14</v>
      </c>
      <c r="H36" s="11"/>
      <c r="I36" s="12">
        <v>17</v>
      </c>
    </row>
    <row r="37" spans="1:12">
      <c r="B37" s="13">
        <v>0</v>
      </c>
      <c r="C37" s="14"/>
      <c r="D37" s="13">
        <v>0</v>
      </c>
      <c r="E37" s="14"/>
      <c r="F37" s="19">
        <v>30</v>
      </c>
      <c r="G37" s="20"/>
      <c r="H37" s="13">
        <v>0</v>
      </c>
      <c r="I37" s="14"/>
      <c r="K37">
        <f>L37-SUM(B37:I37)</f>
        <v>0</v>
      </c>
      <c r="L37">
        <v>30</v>
      </c>
    </row>
    <row r="38" spans="1:12">
      <c r="A38" t="s">
        <v>24</v>
      </c>
      <c r="B38" s="11"/>
      <c r="C38" s="12">
        <v>19</v>
      </c>
      <c r="D38" s="11"/>
      <c r="E38" s="12">
        <v>20</v>
      </c>
      <c r="F38" s="17"/>
      <c r="G38" s="18">
        <v>16</v>
      </c>
      <c r="H38" s="17"/>
      <c r="I38" s="18">
        <v>18</v>
      </c>
    </row>
    <row r="39" spans="1:12">
      <c r="B39" s="13">
        <v>0</v>
      </c>
      <c r="C39" s="14"/>
      <c r="D39" s="13">
        <v>0</v>
      </c>
      <c r="E39" s="14"/>
      <c r="F39" s="19">
        <v>10</v>
      </c>
      <c r="G39" s="20"/>
      <c r="H39" s="19">
        <v>5</v>
      </c>
      <c r="I39" s="20"/>
      <c r="K39">
        <f>L39-SUM(B39:H39)</f>
        <v>0</v>
      </c>
      <c r="L39">
        <v>15</v>
      </c>
    </row>
    <row r="40" spans="1:12">
      <c r="A40" t="s">
        <v>25</v>
      </c>
      <c r="B40" s="11"/>
      <c r="C40" s="12">
        <v>14</v>
      </c>
      <c r="D40" s="11"/>
      <c r="E40" s="12">
        <v>16</v>
      </c>
      <c r="F40" s="11"/>
      <c r="G40" s="12">
        <v>21</v>
      </c>
      <c r="H40" s="17"/>
      <c r="I40" s="18">
        <v>16</v>
      </c>
    </row>
    <row r="41" spans="1:12">
      <c r="B41" s="13">
        <v>0</v>
      </c>
      <c r="C41" s="14"/>
      <c r="D41" s="13">
        <v>0</v>
      </c>
      <c r="E41" s="14"/>
      <c r="F41" s="13">
        <v>0</v>
      </c>
      <c r="G41" s="14"/>
      <c r="H41" s="19">
        <v>30</v>
      </c>
      <c r="I41" s="20"/>
      <c r="K41">
        <f>L41-SUM(B41:H41)</f>
        <v>0</v>
      </c>
      <c r="L41">
        <v>30</v>
      </c>
    </row>
    <row r="42" spans="1:12">
      <c r="K42">
        <f>SUM(K35:K41)</f>
        <v>0</v>
      </c>
    </row>
    <row r="43" spans="1:12">
      <c r="B43">
        <f>SUM(B34:B41)-B44</f>
        <v>0</v>
      </c>
      <c r="D43">
        <f>SUM(D34:D41)-D44</f>
        <v>0</v>
      </c>
      <c r="F43">
        <f>SUM(F34:F41)-F44</f>
        <v>0</v>
      </c>
      <c r="H43">
        <f>SUM(H34:H41)-H44</f>
        <v>0</v>
      </c>
      <c r="J43">
        <f>SUM(B43:I43)</f>
        <v>0</v>
      </c>
      <c r="K43" s="15">
        <f>B35*C34+D35*E34+F35*G34+H35*I34+B37*C36+D37*E36+F37*G36+H37*I36+B39*C38+D39*E38+F39*G38+H39*I38+B41*C40+D41*E40+F41*G40+H41*I40</f>
        <v>1860</v>
      </c>
      <c r="L43" s="15">
        <f>SUMPRODUCT(B47:E50,B53:E56)</f>
        <v>1860</v>
      </c>
    </row>
    <row r="44" spans="1:12">
      <c r="B44">
        <v>25</v>
      </c>
      <c r="D44">
        <v>30</v>
      </c>
      <c r="F44">
        <v>40</v>
      </c>
      <c r="H44">
        <v>35</v>
      </c>
      <c r="K44" s="16">
        <f>SUM(B44:I44)</f>
        <v>130</v>
      </c>
      <c r="L44" s="16">
        <f>SUM(L35:L41)</f>
        <v>130</v>
      </c>
    </row>
    <row r="47" spans="1:12">
      <c r="B47" s="1">
        <f>B35</f>
        <v>25</v>
      </c>
      <c r="C47" s="1">
        <f>D35</f>
        <v>30</v>
      </c>
      <c r="D47" s="1">
        <f>F35</f>
        <v>0</v>
      </c>
      <c r="E47" s="1">
        <f>H35</f>
        <v>0</v>
      </c>
    </row>
    <row r="48" spans="1:12">
      <c r="B48" s="1">
        <f>B37</f>
        <v>0</v>
      </c>
      <c r="C48" s="1">
        <f>D37</f>
        <v>0</v>
      </c>
      <c r="D48" s="1">
        <f>F37</f>
        <v>30</v>
      </c>
      <c r="E48" s="1">
        <f>H37</f>
        <v>0</v>
      </c>
    </row>
    <row r="49" spans="1:14">
      <c r="A49" t="s">
        <v>29</v>
      </c>
      <c r="B49" s="1">
        <f>B39</f>
        <v>0</v>
      </c>
      <c r="C49" s="1">
        <f>D39</f>
        <v>0</v>
      </c>
      <c r="D49" s="1">
        <f>F39</f>
        <v>10</v>
      </c>
      <c r="E49" s="1">
        <f>H39</f>
        <v>5</v>
      </c>
    </row>
    <row r="50" spans="1:14">
      <c r="B50" s="1">
        <f>B41</f>
        <v>0</v>
      </c>
      <c r="C50" s="1">
        <f>D41</f>
        <v>0</v>
      </c>
      <c r="D50" s="1">
        <f>F41</f>
        <v>0</v>
      </c>
      <c r="E50" s="1">
        <f>H41</f>
        <v>30</v>
      </c>
    </row>
    <row r="53" spans="1:14">
      <c r="B53" s="2">
        <f>C34</f>
        <v>14</v>
      </c>
      <c r="C53" s="2">
        <f>E34</f>
        <v>12</v>
      </c>
      <c r="D53" s="2">
        <f>G34</f>
        <v>12</v>
      </c>
      <c r="E53" s="2">
        <f>I34</f>
        <v>16</v>
      </c>
    </row>
    <row r="54" spans="1:14">
      <c r="B54" s="2">
        <f>C36</f>
        <v>15</v>
      </c>
      <c r="C54" s="2">
        <f>E36</f>
        <v>13</v>
      </c>
      <c r="D54" s="2">
        <f>G36</f>
        <v>14</v>
      </c>
      <c r="E54" s="2">
        <f>I36</f>
        <v>17</v>
      </c>
    </row>
    <row r="55" spans="1:14">
      <c r="A55" t="s">
        <v>28</v>
      </c>
      <c r="B55" s="2">
        <f>C38</f>
        <v>19</v>
      </c>
      <c r="C55" s="2">
        <f>E38</f>
        <v>20</v>
      </c>
      <c r="D55" s="2">
        <f>G38</f>
        <v>16</v>
      </c>
      <c r="E55" s="2">
        <f>I38</f>
        <v>18</v>
      </c>
    </row>
    <row r="56" spans="1:14">
      <c r="B56" s="2">
        <f>C40</f>
        <v>14</v>
      </c>
      <c r="C56" s="2">
        <f>E40</f>
        <v>16</v>
      </c>
      <c r="D56" s="2">
        <f>G40</f>
        <v>21</v>
      </c>
      <c r="E56" s="2">
        <f>I40</f>
        <v>16</v>
      </c>
    </row>
    <row r="58" spans="1:14">
      <c r="A58" t="s">
        <v>36</v>
      </c>
    </row>
    <row r="60" spans="1:14">
      <c r="B60" t="s">
        <v>17</v>
      </c>
      <c r="D60" t="s">
        <v>18</v>
      </c>
      <c r="F60" t="s">
        <v>19</v>
      </c>
      <c r="H60" t="s">
        <v>20</v>
      </c>
      <c r="J60" t="s">
        <v>34</v>
      </c>
      <c r="M60" t="s">
        <v>27</v>
      </c>
    </row>
    <row r="61" spans="1:14">
      <c r="A61" t="s">
        <v>22</v>
      </c>
      <c r="B61" s="22"/>
      <c r="C61" s="23">
        <v>4</v>
      </c>
      <c r="D61" s="22"/>
      <c r="E61" s="23">
        <v>6</v>
      </c>
      <c r="F61" s="11"/>
      <c r="G61" s="12">
        <v>3</v>
      </c>
      <c r="H61" s="11"/>
      <c r="I61" s="12">
        <v>4</v>
      </c>
      <c r="J61" s="11"/>
      <c r="K61" s="12">
        <v>1</v>
      </c>
    </row>
    <row r="62" spans="1:14">
      <c r="B62" s="24">
        <v>200</v>
      </c>
      <c r="C62" s="25"/>
      <c r="D62" s="24">
        <v>100</v>
      </c>
      <c r="E62" s="25"/>
      <c r="F62" s="13">
        <v>0</v>
      </c>
      <c r="G62" s="14"/>
      <c r="H62" s="13">
        <v>0</v>
      </c>
      <c r="I62" s="14"/>
      <c r="J62" s="13">
        <v>0</v>
      </c>
      <c r="K62" s="14"/>
      <c r="M62">
        <f>N62-SUM(B62:K62)</f>
        <v>0</v>
      </c>
      <c r="N62">
        <v>300</v>
      </c>
    </row>
    <row r="63" spans="1:14">
      <c r="A63" t="s">
        <v>23</v>
      </c>
      <c r="B63" s="11"/>
      <c r="C63" s="12">
        <v>7</v>
      </c>
      <c r="D63" s="22"/>
      <c r="E63" s="23">
        <v>3</v>
      </c>
      <c r="F63" s="22"/>
      <c r="G63" s="23">
        <v>5</v>
      </c>
      <c r="H63" s="11"/>
      <c r="I63" s="12">
        <v>2</v>
      </c>
      <c r="J63" s="11"/>
      <c r="K63" s="12">
        <v>2</v>
      </c>
    </row>
    <row r="64" spans="1:14">
      <c r="B64" s="13">
        <v>0</v>
      </c>
      <c r="C64" s="14"/>
      <c r="D64" s="24">
        <v>100</v>
      </c>
      <c r="E64" s="25"/>
      <c r="F64" s="24">
        <v>100</v>
      </c>
      <c r="G64" s="25"/>
      <c r="H64" s="13">
        <v>0</v>
      </c>
      <c r="I64" s="14"/>
      <c r="J64" s="13">
        <v>0</v>
      </c>
      <c r="K64" s="14"/>
      <c r="M64">
        <f>N64-SUM(B64:K64)</f>
        <v>0</v>
      </c>
      <c r="N64">
        <v>200</v>
      </c>
    </row>
    <row r="65" spans="1:14">
      <c r="A65" t="s">
        <v>24</v>
      </c>
      <c r="B65" s="11"/>
      <c r="C65" s="12">
        <v>5</v>
      </c>
      <c r="D65" s="11"/>
      <c r="E65" s="12">
        <v>3</v>
      </c>
      <c r="F65" s="22"/>
      <c r="G65" s="23">
        <v>2</v>
      </c>
      <c r="H65" s="11"/>
      <c r="I65" s="12">
        <v>4</v>
      </c>
      <c r="J65" s="11"/>
      <c r="K65" s="12">
        <v>4</v>
      </c>
    </row>
    <row r="66" spans="1:14">
      <c r="B66" s="13">
        <v>0</v>
      </c>
      <c r="C66" s="14"/>
      <c r="D66" s="13">
        <v>0</v>
      </c>
      <c r="E66" s="14"/>
      <c r="F66" s="24">
        <v>100</v>
      </c>
      <c r="G66" s="25"/>
      <c r="H66" s="13">
        <v>0</v>
      </c>
      <c r="I66" s="14"/>
      <c r="J66" s="13">
        <v>0</v>
      </c>
      <c r="K66" s="14"/>
      <c r="M66">
        <f t="shared" ref="M66:M70" si="1">N66-SUM(B66:K66)</f>
        <v>0</v>
      </c>
      <c r="N66">
        <v>100</v>
      </c>
    </row>
    <row r="67" spans="1:14">
      <c r="A67" t="s">
        <v>25</v>
      </c>
      <c r="B67" s="11"/>
      <c r="C67" s="12">
        <v>2</v>
      </c>
      <c r="D67" s="11"/>
      <c r="E67" s="12">
        <v>3</v>
      </c>
      <c r="F67" s="22"/>
      <c r="G67" s="23">
        <v>4</v>
      </c>
      <c r="H67" s="11"/>
      <c r="I67" s="12">
        <v>6</v>
      </c>
      <c r="J67" s="11"/>
      <c r="K67" s="12">
        <v>5</v>
      </c>
    </row>
    <row r="68" spans="1:14">
      <c r="B68" s="13">
        <v>0</v>
      </c>
      <c r="C68" s="14"/>
      <c r="D68" s="13">
        <v>0</v>
      </c>
      <c r="E68" s="14"/>
      <c r="F68" s="24">
        <v>100</v>
      </c>
      <c r="G68" s="25"/>
      <c r="H68" s="13">
        <v>0</v>
      </c>
      <c r="I68" s="14"/>
      <c r="J68" s="13">
        <v>0</v>
      </c>
      <c r="K68" s="14"/>
      <c r="M68">
        <f t="shared" ref="M68" si="2">N68-SUM(B68:K68)</f>
        <v>0</v>
      </c>
      <c r="N68">
        <v>100</v>
      </c>
    </row>
    <row r="69" spans="1:14">
      <c r="A69" t="s">
        <v>35</v>
      </c>
      <c r="B69" s="11"/>
      <c r="C69" s="12">
        <v>1</v>
      </c>
      <c r="D69" s="11"/>
      <c r="E69" s="12">
        <v>4</v>
      </c>
      <c r="F69" s="11"/>
      <c r="G69" s="12">
        <v>4</v>
      </c>
      <c r="H69" s="22"/>
      <c r="I69" s="23">
        <v>3</v>
      </c>
      <c r="J69" s="11"/>
      <c r="K69" s="12">
        <v>3</v>
      </c>
    </row>
    <row r="70" spans="1:14">
      <c r="B70" s="13">
        <v>0</v>
      </c>
      <c r="C70" s="14"/>
      <c r="D70" s="13">
        <v>0</v>
      </c>
      <c r="E70" s="14"/>
      <c r="F70" s="13">
        <v>0</v>
      </c>
      <c r="G70" s="14"/>
      <c r="H70" s="24">
        <v>200</v>
      </c>
      <c r="I70" s="25"/>
      <c r="J70" s="13">
        <v>0</v>
      </c>
      <c r="K70" s="14"/>
      <c r="M70">
        <f t="shared" si="1"/>
        <v>0</v>
      </c>
      <c r="N70">
        <v>200</v>
      </c>
    </row>
    <row r="71" spans="1:14">
      <c r="M71">
        <f>SUM(M62:M70)</f>
        <v>0</v>
      </c>
    </row>
    <row r="72" spans="1:14">
      <c r="B72">
        <f>SUM(B61:B70)-B73</f>
        <v>0</v>
      </c>
      <c r="D72">
        <f>SUM(D61:D70)-D73</f>
        <v>0</v>
      </c>
      <c r="F72">
        <f>SUM(F61:F70)-F73</f>
        <v>0</v>
      </c>
      <c r="H72">
        <f>SUM(H61:H70)-H73</f>
        <v>-100</v>
      </c>
      <c r="J72">
        <f>SUM(J61:J70)-J73</f>
        <v>-100</v>
      </c>
      <c r="L72">
        <f>SUM(B72:J72)</f>
        <v>-200</v>
      </c>
      <c r="M72" s="15">
        <f>B62*C61+D62*E61+F62*G61+H62*I61+B64*C63+D64*E63+F64*G63+H64*I63+B66*C65+D66*E65+F66*G65+H66*I65+B70*C69+D70*E69+F70*G69+H70*I69+J62*K61+J64*K63+J66*K65+J70*K69+B68*C67+D68*E67+F68*G67+H68*I67+J68*K67</f>
        <v>3400</v>
      </c>
      <c r="N72" s="15">
        <f>SUMPRODUCT(B76:F80,B83:F87)</f>
        <v>3400</v>
      </c>
    </row>
    <row r="73" spans="1:14">
      <c r="B73">
        <v>200</v>
      </c>
      <c r="D73">
        <v>200</v>
      </c>
      <c r="F73">
        <v>300</v>
      </c>
      <c r="H73">
        <v>300</v>
      </c>
      <c r="J73">
        <v>100</v>
      </c>
      <c r="M73" s="16">
        <f>SUM(B73:K73)</f>
        <v>1100</v>
      </c>
      <c r="N73" s="16">
        <f>SUM(N62:N70)</f>
        <v>900</v>
      </c>
    </row>
    <row r="76" spans="1:14">
      <c r="B76" s="1">
        <f>B62</f>
        <v>200</v>
      </c>
      <c r="C76" s="1">
        <f>D62</f>
        <v>100</v>
      </c>
      <c r="D76" s="1">
        <f>F62</f>
        <v>0</v>
      </c>
      <c r="E76" s="1">
        <f>H62</f>
        <v>0</v>
      </c>
      <c r="F76" s="1">
        <f>J62</f>
        <v>0</v>
      </c>
      <c r="H76" t="s">
        <v>37</v>
      </c>
    </row>
    <row r="77" spans="1:14">
      <c r="B77" s="1">
        <f>B64</f>
        <v>0</v>
      </c>
      <c r="C77" s="1">
        <f>D64</f>
        <v>100</v>
      </c>
      <c r="D77" s="1">
        <f>F64</f>
        <v>100</v>
      </c>
      <c r="E77" s="1">
        <f>H64</f>
        <v>0</v>
      </c>
      <c r="F77" s="1">
        <f>J64</f>
        <v>0</v>
      </c>
    </row>
    <row r="78" spans="1:14">
      <c r="A78" t="s">
        <v>29</v>
      </c>
      <c r="B78" s="1">
        <f>B66</f>
        <v>0</v>
      </c>
      <c r="C78" s="1">
        <f>D66</f>
        <v>0</v>
      </c>
      <c r="D78" s="1">
        <f>F66</f>
        <v>100</v>
      </c>
      <c r="E78" s="1">
        <f>H66</f>
        <v>0</v>
      </c>
      <c r="F78" s="1">
        <f>J66</f>
        <v>0</v>
      </c>
    </row>
    <row r="79" spans="1:14">
      <c r="B79" s="1">
        <f>B68</f>
        <v>0</v>
      </c>
      <c r="C79" s="1">
        <f>D68</f>
        <v>0</v>
      </c>
      <c r="D79" s="1">
        <f>F68</f>
        <v>100</v>
      </c>
      <c r="E79" s="1">
        <f>H68</f>
        <v>0</v>
      </c>
      <c r="F79" s="1">
        <f>J68</f>
        <v>0</v>
      </c>
    </row>
    <row r="80" spans="1:14">
      <c r="B80" s="1">
        <f>B70</f>
        <v>0</v>
      </c>
      <c r="C80" s="1">
        <f>D70</f>
        <v>0</v>
      </c>
      <c r="D80" s="1">
        <f>F70</f>
        <v>0</v>
      </c>
      <c r="E80" s="1">
        <f>H70</f>
        <v>200</v>
      </c>
      <c r="F80" s="1">
        <f>J70</f>
        <v>0</v>
      </c>
    </row>
    <row r="83" spans="1:14">
      <c r="B83" s="2">
        <f>C61</f>
        <v>4</v>
      </c>
      <c r="C83" s="2">
        <f>E61</f>
        <v>6</v>
      </c>
      <c r="D83" s="2">
        <f>G61</f>
        <v>3</v>
      </c>
      <c r="E83" s="2">
        <f>I61</f>
        <v>4</v>
      </c>
      <c r="F83" s="2">
        <f>K61</f>
        <v>1</v>
      </c>
    </row>
    <row r="84" spans="1:14">
      <c r="B84" s="2">
        <f>C63</f>
        <v>7</v>
      </c>
      <c r="C84" s="2">
        <f>E63</f>
        <v>3</v>
      </c>
      <c r="D84" s="2">
        <f>G63</f>
        <v>5</v>
      </c>
      <c r="E84" s="2">
        <f>I63</f>
        <v>2</v>
      </c>
      <c r="F84" s="2">
        <f>K63</f>
        <v>2</v>
      </c>
    </row>
    <row r="85" spans="1:14">
      <c r="A85" t="s">
        <v>28</v>
      </c>
      <c r="B85" s="2">
        <f>C65</f>
        <v>5</v>
      </c>
      <c r="C85" s="2">
        <f>E65</f>
        <v>3</v>
      </c>
      <c r="D85" s="2">
        <f>G65</f>
        <v>2</v>
      </c>
      <c r="E85" s="2">
        <f>I65</f>
        <v>4</v>
      </c>
      <c r="F85" s="2">
        <f>K65</f>
        <v>4</v>
      </c>
    </row>
    <row r="86" spans="1:14">
      <c r="B86" s="2">
        <f>C67</f>
        <v>2</v>
      </c>
      <c r="C86" s="2">
        <f>E67</f>
        <v>3</v>
      </c>
      <c r="D86" s="2">
        <f>G67</f>
        <v>4</v>
      </c>
      <c r="E86" s="2">
        <f>I67</f>
        <v>6</v>
      </c>
      <c r="F86" s="2">
        <f>K67</f>
        <v>5</v>
      </c>
    </row>
    <row r="87" spans="1:14">
      <c r="B87" s="2">
        <f>C69</f>
        <v>1</v>
      </c>
      <c r="C87" s="2">
        <f>E69</f>
        <v>4</v>
      </c>
      <c r="D87" s="2">
        <f>G69</f>
        <v>4</v>
      </c>
      <c r="E87" s="2">
        <f>I69</f>
        <v>3</v>
      </c>
      <c r="F87" s="2">
        <f>K69</f>
        <v>3</v>
      </c>
    </row>
    <row r="90" spans="1:14">
      <c r="B90" t="s">
        <v>46</v>
      </c>
    </row>
    <row r="91" spans="1:14">
      <c r="B91" t="s">
        <v>17</v>
      </c>
      <c r="D91" t="s">
        <v>18</v>
      </c>
      <c r="F91" t="s">
        <v>19</v>
      </c>
      <c r="H91" t="s">
        <v>20</v>
      </c>
      <c r="J91" t="s">
        <v>34</v>
      </c>
      <c r="L91" s="28"/>
      <c r="M91" t="s">
        <v>27</v>
      </c>
    </row>
    <row r="92" spans="1:14">
      <c r="A92" t="s">
        <v>22</v>
      </c>
      <c r="B92" s="11"/>
      <c r="C92" s="12">
        <v>4</v>
      </c>
      <c r="D92" s="11"/>
      <c r="E92" s="12">
        <v>6</v>
      </c>
      <c r="F92" s="22"/>
      <c r="G92" s="23">
        <v>3</v>
      </c>
      <c r="H92" s="11"/>
      <c r="I92" s="12">
        <v>4</v>
      </c>
      <c r="J92" s="22"/>
      <c r="K92" s="23">
        <v>1</v>
      </c>
      <c r="L92" s="28" t="s">
        <v>51</v>
      </c>
    </row>
    <row r="93" spans="1:14">
      <c r="B93" s="13">
        <v>0</v>
      </c>
      <c r="C93" s="32">
        <f>B104+L93-C92</f>
        <v>-2</v>
      </c>
      <c r="D93" s="13">
        <v>0</v>
      </c>
      <c r="E93" s="32">
        <f>D104+L93-E92</f>
        <v>-3</v>
      </c>
      <c r="F93" s="24">
        <v>200</v>
      </c>
      <c r="G93" s="25"/>
      <c r="H93" s="13">
        <v>0</v>
      </c>
      <c r="I93" s="32">
        <f>H104+L93-I92</f>
        <v>-1</v>
      </c>
      <c r="J93" s="24">
        <v>100</v>
      </c>
      <c r="K93" s="25"/>
      <c r="L93" s="29">
        <v>0</v>
      </c>
      <c r="M93">
        <f>N93-SUM(B93,D93,F93,H93,J93)</f>
        <v>0</v>
      </c>
      <c r="N93">
        <v>300</v>
      </c>
    </row>
    <row r="94" spans="1:14">
      <c r="A94" t="s">
        <v>23</v>
      </c>
      <c r="B94" s="11"/>
      <c r="C94" s="12">
        <v>7</v>
      </c>
      <c r="D94" s="11"/>
      <c r="E94" s="12">
        <v>3</v>
      </c>
      <c r="F94" s="11"/>
      <c r="G94" s="12">
        <v>5</v>
      </c>
      <c r="H94" s="22"/>
      <c r="I94" s="23">
        <v>2</v>
      </c>
      <c r="J94" s="11"/>
      <c r="K94" s="12">
        <v>2</v>
      </c>
      <c r="L94" s="28"/>
    </row>
    <row r="95" spans="1:14">
      <c r="B95" s="13">
        <v>0</v>
      </c>
      <c r="C95" s="32">
        <f>B104+L95-C94</f>
        <v>-6</v>
      </c>
      <c r="D95" s="13">
        <v>0</v>
      </c>
      <c r="E95" s="32">
        <f>D104+L95-E94</f>
        <v>-1</v>
      </c>
      <c r="F95" s="13">
        <v>0</v>
      </c>
      <c r="G95" s="32">
        <f>F104+L95-G94</f>
        <v>-3</v>
      </c>
      <c r="H95" s="24">
        <v>200</v>
      </c>
      <c r="I95" s="25"/>
      <c r="J95" s="13">
        <v>0</v>
      </c>
      <c r="K95" s="32">
        <f>J104+L95-K94</f>
        <v>-2</v>
      </c>
      <c r="L95" s="30">
        <v>-1</v>
      </c>
      <c r="M95">
        <f t="shared" ref="M95:M101" si="3">N95-SUM(B95,D95,F95,H95,J95)</f>
        <v>0</v>
      </c>
      <c r="N95">
        <v>200</v>
      </c>
    </row>
    <row r="96" spans="1:14">
      <c r="A96" t="s">
        <v>24</v>
      </c>
      <c r="B96" s="11"/>
      <c r="C96" s="12">
        <v>5</v>
      </c>
      <c r="D96" s="11"/>
      <c r="E96" s="12">
        <v>3</v>
      </c>
      <c r="F96" s="22"/>
      <c r="G96" s="23">
        <v>2</v>
      </c>
      <c r="H96" s="11"/>
      <c r="I96" s="12">
        <v>4</v>
      </c>
      <c r="J96" s="11"/>
      <c r="K96" s="12">
        <v>4</v>
      </c>
      <c r="L96" s="28"/>
    </row>
    <row r="97" spans="1:14">
      <c r="B97" s="13">
        <v>0</v>
      </c>
      <c r="C97" s="32">
        <f>B104+L97-C96</f>
        <v>-4</v>
      </c>
      <c r="D97" s="13">
        <v>0</v>
      </c>
      <c r="E97" s="32">
        <f>D104+L97-E96</f>
        <v>-1</v>
      </c>
      <c r="F97" s="24">
        <v>100</v>
      </c>
      <c r="G97" s="25"/>
      <c r="H97" s="13">
        <v>0</v>
      </c>
      <c r="I97" s="32">
        <f>H104+L97-I96</f>
        <v>-2</v>
      </c>
      <c r="J97" s="13">
        <v>0</v>
      </c>
      <c r="K97" s="32">
        <f>J104+L97-K96</f>
        <v>-4</v>
      </c>
      <c r="L97" s="30">
        <v>-1</v>
      </c>
      <c r="M97">
        <f t="shared" si="3"/>
        <v>0</v>
      </c>
      <c r="N97">
        <v>100</v>
      </c>
    </row>
    <row r="98" spans="1:14">
      <c r="A98" t="s">
        <v>25</v>
      </c>
      <c r="B98" s="11"/>
      <c r="C98" s="12">
        <v>2</v>
      </c>
      <c r="D98" s="22"/>
      <c r="E98" s="23">
        <v>3</v>
      </c>
      <c r="F98" s="11"/>
      <c r="G98" s="12">
        <v>4</v>
      </c>
      <c r="H98" s="11"/>
      <c r="I98" s="12">
        <v>6</v>
      </c>
      <c r="J98" s="11"/>
      <c r="K98" s="12">
        <v>5</v>
      </c>
      <c r="L98" s="28"/>
    </row>
    <row r="99" spans="1:14">
      <c r="B99" s="13">
        <v>0</v>
      </c>
      <c r="C99" s="32">
        <f>B104+L99-C98</f>
        <v>0</v>
      </c>
      <c r="D99" s="24">
        <v>100</v>
      </c>
      <c r="E99" s="25"/>
      <c r="F99" s="13">
        <v>0</v>
      </c>
      <c r="G99" s="32">
        <f>F104+L99-G98</f>
        <v>-1</v>
      </c>
      <c r="H99" s="13">
        <v>0</v>
      </c>
      <c r="I99" s="32">
        <f>H104+L99-I98</f>
        <v>-3</v>
      </c>
      <c r="J99" s="13">
        <v>0</v>
      </c>
      <c r="K99" s="32">
        <f>J104+L99-K98</f>
        <v>-4</v>
      </c>
      <c r="L99" s="30">
        <v>0</v>
      </c>
      <c r="M99">
        <f t="shared" si="3"/>
        <v>0</v>
      </c>
      <c r="N99">
        <v>100</v>
      </c>
    </row>
    <row r="100" spans="1:14">
      <c r="A100" t="s">
        <v>35</v>
      </c>
      <c r="B100" s="22"/>
      <c r="C100" s="23">
        <v>1</v>
      </c>
      <c r="D100" s="11"/>
      <c r="E100" s="12">
        <v>4</v>
      </c>
      <c r="F100" s="11"/>
      <c r="G100" s="12">
        <v>4</v>
      </c>
      <c r="H100" s="11"/>
      <c r="I100" s="12">
        <v>3</v>
      </c>
      <c r="J100" s="11"/>
      <c r="K100" s="12">
        <v>3</v>
      </c>
      <c r="L100" s="28"/>
    </row>
    <row r="101" spans="1:14">
      <c r="B101" s="24">
        <v>200</v>
      </c>
      <c r="C101" s="25"/>
      <c r="D101" s="13">
        <v>0</v>
      </c>
      <c r="E101" s="32">
        <f>D104+L101-E100</f>
        <v>-2</v>
      </c>
      <c r="F101" s="13">
        <v>0</v>
      </c>
      <c r="G101" s="32">
        <f>F104+L101-G100</f>
        <v>-2</v>
      </c>
      <c r="H101" s="13">
        <v>0</v>
      </c>
      <c r="I101" s="32">
        <f>H104+L101-I100</f>
        <v>-1</v>
      </c>
      <c r="J101" s="13">
        <v>0</v>
      </c>
      <c r="K101" s="32">
        <f>J104+L101-K100</f>
        <v>-3</v>
      </c>
      <c r="L101" s="30">
        <v>-1</v>
      </c>
      <c r="M101">
        <f t="shared" si="3"/>
        <v>0</v>
      </c>
      <c r="N101">
        <v>200</v>
      </c>
    </row>
    <row r="102" spans="1:14">
      <c r="A102" t="s">
        <v>47</v>
      </c>
      <c r="B102" s="11"/>
      <c r="C102" s="12">
        <v>0</v>
      </c>
      <c r="D102" s="22"/>
      <c r="E102" s="23">
        <v>0</v>
      </c>
      <c r="F102" s="11"/>
      <c r="G102" s="12">
        <v>0</v>
      </c>
      <c r="H102" s="22"/>
      <c r="I102" s="23">
        <v>0</v>
      </c>
      <c r="J102" s="11"/>
      <c r="K102" s="12">
        <v>0</v>
      </c>
      <c r="L102" s="28"/>
    </row>
    <row r="103" spans="1:14">
      <c r="B103" s="13">
        <v>0</v>
      </c>
      <c r="C103" s="32">
        <f>B104+L103-C102</f>
        <v>-1</v>
      </c>
      <c r="D103" s="24">
        <v>100</v>
      </c>
      <c r="E103" s="25"/>
      <c r="F103" s="13">
        <v>0</v>
      </c>
      <c r="G103" s="32">
        <f>F104+L103-G102</f>
        <v>0</v>
      </c>
      <c r="H103" s="24">
        <v>100</v>
      </c>
      <c r="I103" s="25"/>
      <c r="J103" s="13">
        <v>0</v>
      </c>
      <c r="K103" s="32">
        <f>J104+L103-K102</f>
        <v>-2</v>
      </c>
      <c r="L103" s="30">
        <v>-3</v>
      </c>
    </row>
    <row r="104" spans="1:14">
      <c r="A104" t="s">
        <v>50</v>
      </c>
      <c r="B104" s="30">
        <v>2</v>
      </c>
      <c r="C104" s="28"/>
      <c r="D104" s="29">
        <v>3</v>
      </c>
      <c r="E104" s="28"/>
      <c r="F104" s="29">
        <v>3</v>
      </c>
      <c r="G104" s="28"/>
      <c r="H104" s="29">
        <v>3</v>
      </c>
      <c r="I104" s="28"/>
      <c r="J104" s="29">
        <v>1</v>
      </c>
      <c r="K104" s="28"/>
      <c r="L104" s="28"/>
      <c r="M104">
        <f>SUM(M93:M101)</f>
        <v>0</v>
      </c>
    </row>
    <row r="105" spans="1:14">
      <c r="B105">
        <f>SUM(B92:B103)-B106</f>
        <v>0</v>
      </c>
      <c r="D105">
        <f>SUM(D92:D103)-D106</f>
        <v>0</v>
      </c>
      <c r="F105">
        <f>SUM(F92:F101)-F106</f>
        <v>0</v>
      </c>
      <c r="H105">
        <f>SUM(H92:H103)-H106</f>
        <v>0</v>
      </c>
      <c r="J105">
        <f>SUM(J92:J103)-J106</f>
        <v>0</v>
      </c>
      <c r="L105">
        <f>SUM(B105:J105)</f>
        <v>0</v>
      </c>
      <c r="M105" s="15">
        <f>B93*C92+D93*E92+F93*G92+H93*I92+B95*C94+D95*E94+F95*G94+H95*I94+B97*C96+D97*E96+F97*G96+H97*I96+B101*C100+D101*E100+F101*G100+H101*I100+J93*K92+J95*K94+J97*K96+J101*K100+B99*C98+D99*E98+F99*G98+H99*I98+J99*K98</f>
        <v>1800</v>
      </c>
      <c r="N105" s="15">
        <f>SUMPRODUCT(B109:F113,B116:F120)</f>
        <v>1800</v>
      </c>
    </row>
    <row r="106" spans="1:14">
      <c r="B106">
        <v>200</v>
      </c>
      <c r="D106">
        <v>200</v>
      </c>
      <c r="F106">
        <v>300</v>
      </c>
      <c r="H106">
        <v>300</v>
      </c>
      <c r="J106">
        <v>100</v>
      </c>
      <c r="M106" s="16">
        <f>SUM(B106:K106)</f>
        <v>1100</v>
      </c>
      <c r="N106" s="16">
        <f>SUM(N93:N101)</f>
        <v>900</v>
      </c>
    </row>
    <row r="109" spans="1:14">
      <c r="B109" s="1">
        <f>B93</f>
        <v>0</v>
      </c>
      <c r="C109" s="1">
        <f>D93</f>
        <v>0</v>
      </c>
      <c r="D109" s="1">
        <f>F93</f>
        <v>200</v>
      </c>
      <c r="E109" s="1">
        <f>H93</f>
        <v>0</v>
      </c>
      <c r="F109" s="1">
        <f>J93</f>
        <v>100</v>
      </c>
    </row>
    <row r="110" spans="1:14">
      <c r="B110" s="1">
        <f>B95</f>
        <v>0</v>
      </c>
      <c r="C110" s="1">
        <f>D95</f>
        <v>0</v>
      </c>
      <c r="D110" s="1">
        <f>F95</f>
        <v>0</v>
      </c>
      <c r="E110" s="1">
        <f>H95</f>
        <v>200</v>
      </c>
      <c r="F110" s="1">
        <f>J95</f>
        <v>0</v>
      </c>
    </row>
    <row r="111" spans="1:14">
      <c r="A111" t="s">
        <v>29</v>
      </c>
      <c r="B111" s="1">
        <f>B97</f>
        <v>0</v>
      </c>
      <c r="C111" s="1">
        <f>D97</f>
        <v>0</v>
      </c>
      <c r="D111" s="1">
        <f>F97</f>
        <v>100</v>
      </c>
      <c r="E111" s="1">
        <f>H97</f>
        <v>0</v>
      </c>
      <c r="F111" s="1">
        <f>J97</f>
        <v>0</v>
      </c>
    </row>
    <row r="112" spans="1:14">
      <c r="B112" s="1">
        <f>B99</f>
        <v>0</v>
      </c>
      <c r="C112" s="1">
        <f>D99</f>
        <v>100</v>
      </c>
      <c r="D112" s="1">
        <f>F99</f>
        <v>0</v>
      </c>
      <c r="E112" s="1">
        <f>H99</f>
        <v>0</v>
      </c>
      <c r="F112" s="1">
        <f>J99</f>
        <v>0</v>
      </c>
    </row>
    <row r="113" spans="1:6">
      <c r="B113" s="1">
        <f>B101</f>
        <v>200</v>
      </c>
      <c r="C113" s="1">
        <f>D101</f>
        <v>0</v>
      </c>
      <c r="D113" s="1">
        <f>F101</f>
        <v>0</v>
      </c>
      <c r="E113" s="1">
        <f>H101</f>
        <v>0</v>
      </c>
      <c r="F113" s="1">
        <f>J101</f>
        <v>0</v>
      </c>
    </row>
    <row r="116" spans="1:6">
      <c r="B116" s="2">
        <f>C92</f>
        <v>4</v>
      </c>
      <c r="C116" s="2">
        <f>E92</f>
        <v>6</v>
      </c>
      <c r="D116" s="2">
        <f>G92</f>
        <v>3</v>
      </c>
      <c r="E116" s="2">
        <f>I92</f>
        <v>4</v>
      </c>
      <c r="F116" s="2">
        <f>K92</f>
        <v>1</v>
      </c>
    </row>
    <row r="117" spans="1:6">
      <c r="B117" s="2">
        <f>C94</f>
        <v>7</v>
      </c>
      <c r="C117" s="2">
        <f>E94</f>
        <v>3</v>
      </c>
      <c r="D117" s="2">
        <f>G94</f>
        <v>5</v>
      </c>
      <c r="E117" s="2">
        <f>I94</f>
        <v>2</v>
      </c>
      <c r="F117" s="2">
        <f>K94</f>
        <v>2</v>
      </c>
    </row>
    <row r="118" spans="1:6">
      <c r="A118" t="s">
        <v>28</v>
      </c>
      <c r="B118" s="2">
        <f>C96</f>
        <v>5</v>
      </c>
      <c r="C118" s="2">
        <f>E96</f>
        <v>3</v>
      </c>
      <c r="D118" s="2">
        <f>G96</f>
        <v>2</v>
      </c>
      <c r="E118" s="2">
        <f>I96</f>
        <v>4</v>
      </c>
      <c r="F118" s="2">
        <f>K96</f>
        <v>4</v>
      </c>
    </row>
    <row r="119" spans="1:6">
      <c r="B119" s="2">
        <f>C98</f>
        <v>2</v>
      </c>
      <c r="C119" s="2">
        <f>E98</f>
        <v>3</v>
      </c>
      <c r="D119" s="2">
        <f>G98</f>
        <v>4</v>
      </c>
      <c r="E119" s="2">
        <f>I98</f>
        <v>6</v>
      </c>
      <c r="F119" s="2">
        <f>K98</f>
        <v>5</v>
      </c>
    </row>
    <row r="120" spans="1:6">
      <c r="B120" s="2">
        <f>C100</f>
        <v>1</v>
      </c>
      <c r="C120" s="2">
        <f>E100</f>
        <v>4</v>
      </c>
      <c r="D120" s="2">
        <f>G100</f>
        <v>4</v>
      </c>
      <c r="E120" s="2">
        <f>I100</f>
        <v>3</v>
      </c>
      <c r="F120" s="2">
        <f>K100</f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E045-B1C2-4342-B436-ED8AFB97F911}">
  <dimension ref="A1:O132"/>
  <sheetViews>
    <sheetView topLeftCell="A73" zoomScaleNormal="100" workbookViewId="0">
      <selection activeCell="H124" sqref="H124"/>
    </sheetView>
  </sheetViews>
  <sheetFormatPr defaultRowHeight="14.4"/>
  <sheetData>
    <row r="1" spans="1:1">
      <c r="A1" t="s">
        <v>38</v>
      </c>
    </row>
    <row r="2" spans="1:1">
      <c r="A2" t="s">
        <v>39</v>
      </c>
    </row>
    <row r="3" spans="1:1">
      <c r="A3" t="s">
        <v>40</v>
      </c>
    </row>
    <row r="27" spans="10:12">
      <c r="J27" t="s">
        <v>41</v>
      </c>
    </row>
    <row r="28" spans="10:12">
      <c r="J28" s="2" t="s">
        <v>42</v>
      </c>
      <c r="K28" s="7" t="s">
        <v>6</v>
      </c>
      <c r="L28" s="2">
        <v>2000</v>
      </c>
    </row>
    <row r="29" spans="10:12">
      <c r="J29" s="2" t="s">
        <v>43</v>
      </c>
      <c r="K29" s="7" t="s">
        <v>6</v>
      </c>
      <c r="L29" s="2">
        <v>3000</v>
      </c>
    </row>
    <row r="30" spans="10:12">
      <c r="J30" s="2" t="s">
        <v>44</v>
      </c>
      <c r="K30" s="7" t="s">
        <v>6</v>
      </c>
      <c r="L30" s="2">
        <v>5000</v>
      </c>
    </row>
    <row r="31" spans="10:12">
      <c r="K31" s="26"/>
    </row>
    <row r="32" spans="10:12">
      <c r="J32" t="s">
        <v>2</v>
      </c>
    </row>
    <row r="33" spans="10:15">
      <c r="J33" s="27">
        <v>0</v>
      </c>
      <c r="K33" s="27">
        <v>625</v>
      </c>
      <c r="L33" s="27">
        <v>62.5</v>
      </c>
    </row>
    <row r="34" spans="10:15">
      <c r="J34" t="s">
        <v>4</v>
      </c>
      <c r="M34" s="4" t="s">
        <v>3</v>
      </c>
    </row>
    <row r="35" spans="10:15">
      <c r="J35" s="2">
        <v>20</v>
      </c>
      <c r="K35" s="2">
        <v>40</v>
      </c>
      <c r="L35" s="2">
        <v>50</v>
      </c>
      <c r="M35" s="3">
        <f>SUMPRODUCT(J35:L35,J33:L33)</f>
        <v>28125</v>
      </c>
    </row>
    <row r="36" spans="10:15">
      <c r="J36" t="s">
        <v>5</v>
      </c>
    </row>
    <row r="37" spans="10:15">
      <c r="J37" s="5">
        <v>500</v>
      </c>
      <c r="K37" s="5">
        <v>300</v>
      </c>
      <c r="L37" s="5">
        <v>1000</v>
      </c>
      <c r="M37" s="6">
        <f>SUMPRODUCT(J37:L37,$J$33:$L$33)</f>
        <v>250000</v>
      </c>
      <c r="N37" s="7" t="s">
        <v>6</v>
      </c>
      <c r="O37" s="5">
        <v>250000</v>
      </c>
    </row>
    <row r="38" spans="10:15">
      <c r="J38" s="5">
        <v>1000</v>
      </c>
      <c r="K38" s="5">
        <v>200</v>
      </c>
      <c r="L38" s="5">
        <v>100</v>
      </c>
      <c r="M38" s="6">
        <f>SUMPRODUCT(J38:L38,$J$33:$L$33)</f>
        <v>131250</v>
      </c>
      <c r="N38" s="7" t="s">
        <v>6</v>
      </c>
      <c r="O38" s="5">
        <v>300000</v>
      </c>
    </row>
    <row r="39" spans="10:15">
      <c r="J39" s="5">
        <v>150</v>
      </c>
      <c r="K39" s="5">
        <v>300</v>
      </c>
      <c r="L39" s="5">
        <v>200</v>
      </c>
      <c r="M39" s="6">
        <f>SUMPRODUCT(J39:L39,$J$33:$L$33)</f>
        <v>200000</v>
      </c>
      <c r="N39" s="7" t="s">
        <v>6</v>
      </c>
      <c r="O39" s="5">
        <v>200000</v>
      </c>
    </row>
    <row r="40" spans="10:15">
      <c r="J40" s="5">
        <v>100</v>
      </c>
      <c r="K40" s="5">
        <v>200</v>
      </c>
      <c r="L40" s="5">
        <v>400</v>
      </c>
      <c r="M40" s="6">
        <f>SUMPRODUCT(J40:L40,$J$33:$L$33)</f>
        <v>150000</v>
      </c>
      <c r="N40" s="7" t="s">
        <v>6</v>
      </c>
      <c r="O40" s="5">
        <v>400000</v>
      </c>
    </row>
    <row r="52" spans="1:1">
      <c r="A52" t="s">
        <v>45</v>
      </c>
    </row>
    <row r="79" spans="1:3" ht="18">
      <c r="A79" s="185" t="s">
        <v>48</v>
      </c>
      <c r="B79" s="185"/>
      <c r="C79" s="185"/>
    </row>
    <row r="118" spans="1:9" ht="18">
      <c r="A118" s="185" t="s">
        <v>49</v>
      </c>
      <c r="B118" s="185"/>
      <c r="C118" s="185"/>
      <c r="D118" s="185"/>
      <c r="E118" s="185"/>
      <c r="F118" s="185"/>
      <c r="G118" s="185"/>
      <c r="H118" s="185"/>
      <c r="I118" s="185"/>
    </row>
    <row r="124" spans="1:9">
      <c r="A124" t="s">
        <v>2</v>
      </c>
    </row>
    <row r="125" spans="1:9">
      <c r="A125" s="31">
        <v>13.333333333333334</v>
      </c>
      <c r="B125" s="31">
        <v>0</v>
      </c>
      <c r="C125" s="31">
        <v>6.6666666666666661</v>
      </c>
    </row>
    <row r="127" spans="1:9">
      <c r="A127" t="s">
        <v>4</v>
      </c>
    </row>
    <row r="128" spans="1:9">
      <c r="A128" s="2">
        <v>2000</v>
      </c>
      <c r="B128" s="2">
        <v>1400</v>
      </c>
      <c r="C128" s="2">
        <v>800</v>
      </c>
      <c r="D128" s="3">
        <f>SUMPRODUCT(A125:C125,A128:C128)</f>
        <v>32000</v>
      </c>
    </row>
    <row r="130" spans="1:6">
      <c r="A130" t="s">
        <v>5</v>
      </c>
    </row>
    <row r="131" spans="1:6">
      <c r="A131" s="2">
        <v>2</v>
      </c>
      <c r="B131" s="2">
        <v>4</v>
      </c>
      <c r="C131" s="2">
        <v>2</v>
      </c>
      <c r="D131" s="6">
        <f>SUMPRODUCT(A131:C131,A125:C125)</f>
        <v>40</v>
      </c>
      <c r="E131" s="21" t="s">
        <v>7</v>
      </c>
      <c r="F131" s="2">
        <v>40</v>
      </c>
    </row>
    <row r="132" spans="1:6">
      <c r="A132" s="2">
        <v>4</v>
      </c>
      <c r="B132" s="2">
        <v>1</v>
      </c>
      <c r="C132" s="2">
        <v>1</v>
      </c>
      <c r="D132" s="6">
        <f>SUMPRODUCT(A132:C132,A125:C125)</f>
        <v>60</v>
      </c>
      <c r="E132" s="21" t="s">
        <v>7</v>
      </c>
      <c r="F132" s="2">
        <v>60</v>
      </c>
    </row>
  </sheetData>
  <mergeCells count="2">
    <mergeCell ref="A79:C79"/>
    <mergeCell ref="A118:I1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54A2-9118-4212-B167-914BF31E6B7D}">
  <dimension ref="A1:O167"/>
  <sheetViews>
    <sheetView workbookViewId="0">
      <selection activeCell="A6" sqref="A6:O36"/>
    </sheetView>
  </sheetViews>
  <sheetFormatPr defaultRowHeight="14.4"/>
  <sheetData>
    <row r="1" spans="1:15">
      <c r="A1" t="s">
        <v>52</v>
      </c>
    </row>
    <row r="2" spans="1:15">
      <c r="A2" t="s">
        <v>53</v>
      </c>
    </row>
    <row r="4" spans="1:15">
      <c r="A4" t="s">
        <v>67</v>
      </c>
      <c r="D4" s="33"/>
      <c r="F4" s="34"/>
      <c r="H4" s="16" t="s">
        <v>70</v>
      </c>
      <c r="J4" s="35" t="s">
        <v>71</v>
      </c>
    </row>
    <row r="6" spans="1:15">
      <c r="B6" t="s">
        <v>17</v>
      </c>
      <c r="D6" t="s">
        <v>18</v>
      </c>
      <c r="F6" t="s">
        <v>19</v>
      </c>
      <c r="H6" t="s">
        <v>20</v>
      </c>
      <c r="J6" t="s">
        <v>34</v>
      </c>
      <c r="N6" t="s">
        <v>54</v>
      </c>
    </row>
    <row r="7" spans="1:15">
      <c r="A7" t="s">
        <v>22</v>
      </c>
      <c r="B7" s="22"/>
      <c r="C7" s="23">
        <v>4</v>
      </c>
      <c r="D7" s="22"/>
      <c r="E7" s="39">
        <v>6</v>
      </c>
      <c r="F7" s="11"/>
      <c r="G7" s="12">
        <v>3</v>
      </c>
      <c r="H7" s="11"/>
      <c r="I7" s="12">
        <v>4</v>
      </c>
      <c r="J7" s="11"/>
      <c r="K7" s="40">
        <v>1</v>
      </c>
    </row>
    <row r="8" spans="1:15">
      <c r="B8" s="24">
        <v>200</v>
      </c>
      <c r="C8" s="25"/>
      <c r="D8" s="24">
        <v>100</v>
      </c>
      <c r="E8" s="25"/>
      <c r="F8" s="13">
        <v>0</v>
      </c>
      <c r="G8" s="32">
        <f>M8+G21-G7</f>
        <v>5</v>
      </c>
      <c r="H8" s="13">
        <v>0</v>
      </c>
      <c r="I8" s="32">
        <f>M8+I21-I7</f>
        <v>1</v>
      </c>
      <c r="J8" s="13">
        <v>0</v>
      </c>
      <c r="K8" s="32">
        <f>M8+K21-K7</f>
        <v>-6</v>
      </c>
      <c r="L8" s="37" t="s">
        <v>56</v>
      </c>
      <c r="M8" s="38">
        <v>0</v>
      </c>
      <c r="N8">
        <f>O8-(SUM(B8,D8,F8,H8,J8))</f>
        <v>0</v>
      </c>
      <c r="O8">
        <v>300</v>
      </c>
    </row>
    <row r="9" spans="1:15">
      <c r="A9" t="s">
        <v>23</v>
      </c>
      <c r="B9" s="11"/>
      <c r="C9" s="12">
        <v>7</v>
      </c>
      <c r="D9" s="22"/>
      <c r="E9" s="40">
        <v>3</v>
      </c>
      <c r="F9" s="22"/>
      <c r="G9" s="39">
        <v>5</v>
      </c>
      <c r="H9" s="22"/>
      <c r="I9" s="23">
        <v>2</v>
      </c>
      <c r="J9" s="11"/>
      <c r="K9" s="12">
        <v>2</v>
      </c>
    </row>
    <row r="10" spans="1:15">
      <c r="B10" s="13">
        <v>0</v>
      </c>
      <c r="C10" s="32">
        <f>C21+M10-C9</f>
        <v>-6</v>
      </c>
      <c r="D10" s="24">
        <v>100</v>
      </c>
      <c r="E10" s="25"/>
      <c r="F10" s="24">
        <v>100</v>
      </c>
      <c r="G10" s="25"/>
      <c r="H10" s="24">
        <v>0</v>
      </c>
      <c r="I10" s="25"/>
      <c r="J10" s="13">
        <v>0</v>
      </c>
      <c r="K10" s="32">
        <f>K21+M10-K9</f>
        <v>-10</v>
      </c>
      <c r="L10" s="37" t="s">
        <v>57</v>
      </c>
      <c r="M10" s="38">
        <v>-3</v>
      </c>
      <c r="N10">
        <f t="shared" ref="N10:N18" si="0">O10-(SUM(B10,D10,F10,H10,J10))</f>
        <v>0</v>
      </c>
      <c r="O10">
        <v>200</v>
      </c>
    </row>
    <row r="11" spans="1:15">
      <c r="A11" t="s">
        <v>24</v>
      </c>
      <c r="B11" s="11"/>
      <c r="C11" s="12">
        <v>5</v>
      </c>
      <c r="D11" s="11"/>
      <c r="E11" s="12">
        <v>3</v>
      </c>
      <c r="F11" s="22"/>
      <c r="G11" s="23">
        <v>2</v>
      </c>
      <c r="H11" s="11"/>
      <c r="I11" s="12">
        <v>4</v>
      </c>
      <c r="J11" s="11"/>
      <c r="K11" s="12">
        <v>4</v>
      </c>
    </row>
    <row r="12" spans="1:15">
      <c r="B12" s="13">
        <v>0</v>
      </c>
      <c r="C12" s="32">
        <f>C21+M12-C11</f>
        <v>-7</v>
      </c>
      <c r="D12" s="13">
        <v>0</v>
      </c>
      <c r="E12" s="32">
        <f>E21+M12-E11</f>
        <v>-3</v>
      </c>
      <c r="F12" s="24">
        <v>100</v>
      </c>
      <c r="G12" s="25"/>
      <c r="H12" s="13">
        <v>0</v>
      </c>
      <c r="I12" s="32">
        <f>I21+M12-I11</f>
        <v>-5</v>
      </c>
      <c r="J12" s="13">
        <v>0</v>
      </c>
      <c r="K12" s="32">
        <f>K21+M12-K11</f>
        <v>-15</v>
      </c>
      <c r="L12" s="37" t="s">
        <v>58</v>
      </c>
      <c r="M12" s="38">
        <v>-6</v>
      </c>
      <c r="N12">
        <f t="shared" si="0"/>
        <v>0</v>
      </c>
      <c r="O12">
        <v>100</v>
      </c>
    </row>
    <row r="13" spans="1:15">
      <c r="A13" t="s">
        <v>25</v>
      </c>
      <c r="B13" s="11"/>
      <c r="C13" s="12">
        <v>2</v>
      </c>
      <c r="D13" s="11"/>
      <c r="E13" s="12">
        <v>3</v>
      </c>
      <c r="F13" s="22"/>
      <c r="G13" s="23">
        <v>4</v>
      </c>
      <c r="H13" s="11"/>
      <c r="I13" s="12">
        <v>6</v>
      </c>
      <c r="J13" s="11"/>
      <c r="K13" s="12">
        <v>5</v>
      </c>
    </row>
    <row r="14" spans="1:15">
      <c r="B14" s="13">
        <v>0</v>
      </c>
      <c r="C14" s="32">
        <f>C21+M14-C13</f>
        <v>-2</v>
      </c>
      <c r="D14" s="13">
        <v>0</v>
      </c>
      <c r="E14" s="32">
        <f>E21+M14-E13</f>
        <v>-1</v>
      </c>
      <c r="F14" s="24">
        <v>100</v>
      </c>
      <c r="G14" s="25"/>
      <c r="H14" s="13">
        <v>0</v>
      </c>
      <c r="I14" s="32">
        <f>I21+M14-I13</f>
        <v>-5</v>
      </c>
      <c r="J14" s="13">
        <v>0</v>
      </c>
      <c r="K14" s="32">
        <f>K21+M14-K13</f>
        <v>-14</v>
      </c>
      <c r="L14" s="37" t="s">
        <v>59</v>
      </c>
      <c r="M14" s="38">
        <v>-4</v>
      </c>
      <c r="N14">
        <f t="shared" si="0"/>
        <v>0</v>
      </c>
      <c r="O14">
        <v>100</v>
      </c>
    </row>
    <row r="15" spans="1:15">
      <c r="A15" t="s">
        <v>35</v>
      </c>
      <c r="B15" s="11"/>
      <c r="C15" s="12">
        <v>1</v>
      </c>
      <c r="D15" s="11"/>
      <c r="E15" s="12">
        <v>4</v>
      </c>
      <c r="F15" s="11"/>
      <c r="G15" s="12">
        <v>4</v>
      </c>
      <c r="H15" s="22"/>
      <c r="I15" s="23">
        <v>3</v>
      </c>
      <c r="J15" s="11"/>
      <c r="K15" s="12">
        <v>3</v>
      </c>
    </row>
    <row r="16" spans="1:15">
      <c r="B16" s="13">
        <v>0</v>
      </c>
      <c r="C16" s="32">
        <f>C21+M16-C15</f>
        <v>11</v>
      </c>
      <c r="D16" s="13">
        <v>0</v>
      </c>
      <c r="E16" s="32">
        <f>E21+M16-E15</f>
        <v>10</v>
      </c>
      <c r="F16" s="13">
        <v>0</v>
      </c>
      <c r="G16" s="32">
        <f>G21+M16-G15</f>
        <v>12</v>
      </c>
      <c r="H16" s="24">
        <v>200</v>
      </c>
      <c r="I16" s="25"/>
      <c r="J16" s="13">
        <v>0</v>
      </c>
      <c r="K16" s="32">
        <f>K21+K15-M16</f>
        <v>-10</v>
      </c>
      <c r="L16" s="37" t="s">
        <v>65</v>
      </c>
      <c r="M16" s="38">
        <f>I21+I15</f>
        <v>8</v>
      </c>
      <c r="N16">
        <f t="shared" si="0"/>
        <v>0</v>
      </c>
      <c r="O16">
        <v>200</v>
      </c>
    </row>
    <row r="17" spans="1:15">
      <c r="A17" t="s">
        <v>47</v>
      </c>
      <c r="B17" s="11"/>
      <c r="C17" s="12">
        <v>0</v>
      </c>
      <c r="D17" s="11"/>
      <c r="E17" s="12">
        <v>0</v>
      </c>
      <c r="F17" s="11"/>
      <c r="G17" s="40">
        <v>0</v>
      </c>
      <c r="H17" s="22"/>
      <c r="I17" s="23">
        <v>0</v>
      </c>
      <c r="J17" s="22"/>
      <c r="K17" s="39">
        <v>0</v>
      </c>
    </row>
    <row r="18" spans="1:15">
      <c r="B18" s="13">
        <v>0</v>
      </c>
      <c r="C18" s="32">
        <f>C21+$M$18-C17</f>
        <v>9</v>
      </c>
      <c r="D18" s="13">
        <v>0</v>
      </c>
      <c r="E18" s="32">
        <f>E21+$M$18-E17</f>
        <v>11</v>
      </c>
      <c r="F18" s="13">
        <v>0</v>
      </c>
      <c r="G18" s="32">
        <f>G21+$M$18-G17</f>
        <v>13</v>
      </c>
      <c r="H18" s="24">
        <v>100</v>
      </c>
      <c r="I18" s="25"/>
      <c r="J18" s="24">
        <v>100</v>
      </c>
      <c r="K18" s="25"/>
      <c r="L18" s="37" t="s">
        <v>66</v>
      </c>
      <c r="M18" s="38">
        <f>I17+I21</f>
        <v>5</v>
      </c>
      <c r="N18">
        <f t="shared" si="0"/>
        <v>0</v>
      </c>
      <c r="O18">
        <v>200</v>
      </c>
    </row>
    <row r="20" spans="1:15">
      <c r="C20" s="36" t="s">
        <v>60</v>
      </c>
      <c r="E20" s="36" t="s">
        <v>61</v>
      </c>
      <c r="G20" s="36" t="s">
        <v>62</v>
      </c>
      <c r="I20" s="36" t="s">
        <v>63</v>
      </c>
      <c r="K20" s="36" t="s">
        <v>64</v>
      </c>
    </row>
    <row r="21" spans="1:15">
      <c r="C21" s="36">
        <v>4</v>
      </c>
      <c r="E21" s="36">
        <v>6</v>
      </c>
      <c r="G21" s="36">
        <v>8</v>
      </c>
      <c r="I21" s="36">
        <f>I9-M10</f>
        <v>5</v>
      </c>
      <c r="K21" s="36">
        <f>K17-M18</f>
        <v>-5</v>
      </c>
      <c r="L21" t="s">
        <v>55</v>
      </c>
      <c r="N21">
        <f>SUM(N8:N18)</f>
        <v>0</v>
      </c>
    </row>
    <row r="22" spans="1:15">
      <c r="B22">
        <f>SUM(B7:B18)-B23</f>
        <v>0</v>
      </c>
      <c r="D22">
        <f>SUM(D7:D18)-D23</f>
        <v>0</v>
      </c>
      <c r="F22">
        <f>SUM(F7:F18)-F23</f>
        <v>0</v>
      </c>
      <c r="H22">
        <f>SUM(H7:H18)-H23</f>
        <v>0</v>
      </c>
      <c r="J22">
        <f>SUM(J7:J18)-J23</f>
        <v>0</v>
      </c>
      <c r="M22">
        <f>SUM(B22:J22)</f>
        <v>0</v>
      </c>
      <c r="N22" s="15">
        <f>B8*C7+D8*E7+F8*G7+H8*I7+B10*C9+D10*E9+F10*G9+H10*I9+B12*C11+D12*E11+F12*G11+H12*I11+B16*C15+D16*E15+F16*G15+H16*I15+J8*K7+J10*K9+J12*K11+J16*K15+B14*C13+D14*E13+F14*G13+H14*I13+J14*K13+B18*C17+D18*E17+F18*G17+H18*I17+J18*K17</f>
        <v>3400</v>
      </c>
      <c r="O22" s="15">
        <f>SUMPRODUCT(B25:F29,B32:F36)</f>
        <v>3400</v>
      </c>
    </row>
    <row r="23" spans="1:15">
      <c r="B23">
        <v>200</v>
      </c>
      <c r="D23">
        <v>200</v>
      </c>
      <c r="F23">
        <v>300</v>
      </c>
      <c r="H23">
        <v>300</v>
      </c>
      <c r="J23">
        <v>100</v>
      </c>
      <c r="N23" s="16">
        <f>SUM(B23:K23)</f>
        <v>1100</v>
      </c>
      <c r="O23" s="16">
        <f>SUM(O8:O18)</f>
        <v>1100</v>
      </c>
    </row>
    <row r="25" spans="1:15">
      <c r="B25" s="1">
        <f>B8</f>
        <v>200</v>
      </c>
      <c r="C25" s="1">
        <f>D8</f>
        <v>100</v>
      </c>
      <c r="D25" s="1">
        <f>F8</f>
        <v>0</v>
      </c>
      <c r="E25" s="1">
        <f>H8</f>
        <v>0</v>
      </c>
      <c r="F25" s="1">
        <f>J8</f>
        <v>0</v>
      </c>
    </row>
    <row r="26" spans="1:15">
      <c r="B26" s="1">
        <f>B10</f>
        <v>0</v>
      </c>
      <c r="C26" s="1">
        <f>D10</f>
        <v>100</v>
      </c>
      <c r="D26" s="1">
        <f>F10</f>
        <v>100</v>
      </c>
      <c r="E26" s="1">
        <f>H10</f>
        <v>0</v>
      </c>
      <c r="F26" s="1">
        <f>J10</f>
        <v>0</v>
      </c>
    </row>
    <row r="27" spans="1:15">
      <c r="A27" t="s">
        <v>29</v>
      </c>
      <c r="B27" s="1">
        <f>B12</f>
        <v>0</v>
      </c>
      <c r="C27" s="1">
        <f>D12</f>
        <v>0</v>
      </c>
      <c r="D27" s="1">
        <f>F12</f>
        <v>100</v>
      </c>
      <c r="E27" s="1">
        <f>H12</f>
        <v>0</v>
      </c>
      <c r="F27" s="1">
        <f>J12</f>
        <v>0</v>
      </c>
    </row>
    <row r="28" spans="1:15">
      <c r="B28" s="1">
        <f>B14</f>
        <v>0</v>
      </c>
      <c r="C28" s="1">
        <f>D14</f>
        <v>0</v>
      </c>
      <c r="D28" s="1">
        <f>F14</f>
        <v>100</v>
      </c>
      <c r="E28" s="1">
        <f>H14</f>
        <v>0</v>
      </c>
      <c r="F28" s="1">
        <f>J14</f>
        <v>0</v>
      </c>
    </row>
    <row r="29" spans="1:15">
      <c r="B29" s="1">
        <f>B16</f>
        <v>0</v>
      </c>
      <c r="C29" s="1">
        <f>D16</f>
        <v>0</v>
      </c>
      <c r="D29" s="1">
        <f>F16</f>
        <v>0</v>
      </c>
      <c r="E29" s="1">
        <f>H16</f>
        <v>200</v>
      </c>
      <c r="F29" s="1">
        <f>J16</f>
        <v>0</v>
      </c>
    </row>
    <row r="32" spans="1:15">
      <c r="B32" s="2">
        <f>C7</f>
        <v>4</v>
      </c>
      <c r="C32" s="2">
        <f>E7</f>
        <v>6</v>
      </c>
      <c r="D32" s="2">
        <f>G7</f>
        <v>3</v>
      </c>
      <c r="E32" s="2">
        <f>I7</f>
        <v>4</v>
      </c>
      <c r="F32" s="2">
        <f>K7</f>
        <v>1</v>
      </c>
    </row>
    <row r="33" spans="1:15">
      <c r="B33" s="2">
        <f>C9</f>
        <v>7</v>
      </c>
      <c r="C33" s="2">
        <f>E9</f>
        <v>3</v>
      </c>
      <c r="D33" s="2">
        <f>G9</f>
        <v>5</v>
      </c>
      <c r="E33" s="2">
        <f>I9</f>
        <v>2</v>
      </c>
      <c r="F33" s="2">
        <f>K9</f>
        <v>2</v>
      </c>
    </row>
    <row r="34" spans="1:15">
      <c r="A34" t="s">
        <v>28</v>
      </c>
      <c r="B34" s="2">
        <f>C11</f>
        <v>5</v>
      </c>
      <c r="C34" s="2">
        <f>E11</f>
        <v>3</v>
      </c>
      <c r="D34" s="2">
        <f>G11</f>
        <v>2</v>
      </c>
      <c r="E34" s="2">
        <f>I11</f>
        <v>4</v>
      </c>
      <c r="F34" s="2">
        <f>K11</f>
        <v>4</v>
      </c>
    </row>
    <row r="35" spans="1:15">
      <c r="B35" s="2">
        <f>C13</f>
        <v>2</v>
      </c>
      <c r="C35" s="2">
        <f>E13</f>
        <v>3</v>
      </c>
      <c r="D35" s="2">
        <f>G13</f>
        <v>4</v>
      </c>
      <c r="E35" s="2">
        <f>I13</f>
        <v>6</v>
      </c>
      <c r="F35" s="2">
        <f>K13</f>
        <v>5</v>
      </c>
    </row>
    <row r="36" spans="1:15">
      <c r="B36" s="2">
        <f>C15</f>
        <v>1</v>
      </c>
      <c r="C36" s="2">
        <f>E15</f>
        <v>4</v>
      </c>
      <c r="D36" s="2">
        <f>G15</f>
        <v>4</v>
      </c>
      <c r="E36" s="2">
        <f>I15</f>
        <v>3</v>
      </c>
      <c r="F36" s="2">
        <f>K15</f>
        <v>3</v>
      </c>
    </row>
    <row r="38" spans="1:15">
      <c r="B38" t="s">
        <v>17</v>
      </c>
      <c r="D38" t="s">
        <v>18</v>
      </c>
      <c r="F38" t="s">
        <v>19</v>
      </c>
      <c r="H38" t="s">
        <v>20</v>
      </c>
      <c r="J38" t="s">
        <v>34</v>
      </c>
      <c r="N38" t="s">
        <v>54</v>
      </c>
    </row>
    <row r="39" spans="1:15">
      <c r="A39" t="s">
        <v>22</v>
      </c>
      <c r="B39" s="22"/>
      <c r="C39" s="39">
        <v>4</v>
      </c>
      <c r="D39" s="22"/>
      <c r="E39" s="23">
        <v>6</v>
      </c>
      <c r="F39" s="11"/>
      <c r="G39" s="40">
        <v>3</v>
      </c>
      <c r="H39" s="11"/>
      <c r="I39" s="12">
        <v>4</v>
      </c>
      <c r="J39" s="22"/>
      <c r="K39" s="23">
        <v>1</v>
      </c>
    </row>
    <row r="40" spans="1:15">
      <c r="B40" s="24">
        <v>200</v>
      </c>
      <c r="C40" s="25"/>
      <c r="D40" s="24">
        <v>0</v>
      </c>
      <c r="E40" s="25"/>
      <c r="F40" s="13">
        <v>0</v>
      </c>
      <c r="G40" s="32">
        <f>G53+M40-G39</f>
        <v>5</v>
      </c>
      <c r="H40" s="13">
        <v>0</v>
      </c>
      <c r="I40" s="32">
        <f>I53+M40-I39</f>
        <v>4</v>
      </c>
      <c r="J40" s="24">
        <v>100</v>
      </c>
      <c r="K40" s="25"/>
      <c r="L40" s="37" t="s">
        <v>56</v>
      </c>
      <c r="M40" s="38">
        <v>0</v>
      </c>
      <c r="N40">
        <f>O40-(SUM(B40,D40,F40,H40,J40))</f>
        <v>0</v>
      </c>
      <c r="O40">
        <v>300</v>
      </c>
    </row>
    <row r="41" spans="1:15">
      <c r="A41" t="s">
        <v>23</v>
      </c>
      <c r="B41" s="11"/>
      <c r="C41" s="12">
        <v>7</v>
      </c>
      <c r="D41" s="22"/>
      <c r="E41" s="23">
        <v>3</v>
      </c>
      <c r="F41" s="22"/>
      <c r="G41" s="23">
        <v>5</v>
      </c>
      <c r="H41" s="11"/>
      <c r="I41" s="12">
        <v>2</v>
      </c>
      <c r="J41" s="11"/>
      <c r="K41" s="12">
        <v>2</v>
      </c>
    </row>
    <row r="42" spans="1:15">
      <c r="B42" s="13">
        <v>0</v>
      </c>
      <c r="C42" s="32">
        <f>M42+C53-C41</f>
        <v>-6</v>
      </c>
      <c r="D42" s="24">
        <v>200</v>
      </c>
      <c r="E42" s="25"/>
      <c r="F42" s="24">
        <v>0</v>
      </c>
      <c r="G42" s="25"/>
      <c r="H42" s="13">
        <v>0</v>
      </c>
      <c r="I42" s="32">
        <f>I53+M42-I41</f>
        <v>3</v>
      </c>
      <c r="J42" s="13">
        <v>0</v>
      </c>
      <c r="K42" s="32">
        <f>K53+M42-K41</f>
        <v>-4</v>
      </c>
      <c r="L42" s="37" t="s">
        <v>57</v>
      </c>
      <c r="M42" s="38">
        <v>-3</v>
      </c>
      <c r="N42">
        <f t="shared" ref="N42" si="1">O42-(SUM(B42,D42,F42,H42,J42))</f>
        <v>0</v>
      </c>
      <c r="O42">
        <v>200</v>
      </c>
    </row>
    <row r="43" spans="1:15">
      <c r="A43" t="s">
        <v>24</v>
      </c>
      <c r="B43" s="11"/>
      <c r="C43" s="12">
        <v>5</v>
      </c>
      <c r="D43" s="11"/>
      <c r="E43" s="12">
        <v>3</v>
      </c>
      <c r="F43" s="22"/>
      <c r="G43" s="23">
        <v>2</v>
      </c>
      <c r="H43" s="11"/>
      <c r="I43" s="12">
        <v>4</v>
      </c>
      <c r="J43" s="11"/>
      <c r="K43" s="12">
        <v>4</v>
      </c>
    </row>
    <row r="44" spans="1:15">
      <c r="B44" s="13">
        <v>0</v>
      </c>
      <c r="C44" s="32">
        <f>C53+M44-C43</f>
        <v>-7</v>
      </c>
      <c r="D44" s="13">
        <v>0</v>
      </c>
      <c r="E44" s="32">
        <f>E53+M44-E43</f>
        <v>-3</v>
      </c>
      <c r="F44" s="24">
        <v>100</v>
      </c>
      <c r="G44" s="25"/>
      <c r="H44" s="13">
        <v>0</v>
      </c>
      <c r="I44" s="32">
        <f>I53+M44-I43</f>
        <v>-2</v>
      </c>
      <c r="J44" s="13">
        <v>0</v>
      </c>
      <c r="K44" s="32">
        <f>K53+M44-K43</f>
        <v>-9</v>
      </c>
      <c r="L44" s="37" t="s">
        <v>58</v>
      </c>
      <c r="M44" s="38">
        <v>-6</v>
      </c>
      <c r="N44">
        <f t="shared" ref="N44" si="2">O44-(SUM(B44,D44,F44,H44,J44))</f>
        <v>0</v>
      </c>
      <c r="O44">
        <v>100</v>
      </c>
    </row>
    <row r="45" spans="1:15">
      <c r="A45" t="s">
        <v>25</v>
      </c>
      <c r="B45" s="11"/>
      <c r="C45" s="40">
        <v>2</v>
      </c>
      <c r="D45" s="11"/>
      <c r="E45" s="12">
        <v>3</v>
      </c>
      <c r="F45" s="22"/>
      <c r="G45" s="39">
        <v>4</v>
      </c>
      <c r="H45" s="11"/>
      <c r="I45" s="12">
        <v>6</v>
      </c>
      <c r="J45" s="11"/>
      <c r="K45" s="12">
        <v>5</v>
      </c>
    </row>
    <row r="46" spans="1:15">
      <c r="B46" s="13">
        <v>0</v>
      </c>
      <c r="C46" s="32">
        <f>C53+M46-C45</f>
        <v>-2</v>
      </c>
      <c r="D46" s="13">
        <v>0</v>
      </c>
      <c r="E46" s="32">
        <f>E53+M46-E45</f>
        <v>-1</v>
      </c>
      <c r="F46" s="24">
        <v>100</v>
      </c>
      <c r="G46" s="25"/>
      <c r="H46" s="13">
        <v>0</v>
      </c>
      <c r="I46" s="32">
        <f>I53+M46-I45</f>
        <v>-2</v>
      </c>
      <c r="J46" s="13">
        <v>0</v>
      </c>
      <c r="K46" s="32">
        <f>K53+M46-K45</f>
        <v>-8</v>
      </c>
      <c r="L46" s="37" t="s">
        <v>59</v>
      </c>
      <c r="M46" s="38">
        <v>-4</v>
      </c>
      <c r="N46">
        <f t="shared" ref="N46" si="3">O46-(SUM(B46,D46,F46,H46,J46))</f>
        <v>0</v>
      </c>
      <c r="O46">
        <v>100</v>
      </c>
    </row>
    <row r="47" spans="1:15">
      <c r="A47" t="s">
        <v>35</v>
      </c>
      <c r="B47" s="11"/>
      <c r="C47" s="12">
        <v>1</v>
      </c>
      <c r="D47" s="11"/>
      <c r="E47" s="12">
        <v>4</v>
      </c>
      <c r="F47" s="11"/>
      <c r="G47" s="12">
        <v>4</v>
      </c>
      <c r="H47" s="22"/>
      <c r="I47" s="23">
        <v>3</v>
      </c>
      <c r="J47" s="11"/>
      <c r="K47" s="12">
        <v>3</v>
      </c>
    </row>
    <row r="48" spans="1:15">
      <c r="B48" s="13">
        <v>0</v>
      </c>
      <c r="C48" s="32">
        <f>C53+M48-C47</f>
        <v>-2</v>
      </c>
      <c r="D48" s="13">
        <v>0</v>
      </c>
      <c r="E48" s="32">
        <f>E53+M48-E47</f>
        <v>-3</v>
      </c>
      <c r="F48" s="13">
        <v>0</v>
      </c>
      <c r="G48" s="32">
        <f>M48+G53-G47</f>
        <v>-1</v>
      </c>
      <c r="H48" s="24">
        <v>200</v>
      </c>
      <c r="I48" s="25"/>
      <c r="J48" s="13">
        <v>0</v>
      </c>
      <c r="K48" s="32">
        <f>K53+M48-K47</f>
        <v>-7</v>
      </c>
      <c r="L48" s="37" t="s">
        <v>65</v>
      </c>
      <c r="M48" s="38">
        <v>-5</v>
      </c>
      <c r="N48">
        <f t="shared" ref="N48" si="4">O48-(SUM(B48,D48,F48,H48,J48))</f>
        <v>0</v>
      </c>
      <c r="O48">
        <v>200</v>
      </c>
    </row>
    <row r="49" spans="1:15">
      <c r="A49" t="s">
        <v>47</v>
      </c>
      <c r="B49" s="11"/>
      <c r="C49" s="12">
        <v>0</v>
      </c>
      <c r="D49" s="11"/>
      <c r="E49" s="12">
        <v>0</v>
      </c>
      <c r="F49" s="22"/>
      <c r="G49" s="23">
        <v>0</v>
      </c>
      <c r="H49" s="22"/>
      <c r="I49" s="23">
        <v>0</v>
      </c>
      <c r="J49" s="11"/>
      <c r="K49" s="12">
        <v>0</v>
      </c>
    </row>
    <row r="50" spans="1:15">
      <c r="B50" s="13">
        <v>0</v>
      </c>
      <c r="C50" s="32">
        <f>C53+M50-C49</f>
        <v>-4</v>
      </c>
      <c r="D50" s="13">
        <v>0</v>
      </c>
      <c r="E50" s="32">
        <f>E53+M50-E49</f>
        <v>-2</v>
      </c>
      <c r="F50" s="24">
        <v>100</v>
      </c>
      <c r="G50" s="25"/>
      <c r="H50" s="24">
        <v>100</v>
      </c>
      <c r="I50" s="25"/>
      <c r="J50" s="13">
        <v>0</v>
      </c>
      <c r="K50" s="32">
        <f>K53+M50-K49</f>
        <v>-7</v>
      </c>
      <c r="L50" s="37" t="s">
        <v>66</v>
      </c>
      <c r="M50" s="38">
        <v>-8</v>
      </c>
      <c r="N50">
        <f t="shared" ref="N50" si="5">O50-(SUM(B50,D50,F50,H50,J50))</f>
        <v>0</v>
      </c>
      <c r="O50">
        <v>200</v>
      </c>
    </row>
    <row r="52" spans="1:15">
      <c r="C52" s="36" t="s">
        <v>60</v>
      </c>
      <c r="E52" s="36" t="s">
        <v>61</v>
      </c>
      <c r="G52" s="36" t="s">
        <v>62</v>
      </c>
      <c r="I52" s="36" t="s">
        <v>63</v>
      </c>
      <c r="K52" s="36" t="s">
        <v>64</v>
      </c>
    </row>
    <row r="53" spans="1:15">
      <c r="C53" s="36">
        <v>4</v>
      </c>
      <c r="E53" s="36">
        <v>6</v>
      </c>
      <c r="G53" s="36">
        <v>8</v>
      </c>
      <c r="I53" s="36">
        <v>8</v>
      </c>
      <c r="K53" s="36">
        <v>1</v>
      </c>
      <c r="L53" t="s">
        <v>55</v>
      </c>
      <c r="N53">
        <f>SUM(N40:N50)</f>
        <v>0</v>
      </c>
    </row>
    <row r="54" spans="1:15">
      <c r="B54">
        <f>SUM(B39:B50)-B55</f>
        <v>0</v>
      </c>
      <c r="D54">
        <f>SUM(D39:D50)-D55</f>
        <v>0</v>
      </c>
      <c r="F54">
        <f>SUM(F39:F50)-F55</f>
        <v>0</v>
      </c>
      <c r="H54">
        <f>SUM(H39:H50)-H55</f>
        <v>0</v>
      </c>
      <c r="J54">
        <f>SUM(J39:J50)-J55</f>
        <v>0</v>
      </c>
      <c r="M54">
        <f>SUM(B54:J54)</f>
        <v>0</v>
      </c>
      <c r="N54" s="15">
        <f>B40*C39+D40*E39+F40*G39+H40*I39+B42*C41+D42*E41+F42*G41+H42*I41+B44*C43+D44*E43+F44*G43+H44*I43+B48*C47+D48*E47+F48*G47+H48*I47+J40*K39+J42*K41+J44*K43+J48*K47+B46*C45+D46*E45+F46*G45+H46*I45+J46*K45+B50*C49+D50*E49+F50*G49+H50*I49+J50*K49</f>
        <v>2700</v>
      </c>
      <c r="O54" s="15">
        <f>SUMPRODUCT(B57:F61,B64:F68)</f>
        <v>2700</v>
      </c>
    </row>
    <row r="55" spans="1:15">
      <c r="B55">
        <v>200</v>
      </c>
      <c r="D55">
        <v>200</v>
      </c>
      <c r="F55">
        <v>300</v>
      </c>
      <c r="H55">
        <v>300</v>
      </c>
      <c r="J55">
        <v>100</v>
      </c>
      <c r="N55" s="16">
        <f>SUM(B55:K55)</f>
        <v>1100</v>
      </c>
      <c r="O55" s="16">
        <f>SUM(O40:O50)</f>
        <v>1100</v>
      </c>
    </row>
    <row r="57" spans="1:15">
      <c r="B57" s="1">
        <f>B40</f>
        <v>200</v>
      </c>
      <c r="C57" s="1">
        <f>D40</f>
        <v>0</v>
      </c>
      <c r="D57" s="1">
        <f>F40</f>
        <v>0</v>
      </c>
      <c r="E57" s="1">
        <f>H40</f>
        <v>0</v>
      </c>
      <c r="F57" s="1">
        <f>J40</f>
        <v>100</v>
      </c>
    </row>
    <row r="58" spans="1:15">
      <c r="B58" s="1">
        <f>B42</f>
        <v>0</v>
      </c>
      <c r="C58" s="1">
        <f>D42</f>
        <v>200</v>
      </c>
      <c r="D58" s="1">
        <f>F42</f>
        <v>0</v>
      </c>
      <c r="E58" s="1">
        <f>H42</f>
        <v>0</v>
      </c>
      <c r="F58" s="1">
        <f>J42</f>
        <v>0</v>
      </c>
    </row>
    <row r="59" spans="1:15">
      <c r="A59" t="s">
        <v>29</v>
      </c>
      <c r="B59" s="1">
        <f>B44</f>
        <v>0</v>
      </c>
      <c r="C59" s="1">
        <f>D44</f>
        <v>0</v>
      </c>
      <c r="D59" s="1">
        <f>F44</f>
        <v>100</v>
      </c>
      <c r="E59" s="1">
        <f>H44</f>
        <v>0</v>
      </c>
      <c r="F59" s="1">
        <f>J44</f>
        <v>0</v>
      </c>
    </row>
    <row r="60" spans="1:15">
      <c r="B60" s="1">
        <f>B46</f>
        <v>0</v>
      </c>
      <c r="C60" s="1">
        <f>D46</f>
        <v>0</v>
      </c>
      <c r="D60" s="1">
        <f>F46</f>
        <v>100</v>
      </c>
      <c r="E60" s="1">
        <f>H46</f>
        <v>0</v>
      </c>
      <c r="F60" s="1">
        <f>J46</f>
        <v>0</v>
      </c>
    </row>
    <row r="61" spans="1:15">
      <c r="B61" s="1">
        <f>B48</f>
        <v>0</v>
      </c>
      <c r="C61" s="1">
        <f>D48</f>
        <v>0</v>
      </c>
      <c r="D61" s="1">
        <f>F48</f>
        <v>0</v>
      </c>
      <c r="E61" s="1">
        <f>H48</f>
        <v>200</v>
      </c>
      <c r="F61" s="1">
        <f>J48</f>
        <v>0</v>
      </c>
    </row>
    <row r="64" spans="1:15">
      <c r="B64" s="2">
        <f>C39</f>
        <v>4</v>
      </c>
      <c r="C64" s="2">
        <f>E39</f>
        <v>6</v>
      </c>
      <c r="D64" s="2">
        <f>G39</f>
        <v>3</v>
      </c>
      <c r="E64" s="2">
        <f>I39</f>
        <v>4</v>
      </c>
      <c r="F64" s="2">
        <f>K39</f>
        <v>1</v>
      </c>
    </row>
    <row r="65" spans="1:15">
      <c r="B65" s="2">
        <f>C41</f>
        <v>7</v>
      </c>
      <c r="C65" s="2">
        <f>E41</f>
        <v>3</v>
      </c>
      <c r="D65" s="2">
        <f>G41</f>
        <v>5</v>
      </c>
      <c r="E65" s="2">
        <f>I41</f>
        <v>2</v>
      </c>
      <c r="F65" s="2">
        <f>K41</f>
        <v>2</v>
      </c>
    </row>
    <row r="66" spans="1:15">
      <c r="A66" t="s">
        <v>28</v>
      </c>
      <c r="B66" s="2">
        <f>C43</f>
        <v>5</v>
      </c>
      <c r="C66" s="2">
        <f>E43</f>
        <v>3</v>
      </c>
      <c r="D66" s="2">
        <f>G43</f>
        <v>2</v>
      </c>
      <c r="E66" s="2">
        <f>I43</f>
        <v>4</v>
      </c>
      <c r="F66" s="2">
        <f>K43</f>
        <v>4</v>
      </c>
    </row>
    <row r="67" spans="1:15">
      <c r="B67" s="2">
        <f>C45</f>
        <v>2</v>
      </c>
      <c r="C67" s="2">
        <f>E45</f>
        <v>3</v>
      </c>
      <c r="D67" s="2">
        <f>G45</f>
        <v>4</v>
      </c>
      <c r="E67" s="2">
        <f>I45</f>
        <v>6</v>
      </c>
      <c r="F67" s="2">
        <f>K45</f>
        <v>5</v>
      </c>
    </row>
    <row r="68" spans="1:15">
      <c r="B68" s="2">
        <f>C47</f>
        <v>1</v>
      </c>
      <c r="C68" s="2">
        <f>E47</f>
        <v>4</v>
      </c>
      <c r="D68" s="2">
        <f>G47</f>
        <v>4</v>
      </c>
      <c r="E68" s="2">
        <f>I47</f>
        <v>3</v>
      </c>
      <c r="F68" s="2">
        <f>K47</f>
        <v>3</v>
      </c>
    </row>
    <row r="70" spans="1:15">
      <c r="B70" t="s">
        <v>17</v>
      </c>
      <c r="D70" t="s">
        <v>18</v>
      </c>
      <c r="F70" t="s">
        <v>19</v>
      </c>
      <c r="H70" t="s">
        <v>20</v>
      </c>
      <c r="J70" t="s">
        <v>34</v>
      </c>
      <c r="N70" t="s">
        <v>54</v>
      </c>
    </row>
    <row r="71" spans="1:15">
      <c r="A71" t="s">
        <v>22</v>
      </c>
      <c r="B71" s="22"/>
      <c r="C71" s="39">
        <v>4</v>
      </c>
      <c r="D71" s="11"/>
      <c r="E71" s="12">
        <v>6</v>
      </c>
      <c r="F71" s="22"/>
      <c r="G71" s="40">
        <v>3</v>
      </c>
      <c r="H71" s="11"/>
      <c r="I71" s="12">
        <v>4</v>
      </c>
      <c r="J71" s="22"/>
      <c r="K71" s="23">
        <v>1</v>
      </c>
    </row>
    <row r="72" spans="1:15">
      <c r="B72" s="24">
        <v>100</v>
      </c>
      <c r="C72" s="25"/>
      <c r="D72" s="13">
        <v>0</v>
      </c>
      <c r="E72" s="32">
        <f>E85+M72-E71</f>
        <v>-1</v>
      </c>
      <c r="F72" s="24">
        <v>100</v>
      </c>
      <c r="G72" s="25"/>
      <c r="H72" s="13">
        <v>0</v>
      </c>
      <c r="I72" s="32">
        <f>I85+M72-I71</f>
        <v>-1</v>
      </c>
      <c r="J72" s="24">
        <v>100</v>
      </c>
      <c r="K72" s="25"/>
      <c r="L72" s="37" t="s">
        <v>56</v>
      </c>
      <c r="M72" s="38">
        <v>0</v>
      </c>
      <c r="N72">
        <f>O72-(SUM(B72,D72,F72,H72,J72))</f>
        <v>0</v>
      </c>
      <c r="O72">
        <v>300</v>
      </c>
    </row>
    <row r="73" spans="1:15">
      <c r="A73" t="s">
        <v>23</v>
      </c>
      <c r="B73" s="11"/>
      <c r="C73" s="12">
        <v>7</v>
      </c>
      <c r="D73" s="22"/>
      <c r="E73" s="23">
        <v>3</v>
      </c>
      <c r="F73" s="11"/>
      <c r="G73" s="12">
        <v>5</v>
      </c>
      <c r="H73" s="11"/>
      <c r="I73" s="12">
        <v>2</v>
      </c>
      <c r="J73" s="11"/>
      <c r="K73" s="12">
        <v>2</v>
      </c>
    </row>
    <row r="74" spans="1:15">
      <c r="B74" s="13">
        <v>0</v>
      </c>
      <c r="C74" s="32">
        <f>C85+M74-C73</f>
        <v>-5</v>
      </c>
      <c r="D74" s="24">
        <v>200</v>
      </c>
      <c r="E74" s="25"/>
      <c r="F74" s="13">
        <v>0</v>
      </c>
      <c r="G74" s="32">
        <f>G85+M74-G73</f>
        <v>-4</v>
      </c>
      <c r="H74" s="13">
        <v>0</v>
      </c>
      <c r="I74" s="32">
        <f>I85+M74-I73</f>
        <v>-1</v>
      </c>
      <c r="J74" s="13">
        <v>0</v>
      </c>
      <c r="K74" s="32">
        <f>K85+M74-K73</f>
        <v>-3</v>
      </c>
      <c r="L74" s="37" t="s">
        <v>57</v>
      </c>
      <c r="M74" s="38">
        <v>-2</v>
      </c>
      <c r="N74">
        <f t="shared" ref="N74" si="6">O74-(SUM(B74,D74,F74,H74,J74))</f>
        <v>0</v>
      </c>
      <c r="O74">
        <v>200</v>
      </c>
    </row>
    <row r="75" spans="1:15">
      <c r="A75" t="s">
        <v>24</v>
      </c>
      <c r="B75" s="11"/>
      <c r="C75" s="12">
        <v>5</v>
      </c>
      <c r="D75" s="11"/>
      <c r="E75" s="12">
        <v>3</v>
      </c>
      <c r="F75" s="22"/>
      <c r="G75" s="23">
        <v>2</v>
      </c>
      <c r="H75" s="11"/>
      <c r="I75" s="12">
        <v>4</v>
      </c>
      <c r="J75" s="11"/>
      <c r="K75" s="12">
        <v>4</v>
      </c>
    </row>
    <row r="76" spans="1:15">
      <c r="B76" s="13">
        <v>0</v>
      </c>
      <c r="C76" s="32">
        <f>C85+M76-C75</f>
        <v>-2</v>
      </c>
      <c r="D76" s="13">
        <v>0</v>
      </c>
      <c r="E76" s="32">
        <f>E85+M76-E75</f>
        <v>1</v>
      </c>
      <c r="F76" s="24">
        <v>100</v>
      </c>
      <c r="G76" s="25"/>
      <c r="H76" s="13">
        <v>0</v>
      </c>
      <c r="I76" s="32">
        <f>I85+M76-I75</f>
        <v>-2</v>
      </c>
      <c r="J76" s="13">
        <v>0</v>
      </c>
      <c r="K76" s="32">
        <f>K85+M76-K75</f>
        <v>-4</v>
      </c>
      <c r="L76" s="37" t="s">
        <v>58</v>
      </c>
      <c r="M76" s="38">
        <v>-1</v>
      </c>
      <c r="N76">
        <f t="shared" ref="N76" si="7">O76-(SUM(B76,D76,F76,H76,J76))</f>
        <v>0</v>
      </c>
      <c r="O76">
        <v>100</v>
      </c>
    </row>
    <row r="77" spans="1:15">
      <c r="A77" t="s">
        <v>25</v>
      </c>
      <c r="B77" s="22"/>
      <c r="C77" s="23">
        <v>2</v>
      </c>
      <c r="D77" s="11"/>
      <c r="E77" s="12">
        <v>3</v>
      </c>
      <c r="F77" s="11"/>
      <c r="G77" s="12">
        <v>4</v>
      </c>
      <c r="H77" s="11"/>
      <c r="I77" s="12">
        <v>6</v>
      </c>
      <c r="J77" s="11"/>
      <c r="K77" s="12">
        <v>5</v>
      </c>
    </row>
    <row r="78" spans="1:15">
      <c r="B78" s="24">
        <v>100</v>
      </c>
      <c r="C78" s="25"/>
      <c r="D78" s="13">
        <v>0</v>
      </c>
      <c r="E78" s="32">
        <f>E85+M78-E77</f>
        <v>0</v>
      </c>
      <c r="F78" s="13">
        <v>0</v>
      </c>
      <c r="G78" s="32">
        <f>G85+M78-G77</f>
        <v>-3</v>
      </c>
      <c r="H78" s="13">
        <v>0</v>
      </c>
      <c r="I78" s="32">
        <f>I85+M78-I77</f>
        <v>-5</v>
      </c>
      <c r="J78" s="13">
        <v>0</v>
      </c>
      <c r="K78" s="32">
        <f>K85+M78-K77</f>
        <v>-6</v>
      </c>
      <c r="L78" s="37" t="s">
        <v>59</v>
      </c>
      <c r="M78" s="38">
        <v>-2</v>
      </c>
      <c r="N78">
        <f t="shared" ref="N78" si="8">O78-(SUM(B78,D78,F78,H78,J78))</f>
        <v>0</v>
      </c>
      <c r="O78">
        <v>100</v>
      </c>
    </row>
    <row r="79" spans="1:15">
      <c r="A79" t="s">
        <v>35</v>
      </c>
      <c r="B79" s="11"/>
      <c r="C79" s="40">
        <v>1</v>
      </c>
      <c r="D79" s="11"/>
      <c r="E79" s="12">
        <v>4</v>
      </c>
      <c r="F79" s="11"/>
      <c r="G79" s="12">
        <v>4</v>
      </c>
      <c r="H79" s="22"/>
      <c r="I79" s="39">
        <v>3</v>
      </c>
      <c r="J79" s="11"/>
      <c r="K79" s="12">
        <v>3</v>
      </c>
    </row>
    <row r="80" spans="1:15">
      <c r="B80" s="13">
        <v>0</v>
      </c>
      <c r="C80" s="32">
        <f>C85+M80-C79</f>
        <v>3</v>
      </c>
      <c r="D80" s="13">
        <v>0</v>
      </c>
      <c r="E80" s="32">
        <f>E85+M80-E79</f>
        <v>1</v>
      </c>
      <c r="F80" s="13">
        <v>0</v>
      </c>
      <c r="G80" s="32">
        <f>G85+M80-G79</f>
        <v>-1</v>
      </c>
      <c r="H80" s="24">
        <v>200</v>
      </c>
      <c r="I80" s="25"/>
      <c r="J80" s="13">
        <v>0</v>
      </c>
      <c r="K80" s="32">
        <f>K85+M80-K79</f>
        <v>-2</v>
      </c>
      <c r="L80" s="37" t="s">
        <v>65</v>
      </c>
      <c r="M80" s="38">
        <v>0</v>
      </c>
      <c r="N80">
        <f t="shared" ref="N80" si="9">O80-(SUM(B80,D80,F80,H80,J80))</f>
        <v>0</v>
      </c>
      <c r="O80">
        <v>200</v>
      </c>
    </row>
    <row r="81" spans="1:15">
      <c r="A81" t="s">
        <v>47</v>
      </c>
      <c r="B81" s="11"/>
      <c r="C81" s="12">
        <v>0</v>
      </c>
      <c r="D81" s="11"/>
      <c r="E81" s="12">
        <v>0</v>
      </c>
      <c r="F81" s="22"/>
      <c r="G81" s="40">
        <v>0</v>
      </c>
      <c r="H81" s="22"/>
      <c r="I81" s="40">
        <v>0</v>
      </c>
      <c r="J81" s="11"/>
      <c r="K81" s="12">
        <v>0</v>
      </c>
    </row>
    <row r="82" spans="1:15">
      <c r="B82" s="13">
        <v>0</v>
      </c>
      <c r="C82" s="32">
        <f>C85+M82-C81</f>
        <v>1</v>
      </c>
      <c r="D82" s="13">
        <v>0</v>
      </c>
      <c r="E82" s="32">
        <f>E85+M82-E81</f>
        <v>2</v>
      </c>
      <c r="F82" s="24">
        <v>100</v>
      </c>
      <c r="G82" s="25"/>
      <c r="H82" s="24">
        <v>100</v>
      </c>
      <c r="I82" s="25"/>
      <c r="J82" s="13">
        <v>0</v>
      </c>
      <c r="K82" s="32">
        <f>M82+K85-K81</f>
        <v>-2</v>
      </c>
      <c r="L82" s="37" t="s">
        <v>66</v>
      </c>
      <c r="M82" s="38">
        <v>-3</v>
      </c>
      <c r="N82">
        <f t="shared" ref="N82" si="10">O82-(SUM(B82,D82,F82,H82,J82))</f>
        <v>0</v>
      </c>
      <c r="O82">
        <v>200</v>
      </c>
    </row>
    <row r="84" spans="1:15">
      <c r="C84" s="36" t="s">
        <v>60</v>
      </c>
      <c r="E84" s="36" t="s">
        <v>61</v>
      </c>
      <c r="G84" s="36" t="s">
        <v>62</v>
      </c>
      <c r="I84" s="36" t="s">
        <v>63</v>
      </c>
      <c r="K84" s="36" t="s">
        <v>64</v>
      </c>
    </row>
    <row r="85" spans="1:15">
      <c r="C85" s="36">
        <v>4</v>
      </c>
      <c r="E85" s="36">
        <v>5</v>
      </c>
      <c r="G85" s="36">
        <v>3</v>
      </c>
      <c r="I85" s="36">
        <v>3</v>
      </c>
      <c r="K85" s="36">
        <v>1</v>
      </c>
      <c r="N85">
        <f>SUM(N72:N82)</f>
        <v>0</v>
      </c>
    </row>
    <row r="86" spans="1:15">
      <c r="B86">
        <f>SUM(B71:B82)-B87</f>
        <v>0</v>
      </c>
      <c r="D86">
        <f>SUM(D71:D82)-D87</f>
        <v>0</v>
      </c>
      <c r="F86">
        <f>SUM(F71:F82)-F87</f>
        <v>0</v>
      </c>
      <c r="H86">
        <f>SUM(H71:H82)-H87</f>
        <v>0</v>
      </c>
      <c r="J86">
        <f>SUM(J71:J82)-J87</f>
        <v>0</v>
      </c>
      <c r="M86">
        <f>SUM(B86:J86)</f>
        <v>0</v>
      </c>
      <c r="N86" s="15">
        <f>B72*C71+D72*E71+F72*G71+H72*I71+B74*C73+D74*E73+F74*G73+H74*I73+B76*C75+D76*E75+F76*G75+H76*I75+B80*C79+D80*E79+F80*G79+H80*I79+J72*K71+J74*K73+J76*K75+J80*K79+B78*C77+D78*E77+F78*G77+H78*I77+J78*K77+B82*C81+D82*E81+F82*G81+H82*I81+J82*K81</f>
        <v>2400</v>
      </c>
      <c r="O86" s="15">
        <f>SUMPRODUCT(B89:F93,B96:F100)</f>
        <v>2400</v>
      </c>
    </row>
    <row r="87" spans="1:15">
      <c r="B87">
        <v>200</v>
      </c>
      <c r="D87">
        <v>200</v>
      </c>
      <c r="F87">
        <v>300</v>
      </c>
      <c r="H87">
        <v>300</v>
      </c>
      <c r="J87">
        <v>100</v>
      </c>
      <c r="N87" s="16">
        <f>SUM(B87:K87)</f>
        <v>1100</v>
      </c>
      <c r="O87" s="16">
        <f>SUM(O72:O82)</f>
        <v>1100</v>
      </c>
    </row>
    <row r="89" spans="1:15">
      <c r="B89" s="1">
        <f>B72</f>
        <v>100</v>
      </c>
      <c r="C89" s="1">
        <f>D72</f>
        <v>0</v>
      </c>
      <c r="D89" s="1">
        <f>F72</f>
        <v>100</v>
      </c>
      <c r="E89" s="1">
        <f>H72</f>
        <v>0</v>
      </c>
      <c r="F89" s="1">
        <f>J72</f>
        <v>100</v>
      </c>
    </row>
    <row r="90" spans="1:15">
      <c r="B90" s="1">
        <f>B74</f>
        <v>0</v>
      </c>
      <c r="C90" s="1">
        <f>D74</f>
        <v>200</v>
      </c>
      <c r="D90" s="1">
        <f>F74</f>
        <v>0</v>
      </c>
      <c r="E90" s="1">
        <f>H74</f>
        <v>0</v>
      </c>
      <c r="F90" s="1">
        <f>J74</f>
        <v>0</v>
      </c>
    </row>
    <row r="91" spans="1:15">
      <c r="A91" t="s">
        <v>29</v>
      </c>
      <c r="B91" s="1">
        <f>B76</f>
        <v>0</v>
      </c>
      <c r="C91" s="1">
        <f>D76</f>
        <v>0</v>
      </c>
      <c r="D91" s="1">
        <f>F76</f>
        <v>100</v>
      </c>
      <c r="E91" s="1">
        <f>H76</f>
        <v>0</v>
      </c>
      <c r="F91" s="1">
        <f>J76</f>
        <v>0</v>
      </c>
    </row>
    <row r="92" spans="1:15">
      <c r="B92" s="1">
        <f>B78</f>
        <v>100</v>
      </c>
      <c r="C92" s="1">
        <f>D78</f>
        <v>0</v>
      </c>
      <c r="D92" s="1">
        <f>F78</f>
        <v>0</v>
      </c>
      <c r="E92" s="1">
        <f>H78</f>
        <v>0</v>
      </c>
      <c r="F92" s="1">
        <f>J78</f>
        <v>0</v>
      </c>
    </row>
    <row r="93" spans="1:15">
      <c r="B93" s="1">
        <f>B80</f>
        <v>0</v>
      </c>
      <c r="C93" s="1">
        <f>D80</f>
        <v>0</v>
      </c>
      <c r="D93" s="1">
        <f>F80</f>
        <v>0</v>
      </c>
      <c r="E93" s="1">
        <f>H80</f>
        <v>200</v>
      </c>
      <c r="F93" s="1">
        <f>J80</f>
        <v>0</v>
      </c>
    </row>
    <row r="96" spans="1:15">
      <c r="B96" s="2">
        <f>C71</f>
        <v>4</v>
      </c>
      <c r="C96" s="2">
        <f>E71</f>
        <v>6</v>
      </c>
      <c r="D96" s="2">
        <f>G71</f>
        <v>3</v>
      </c>
      <c r="E96" s="2">
        <f>I71</f>
        <v>4</v>
      </c>
      <c r="F96" s="2">
        <f>K71</f>
        <v>1</v>
      </c>
    </row>
    <row r="97" spans="1:15">
      <c r="B97" s="2">
        <f>C73</f>
        <v>7</v>
      </c>
      <c r="C97" s="2">
        <f>E73</f>
        <v>3</v>
      </c>
      <c r="D97" s="2">
        <f>G73</f>
        <v>5</v>
      </c>
      <c r="E97" s="2">
        <f>I73</f>
        <v>2</v>
      </c>
      <c r="F97" s="2">
        <f>K73</f>
        <v>2</v>
      </c>
    </row>
    <row r="98" spans="1:15">
      <c r="A98" t="s">
        <v>28</v>
      </c>
      <c r="B98" s="2">
        <f>C75</f>
        <v>5</v>
      </c>
      <c r="C98" s="2">
        <f>E75</f>
        <v>3</v>
      </c>
      <c r="D98" s="2">
        <f>G75</f>
        <v>2</v>
      </c>
      <c r="E98" s="2">
        <f>I75</f>
        <v>4</v>
      </c>
      <c r="F98" s="2">
        <f>K75</f>
        <v>4</v>
      </c>
    </row>
    <row r="99" spans="1:15">
      <c r="B99" s="2">
        <f>C77</f>
        <v>2</v>
      </c>
      <c r="C99" s="2">
        <f>E77</f>
        <v>3</v>
      </c>
      <c r="D99" s="2">
        <f>G77</f>
        <v>4</v>
      </c>
      <c r="E99" s="2">
        <f>I77</f>
        <v>6</v>
      </c>
      <c r="F99" s="2">
        <f>K77</f>
        <v>5</v>
      </c>
    </row>
    <row r="100" spans="1:15">
      <c r="B100" s="2">
        <f>C79</f>
        <v>1</v>
      </c>
      <c r="C100" s="2">
        <f>E79</f>
        <v>4</v>
      </c>
      <c r="D100" s="2">
        <f>G79</f>
        <v>4</v>
      </c>
      <c r="E100" s="2">
        <f>I79</f>
        <v>3</v>
      </c>
      <c r="F100" s="2">
        <f>K79</f>
        <v>3</v>
      </c>
    </row>
    <row r="102" spans="1:15">
      <c r="B102" t="s">
        <v>17</v>
      </c>
      <c r="D102" t="s">
        <v>18</v>
      </c>
      <c r="F102" t="s">
        <v>19</v>
      </c>
      <c r="H102" t="s">
        <v>20</v>
      </c>
      <c r="J102" t="s">
        <v>34</v>
      </c>
      <c r="N102" t="s">
        <v>54</v>
      </c>
    </row>
    <row r="103" spans="1:15">
      <c r="A103" t="s">
        <v>22</v>
      </c>
      <c r="B103" s="11"/>
      <c r="C103" s="12">
        <v>4</v>
      </c>
      <c r="D103" s="11"/>
      <c r="E103" s="12">
        <v>6</v>
      </c>
      <c r="F103" s="22"/>
      <c r="G103" s="23">
        <v>3</v>
      </c>
      <c r="H103" s="11"/>
      <c r="I103" s="12">
        <v>4</v>
      </c>
      <c r="J103" s="22"/>
      <c r="K103" s="23">
        <v>1</v>
      </c>
    </row>
    <row r="104" spans="1:15">
      <c r="B104" s="13">
        <v>0</v>
      </c>
      <c r="C104" s="32">
        <f>C117+M104-C103</f>
        <v>0</v>
      </c>
      <c r="D104" s="13">
        <v>0</v>
      </c>
      <c r="E104" s="32">
        <f>E117+M104-E103</f>
        <v>-1</v>
      </c>
      <c r="F104" s="24">
        <v>200</v>
      </c>
      <c r="G104" s="25"/>
      <c r="H104" s="13">
        <v>0</v>
      </c>
      <c r="I104" s="32">
        <f>I117+M104-I103</f>
        <v>2</v>
      </c>
      <c r="J104" s="24">
        <v>100</v>
      </c>
      <c r="K104" s="25"/>
      <c r="L104" s="37" t="s">
        <v>56</v>
      </c>
      <c r="M104" s="38">
        <v>0</v>
      </c>
      <c r="N104">
        <f>O104-(SUM(B104,D104,F104,H104,J104))</f>
        <v>0</v>
      </c>
      <c r="O104">
        <v>300</v>
      </c>
    </row>
    <row r="105" spans="1:15">
      <c r="A105" t="s">
        <v>23</v>
      </c>
      <c r="B105" s="11"/>
      <c r="C105" s="12">
        <v>7</v>
      </c>
      <c r="D105" s="22"/>
      <c r="E105" s="39">
        <v>3</v>
      </c>
      <c r="F105" s="11"/>
      <c r="G105" s="12">
        <v>5</v>
      </c>
      <c r="H105" s="11"/>
      <c r="I105" s="40">
        <v>2</v>
      </c>
      <c r="J105" s="11"/>
      <c r="K105" s="12">
        <v>2</v>
      </c>
    </row>
    <row r="106" spans="1:15">
      <c r="B106" s="13">
        <v>0</v>
      </c>
      <c r="C106" s="32">
        <f>C117+M106-C105</f>
        <v>-5</v>
      </c>
      <c r="D106" s="24">
        <v>200</v>
      </c>
      <c r="E106" s="25"/>
      <c r="F106" s="13">
        <v>0</v>
      </c>
      <c r="G106" s="32">
        <f>G117+M106-G105</f>
        <v>-4</v>
      </c>
      <c r="H106" s="13">
        <v>0</v>
      </c>
      <c r="I106" s="32">
        <f>I117+M106-I105</f>
        <v>2</v>
      </c>
      <c r="J106" s="13">
        <v>0</v>
      </c>
      <c r="K106" s="32">
        <f>M106+K117-K105</f>
        <v>-3</v>
      </c>
      <c r="L106" s="37" t="s">
        <v>57</v>
      </c>
      <c r="M106" s="38">
        <v>-2</v>
      </c>
      <c r="N106">
        <f t="shared" ref="N106" si="11">O106-(SUM(B106,D106,F106,H106,J106))</f>
        <v>0</v>
      </c>
      <c r="O106">
        <v>200</v>
      </c>
    </row>
    <row r="107" spans="1:15">
      <c r="A107" t="s">
        <v>24</v>
      </c>
      <c r="B107" s="11"/>
      <c r="C107" s="12">
        <v>5</v>
      </c>
      <c r="D107" s="11"/>
      <c r="E107" s="12">
        <v>3</v>
      </c>
      <c r="F107" s="22"/>
      <c r="G107" s="23">
        <v>2</v>
      </c>
      <c r="H107" s="11"/>
      <c r="I107" s="12">
        <v>4</v>
      </c>
      <c r="J107" s="11"/>
      <c r="K107" s="12">
        <v>4</v>
      </c>
    </row>
    <row r="108" spans="1:15">
      <c r="B108" s="13">
        <v>0</v>
      </c>
      <c r="C108" s="32">
        <f>C117+M108-C107</f>
        <v>-2</v>
      </c>
      <c r="D108" s="13">
        <v>0</v>
      </c>
      <c r="E108" s="32">
        <f>E117+M108-E107</f>
        <v>1</v>
      </c>
      <c r="F108" s="24">
        <v>100</v>
      </c>
      <c r="G108" s="25"/>
      <c r="H108" s="13">
        <v>0</v>
      </c>
      <c r="I108" s="32">
        <f>I117+M108-I107</f>
        <v>1</v>
      </c>
      <c r="J108" s="13">
        <v>0</v>
      </c>
      <c r="K108" s="32">
        <f>K117+M108-K107</f>
        <v>-4</v>
      </c>
      <c r="L108" s="37" t="s">
        <v>58</v>
      </c>
      <c r="M108" s="38">
        <v>-1</v>
      </c>
      <c r="N108">
        <f t="shared" ref="N108" si="12">O108-(SUM(B108,D108,F108,H108,J108))</f>
        <v>0</v>
      </c>
      <c r="O108">
        <v>100</v>
      </c>
    </row>
    <row r="109" spans="1:15">
      <c r="A109" t="s">
        <v>25</v>
      </c>
      <c r="B109" s="22"/>
      <c r="C109" s="39">
        <v>2</v>
      </c>
      <c r="D109" s="11"/>
      <c r="E109" s="40">
        <v>3</v>
      </c>
      <c r="F109" s="11"/>
      <c r="G109" s="12">
        <v>4</v>
      </c>
      <c r="H109" s="11"/>
      <c r="I109" s="12">
        <v>6</v>
      </c>
      <c r="J109" s="11"/>
      <c r="K109" s="12">
        <v>5</v>
      </c>
    </row>
    <row r="110" spans="1:15">
      <c r="B110" s="24">
        <v>100</v>
      </c>
      <c r="C110" s="25"/>
      <c r="D110" s="13">
        <v>0</v>
      </c>
      <c r="E110" s="32">
        <f>E117+M110-E109</f>
        <v>0</v>
      </c>
      <c r="F110" s="13">
        <v>0</v>
      </c>
      <c r="G110" s="32">
        <f>G117+M110-G109</f>
        <v>-3</v>
      </c>
      <c r="H110" s="13">
        <v>0</v>
      </c>
      <c r="I110" s="32">
        <f>I117+M110-I109</f>
        <v>-2</v>
      </c>
      <c r="J110" s="13">
        <v>0</v>
      </c>
      <c r="K110" s="32">
        <f>K117+M110-K109</f>
        <v>-6</v>
      </c>
      <c r="L110" s="37" t="s">
        <v>59</v>
      </c>
      <c r="M110" s="38">
        <v>-2</v>
      </c>
      <c r="N110">
        <f t="shared" ref="N110" si="13">O110-(SUM(B110,D110,F110,H110,J110))</f>
        <v>0</v>
      </c>
      <c r="O110">
        <v>100</v>
      </c>
    </row>
    <row r="111" spans="1:15">
      <c r="A111" t="s">
        <v>35</v>
      </c>
      <c r="B111" s="22"/>
      <c r="C111" s="40">
        <v>1</v>
      </c>
      <c r="D111" s="11"/>
      <c r="E111" s="12">
        <v>4</v>
      </c>
      <c r="F111" s="11"/>
      <c r="G111" s="12">
        <v>4</v>
      </c>
      <c r="H111" s="22"/>
      <c r="I111" s="39">
        <v>3</v>
      </c>
      <c r="J111" s="11"/>
      <c r="K111" s="12">
        <v>3</v>
      </c>
    </row>
    <row r="112" spans="1:15">
      <c r="B112" s="24">
        <v>100</v>
      </c>
      <c r="C112" s="25"/>
      <c r="D112" s="13">
        <v>0</v>
      </c>
      <c r="E112" s="32">
        <f>E117+M112-E111</f>
        <v>-2</v>
      </c>
      <c r="F112" s="13">
        <v>0</v>
      </c>
      <c r="G112" s="32">
        <f>G117+M112-G111</f>
        <v>-4</v>
      </c>
      <c r="H112" s="24">
        <v>100</v>
      </c>
      <c r="I112" s="25"/>
      <c r="J112" s="13">
        <v>0</v>
      </c>
      <c r="K112" s="32">
        <f>K117+M112-K111</f>
        <v>-5</v>
      </c>
      <c r="L112" s="37" t="s">
        <v>65</v>
      </c>
      <c r="M112" s="38">
        <v>-3</v>
      </c>
      <c r="N112">
        <f t="shared" ref="N112" si="14">O112-(SUM(B112,D112,F112,H112,J112))</f>
        <v>0</v>
      </c>
      <c r="O112">
        <v>200</v>
      </c>
    </row>
    <row r="113" spans="1:15">
      <c r="A113" t="s">
        <v>47</v>
      </c>
      <c r="B113" s="11"/>
      <c r="C113" s="12">
        <v>0</v>
      </c>
      <c r="D113" s="11"/>
      <c r="E113" s="12">
        <v>0</v>
      </c>
      <c r="F113" s="11"/>
      <c r="G113" s="12">
        <v>0</v>
      </c>
      <c r="H113" s="22"/>
      <c r="I113" s="23">
        <v>0</v>
      </c>
      <c r="J113" s="11"/>
      <c r="K113" s="12">
        <v>0</v>
      </c>
    </row>
    <row r="114" spans="1:15">
      <c r="B114" s="13">
        <v>0</v>
      </c>
      <c r="C114" s="32">
        <f>C117+M114-C113</f>
        <v>-2</v>
      </c>
      <c r="D114" s="13">
        <v>0</v>
      </c>
      <c r="E114" s="32">
        <f>E117+M114-E113</f>
        <v>-1</v>
      </c>
      <c r="F114" s="13">
        <v>0</v>
      </c>
      <c r="G114" s="32">
        <f>G117+M114-G113</f>
        <v>-3</v>
      </c>
      <c r="H114" s="24">
        <v>200</v>
      </c>
      <c r="I114" s="25"/>
      <c r="J114" s="13">
        <v>0</v>
      </c>
      <c r="K114" s="32">
        <f>K117+M114-K113</f>
        <v>-5</v>
      </c>
      <c r="L114" s="37" t="s">
        <v>66</v>
      </c>
      <c r="M114" s="38">
        <v>-6</v>
      </c>
      <c r="N114">
        <f t="shared" ref="N114" si="15">O114-(SUM(B114,D114,F114,H114,J114))</f>
        <v>0</v>
      </c>
      <c r="O114">
        <v>200</v>
      </c>
    </row>
    <row r="116" spans="1:15">
      <c r="C116" s="36" t="s">
        <v>60</v>
      </c>
      <c r="E116" s="36" t="s">
        <v>61</v>
      </c>
      <c r="G116" s="36" t="s">
        <v>62</v>
      </c>
      <c r="I116" s="36" t="s">
        <v>63</v>
      </c>
      <c r="K116" s="36" t="s">
        <v>64</v>
      </c>
    </row>
    <row r="117" spans="1:15">
      <c r="C117" s="36">
        <v>4</v>
      </c>
      <c r="E117" s="36">
        <v>5</v>
      </c>
      <c r="G117" s="36">
        <v>3</v>
      </c>
      <c r="I117" s="36">
        <v>6</v>
      </c>
      <c r="K117" s="36">
        <v>1</v>
      </c>
      <c r="N117">
        <f>SUM(N104:N114)</f>
        <v>0</v>
      </c>
    </row>
    <row r="118" spans="1:15">
      <c r="B118">
        <f>SUM(B103:B114)-B119</f>
        <v>0</v>
      </c>
      <c r="D118">
        <f>SUM(D103:D114)-D119</f>
        <v>0</v>
      </c>
      <c r="F118">
        <f>SUM(F103:F114)-F119</f>
        <v>0</v>
      </c>
      <c r="H118">
        <f>SUM(H103:H114)-H119</f>
        <v>0</v>
      </c>
      <c r="J118">
        <f>SUM(J103:J114)-J119</f>
        <v>0</v>
      </c>
      <c r="M118">
        <f>SUM(B118:J118)</f>
        <v>0</v>
      </c>
      <c r="N118" s="15">
        <f>B104*C103+D104*E103+F104*G103+H104*I103+B106*C105+D106*E105+F106*G105+H106*I105+B108*C107+D108*E107+F108*G107+H108*I107+B112*C111+D112*E111+F112*G111+H112*I111+J104*K103+J106*K105+J108*K107+J112*K111+B110*C109+D110*E109+F110*G109+H110*I109+J110*K109+B114*C113+D114*E113+F114*G113+H114*I113+J114*K113</f>
        <v>2100</v>
      </c>
      <c r="O118" s="15">
        <f>SUMPRODUCT(B121:F125,B128:F132)</f>
        <v>2100</v>
      </c>
    </row>
    <row r="119" spans="1:15">
      <c r="B119">
        <v>200</v>
      </c>
      <c r="D119">
        <v>200</v>
      </c>
      <c r="F119">
        <v>300</v>
      </c>
      <c r="H119">
        <v>300</v>
      </c>
      <c r="J119">
        <v>100</v>
      </c>
      <c r="N119" s="16">
        <f>SUM(B119:K119)</f>
        <v>1100</v>
      </c>
      <c r="O119" s="16">
        <f>SUM(O104:O114)</f>
        <v>1100</v>
      </c>
    </row>
    <row r="121" spans="1:15">
      <c r="B121" s="1">
        <f>B104</f>
        <v>0</v>
      </c>
      <c r="C121" s="1">
        <f>D104</f>
        <v>0</v>
      </c>
      <c r="D121" s="1">
        <f>F104</f>
        <v>200</v>
      </c>
      <c r="E121" s="1">
        <f>H104</f>
        <v>0</v>
      </c>
      <c r="F121" s="1">
        <f>J104</f>
        <v>100</v>
      </c>
    </row>
    <row r="122" spans="1:15">
      <c r="B122" s="1">
        <f>B106</f>
        <v>0</v>
      </c>
      <c r="C122" s="1">
        <f>D106</f>
        <v>200</v>
      </c>
      <c r="D122" s="1">
        <f>F106</f>
        <v>0</v>
      </c>
      <c r="E122" s="1">
        <f>H106</f>
        <v>0</v>
      </c>
      <c r="F122" s="1">
        <f>J106</f>
        <v>0</v>
      </c>
    </row>
    <row r="123" spans="1:15">
      <c r="A123" t="s">
        <v>29</v>
      </c>
      <c r="B123" s="1">
        <f>B108</f>
        <v>0</v>
      </c>
      <c r="C123" s="1">
        <f>D108</f>
        <v>0</v>
      </c>
      <c r="D123" s="1">
        <f>F108</f>
        <v>100</v>
      </c>
      <c r="E123" s="1">
        <f>H108</f>
        <v>0</v>
      </c>
      <c r="F123" s="1">
        <f>J108</f>
        <v>0</v>
      </c>
    </row>
    <row r="124" spans="1:15">
      <c r="B124" s="1">
        <f>B110</f>
        <v>100</v>
      </c>
      <c r="C124" s="1">
        <f>D110</f>
        <v>0</v>
      </c>
      <c r="D124" s="1">
        <f>F110</f>
        <v>0</v>
      </c>
      <c r="E124" s="1">
        <f>H110</f>
        <v>0</v>
      </c>
      <c r="F124" s="1">
        <f>J110</f>
        <v>0</v>
      </c>
    </row>
    <row r="125" spans="1:15">
      <c r="B125" s="1">
        <f>B112</f>
        <v>100</v>
      </c>
      <c r="C125" s="1">
        <f>D112</f>
        <v>0</v>
      </c>
      <c r="D125" s="1">
        <f>F112</f>
        <v>0</v>
      </c>
      <c r="E125" s="1">
        <f>H112</f>
        <v>100</v>
      </c>
      <c r="F125" s="1">
        <f>J112</f>
        <v>0</v>
      </c>
    </row>
    <row r="128" spans="1:15">
      <c r="B128" s="2">
        <f>C103</f>
        <v>4</v>
      </c>
      <c r="C128" s="2">
        <f>E103</f>
        <v>6</v>
      </c>
      <c r="D128" s="2">
        <f>G103</f>
        <v>3</v>
      </c>
      <c r="E128" s="2">
        <f>I103</f>
        <v>4</v>
      </c>
      <c r="F128" s="2">
        <f>K103</f>
        <v>1</v>
      </c>
    </row>
    <row r="129" spans="1:15">
      <c r="B129" s="2">
        <f>C105</f>
        <v>7</v>
      </c>
      <c r="C129" s="2">
        <f>E105</f>
        <v>3</v>
      </c>
      <c r="D129" s="2">
        <f>G105</f>
        <v>5</v>
      </c>
      <c r="E129" s="2">
        <f>I105</f>
        <v>2</v>
      </c>
      <c r="F129" s="2">
        <f>K105</f>
        <v>2</v>
      </c>
    </row>
    <row r="130" spans="1:15">
      <c r="A130" t="s">
        <v>28</v>
      </c>
      <c r="B130" s="2">
        <f>C107</f>
        <v>5</v>
      </c>
      <c r="C130" s="2">
        <f>E107</f>
        <v>3</v>
      </c>
      <c r="D130" s="2">
        <f>G107</f>
        <v>2</v>
      </c>
      <c r="E130" s="2">
        <f>I107</f>
        <v>4</v>
      </c>
      <c r="F130" s="2">
        <f>K107</f>
        <v>4</v>
      </c>
    </row>
    <row r="131" spans="1:15">
      <c r="B131" s="2">
        <f>C109</f>
        <v>2</v>
      </c>
      <c r="C131" s="2">
        <f>E109</f>
        <v>3</v>
      </c>
      <c r="D131" s="2">
        <f>G109</f>
        <v>4</v>
      </c>
      <c r="E131" s="2">
        <f>I109</f>
        <v>6</v>
      </c>
      <c r="F131" s="2">
        <f>K109</f>
        <v>5</v>
      </c>
    </row>
    <row r="132" spans="1:15">
      <c r="B132" s="2">
        <f>C111</f>
        <v>1</v>
      </c>
      <c r="C132" s="2">
        <f>E111</f>
        <v>4</v>
      </c>
      <c r="D132" s="2">
        <f>G111</f>
        <v>4</v>
      </c>
      <c r="E132" s="2">
        <f>I111</f>
        <v>3</v>
      </c>
      <c r="F132" s="2">
        <f>K111</f>
        <v>3</v>
      </c>
    </row>
    <row r="134" spans="1:15">
      <c r="B134" t="s">
        <v>17</v>
      </c>
      <c r="D134" t="s">
        <v>18</v>
      </c>
      <c r="F134" t="s">
        <v>19</v>
      </c>
      <c r="H134" t="s">
        <v>20</v>
      </c>
      <c r="J134" t="s">
        <v>34</v>
      </c>
      <c r="N134" t="s">
        <v>54</v>
      </c>
    </row>
    <row r="135" spans="1:15">
      <c r="A135" t="s">
        <v>22</v>
      </c>
      <c r="B135" s="11"/>
      <c r="C135" s="12">
        <v>4</v>
      </c>
      <c r="D135" s="11"/>
      <c r="E135" s="12">
        <v>6</v>
      </c>
      <c r="F135" s="22"/>
      <c r="G135" s="23">
        <v>3</v>
      </c>
      <c r="H135" s="11"/>
      <c r="I135" s="12">
        <v>4</v>
      </c>
      <c r="J135" s="22"/>
      <c r="K135" s="23">
        <v>1</v>
      </c>
    </row>
    <row r="136" spans="1:15">
      <c r="B136" s="13">
        <v>0</v>
      </c>
      <c r="C136" s="32">
        <f>C149+M136-C135</f>
        <v>-2</v>
      </c>
      <c r="D136" s="13">
        <v>0</v>
      </c>
      <c r="E136" s="32">
        <f>E149+M136-E135</f>
        <v>-1</v>
      </c>
      <c r="F136" s="24">
        <v>200</v>
      </c>
      <c r="G136" s="25"/>
      <c r="H136" s="13">
        <v>0</v>
      </c>
      <c r="I136" s="32">
        <f>I149+M136-I135</f>
        <v>0</v>
      </c>
      <c r="J136" s="24">
        <v>100</v>
      </c>
      <c r="K136" s="25"/>
      <c r="L136" s="37" t="s">
        <v>56</v>
      </c>
      <c r="M136" s="38">
        <v>0</v>
      </c>
      <c r="N136">
        <f>O136-(SUM(B136,D136,F136,H136,J136))</f>
        <v>0</v>
      </c>
      <c r="O136">
        <v>300</v>
      </c>
    </row>
    <row r="137" spans="1:15">
      <c r="A137" t="s">
        <v>23</v>
      </c>
      <c r="B137" s="11"/>
      <c r="C137" s="12">
        <v>7</v>
      </c>
      <c r="D137" s="22"/>
      <c r="E137" s="23">
        <v>3</v>
      </c>
      <c r="F137" s="11"/>
      <c r="G137" s="12">
        <v>5</v>
      </c>
      <c r="H137" s="22"/>
      <c r="I137" s="23">
        <v>2</v>
      </c>
      <c r="J137" s="11"/>
      <c r="K137" s="12">
        <v>2</v>
      </c>
    </row>
    <row r="138" spans="1:15">
      <c r="B138" s="13">
        <v>0</v>
      </c>
      <c r="C138" s="32">
        <f>C149+M138-C137</f>
        <v>-7</v>
      </c>
      <c r="D138" s="24">
        <v>100</v>
      </c>
      <c r="E138" s="25"/>
      <c r="F138" s="13">
        <v>0</v>
      </c>
      <c r="G138" s="32">
        <f>G149+M138-G137</f>
        <v>-4</v>
      </c>
      <c r="H138" s="24">
        <v>100</v>
      </c>
      <c r="I138" s="25">
        <f>I149+M138-I137</f>
        <v>0</v>
      </c>
      <c r="J138" s="13">
        <v>0</v>
      </c>
      <c r="K138" s="32">
        <f>M138+K149-K137</f>
        <v>-3</v>
      </c>
      <c r="L138" s="37" t="s">
        <v>57</v>
      </c>
      <c r="M138" s="38">
        <v>-2</v>
      </c>
      <c r="N138">
        <f t="shared" ref="N138" si="16">O138-(SUM(B138,D138,F138,H138,J138))</f>
        <v>0</v>
      </c>
      <c r="O138">
        <v>200</v>
      </c>
    </row>
    <row r="139" spans="1:15">
      <c r="A139" t="s">
        <v>24</v>
      </c>
      <c r="B139" s="11"/>
      <c r="C139" s="12">
        <v>5</v>
      </c>
      <c r="D139" s="11"/>
      <c r="E139" s="12">
        <v>3</v>
      </c>
      <c r="F139" s="22"/>
      <c r="G139" s="23">
        <v>2</v>
      </c>
      <c r="H139" s="11"/>
      <c r="I139" s="12">
        <v>4</v>
      </c>
      <c r="J139" s="11"/>
      <c r="K139" s="12">
        <v>4</v>
      </c>
    </row>
    <row r="140" spans="1:15">
      <c r="B140" s="13">
        <v>0</v>
      </c>
      <c r="C140" s="32">
        <f>C149+M140-C139</f>
        <v>-4</v>
      </c>
      <c r="D140" s="13">
        <v>0</v>
      </c>
      <c r="E140" s="32">
        <f>E149+M140-E139</f>
        <v>1</v>
      </c>
      <c r="F140" s="24">
        <v>100</v>
      </c>
      <c r="G140" s="25"/>
      <c r="H140" s="13">
        <v>0</v>
      </c>
      <c r="I140" s="32">
        <f>I149+M140-I139</f>
        <v>-1</v>
      </c>
      <c r="J140" s="13">
        <v>0</v>
      </c>
      <c r="K140" s="32">
        <f>K149+M140-K139</f>
        <v>-4</v>
      </c>
      <c r="L140" s="37" t="s">
        <v>58</v>
      </c>
      <c r="M140" s="38">
        <v>-1</v>
      </c>
      <c r="N140">
        <f t="shared" ref="N140" si="17">O140-(SUM(B140,D140,F140,H140,J140))</f>
        <v>0</v>
      </c>
      <c r="O140">
        <v>100</v>
      </c>
    </row>
    <row r="141" spans="1:15">
      <c r="A141" t="s">
        <v>25</v>
      </c>
      <c r="B141" s="11"/>
      <c r="C141" s="12">
        <v>2</v>
      </c>
      <c r="D141" s="22"/>
      <c r="E141" s="23">
        <v>3</v>
      </c>
      <c r="F141" s="11"/>
      <c r="G141" s="12">
        <v>4</v>
      </c>
      <c r="H141" s="11"/>
      <c r="I141" s="12">
        <v>6</v>
      </c>
      <c r="J141" s="11"/>
      <c r="K141" s="12">
        <v>5</v>
      </c>
    </row>
    <row r="142" spans="1:15">
      <c r="B142" s="13">
        <v>0</v>
      </c>
      <c r="C142" s="32">
        <f>C149+M142-C141</f>
        <v>-2</v>
      </c>
      <c r="D142" s="24">
        <v>100</v>
      </c>
      <c r="E142" s="25">
        <f>E149+M142-E141</f>
        <v>0</v>
      </c>
      <c r="F142" s="13">
        <v>0</v>
      </c>
      <c r="G142" s="32">
        <f>G149+M142-G141</f>
        <v>-3</v>
      </c>
      <c r="H142" s="13">
        <v>0</v>
      </c>
      <c r="I142" s="32">
        <f>I149+M142-I141</f>
        <v>-4</v>
      </c>
      <c r="J142" s="13">
        <v>0</v>
      </c>
      <c r="K142" s="32">
        <f>K149+M142-K141</f>
        <v>-6</v>
      </c>
      <c r="L142" s="37" t="s">
        <v>59</v>
      </c>
      <c r="M142" s="38">
        <v>-2</v>
      </c>
      <c r="N142">
        <f t="shared" ref="N142" si="18">O142-(SUM(B142,D142,F142,H142,J142))</f>
        <v>0</v>
      </c>
      <c r="O142">
        <v>100</v>
      </c>
    </row>
    <row r="143" spans="1:15">
      <c r="A143" t="s">
        <v>35</v>
      </c>
      <c r="B143" s="22"/>
      <c r="C143" s="23">
        <v>1</v>
      </c>
      <c r="D143" s="11"/>
      <c r="E143" s="12">
        <v>4</v>
      </c>
      <c r="F143" s="11"/>
      <c r="G143" s="12">
        <v>4</v>
      </c>
      <c r="H143" s="11"/>
      <c r="I143" s="12">
        <v>3</v>
      </c>
      <c r="J143" s="11"/>
      <c r="K143" s="12">
        <v>3</v>
      </c>
    </row>
    <row r="144" spans="1:15">
      <c r="B144" s="24">
        <v>200</v>
      </c>
      <c r="C144" s="25"/>
      <c r="D144" s="13">
        <v>0</v>
      </c>
      <c r="E144" s="32">
        <f>E149+M144-E143</f>
        <v>0</v>
      </c>
      <c r="F144" s="13">
        <v>0</v>
      </c>
      <c r="G144" s="32">
        <f>G149+M144-G143</f>
        <v>-2</v>
      </c>
      <c r="H144" s="13">
        <v>0</v>
      </c>
      <c r="I144" s="32">
        <f>I149+M144-I143</f>
        <v>0</v>
      </c>
      <c r="J144" s="13">
        <v>0</v>
      </c>
      <c r="K144" s="32">
        <f>K149+M144-K143</f>
        <v>-3</v>
      </c>
      <c r="L144" s="37" t="s">
        <v>65</v>
      </c>
      <c r="M144" s="38">
        <v>-1</v>
      </c>
      <c r="N144">
        <f t="shared" ref="N144" si="19">O144-(SUM(B144,D144,F144,H144,J144))</f>
        <v>0</v>
      </c>
      <c r="O144">
        <v>200</v>
      </c>
    </row>
    <row r="145" spans="1:15">
      <c r="A145" t="s">
        <v>47</v>
      </c>
      <c r="B145" s="11"/>
      <c r="C145" s="12">
        <v>0</v>
      </c>
      <c r="D145" s="11"/>
      <c r="E145" s="12">
        <v>0</v>
      </c>
      <c r="F145" s="11"/>
      <c r="G145" s="12">
        <v>0</v>
      </c>
      <c r="H145" s="22"/>
      <c r="I145" s="23">
        <v>0</v>
      </c>
      <c r="J145" s="11"/>
      <c r="K145" s="12">
        <v>0</v>
      </c>
    </row>
    <row r="146" spans="1:15">
      <c r="B146" s="13">
        <v>0</v>
      </c>
      <c r="C146" s="32">
        <f>C149+M146-C145</f>
        <v>-2</v>
      </c>
      <c r="D146" s="13">
        <v>0</v>
      </c>
      <c r="E146" s="32">
        <f>E149+M146-E145</f>
        <v>1</v>
      </c>
      <c r="F146" s="13">
        <v>0</v>
      </c>
      <c r="G146" s="32">
        <f>G149+M146-G145</f>
        <v>-1</v>
      </c>
      <c r="H146" s="24">
        <v>200</v>
      </c>
      <c r="I146" s="25"/>
      <c r="J146" s="13">
        <v>0</v>
      </c>
      <c r="K146" s="32">
        <f>K149+M146-K145</f>
        <v>-3</v>
      </c>
      <c r="L146" s="37" t="s">
        <v>66</v>
      </c>
      <c r="M146" s="38">
        <v>-4</v>
      </c>
      <c r="N146">
        <f t="shared" ref="N146" si="20">O146-(SUM(B146,D146,F146,H146,J146))</f>
        <v>0</v>
      </c>
      <c r="O146">
        <v>200</v>
      </c>
    </row>
    <row r="148" spans="1:15">
      <c r="C148" s="36" t="s">
        <v>60</v>
      </c>
      <c r="E148" s="36" t="s">
        <v>61</v>
      </c>
      <c r="G148" s="36" t="s">
        <v>62</v>
      </c>
      <c r="I148" s="36" t="s">
        <v>63</v>
      </c>
      <c r="K148" s="36" t="s">
        <v>64</v>
      </c>
    </row>
    <row r="149" spans="1:15">
      <c r="C149" s="36">
        <v>2</v>
      </c>
      <c r="E149" s="36">
        <v>5</v>
      </c>
      <c r="G149" s="36">
        <v>3</v>
      </c>
      <c r="I149" s="36">
        <v>4</v>
      </c>
      <c r="K149" s="36">
        <v>1</v>
      </c>
      <c r="N149">
        <f>SUM(N136:N146)</f>
        <v>0</v>
      </c>
    </row>
    <row r="150" spans="1:15">
      <c r="B150">
        <f>SUM(B135:B146)-B151</f>
        <v>0</v>
      </c>
      <c r="D150">
        <f>SUM(D135:D146)-D151</f>
        <v>0</v>
      </c>
      <c r="F150">
        <f>SUM(F135:F146)-F151</f>
        <v>0</v>
      </c>
      <c r="H150">
        <f>SUM(H135:H146)-H151</f>
        <v>0</v>
      </c>
      <c r="J150">
        <f>SUM(J135:J146)-J151</f>
        <v>0</v>
      </c>
      <c r="M150">
        <f>SUM(B150:J150)</f>
        <v>0</v>
      </c>
      <c r="N150" s="15">
        <f>B136*C135+D136*E135+F136*G135+H136*I135+B138*C137+D138*E137+F138*G137+H138*I137+B140*C139+D140*E139+F140*G139+H140*I139+B144*C143+D144*E143+F144*G143+H144*I143+J136*K135+J138*K137+J140*K139+J144*K143+B142*C141+D142*E141+F142*G141+H142*I141+J142*K141+B146*C145+D146*E145+F146*G145+H146*I145+J146*K145</f>
        <v>1900</v>
      </c>
      <c r="O150" s="15">
        <f>SUMPRODUCT(B153:F157,B160:F164)</f>
        <v>1900</v>
      </c>
    </row>
    <row r="151" spans="1:15">
      <c r="B151">
        <v>200</v>
      </c>
      <c r="D151">
        <v>200</v>
      </c>
      <c r="F151">
        <v>300</v>
      </c>
      <c r="H151">
        <v>300</v>
      </c>
      <c r="J151">
        <v>100</v>
      </c>
      <c r="N151" s="16">
        <f>SUM(B151:K151)</f>
        <v>1100</v>
      </c>
      <c r="O151" s="16">
        <f>SUM(O136:O146)</f>
        <v>1100</v>
      </c>
    </row>
    <row r="153" spans="1:15">
      <c r="B153" s="1">
        <f>B136</f>
        <v>0</v>
      </c>
      <c r="C153" s="1">
        <f>D136</f>
        <v>0</v>
      </c>
      <c r="D153" s="1">
        <f>F136</f>
        <v>200</v>
      </c>
      <c r="E153" s="1">
        <f>H136</f>
        <v>0</v>
      </c>
      <c r="F153" s="1">
        <f>J136</f>
        <v>100</v>
      </c>
    </row>
    <row r="154" spans="1:15">
      <c r="B154" s="1">
        <f>B138</f>
        <v>0</v>
      </c>
      <c r="C154" s="1">
        <f>D138</f>
        <v>100</v>
      </c>
      <c r="D154" s="1">
        <f>F138</f>
        <v>0</v>
      </c>
      <c r="E154" s="1">
        <f>H138</f>
        <v>100</v>
      </c>
      <c r="F154" s="1">
        <f>J138</f>
        <v>0</v>
      </c>
    </row>
    <row r="155" spans="1:15">
      <c r="A155" t="s">
        <v>29</v>
      </c>
      <c r="B155" s="1">
        <f>B140</f>
        <v>0</v>
      </c>
      <c r="C155" s="1">
        <f>D140</f>
        <v>0</v>
      </c>
      <c r="D155" s="1">
        <f>F140</f>
        <v>100</v>
      </c>
      <c r="E155" s="1">
        <f>H140</f>
        <v>0</v>
      </c>
      <c r="F155" s="1">
        <f>J140</f>
        <v>0</v>
      </c>
    </row>
    <row r="156" spans="1:15">
      <c r="B156" s="1">
        <f>B142</f>
        <v>0</v>
      </c>
      <c r="C156" s="1">
        <f>D142</f>
        <v>100</v>
      </c>
      <c r="D156" s="1">
        <f>F142</f>
        <v>0</v>
      </c>
      <c r="E156" s="1">
        <f>H142</f>
        <v>0</v>
      </c>
      <c r="F156" s="1">
        <f>J142</f>
        <v>0</v>
      </c>
    </row>
    <row r="157" spans="1:15">
      <c r="B157" s="1">
        <f>B144</f>
        <v>200</v>
      </c>
      <c r="C157" s="1">
        <f>D144</f>
        <v>0</v>
      </c>
      <c r="D157" s="1">
        <f>F144</f>
        <v>0</v>
      </c>
      <c r="E157" s="1">
        <f>H144</f>
        <v>0</v>
      </c>
      <c r="F157" s="1">
        <f>J144</f>
        <v>0</v>
      </c>
    </row>
    <row r="160" spans="1:15">
      <c r="B160" s="2">
        <f>C135</f>
        <v>4</v>
      </c>
      <c r="C160" s="2">
        <f>E135</f>
        <v>6</v>
      </c>
      <c r="D160" s="2">
        <f>G135</f>
        <v>3</v>
      </c>
      <c r="E160" s="2">
        <f>I135</f>
        <v>4</v>
      </c>
      <c r="F160" s="2">
        <f>K135</f>
        <v>1</v>
      </c>
    </row>
    <row r="161" spans="1:7">
      <c r="B161" s="2">
        <f>C137</f>
        <v>7</v>
      </c>
      <c r="C161" s="2">
        <f>E137</f>
        <v>3</v>
      </c>
      <c r="D161" s="2">
        <f>G137</f>
        <v>5</v>
      </c>
      <c r="E161" s="2">
        <f>I137</f>
        <v>2</v>
      </c>
      <c r="F161" s="2">
        <f>K137</f>
        <v>2</v>
      </c>
    </row>
    <row r="162" spans="1:7">
      <c r="A162" t="s">
        <v>28</v>
      </c>
      <c r="B162" s="2">
        <f>C139</f>
        <v>5</v>
      </c>
      <c r="C162" s="2">
        <f>E139</f>
        <v>3</v>
      </c>
      <c r="D162" s="2">
        <f>G139</f>
        <v>2</v>
      </c>
      <c r="E162" s="2">
        <f>I139</f>
        <v>4</v>
      </c>
      <c r="F162" s="2">
        <f>K139</f>
        <v>4</v>
      </c>
    </row>
    <row r="163" spans="1:7">
      <c r="B163" s="2">
        <f>C141</f>
        <v>2</v>
      </c>
      <c r="C163" s="2">
        <f>E141</f>
        <v>3</v>
      </c>
      <c r="D163" s="2">
        <f>G141</f>
        <v>4</v>
      </c>
      <c r="E163" s="2">
        <f>I141</f>
        <v>6</v>
      </c>
      <c r="F163" s="2">
        <f>K141</f>
        <v>5</v>
      </c>
    </row>
    <row r="164" spans="1:7">
      <c r="B164" s="2">
        <f>C143</f>
        <v>1</v>
      </c>
      <c r="C164" s="2">
        <f>E143</f>
        <v>4</v>
      </c>
      <c r="D164" s="2">
        <f>G143</f>
        <v>4</v>
      </c>
      <c r="E164" s="2">
        <f>I143</f>
        <v>3</v>
      </c>
      <c r="F164" s="2">
        <f>K143</f>
        <v>3</v>
      </c>
    </row>
    <row r="166" spans="1:7">
      <c r="B166" t="s">
        <v>68</v>
      </c>
    </row>
    <row r="167" spans="1:7">
      <c r="B167" s="186" t="s">
        <v>72</v>
      </c>
      <c r="C167" s="186"/>
      <c r="D167" s="186"/>
      <c r="E167" s="186"/>
      <c r="F167">
        <f>N22-N150</f>
        <v>1500</v>
      </c>
      <c r="G167" t="s">
        <v>69</v>
      </c>
    </row>
  </sheetData>
  <mergeCells count="1">
    <mergeCell ref="B167:E1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D4526-0F63-4737-8128-577727D5D044}">
  <dimension ref="A1:K100"/>
  <sheetViews>
    <sheetView topLeftCell="A4" zoomScale="106" zoomScaleNormal="85" workbookViewId="0">
      <selection activeCell="C99" sqref="C99"/>
    </sheetView>
  </sheetViews>
  <sheetFormatPr defaultRowHeight="14.4"/>
  <cols>
    <col min="1" max="1" width="18.21875" style="41" customWidth="1"/>
    <col min="2" max="16384" width="8.88671875" style="41"/>
  </cols>
  <sheetData>
    <row r="1" spans="1:8">
      <c r="A1" s="41" t="s">
        <v>73</v>
      </c>
    </row>
    <row r="2" spans="1:8">
      <c r="A2" s="41" t="s">
        <v>74</v>
      </c>
    </row>
    <row r="3" spans="1:8">
      <c r="A3" s="42" t="s">
        <v>1</v>
      </c>
    </row>
    <row r="4" spans="1:8">
      <c r="A4" s="41" t="s">
        <v>75</v>
      </c>
    </row>
    <row r="6" spans="1:8">
      <c r="D6" s="43"/>
      <c r="E6" s="43"/>
      <c r="F6" s="43"/>
    </row>
    <row r="7" spans="1:8">
      <c r="D7" s="43"/>
      <c r="E7" s="43"/>
      <c r="F7" s="43"/>
    </row>
    <row r="9" spans="1:8">
      <c r="F9" s="43"/>
      <c r="G9" s="43"/>
    </row>
    <row r="10" spans="1:8">
      <c r="A10" s="44" t="s">
        <v>42</v>
      </c>
      <c r="B10" s="44" t="s">
        <v>43</v>
      </c>
      <c r="C10" s="44" t="s">
        <v>76</v>
      </c>
      <c r="F10" s="45"/>
      <c r="G10" s="43"/>
    </row>
    <row r="11" spans="1:8">
      <c r="A11" s="46">
        <v>2</v>
      </c>
      <c r="B11" s="46">
        <v>3</v>
      </c>
      <c r="C11" s="47">
        <v>5</v>
      </c>
      <c r="D11" s="45"/>
      <c r="E11" s="45"/>
      <c r="F11" s="45"/>
      <c r="G11" s="45"/>
    </row>
    <row r="12" spans="1:8">
      <c r="A12" s="45"/>
      <c r="B12" s="45"/>
      <c r="C12" s="45"/>
      <c r="F12" s="43"/>
      <c r="G12" s="43"/>
      <c r="H12" s="43"/>
    </row>
    <row r="13" spans="1:8">
      <c r="A13" s="48">
        <v>7</v>
      </c>
      <c r="B13" s="44" t="s">
        <v>7</v>
      </c>
      <c r="C13" s="44">
        <v>7</v>
      </c>
      <c r="F13" s="43"/>
      <c r="G13" s="43"/>
      <c r="H13" s="43"/>
    </row>
    <row r="14" spans="1:8">
      <c r="A14" s="48">
        <v>8</v>
      </c>
      <c r="B14" s="44" t="s">
        <v>7</v>
      </c>
      <c r="C14" s="44">
        <v>5</v>
      </c>
    </row>
    <row r="15" spans="1:8">
      <c r="A15" s="41" t="s">
        <v>77</v>
      </c>
    </row>
    <row r="17" spans="1:4">
      <c r="A17" s="49" t="s">
        <v>9</v>
      </c>
    </row>
    <row r="18" spans="1:4">
      <c r="A18" s="50" t="s">
        <v>75</v>
      </c>
    </row>
    <row r="24" spans="1:4">
      <c r="A24" s="44" t="s">
        <v>42</v>
      </c>
      <c r="B24" s="44" t="s">
        <v>43</v>
      </c>
      <c r="C24" s="44" t="s">
        <v>76</v>
      </c>
      <c r="D24" s="45"/>
    </row>
    <row r="25" spans="1:4">
      <c r="A25" s="51">
        <v>20</v>
      </c>
      <c r="B25" s="51">
        <v>50</v>
      </c>
      <c r="C25" s="47">
        <v>14600</v>
      </c>
      <c r="D25" s="45"/>
    </row>
    <row r="26" spans="1:4">
      <c r="A26" s="45"/>
      <c r="B26" s="45"/>
      <c r="C26" s="45"/>
      <c r="D26" s="45"/>
    </row>
    <row r="27" spans="1:4">
      <c r="A27" s="44">
        <v>140</v>
      </c>
      <c r="B27" s="44" t="s">
        <v>6</v>
      </c>
      <c r="C27" s="44">
        <v>160</v>
      </c>
      <c r="D27" s="45"/>
    </row>
    <row r="28" spans="1:4">
      <c r="A28" s="44">
        <v>220</v>
      </c>
      <c r="B28" s="44" t="s">
        <v>6</v>
      </c>
      <c r="C28" s="44">
        <v>220</v>
      </c>
      <c r="D28" s="45"/>
    </row>
    <row r="29" spans="1:4">
      <c r="A29" s="44">
        <v>20</v>
      </c>
      <c r="B29" s="44" t="s">
        <v>7</v>
      </c>
      <c r="C29" s="44">
        <v>10</v>
      </c>
      <c r="D29" s="45"/>
    </row>
    <row r="30" spans="1:4">
      <c r="A30" s="44">
        <v>50</v>
      </c>
      <c r="B30" s="44" t="s">
        <v>7</v>
      </c>
      <c r="C30" s="44">
        <v>20</v>
      </c>
      <c r="D30" s="45"/>
    </row>
    <row r="31" spans="1:4" ht="28.8" customHeight="1">
      <c r="A31" s="194" t="s">
        <v>78</v>
      </c>
      <c r="B31" s="194"/>
      <c r="C31" s="194"/>
      <c r="D31" s="194"/>
    </row>
    <row r="33" spans="1:6">
      <c r="A33" s="52" t="s">
        <v>12</v>
      </c>
      <c r="C33" s="193" t="s">
        <v>2</v>
      </c>
      <c r="D33" s="193"/>
      <c r="E33" s="193"/>
      <c r="F33" s="55" t="s">
        <v>3</v>
      </c>
    </row>
    <row r="34" spans="1:6">
      <c r="A34" s="53" t="s">
        <v>81</v>
      </c>
      <c r="C34" s="54">
        <v>0.88826692624139703</v>
      </c>
      <c r="D34" s="54">
        <v>0.88826718923291581</v>
      </c>
      <c r="E34" s="54">
        <v>3.9750314992264153</v>
      </c>
      <c r="F34" s="57">
        <f>C34^2+D34^2-E34^2+1</f>
        <v>-13.222838688120119</v>
      </c>
    </row>
    <row r="35" spans="1:6">
      <c r="A35" s="53" t="s">
        <v>82</v>
      </c>
    </row>
    <row r="36" spans="1:6">
      <c r="A36" s="53" t="s">
        <v>83</v>
      </c>
      <c r="C36" s="193" t="s">
        <v>5</v>
      </c>
      <c r="D36" s="193"/>
      <c r="E36" s="193"/>
    </row>
    <row r="37" spans="1:6">
      <c r="A37" s="45" t="s">
        <v>79</v>
      </c>
      <c r="C37" s="58">
        <f>(C34-1)^2+(D34-1)^2+E34</f>
        <v>3.9999999999998739</v>
      </c>
      <c r="D37" s="59" t="s">
        <v>6</v>
      </c>
      <c r="E37" s="56">
        <v>4</v>
      </c>
    </row>
    <row r="38" spans="1:6">
      <c r="A38" s="45" t="s">
        <v>80</v>
      </c>
    </row>
    <row r="39" spans="1:6">
      <c r="A39" s="45" t="s">
        <v>84</v>
      </c>
    </row>
    <row r="40" spans="1:6">
      <c r="A40" s="50" t="s">
        <v>92</v>
      </c>
    </row>
    <row r="42" spans="1:6">
      <c r="A42" s="42" t="s">
        <v>10</v>
      </c>
    </row>
    <row r="92" spans="1:11">
      <c r="A92" s="52" t="s">
        <v>85</v>
      </c>
    </row>
    <row r="93" spans="1:11" ht="15" thickBot="1">
      <c r="A93" s="53" t="s">
        <v>86</v>
      </c>
    </row>
    <row r="94" spans="1:11" ht="15" thickBot="1">
      <c r="A94" s="45" t="s">
        <v>87</v>
      </c>
      <c r="C94" s="187" t="s">
        <v>89</v>
      </c>
      <c r="D94" s="188"/>
      <c r="E94" s="189"/>
      <c r="I94" s="187" t="s">
        <v>90</v>
      </c>
      <c r="J94" s="188"/>
      <c r="K94" s="189"/>
    </row>
    <row r="95" spans="1:11">
      <c r="A95" s="45" t="s">
        <v>88</v>
      </c>
      <c r="C95" s="195" t="s">
        <v>2</v>
      </c>
      <c r="D95" s="196"/>
      <c r="E95" s="65" t="s">
        <v>3</v>
      </c>
      <c r="I95" s="195" t="s">
        <v>2</v>
      </c>
      <c r="J95" s="196"/>
      <c r="K95" s="65" t="s">
        <v>3</v>
      </c>
    </row>
    <row r="96" spans="1:11">
      <c r="A96" s="45" t="s">
        <v>79</v>
      </c>
      <c r="C96" s="61">
        <v>6</v>
      </c>
      <c r="D96" s="54">
        <v>0</v>
      </c>
      <c r="E96" s="66">
        <f>(C96-4)^2+(D96-6)^2</f>
        <v>40</v>
      </c>
      <c r="I96" s="61">
        <v>1.8461538084353666</v>
      </c>
      <c r="J96" s="54">
        <v>2.7692307943764223</v>
      </c>
      <c r="K96" s="66">
        <f>(I96-4)^2+(J96-6)^2</f>
        <v>15.076923076923077</v>
      </c>
    </row>
    <row r="97" spans="1:11">
      <c r="A97" s="60" t="s">
        <v>80</v>
      </c>
      <c r="C97" s="190" t="s">
        <v>5</v>
      </c>
      <c r="D97" s="191"/>
      <c r="E97" s="192"/>
      <c r="I97" s="190" t="s">
        <v>5</v>
      </c>
      <c r="J97" s="191"/>
      <c r="K97" s="192"/>
    </row>
    <row r="98" spans="1:11">
      <c r="C98" s="67">
        <f>C96+D96</f>
        <v>6</v>
      </c>
      <c r="D98" s="5" t="s">
        <v>7</v>
      </c>
      <c r="E98" s="62">
        <v>1</v>
      </c>
      <c r="I98" s="67">
        <f>I96+J96</f>
        <v>4.6153846028117886</v>
      </c>
      <c r="J98" s="5" t="s">
        <v>7</v>
      </c>
      <c r="K98" s="62">
        <v>1</v>
      </c>
    </row>
    <row r="99" spans="1:11" ht="15" thickBot="1">
      <c r="C99" s="68">
        <f>2*C96+3*D96</f>
        <v>12</v>
      </c>
      <c r="D99" s="63" t="s">
        <v>6</v>
      </c>
      <c r="E99" s="64">
        <v>12</v>
      </c>
      <c r="I99" s="68">
        <f>2*I96+3*J96</f>
        <v>12</v>
      </c>
      <c r="J99" s="63" t="s">
        <v>6</v>
      </c>
      <c r="K99" s="64">
        <v>12</v>
      </c>
    </row>
    <row r="100" spans="1:11">
      <c r="A100" s="41" t="s">
        <v>91</v>
      </c>
    </row>
  </sheetData>
  <mergeCells count="9">
    <mergeCell ref="I94:K94"/>
    <mergeCell ref="I97:K97"/>
    <mergeCell ref="C97:E97"/>
    <mergeCell ref="C36:E36"/>
    <mergeCell ref="A31:D31"/>
    <mergeCell ref="C33:E33"/>
    <mergeCell ref="C94:E94"/>
    <mergeCell ref="C95:D95"/>
    <mergeCell ref="I95:J9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29937-4225-4D13-AA0D-089107E86102}">
  <dimension ref="A1:J190"/>
  <sheetViews>
    <sheetView topLeftCell="A166" workbookViewId="0">
      <selection activeCell="E45" sqref="E45"/>
    </sheetView>
  </sheetViews>
  <sheetFormatPr defaultRowHeight="14.4"/>
  <cols>
    <col min="1" max="1" width="11.6640625" customWidth="1"/>
  </cols>
  <sheetData>
    <row r="1" spans="1:10">
      <c r="A1" t="s">
        <v>205</v>
      </c>
    </row>
    <row r="2" spans="1:10">
      <c r="A2" t="s">
        <v>204</v>
      </c>
    </row>
    <row r="3" spans="1:10">
      <c r="A3" t="s">
        <v>1</v>
      </c>
    </row>
    <row r="6" spans="1:10">
      <c r="A6" s="198"/>
      <c r="B6" s="198"/>
      <c r="C6" s="198"/>
      <c r="D6" s="198"/>
    </row>
    <row r="9" spans="1:10">
      <c r="A9" s="197" t="s">
        <v>28</v>
      </c>
      <c r="B9" s="197"/>
      <c r="C9" s="197"/>
      <c r="D9" s="197"/>
    </row>
    <row r="10" spans="1:10">
      <c r="A10" s="2"/>
      <c r="B10" s="2">
        <v>1</v>
      </c>
      <c r="C10" s="2">
        <v>2</v>
      </c>
      <c r="D10" s="71" t="s">
        <v>93</v>
      </c>
    </row>
    <row r="11" spans="1:10">
      <c r="A11" s="2">
        <v>1</v>
      </c>
      <c r="B11" s="70">
        <f>1/3</f>
        <v>0.33333333333333331</v>
      </c>
      <c r="C11" s="70">
        <f>1/12</f>
        <v>8.3333333333333329E-2</v>
      </c>
      <c r="D11" s="2">
        <v>132</v>
      </c>
    </row>
    <row r="12" spans="1:10">
      <c r="A12" s="2">
        <v>2</v>
      </c>
      <c r="B12" s="2">
        <v>0.5</v>
      </c>
      <c r="C12" s="2">
        <v>0.25</v>
      </c>
      <c r="D12" s="2">
        <v>198</v>
      </c>
    </row>
    <row r="14" spans="1:10">
      <c r="B14" s="70">
        <f>1/3</f>
        <v>0.33333333333333331</v>
      </c>
      <c r="C14" s="70">
        <f>1/12</f>
        <v>8.3333333333333329E-2</v>
      </c>
      <c r="F14" s="2">
        <v>132</v>
      </c>
      <c r="I14" s="2">
        <v>1</v>
      </c>
      <c r="J14" s="2">
        <v>0</v>
      </c>
    </row>
    <row r="15" spans="1:10">
      <c r="A15" s="69" t="s">
        <v>95</v>
      </c>
      <c r="B15" s="2">
        <v>0.5</v>
      </c>
      <c r="C15" s="2">
        <v>0.25</v>
      </c>
      <c r="E15" s="69" t="s">
        <v>94</v>
      </c>
      <c r="F15" s="2">
        <v>198</v>
      </c>
      <c r="H15" s="69" t="s">
        <v>96</v>
      </c>
      <c r="I15" s="2">
        <v>0</v>
      </c>
      <c r="J15" s="2">
        <v>1</v>
      </c>
    </row>
    <row r="17" spans="1:8">
      <c r="B17" s="70">
        <f>I14-B14</f>
        <v>0.66666666666666674</v>
      </c>
      <c r="C17" s="70">
        <f>J14-C14</f>
        <v>-8.3333333333333329E-2</v>
      </c>
    </row>
    <row r="18" spans="1:8">
      <c r="A18" s="69" t="s">
        <v>97</v>
      </c>
      <c r="B18" s="70">
        <f>I15-B15</f>
        <v>-0.5</v>
      </c>
      <c r="C18" s="70">
        <f>J15-C15</f>
        <v>0.75</v>
      </c>
      <c r="E18" t="s">
        <v>98</v>
      </c>
      <c r="F18">
        <f>MDETERM(B17:C18)</f>
        <v>0.45833333333333337</v>
      </c>
      <c r="H18" t="s">
        <v>99</v>
      </c>
    </row>
    <row r="21" spans="1:8">
      <c r="B21" s="2">
        <f t="array" ref="B21:C22">MINVERSE(B17:C18)</f>
        <v>1.636363636363636</v>
      </c>
      <c r="C21" s="2">
        <v>0.1818181818181818</v>
      </c>
    </row>
    <row r="22" spans="1:8">
      <c r="B22" s="2">
        <v>1.0909090909090908</v>
      </c>
      <c r="C22" s="2">
        <v>1.4545454545454546</v>
      </c>
    </row>
    <row r="24" spans="1:8">
      <c r="A24" t="s">
        <v>101</v>
      </c>
    </row>
    <row r="26" spans="1:8">
      <c r="B26" s="1">
        <f t="array" ref="B26:B27">MMULT(B21:C22,F14:F15)</f>
        <v>251.99999999999994</v>
      </c>
    </row>
    <row r="27" spans="1:8">
      <c r="A27" s="69" t="s">
        <v>100</v>
      </c>
      <c r="B27" s="1">
        <v>432</v>
      </c>
    </row>
    <row r="29" spans="1:8">
      <c r="B29" s="2">
        <v>50</v>
      </c>
    </row>
    <row r="30" spans="1:8">
      <c r="B30" s="2">
        <v>66</v>
      </c>
    </row>
    <row r="32" spans="1:8">
      <c r="B32" s="2">
        <f>F14+B29</f>
        <v>182</v>
      </c>
    </row>
    <row r="33" spans="1:8">
      <c r="B33" s="2">
        <f>F15+B30</f>
        <v>264</v>
      </c>
    </row>
    <row r="35" spans="1:8">
      <c r="B35" s="1">
        <f t="array" ref="B35:B36">MMULT(B21:C22,B32:B33)</f>
        <v>345.81818181818176</v>
      </c>
    </row>
    <row r="36" spans="1:8">
      <c r="A36" s="69" t="s">
        <v>102</v>
      </c>
      <c r="B36" s="1">
        <v>582.5454545454545</v>
      </c>
    </row>
    <row r="38" spans="1:8">
      <c r="B38" s="2">
        <f>B35-B26</f>
        <v>93.818181818181813</v>
      </c>
    </row>
    <row r="39" spans="1:8">
      <c r="A39" s="69" t="s">
        <v>103</v>
      </c>
      <c r="B39" s="2">
        <f>B36-B27</f>
        <v>150.5454545454545</v>
      </c>
    </row>
    <row r="41" spans="1:8">
      <c r="A41" t="s">
        <v>104</v>
      </c>
      <c r="E41" s="69"/>
      <c r="F41" s="69" t="s">
        <v>105</v>
      </c>
      <c r="G41" s="2">
        <f t="array" ref="G41:H41">TRANSPOSE(B26:B27)</f>
        <v>251.99999999999994</v>
      </c>
      <c r="H41" s="2">
        <v>432</v>
      </c>
    </row>
    <row r="42" spans="1:8">
      <c r="A42" s="197" t="s">
        <v>28</v>
      </c>
      <c r="B42" s="197"/>
      <c r="C42" s="197"/>
      <c r="D42" s="197"/>
    </row>
    <row r="43" spans="1:8">
      <c r="A43" s="2"/>
      <c r="B43" s="2">
        <v>1</v>
      </c>
      <c r="C43" s="2">
        <v>2</v>
      </c>
      <c r="D43" s="71" t="s">
        <v>93</v>
      </c>
      <c r="E43" s="5" t="s">
        <v>29</v>
      </c>
    </row>
    <row r="44" spans="1:8">
      <c r="A44" s="2">
        <v>1</v>
      </c>
      <c r="B44" s="70">
        <f>B11*G$41</f>
        <v>83.999999999999972</v>
      </c>
      <c r="C44" s="70">
        <f>C11*H$41</f>
        <v>36</v>
      </c>
      <c r="D44" s="2">
        <v>132</v>
      </c>
      <c r="E44" s="72">
        <f>SUM(B44:D44)</f>
        <v>251.99999999999997</v>
      </c>
      <c r="H44" s="72">
        <f t="array" ref="H44:H45">E44:E45</f>
        <v>251.99999999999997</v>
      </c>
    </row>
    <row r="45" spans="1:8">
      <c r="A45" s="2">
        <v>2</v>
      </c>
      <c r="B45" s="70">
        <f>B12*G$41</f>
        <v>125.99999999999997</v>
      </c>
      <c r="C45" s="70">
        <f>C12*H$41</f>
        <v>108</v>
      </c>
      <c r="D45" s="2">
        <v>198</v>
      </c>
      <c r="E45" s="72">
        <f>SUM(B45:D45)</f>
        <v>432</v>
      </c>
      <c r="G45" s="69" t="s">
        <v>100</v>
      </c>
      <c r="H45" s="72">
        <v>432</v>
      </c>
    </row>
    <row r="47" spans="1:8">
      <c r="A47" t="s">
        <v>9</v>
      </c>
    </row>
    <row r="56" spans="1:9">
      <c r="A56" s="2"/>
      <c r="B56" s="2">
        <v>1</v>
      </c>
      <c r="C56" s="2">
        <v>2</v>
      </c>
      <c r="D56" s="2">
        <v>3</v>
      </c>
      <c r="G56" s="2">
        <v>1</v>
      </c>
      <c r="H56" s="2">
        <v>0</v>
      </c>
      <c r="I56" s="2">
        <v>0</v>
      </c>
    </row>
    <row r="57" spans="1:9">
      <c r="A57" s="2">
        <v>1</v>
      </c>
      <c r="B57" s="2">
        <v>0.1</v>
      </c>
      <c r="C57" s="2">
        <v>0.3</v>
      </c>
      <c r="D57" s="2">
        <v>0.2</v>
      </c>
      <c r="F57" s="69" t="s">
        <v>96</v>
      </c>
      <c r="G57" s="2">
        <v>0</v>
      </c>
      <c r="H57" s="2">
        <v>1</v>
      </c>
      <c r="I57" s="2">
        <v>0</v>
      </c>
    </row>
    <row r="58" spans="1:9">
      <c r="A58" s="2">
        <v>2</v>
      </c>
      <c r="B58" s="2">
        <v>0.3</v>
      </c>
      <c r="C58" s="2">
        <v>0.2</v>
      </c>
      <c r="D58" s="2">
        <v>0.1</v>
      </c>
      <c r="G58" s="2">
        <v>0</v>
      </c>
      <c r="H58" s="2">
        <v>0</v>
      </c>
      <c r="I58" s="2">
        <v>1</v>
      </c>
    </row>
    <row r="59" spans="1:9">
      <c r="A59" s="2">
        <v>3</v>
      </c>
      <c r="B59" s="2">
        <v>0.2</v>
      </c>
      <c r="C59" s="2">
        <v>0.1</v>
      </c>
      <c r="D59" s="2">
        <v>0.3</v>
      </c>
    </row>
    <row r="61" spans="1:9">
      <c r="B61" s="2">
        <f>G56-B57</f>
        <v>0.9</v>
      </c>
      <c r="C61" s="2">
        <f>H56-C57</f>
        <v>-0.3</v>
      </c>
      <c r="D61" s="2">
        <f>I56-D57</f>
        <v>-0.2</v>
      </c>
    </row>
    <row r="62" spans="1:9">
      <c r="B62" s="2">
        <f t="shared" ref="B62:D62" si="0">G57-B58</f>
        <v>-0.3</v>
      </c>
      <c r="C62" s="2">
        <f t="shared" si="0"/>
        <v>0.8</v>
      </c>
      <c r="D62" s="2">
        <f t="shared" si="0"/>
        <v>-0.1</v>
      </c>
    </row>
    <row r="63" spans="1:9">
      <c r="A63" s="69" t="s">
        <v>97</v>
      </c>
      <c r="B63" s="2">
        <f t="shared" ref="B63:D63" si="1">G58-B59</f>
        <v>-0.2</v>
      </c>
      <c r="C63" s="2">
        <f t="shared" si="1"/>
        <v>-0.1</v>
      </c>
      <c r="D63" s="2">
        <f t="shared" si="1"/>
        <v>0.7</v>
      </c>
      <c r="F63" t="s">
        <v>98</v>
      </c>
      <c r="G63" s="2">
        <f>MDETERM(B61:D63)</f>
        <v>0.38800000000000001</v>
      </c>
    </row>
    <row r="66" spans="1:6">
      <c r="B66" s="2">
        <f t="array" ref="B66:D68">MINVERSE(B61:D63)</f>
        <v>1.4175257731958764</v>
      </c>
      <c r="C66" s="2">
        <v>0.59278350515463918</v>
      </c>
      <c r="D66" s="2">
        <v>0.48969072164948463</v>
      </c>
    </row>
    <row r="67" spans="1:6">
      <c r="B67" s="2">
        <v>0.59278350515463918</v>
      </c>
      <c r="C67" s="2">
        <v>1.5206185567010309</v>
      </c>
      <c r="D67" s="2">
        <v>0.38659793814432997</v>
      </c>
    </row>
    <row r="68" spans="1:6">
      <c r="B68" s="2">
        <v>0.48969072164948468</v>
      </c>
      <c r="C68" s="2">
        <v>0.38659793814432997</v>
      </c>
      <c r="D68" s="2">
        <v>1.6237113402061858</v>
      </c>
      <c r="F68" t="s">
        <v>106</v>
      </c>
    </row>
    <row r="71" spans="1:6">
      <c r="A71" t="s">
        <v>153</v>
      </c>
    </row>
    <row r="73" spans="1:6">
      <c r="B73" s="2">
        <v>7</v>
      </c>
      <c r="C73" s="2">
        <v>2</v>
      </c>
      <c r="D73" s="2">
        <v>-2</v>
      </c>
    </row>
    <row r="74" spans="1:6">
      <c r="A74" s="69" t="s">
        <v>154</v>
      </c>
      <c r="B74" s="2">
        <v>4</v>
      </c>
      <c r="C74" s="2">
        <v>5</v>
      </c>
      <c r="D74" s="2">
        <v>-2</v>
      </c>
    </row>
    <row r="75" spans="1:6">
      <c r="B75" s="2">
        <v>0</v>
      </c>
      <c r="C75" s="2">
        <v>0</v>
      </c>
      <c r="D75" s="2">
        <v>3</v>
      </c>
    </row>
    <row r="77" spans="1:6">
      <c r="B77" s="2">
        <v>1</v>
      </c>
      <c r="C77" s="2">
        <v>0</v>
      </c>
      <c r="D77" s="2">
        <v>0</v>
      </c>
    </row>
    <row r="78" spans="1:6">
      <c r="A78" s="69" t="s">
        <v>155</v>
      </c>
      <c r="B78" s="78">
        <v>0</v>
      </c>
      <c r="C78" s="78">
        <v>1</v>
      </c>
      <c r="D78" s="2">
        <v>0</v>
      </c>
    </row>
    <row r="79" spans="1:6">
      <c r="B79" s="2">
        <v>0</v>
      </c>
      <c r="C79" s="2">
        <v>0</v>
      </c>
      <c r="D79" s="2">
        <v>1</v>
      </c>
    </row>
    <row r="81" spans="1:6">
      <c r="B81" s="70">
        <f t="array" ref="B81:D83">B77:D79-B73:D75</f>
        <v>-6</v>
      </c>
      <c r="C81" s="70">
        <v>-2</v>
      </c>
      <c r="D81" s="2">
        <v>2</v>
      </c>
      <c r="F81" s="71" t="s">
        <v>157</v>
      </c>
    </row>
    <row r="82" spans="1:6">
      <c r="A82" s="69" t="s">
        <v>97</v>
      </c>
      <c r="B82" s="70">
        <v>-4</v>
      </c>
      <c r="C82" s="70">
        <v>-4</v>
      </c>
      <c r="D82" s="2">
        <v>2</v>
      </c>
      <c r="F82" s="2">
        <f>MDETERM(B81:D83)</f>
        <v>-32</v>
      </c>
    </row>
    <row r="83" spans="1:6">
      <c r="B83" s="2">
        <v>0</v>
      </c>
      <c r="C83" s="2">
        <v>0</v>
      </c>
      <c r="D83" s="2">
        <v>-2</v>
      </c>
    </row>
    <row r="85" spans="1:6">
      <c r="B85" s="2">
        <f t="array" ref="B85:D87">MINVERSE(B81:D83)</f>
        <v>-0.25</v>
      </c>
      <c r="C85" s="2">
        <v>0.12499999999999999</v>
      </c>
      <c r="D85" s="2">
        <v>-0.125</v>
      </c>
    </row>
    <row r="86" spans="1:6">
      <c r="B86" s="2">
        <v>0.24999999999999994</v>
      </c>
      <c r="C86" s="2">
        <v>-0.37499999999999994</v>
      </c>
      <c r="D86" s="2">
        <v>-0.125</v>
      </c>
    </row>
    <row r="87" spans="1:6">
      <c r="B87" s="2">
        <v>0</v>
      </c>
      <c r="C87" s="2">
        <v>0</v>
      </c>
      <c r="D87" s="2">
        <v>-0.5</v>
      </c>
    </row>
    <row r="89" spans="1:6">
      <c r="A89" t="s">
        <v>206</v>
      </c>
    </row>
    <row r="91" spans="1:6">
      <c r="A91" t="s">
        <v>156</v>
      </c>
    </row>
    <row r="92" spans="1:6">
      <c r="B92" s="2">
        <v>2</v>
      </c>
      <c r="C92" s="2">
        <v>1</v>
      </c>
      <c r="D92" s="2">
        <v>-4</v>
      </c>
      <c r="E92" s="2">
        <v>2</v>
      </c>
      <c r="F92" s="2">
        <v>2</v>
      </c>
    </row>
    <row r="93" spans="1:6">
      <c r="B93" s="2">
        <v>-1</v>
      </c>
      <c r="C93" s="2">
        <v>4</v>
      </c>
      <c r="D93" s="2">
        <v>-2</v>
      </c>
      <c r="E93" s="2">
        <v>0</v>
      </c>
      <c r="F93" s="2">
        <v>2</v>
      </c>
    </row>
    <row r="94" spans="1:6">
      <c r="A94" s="69" t="s">
        <v>126</v>
      </c>
      <c r="B94" s="2">
        <v>5</v>
      </c>
      <c r="C94" s="2">
        <v>-5</v>
      </c>
      <c r="D94" s="2">
        <v>1</v>
      </c>
      <c r="E94" s="2">
        <v>1</v>
      </c>
      <c r="F94" s="2">
        <v>1</v>
      </c>
    </row>
    <row r="95" spans="1:6">
      <c r="B95" s="2">
        <v>0</v>
      </c>
      <c r="C95" s="2">
        <v>2</v>
      </c>
      <c r="D95" s="2">
        <v>1</v>
      </c>
      <c r="E95" s="2">
        <v>-3</v>
      </c>
      <c r="F95" s="2">
        <v>3</v>
      </c>
    </row>
    <row r="96" spans="1:6">
      <c r="B96" s="2">
        <v>3</v>
      </c>
      <c r="C96" s="2">
        <v>-2</v>
      </c>
      <c r="D96" s="2">
        <v>-3</v>
      </c>
      <c r="E96" s="2">
        <v>2</v>
      </c>
      <c r="F96" s="2">
        <v>3</v>
      </c>
    </row>
    <row r="99" spans="1:10">
      <c r="B99" s="2">
        <v>1</v>
      </c>
      <c r="C99" s="2">
        <v>0</v>
      </c>
      <c r="D99" s="2">
        <v>0</v>
      </c>
      <c r="E99" s="2">
        <v>0</v>
      </c>
      <c r="F99" s="2">
        <v>0</v>
      </c>
    </row>
    <row r="100" spans="1:10">
      <c r="B100" s="2">
        <v>0</v>
      </c>
      <c r="C100" s="2">
        <v>1</v>
      </c>
      <c r="D100" s="2">
        <v>0</v>
      </c>
      <c r="E100" s="2">
        <v>0</v>
      </c>
      <c r="F100" s="2">
        <v>0</v>
      </c>
    </row>
    <row r="101" spans="1:10">
      <c r="A101" s="69" t="s">
        <v>155</v>
      </c>
      <c r="B101" s="2">
        <v>0</v>
      </c>
      <c r="C101" s="2">
        <v>0</v>
      </c>
      <c r="D101" s="2">
        <v>1</v>
      </c>
      <c r="E101" s="2">
        <v>0</v>
      </c>
      <c r="F101" s="2">
        <v>0</v>
      </c>
    </row>
    <row r="102" spans="1:10">
      <c r="B102" s="2">
        <v>0</v>
      </c>
      <c r="C102" s="2">
        <v>0</v>
      </c>
      <c r="D102" s="2">
        <v>0</v>
      </c>
      <c r="E102" s="2">
        <v>1</v>
      </c>
      <c r="F102" s="2">
        <v>0</v>
      </c>
    </row>
    <row r="103" spans="1:10">
      <c r="B103" s="2">
        <v>0</v>
      </c>
      <c r="C103" s="2">
        <v>0</v>
      </c>
      <c r="D103" s="2">
        <v>0</v>
      </c>
      <c r="E103" s="2">
        <v>0</v>
      </c>
      <c r="F103" s="2">
        <v>1</v>
      </c>
    </row>
    <row r="105" spans="1:10">
      <c r="B105" s="2">
        <f t="array" ref="B105:F109">B99:F103-B92:F96</f>
        <v>-1</v>
      </c>
      <c r="C105" s="2">
        <v>-1</v>
      </c>
      <c r="D105" s="2">
        <v>4</v>
      </c>
      <c r="E105" s="2">
        <v>-2</v>
      </c>
      <c r="F105" s="2">
        <v>-2</v>
      </c>
    </row>
    <row r="106" spans="1:10">
      <c r="B106" s="2">
        <v>1</v>
      </c>
      <c r="C106" s="2">
        <v>-3</v>
      </c>
      <c r="D106" s="2">
        <v>2</v>
      </c>
      <c r="E106" s="2">
        <v>0</v>
      </c>
      <c r="F106" s="2">
        <v>-2</v>
      </c>
      <c r="H106" s="71" t="s">
        <v>157</v>
      </c>
    </row>
    <row r="107" spans="1:10">
      <c r="A107" s="69" t="s">
        <v>97</v>
      </c>
      <c r="B107" s="2">
        <v>-5</v>
      </c>
      <c r="C107" s="2">
        <v>5</v>
      </c>
      <c r="D107" s="2">
        <v>0</v>
      </c>
      <c r="E107" s="2">
        <v>-1</v>
      </c>
      <c r="F107" s="2">
        <v>-1</v>
      </c>
      <c r="H107" s="71">
        <f>MDETERM(B105:F109)</f>
        <v>23.999999999999993</v>
      </c>
      <c r="J107" s="73" t="s">
        <v>207</v>
      </c>
    </row>
    <row r="108" spans="1:10">
      <c r="B108" s="2">
        <v>0</v>
      </c>
      <c r="C108" s="2">
        <v>-2</v>
      </c>
      <c r="D108" s="2">
        <v>-1</v>
      </c>
      <c r="E108" s="2">
        <v>4</v>
      </c>
      <c r="F108" s="2">
        <v>-3</v>
      </c>
    </row>
    <row r="109" spans="1:10">
      <c r="B109" s="2">
        <v>-3</v>
      </c>
      <c r="C109" s="2">
        <v>2</v>
      </c>
      <c r="D109" s="2">
        <v>3</v>
      </c>
      <c r="E109" s="2">
        <v>-2</v>
      </c>
      <c r="F109" s="2">
        <v>-2</v>
      </c>
    </row>
    <row r="111" spans="1:10">
      <c r="B111" s="2">
        <f t="array" ref="B111:F115">MINVERSE(B105:F109)</f>
        <v>-1.7916666666666672</v>
      </c>
      <c r="C111" s="2">
        <v>0.29166666666666763</v>
      </c>
      <c r="D111" s="2">
        <v>-1.083333333333333</v>
      </c>
      <c r="E111" s="2">
        <v>-8.333333333333362E-2</v>
      </c>
      <c r="F111" s="2">
        <v>2.166666666666667</v>
      </c>
    </row>
    <row r="112" spans="1:10">
      <c r="B112" s="2">
        <v>-1.2083333333333337</v>
      </c>
      <c r="C112" s="2">
        <v>-0.29166666666666585</v>
      </c>
      <c r="D112" s="2">
        <v>-0.91666666666666641</v>
      </c>
      <c r="E112" s="2">
        <v>8.3333333333333093E-2</v>
      </c>
      <c r="F112" s="2">
        <v>1.8333333333333337</v>
      </c>
      <c r="H112" s="71" t="s">
        <v>157</v>
      </c>
    </row>
    <row r="113" spans="1:8">
      <c r="B113" s="2">
        <v>0.95833333333333337</v>
      </c>
      <c r="C113" s="2">
        <v>-1.4583333333333333</v>
      </c>
      <c r="D113" s="2">
        <v>-0.58333333333333359</v>
      </c>
      <c r="E113" s="2">
        <v>0.41666666666666669</v>
      </c>
      <c r="F113" s="2">
        <v>0.16666666666666696</v>
      </c>
      <c r="H113" s="2">
        <f>MDETERM(B111:F115)</f>
        <v>4.1666666666666727E-2</v>
      </c>
    </row>
    <row r="114" spans="1:8">
      <c r="B114" s="2">
        <v>1.0416666666666665</v>
      </c>
      <c r="C114" s="2">
        <v>-1.5416666666666667</v>
      </c>
      <c r="D114" s="2">
        <v>-0.41666666666666691</v>
      </c>
      <c r="E114" s="2">
        <v>0.58333333333333337</v>
      </c>
      <c r="F114" s="2">
        <v>-0.16666666666666638</v>
      </c>
    </row>
    <row r="115" spans="1:8">
      <c r="B115" s="2">
        <v>1.8750000000000004</v>
      </c>
      <c r="C115" s="2">
        <v>-1.3750000000000007</v>
      </c>
      <c r="D115" s="2">
        <v>0.24999999999999958</v>
      </c>
      <c r="E115" s="2">
        <v>0.25000000000000022</v>
      </c>
      <c r="F115" s="2">
        <v>-1.5</v>
      </c>
    </row>
    <row r="117" spans="1:8">
      <c r="A117" t="s">
        <v>206</v>
      </c>
    </row>
    <row r="119" spans="1:8">
      <c r="A119" t="s">
        <v>159</v>
      </c>
    </row>
    <row r="120" spans="1:8">
      <c r="B120" s="2">
        <v>5</v>
      </c>
      <c r="C120" s="2">
        <v>0</v>
      </c>
      <c r="D120" s="2">
        <v>0</v>
      </c>
      <c r="F120" s="71" t="s">
        <v>157</v>
      </c>
    </row>
    <row r="121" spans="1:8">
      <c r="B121" s="2">
        <v>1</v>
      </c>
      <c r="C121" s="2">
        <v>4</v>
      </c>
      <c r="D121" s="2">
        <v>-1</v>
      </c>
      <c r="F121" s="71">
        <f>B120*C121*D122+B121*C122*D120+C120*D121*B122-D120*C121*B122-C122*D121*B120-B121*C120*D122</f>
        <v>75</v>
      </c>
    </row>
    <row r="122" spans="1:8">
      <c r="B122" s="2">
        <v>1</v>
      </c>
      <c r="C122" s="2">
        <v>-1</v>
      </c>
      <c r="D122" s="2">
        <v>4</v>
      </c>
    </row>
    <row r="125" spans="1:8">
      <c r="B125" s="74" t="s">
        <v>109</v>
      </c>
      <c r="C125" s="74">
        <v>0</v>
      </c>
      <c r="D125" s="74">
        <v>0</v>
      </c>
    </row>
    <row r="126" spans="1:8">
      <c r="B126" s="74" t="s">
        <v>107</v>
      </c>
      <c r="C126" s="74" t="s">
        <v>110</v>
      </c>
      <c r="D126" s="75" t="s">
        <v>108</v>
      </c>
      <c r="F126" s="79" t="s">
        <v>111</v>
      </c>
      <c r="G126" s="41"/>
      <c r="H126" s="41"/>
    </row>
    <row r="127" spans="1:8">
      <c r="B127" s="74" t="s">
        <v>107</v>
      </c>
      <c r="C127" s="75" t="s">
        <v>108</v>
      </c>
      <c r="D127" s="74" t="s">
        <v>110</v>
      </c>
      <c r="F127" s="76" t="s">
        <v>112</v>
      </c>
      <c r="G127" s="41"/>
      <c r="H127" s="41"/>
    </row>
    <row r="128" spans="1:8">
      <c r="F128" s="41" t="s">
        <v>113</v>
      </c>
      <c r="G128" s="41"/>
      <c r="H128" s="41"/>
    </row>
    <row r="129" spans="1:8">
      <c r="F129" s="41" t="s">
        <v>114</v>
      </c>
      <c r="G129" s="55" t="s">
        <v>115</v>
      </c>
      <c r="H129" s="41" t="s">
        <v>116</v>
      </c>
    </row>
    <row r="130" spans="1:8" ht="15.6">
      <c r="F130" s="77" t="s">
        <v>117</v>
      </c>
      <c r="G130" s="41"/>
      <c r="H130" s="77" t="s">
        <v>118</v>
      </c>
    </row>
    <row r="131" spans="1:8" ht="15.6">
      <c r="F131" s="41"/>
      <c r="G131" s="41"/>
      <c r="H131" s="77" t="s">
        <v>119</v>
      </c>
    </row>
    <row r="132" spans="1:8">
      <c r="F132" s="41" t="s">
        <v>120</v>
      </c>
      <c r="G132" s="41"/>
      <c r="H132" s="41"/>
    </row>
    <row r="133" spans="1:8">
      <c r="F133" s="41" t="s">
        <v>121</v>
      </c>
      <c r="G133" s="41"/>
      <c r="H133" s="41"/>
    </row>
    <row r="134" spans="1:8">
      <c r="F134" s="41" t="s">
        <v>122</v>
      </c>
      <c r="G134" s="41"/>
      <c r="H134" s="41"/>
    </row>
    <row r="135" spans="1:8">
      <c r="B135" s="2">
        <f t="array" ref="B135:D137">(1/5)*B120:D122</f>
        <v>1</v>
      </c>
      <c r="C135" s="2">
        <v>0</v>
      </c>
      <c r="D135" s="2">
        <v>0</v>
      </c>
    </row>
    <row r="136" spans="1:8">
      <c r="A136" s="69" t="s">
        <v>123</v>
      </c>
      <c r="B136" s="2">
        <v>0.2</v>
      </c>
      <c r="C136" s="2">
        <v>0.8</v>
      </c>
      <c r="D136" s="2">
        <v>-0.2</v>
      </c>
    </row>
    <row r="137" spans="1:8">
      <c r="B137" s="2">
        <v>0.2</v>
      </c>
      <c r="C137" s="2">
        <v>-0.2</v>
      </c>
      <c r="D137" s="2">
        <v>0.8</v>
      </c>
    </row>
    <row r="139" spans="1:8">
      <c r="A139" t="s">
        <v>158</v>
      </c>
    </row>
    <row r="140" spans="1:8">
      <c r="B140" s="2">
        <v>0.1</v>
      </c>
      <c r="C140" s="2">
        <v>0.8</v>
      </c>
    </row>
    <row r="141" spans="1:8">
      <c r="A141" s="69" t="s">
        <v>126</v>
      </c>
      <c r="B141" s="2">
        <v>0.5</v>
      </c>
      <c r="C141" s="2">
        <v>0.4</v>
      </c>
    </row>
    <row r="143" spans="1:8">
      <c r="B143" s="2">
        <v>16</v>
      </c>
    </row>
    <row r="144" spans="1:8">
      <c r="A144" s="69" t="s">
        <v>160</v>
      </c>
      <c r="B144" s="2">
        <v>20</v>
      </c>
    </row>
    <row r="146" spans="1:8">
      <c r="B146" s="2">
        <v>1</v>
      </c>
      <c r="C146" s="2">
        <v>0</v>
      </c>
    </row>
    <row r="147" spans="1:8">
      <c r="A147" s="69" t="s">
        <v>96</v>
      </c>
      <c r="B147" s="2">
        <v>0</v>
      </c>
      <c r="C147" s="2">
        <v>1</v>
      </c>
    </row>
    <row r="149" spans="1:8">
      <c r="B149" s="70">
        <f t="array" ref="B149:C150">B146:C147-B140:C141</f>
        <v>0.9</v>
      </c>
      <c r="C149" s="70">
        <v>-0.8</v>
      </c>
    </row>
    <row r="150" spans="1:8">
      <c r="A150" s="69" t="s">
        <v>97</v>
      </c>
      <c r="B150" s="70">
        <v>-0.5</v>
      </c>
      <c r="C150" s="70">
        <v>0.6</v>
      </c>
    </row>
    <row r="153" spans="1:8">
      <c r="B153" s="2">
        <f t="array" ref="B153:C154">MINVERSE(B149:C150)</f>
        <v>4.2857142857142874</v>
      </c>
      <c r="C153" s="2">
        <v>5.7142857142857162</v>
      </c>
    </row>
    <row r="154" spans="1:8">
      <c r="B154" s="2">
        <v>3.571428571428573</v>
      </c>
      <c r="C154" s="2">
        <v>6.4285714285714306</v>
      </c>
    </row>
    <row r="156" spans="1:8">
      <c r="A156" t="s">
        <v>101</v>
      </c>
    </row>
    <row r="157" spans="1:8">
      <c r="B157" s="1">
        <f t="array" ref="B157:B158">MMULT(B153:C154,B143:B144)</f>
        <v>182.85714285714292</v>
      </c>
    </row>
    <row r="158" spans="1:8">
      <c r="A158" s="69" t="s">
        <v>100</v>
      </c>
      <c r="B158" s="1">
        <v>185.71428571428578</v>
      </c>
    </row>
    <row r="160" spans="1:8">
      <c r="A160" t="s">
        <v>182</v>
      </c>
      <c r="E160" s="69"/>
      <c r="F160" s="69" t="s">
        <v>105</v>
      </c>
      <c r="G160" s="2">
        <f t="array" ref="G160:H160">TRANSPOSE(B157:B158)</f>
        <v>182.85714285714292</v>
      </c>
      <c r="H160" s="2">
        <v>185.71428571428578</v>
      </c>
    </row>
    <row r="161" spans="1:8">
      <c r="A161" s="197" t="s">
        <v>28</v>
      </c>
      <c r="B161" s="197"/>
      <c r="C161" s="197"/>
      <c r="D161" s="197"/>
    </row>
    <row r="162" spans="1:8">
      <c r="A162" s="2"/>
      <c r="B162" s="2">
        <v>1</v>
      </c>
      <c r="C162" s="2">
        <v>2</v>
      </c>
      <c r="D162" s="71" t="s">
        <v>161</v>
      </c>
      <c r="E162" s="5" t="s">
        <v>29</v>
      </c>
    </row>
    <row r="163" spans="1:8">
      <c r="A163" s="2">
        <v>1</v>
      </c>
      <c r="B163" s="70">
        <f>G160*B140</f>
        <v>18.285714285714292</v>
      </c>
      <c r="C163" s="70">
        <f>C140*H160</f>
        <v>148.57142857142864</v>
      </c>
      <c r="D163" s="2">
        <v>16</v>
      </c>
      <c r="E163" s="72">
        <f>SUM(B163:D163)</f>
        <v>182.85714285714295</v>
      </c>
      <c r="H163" s="72">
        <f>SUM(B163:D163)</f>
        <v>182.85714285714295</v>
      </c>
    </row>
    <row r="164" spans="1:8">
      <c r="A164" s="2">
        <v>2</v>
      </c>
      <c r="B164" s="70">
        <f>G160*B141</f>
        <v>91.428571428571459</v>
      </c>
      <c r="C164" s="70">
        <f>H160*C141</f>
        <v>74.28571428571432</v>
      </c>
      <c r="D164" s="2">
        <v>20</v>
      </c>
      <c r="E164" s="72">
        <f>SUM(B164:D164)</f>
        <v>185.71428571428578</v>
      </c>
      <c r="G164" s="69" t="s">
        <v>100</v>
      </c>
      <c r="H164" s="72">
        <f>SUM(B164:D164)</f>
        <v>185.71428571428578</v>
      </c>
    </row>
    <row r="166" spans="1:8">
      <c r="A166" t="s">
        <v>162</v>
      </c>
    </row>
    <row r="167" spans="1:8">
      <c r="A167" s="69"/>
      <c r="B167" s="2">
        <v>0.8</v>
      </c>
      <c r="C167" s="2">
        <v>0.5</v>
      </c>
    </row>
    <row r="168" spans="1:8">
      <c r="A168" s="69" t="s">
        <v>154</v>
      </c>
      <c r="B168" s="2">
        <v>0.6</v>
      </c>
      <c r="C168" s="2">
        <v>0.4</v>
      </c>
    </row>
    <row r="170" spans="1:8">
      <c r="B170" s="2">
        <v>1</v>
      </c>
      <c r="C170" s="2">
        <v>0</v>
      </c>
    </row>
    <row r="171" spans="1:8">
      <c r="A171" s="69" t="s">
        <v>96</v>
      </c>
      <c r="B171" s="2">
        <v>0</v>
      </c>
      <c r="C171" s="2">
        <v>1</v>
      </c>
    </row>
    <row r="173" spans="1:8">
      <c r="B173" s="70">
        <f t="array" ref="B173:C174">B170:C171-B167:C168</f>
        <v>0.19999999999999996</v>
      </c>
      <c r="C173" s="70">
        <v>-0.5</v>
      </c>
      <c r="E173" s="71" t="s">
        <v>157</v>
      </c>
    </row>
    <row r="174" spans="1:8">
      <c r="A174" s="69" t="s">
        <v>97</v>
      </c>
      <c r="B174" s="70">
        <v>-0.6</v>
      </c>
      <c r="C174" s="70">
        <v>0.6</v>
      </c>
      <c r="E174" s="71">
        <f>MDETERM(B173:C174)</f>
        <v>-0.18000000000000002</v>
      </c>
    </row>
    <row r="177" spans="1:8">
      <c r="B177" s="2">
        <f t="array" ref="B177:C178">MINVERSE(B173:C174)</f>
        <v>-3.333333333333333</v>
      </c>
      <c r="C177" s="2">
        <v>-2.7777777777777777</v>
      </c>
    </row>
    <row r="178" spans="1:8">
      <c r="B178" s="2">
        <v>-3.333333333333333</v>
      </c>
      <c r="C178" s="2">
        <v>-1.1111111111111107</v>
      </c>
      <c r="E178" t="s">
        <v>183</v>
      </c>
    </row>
    <row r="180" spans="1:8">
      <c r="A180" t="s">
        <v>101</v>
      </c>
    </row>
    <row r="181" spans="1:8">
      <c r="B181" s="1">
        <f t="array" ref="B181:B182">MMULT(B177:C178,B167:B168)</f>
        <v>-4.333333333333333</v>
      </c>
    </row>
    <row r="182" spans="1:8">
      <c r="A182" s="69" t="s">
        <v>100</v>
      </c>
      <c r="B182" s="1">
        <v>-3.333333333333333</v>
      </c>
    </row>
    <row r="184" spans="1:8">
      <c r="A184" t="s">
        <v>182</v>
      </c>
      <c r="E184" s="69"/>
      <c r="F184" s="69" t="s">
        <v>105</v>
      </c>
      <c r="G184" s="2">
        <f t="array" ref="G184:H184">TRANSPOSE(B181:B182)</f>
        <v>-4.333333333333333</v>
      </c>
      <c r="H184" s="2">
        <v>-3.333333333333333</v>
      </c>
    </row>
    <row r="185" spans="1:8">
      <c r="A185" s="197" t="s">
        <v>28</v>
      </c>
      <c r="B185" s="197"/>
      <c r="C185" s="197"/>
      <c r="D185" s="197"/>
    </row>
    <row r="186" spans="1:8">
      <c r="A186" s="2"/>
      <c r="B186" s="2">
        <v>1</v>
      </c>
      <c r="C186" s="2">
        <v>2</v>
      </c>
      <c r="D186" s="71" t="s">
        <v>161</v>
      </c>
      <c r="E186" s="5" t="s">
        <v>29</v>
      </c>
    </row>
    <row r="187" spans="1:8">
      <c r="A187" s="2">
        <v>1</v>
      </c>
      <c r="B187" s="70">
        <f>G184*B164</f>
        <v>-396.19047619047632</v>
      </c>
      <c r="C187" s="70">
        <f>C164*H184</f>
        <v>-247.61904761904771</v>
      </c>
      <c r="D187" s="2">
        <v>16</v>
      </c>
      <c r="E187" s="72">
        <f>SUM(B187:D187)</f>
        <v>-627.80952380952408</v>
      </c>
      <c r="H187" s="72">
        <f>SUM(B187:D187)</f>
        <v>-627.80952380952408</v>
      </c>
    </row>
    <row r="188" spans="1:8">
      <c r="A188" s="2">
        <v>2</v>
      </c>
      <c r="B188" s="70">
        <f>G184*B165</f>
        <v>0</v>
      </c>
      <c r="C188" s="70">
        <f>H184*C165</f>
        <v>0</v>
      </c>
      <c r="D188" s="2">
        <v>20</v>
      </c>
      <c r="E188" s="72">
        <f>SUM(B188:D188)</f>
        <v>20</v>
      </c>
      <c r="G188" s="69" t="s">
        <v>100</v>
      </c>
      <c r="H188" s="72">
        <f>SUM(B188:D188)</f>
        <v>20</v>
      </c>
    </row>
    <row r="190" spans="1:8">
      <c r="A190" t="s">
        <v>208</v>
      </c>
    </row>
  </sheetData>
  <mergeCells count="5">
    <mergeCell ref="A161:D161"/>
    <mergeCell ref="A6:D6"/>
    <mergeCell ref="A9:D9"/>
    <mergeCell ref="A42:D42"/>
    <mergeCell ref="A185:D18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22C13-5E6D-4AC6-90E8-2DA33C62E32C}">
  <dimension ref="A1:X168"/>
  <sheetViews>
    <sheetView workbookViewId="0">
      <selection activeCell="J108" sqref="J108"/>
    </sheetView>
  </sheetViews>
  <sheetFormatPr defaultRowHeight="14.4"/>
  <sheetData>
    <row r="1" spans="1:10">
      <c r="A1" t="s">
        <v>163</v>
      </c>
    </row>
    <row r="2" spans="1:10">
      <c r="A2" t="s">
        <v>1</v>
      </c>
    </row>
    <row r="3" spans="1:10">
      <c r="A3" t="s">
        <v>196</v>
      </c>
    </row>
    <row r="4" spans="1:10">
      <c r="C4" s="197" t="s">
        <v>164</v>
      </c>
      <c r="D4" s="197"/>
      <c r="E4" s="197"/>
      <c r="F4" s="197"/>
      <c r="G4" s="197"/>
      <c r="H4" s="197"/>
      <c r="I4" s="197"/>
      <c r="J4" s="204"/>
    </row>
    <row r="5" spans="1:10">
      <c r="C5" s="81" t="s">
        <v>165</v>
      </c>
      <c r="D5" s="81">
        <v>1</v>
      </c>
      <c r="E5" s="81">
        <v>2</v>
      </c>
      <c r="F5" s="81">
        <v>3</v>
      </c>
      <c r="G5" s="81">
        <v>4</v>
      </c>
      <c r="H5" s="81">
        <v>5</v>
      </c>
      <c r="I5" s="81" t="s">
        <v>166</v>
      </c>
      <c r="J5" s="204"/>
    </row>
    <row r="6" spans="1:10">
      <c r="A6" s="202" t="s">
        <v>167</v>
      </c>
      <c r="B6" s="81" t="str" cm="1">
        <f t="array" ref="B6:B12">TRANSPOSE(C5:I5)</f>
        <v>S1</v>
      </c>
      <c r="C6" s="2">
        <v>0</v>
      </c>
      <c r="D6" s="2">
        <v>10</v>
      </c>
      <c r="E6" s="2">
        <v>0</v>
      </c>
      <c r="F6" s="2">
        <v>2</v>
      </c>
      <c r="G6" s="2">
        <v>4</v>
      </c>
      <c r="H6" s="2">
        <v>0</v>
      </c>
      <c r="I6" s="2">
        <v>0</v>
      </c>
    </row>
    <row r="7" spans="1:10">
      <c r="A7" s="202"/>
      <c r="B7" s="81">
        <v>1</v>
      </c>
      <c r="C7" s="2">
        <v>0</v>
      </c>
      <c r="D7" s="2">
        <v>0</v>
      </c>
      <c r="E7" s="2">
        <v>5</v>
      </c>
      <c r="F7" s="2">
        <v>7</v>
      </c>
      <c r="G7" s="2">
        <v>0</v>
      </c>
      <c r="H7" s="2">
        <v>0</v>
      </c>
      <c r="I7" s="2">
        <v>0</v>
      </c>
    </row>
    <row r="8" spans="1:10">
      <c r="A8" s="202"/>
      <c r="B8" s="81">
        <v>2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8</v>
      </c>
    </row>
    <row r="9" spans="1:10">
      <c r="A9" s="202"/>
      <c r="B9" s="81">
        <v>3</v>
      </c>
      <c r="C9" s="2">
        <v>0</v>
      </c>
      <c r="D9" s="2">
        <v>0</v>
      </c>
      <c r="E9" s="2">
        <v>6</v>
      </c>
      <c r="F9" s="2">
        <v>0</v>
      </c>
      <c r="G9" s="2">
        <v>0</v>
      </c>
      <c r="H9" s="2">
        <v>0</v>
      </c>
      <c r="I9" s="2">
        <v>2</v>
      </c>
    </row>
    <row r="10" spans="1:10">
      <c r="A10" s="202"/>
      <c r="B10" s="81">
        <v>4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10</v>
      </c>
      <c r="I10" s="2">
        <v>0</v>
      </c>
    </row>
    <row r="11" spans="1:10">
      <c r="A11" s="202"/>
      <c r="B11" s="81">
        <v>5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13</v>
      </c>
    </row>
    <row r="12" spans="1:10">
      <c r="A12" s="202"/>
      <c r="B12" s="81" t="str">
        <v>S2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</row>
    <row r="13" spans="1:10">
      <c r="A13" s="203"/>
      <c r="B13" s="203"/>
    </row>
    <row r="15" spans="1:10" ht="14.4" customHeight="1">
      <c r="C15" s="212" t="s">
        <v>164</v>
      </c>
      <c r="D15" s="213"/>
      <c r="E15" s="213"/>
      <c r="F15" s="213"/>
      <c r="G15" s="213"/>
      <c r="H15" s="213"/>
      <c r="I15" s="214"/>
      <c r="J15" s="210" t="s">
        <v>169</v>
      </c>
    </row>
    <row r="16" spans="1:10">
      <c r="C16" s="81" t="s">
        <v>165</v>
      </c>
      <c r="D16" s="81">
        <v>1</v>
      </c>
      <c r="E16" s="81">
        <v>2</v>
      </c>
      <c r="F16" s="81">
        <v>3</v>
      </c>
      <c r="G16" s="81">
        <v>4</v>
      </c>
      <c r="H16" s="81">
        <v>5</v>
      </c>
      <c r="I16" s="81" t="s">
        <v>166</v>
      </c>
      <c r="J16" s="211"/>
    </row>
    <row r="17" spans="1:11" ht="14.4" customHeight="1">
      <c r="A17" s="206" t="s">
        <v>167</v>
      </c>
      <c r="B17" s="81" t="str" cm="1">
        <f t="array" ref="B17:B23">TRANSPOSE(C16:I16)</f>
        <v>S1</v>
      </c>
      <c r="C17" s="83">
        <v>0</v>
      </c>
      <c r="D17" s="83">
        <v>8.0000000000000018</v>
      </c>
      <c r="E17" s="83">
        <v>0</v>
      </c>
      <c r="F17" s="83">
        <v>2</v>
      </c>
      <c r="G17" s="83">
        <v>4</v>
      </c>
      <c r="H17" s="83">
        <v>0</v>
      </c>
      <c r="I17" s="83">
        <v>0</v>
      </c>
      <c r="J17" s="3">
        <f>SUM(C17:I17)</f>
        <v>14.000000000000002</v>
      </c>
    </row>
    <row r="18" spans="1:11">
      <c r="A18" s="207"/>
      <c r="B18" s="81">
        <v>1</v>
      </c>
      <c r="C18" s="83">
        <v>0</v>
      </c>
      <c r="D18" s="83">
        <v>0</v>
      </c>
      <c r="E18" s="83">
        <v>5</v>
      </c>
      <c r="F18" s="83">
        <v>3.0000000000000009</v>
      </c>
      <c r="G18" s="83">
        <v>0</v>
      </c>
      <c r="H18" s="83">
        <v>0</v>
      </c>
      <c r="I18" s="83">
        <v>0</v>
      </c>
      <c r="J18" s="2">
        <f t="shared" ref="J18:J23" si="0">SUM(C18:I18)</f>
        <v>8</v>
      </c>
    </row>
    <row r="19" spans="1:11">
      <c r="A19" s="207"/>
      <c r="B19" s="81">
        <v>2</v>
      </c>
      <c r="C19" s="83">
        <v>0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8</v>
      </c>
      <c r="J19" s="2">
        <f t="shared" si="0"/>
        <v>8</v>
      </c>
    </row>
    <row r="20" spans="1:11">
      <c r="A20" s="207"/>
      <c r="B20" s="81">
        <v>3</v>
      </c>
      <c r="C20" s="83">
        <v>0</v>
      </c>
      <c r="D20" s="83">
        <v>0</v>
      </c>
      <c r="E20" s="83">
        <v>3</v>
      </c>
      <c r="F20" s="83">
        <v>0</v>
      </c>
      <c r="G20" s="83">
        <v>0</v>
      </c>
      <c r="H20" s="83">
        <v>0</v>
      </c>
      <c r="I20" s="83">
        <v>2</v>
      </c>
      <c r="J20" s="2">
        <f t="shared" si="0"/>
        <v>5</v>
      </c>
    </row>
    <row r="21" spans="1:11">
      <c r="A21" s="207"/>
      <c r="B21" s="81">
        <v>4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v>4</v>
      </c>
      <c r="I21" s="83">
        <v>0</v>
      </c>
      <c r="J21" s="2">
        <f t="shared" si="0"/>
        <v>4</v>
      </c>
    </row>
    <row r="22" spans="1:11">
      <c r="A22" s="207"/>
      <c r="B22" s="81">
        <v>5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4</v>
      </c>
      <c r="J22" s="2">
        <f t="shared" si="0"/>
        <v>4</v>
      </c>
    </row>
    <row r="23" spans="1:11">
      <c r="A23" s="208"/>
      <c r="B23" s="82" t="str">
        <v>S2</v>
      </c>
      <c r="C23" s="83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2">
        <f t="shared" si="0"/>
        <v>0</v>
      </c>
    </row>
    <row r="24" spans="1:11">
      <c r="A24" s="209" t="s">
        <v>168</v>
      </c>
      <c r="B24" s="209"/>
      <c r="C24" s="2">
        <f>SUM(C17:C23)</f>
        <v>0</v>
      </c>
      <c r="D24" s="2">
        <f t="shared" ref="D24:I24" si="1">SUM(D17:D23)</f>
        <v>8.0000000000000018</v>
      </c>
      <c r="E24" s="2">
        <f t="shared" si="1"/>
        <v>8</v>
      </c>
      <c r="F24" s="2">
        <f t="shared" si="1"/>
        <v>5.0000000000000009</v>
      </c>
      <c r="G24" s="2">
        <f t="shared" si="1"/>
        <v>4</v>
      </c>
      <c r="H24" s="2">
        <f t="shared" si="1"/>
        <v>4</v>
      </c>
      <c r="I24" s="3">
        <f t="shared" si="1"/>
        <v>14</v>
      </c>
      <c r="J24" s="2"/>
    </row>
    <row r="25" spans="1:11">
      <c r="D25" s="80" t="s">
        <v>30</v>
      </c>
      <c r="E25" s="80" t="s">
        <v>30</v>
      </c>
      <c r="F25" s="80" t="s">
        <v>30</v>
      </c>
      <c r="G25" s="80" t="s">
        <v>30</v>
      </c>
      <c r="H25" s="80" t="s">
        <v>30</v>
      </c>
    </row>
    <row r="26" spans="1:11">
      <c r="D26" s="2">
        <f>J18</f>
        <v>8</v>
      </c>
      <c r="E26" s="2">
        <f>J19</f>
        <v>8</v>
      </c>
      <c r="F26" s="2">
        <f>J20</f>
        <v>5</v>
      </c>
      <c r="G26" s="2">
        <f>J21</f>
        <v>4</v>
      </c>
      <c r="H26" s="2">
        <f>J22</f>
        <v>4</v>
      </c>
    </row>
    <row r="29" spans="1:11">
      <c r="A29" t="s">
        <v>9</v>
      </c>
    </row>
    <row r="31" spans="1:11">
      <c r="C31" s="197" t="s">
        <v>164</v>
      </c>
      <c r="D31" s="197"/>
      <c r="E31" s="197"/>
      <c r="F31" s="197"/>
      <c r="G31" s="197"/>
      <c r="H31" s="197"/>
      <c r="I31" s="197"/>
      <c r="J31" s="197"/>
      <c r="K31" s="197"/>
    </row>
    <row r="32" spans="1:11">
      <c r="C32" s="81">
        <v>1</v>
      </c>
      <c r="D32" s="81">
        <v>2</v>
      </c>
      <c r="E32" s="81">
        <v>3</v>
      </c>
      <c r="F32" s="81">
        <v>4</v>
      </c>
      <c r="G32" s="81">
        <v>5</v>
      </c>
      <c r="H32" s="81">
        <v>6</v>
      </c>
      <c r="I32" s="81">
        <v>7</v>
      </c>
      <c r="J32" s="84">
        <v>8</v>
      </c>
      <c r="K32" s="81">
        <v>9</v>
      </c>
    </row>
    <row r="33" spans="1:13" ht="14.4" customHeight="1">
      <c r="A33" s="205" t="s">
        <v>167</v>
      </c>
      <c r="B33" s="81" cm="1">
        <f t="array" ref="B33:B39">TRANSPOSE(C32:I32)</f>
        <v>1</v>
      </c>
      <c r="C33" s="71">
        <v>0</v>
      </c>
      <c r="D33" s="71">
        <v>10</v>
      </c>
      <c r="E33" s="71">
        <v>6</v>
      </c>
      <c r="F33" s="71">
        <v>8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</row>
    <row r="34" spans="1:13">
      <c r="A34" s="205"/>
      <c r="B34" s="81">
        <v>2</v>
      </c>
      <c r="C34" s="71">
        <v>0</v>
      </c>
      <c r="D34" s="71">
        <v>0</v>
      </c>
      <c r="E34" s="71">
        <v>0</v>
      </c>
      <c r="F34" s="71">
        <v>5</v>
      </c>
      <c r="G34" s="71">
        <v>13</v>
      </c>
      <c r="H34" s="71">
        <v>0</v>
      </c>
      <c r="I34" s="71">
        <v>11</v>
      </c>
      <c r="J34" s="71">
        <v>0</v>
      </c>
      <c r="K34" s="71">
        <v>0</v>
      </c>
    </row>
    <row r="35" spans="1:13">
      <c r="A35" s="205"/>
      <c r="B35" s="81">
        <v>3</v>
      </c>
      <c r="C35" s="71">
        <v>0</v>
      </c>
      <c r="D35" s="71">
        <v>0</v>
      </c>
      <c r="E35" s="71">
        <v>0</v>
      </c>
      <c r="F35" s="71">
        <v>0</v>
      </c>
      <c r="G35" s="71">
        <v>3</v>
      </c>
      <c r="H35" s="71">
        <v>0</v>
      </c>
      <c r="I35" s="71">
        <v>0</v>
      </c>
      <c r="J35" s="71">
        <v>0</v>
      </c>
      <c r="K35" s="71">
        <v>0</v>
      </c>
    </row>
    <row r="36" spans="1:13">
      <c r="A36" s="205"/>
      <c r="B36" s="81">
        <v>4</v>
      </c>
      <c r="C36" s="71">
        <v>0</v>
      </c>
      <c r="D36" s="71">
        <v>0</v>
      </c>
      <c r="E36" s="71">
        <v>2</v>
      </c>
      <c r="F36" s="71">
        <v>0</v>
      </c>
      <c r="G36" s="71">
        <v>5</v>
      </c>
      <c r="H36" s="71">
        <v>7</v>
      </c>
      <c r="I36" s="71">
        <v>12</v>
      </c>
      <c r="J36" s="71">
        <v>0</v>
      </c>
      <c r="K36" s="71">
        <v>0</v>
      </c>
    </row>
    <row r="37" spans="1:13">
      <c r="A37" s="205"/>
      <c r="B37" s="81">
        <v>5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9</v>
      </c>
      <c r="I37" s="71">
        <v>0</v>
      </c>
      <c r="J37" s="71">
        <v>0</v>
      </c>
      <c r="K37" s="71">
        <v>12</v>
      </c>
    </row>
    <row r="38" spans="1:13">
      <c r="A38" s="205"/>
      <c r="B38" s="81">
        <v>6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8</v>
      </c>
      <c r="K38" s="71">
        <v>10</v>
      </c>
    </row>
    <row r="39" spans="1:13">
      <c r="A39" s="205"/>
      <c r="B39" s="81">
        <v>7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4</v>
      </c>
      <c r="I39" s="71">
        <v>0</v>
      </c>
      <c r="J39" s="71">
        <v>6</v>
      </c>
      <c r="K39" s="71">
        <v>16</v>
      </c>
    </row>
    <row r="40" spans="1:13">
      <c r="A40" s="205"/>
      <c r="B40" s="81">
        <v>8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15</v>
      </c>
    </row>
    <row r="41" spans="1:13">
      <c r="A41" s="205"/>
      <c r="B41" s="81">
        <v>9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</row>
    <row r="44" spans="1:13" ht="14.4" customHeight="1">
      <c r="C44" s="197" t="s">
        <v>164</v>
      </c>
      <c r="D44" s="197"/>
      <c r="E44" s="197"/>
      <c r="F44" s="197"/>
      <c r="G44" s="197"/>
      <c r="H44" s="197"/>
      <c r="I44" s="197"/>
      <c r="J44" s="197"/>
      <c r="K44" s="197"/>
      <c r="L44" s="210" t="s">
        <v>169</v>
      </c>
    </row>
    <row r="45" spans="1:13" ht="12.6" customHeight="1">
      <c r="C45" s="81">
        <v>1</v>
      </c>
      <c r="D45" s="81">
        <v>2</v>
      </c>
      <c r="E45" s="81">
        <v>3</v>
      </c>
      <c r="F45" s="81">
        <v>4</v>
      </c>
      <c r="G45" s="81">
        <v>5</v>
      </c>
      <c r="H45" s="81">
        <v>6</v>
      </c>
      <c r="I45" s="81">
        <v>7</v>
      </c>
      <c r="J45" s="81">
        <v>8</v>
      </c>
      <c r="K45" s="81">
        <v>9</v>
      </c>
      <c r="L45" s="215"/>
    </row>
    <row r="46" spans="1:13" ht="15.6" customHeight="1">
      <c r="A46" s="216" t="s">
        <v>167</v>
      </c>
      <c r="B46" s="81">
        <v>1</v>
      </c>
      <c r="C46" s="83">
        <v>0</v>
      </c>
      <c r="D46" s="83">
        <v>0</v>
      </c>
      <c r="E46" s="83">
        <v>1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5">
        <f>SUM(C46:K46)</f>
        <v>1</v>
      </c>
      <c r="M46" t="s">
        <v>170</v>
      </c>
    </row>
    <row r="47" spans="1:13">
      <c r="A47" s="217"/>
      <c r="B47" s="81">
        <v>2</v>
      </c>
      <c r="C47" s="83">
        <v>0</v>
      </c>
      <c r="D47" s="83">
        <v>0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5">
        <f t="shared" ref="L47:L54" si="2">SUM(C47:K47)</f>
        <v>0</v>
      </c>
      <c r="M47" s="15">
        <f>SUMPRODUCT(C33:K41,C46:K54)</f>
        <v>21</v>
      </c>
    </row>
    <row r="48" spans="1:13">
      <c r="A48" s="217"/>
      <c r="B48" s="81">
        <v>3</v>
      </c>
      <c r="C48" s="83">
        <v>0</v>
      </c>
      <c r="D48" s="83">
        <v>0</v>
      </c>
      <c r="E48" s="83">
        <v>0</v>
      </c>
      <c r="F48" s="83">
        <v>0</v>
      </c>
      <c r="G48" s="83">
        <v>1</v>
      </c>
      <c r="H48" s="83">
        <v>0</v>
      </c>
      <c r="I48" s="83">
        <v>0</v>
      </c>
      <c r="J48" s="83">
        <v>0</v>
      </c>
      <c r="K48" s="83">
        <v>0</v>
      </c>
      <c r="L48" s="85">
        <f t="shared" si="2"/>
        <v>1</v>
      </c>
    </row>
    <row r="49" spans="1:12">
      <c r="A49" s="217"/>
      <c r="B49" s="81">
        <v>4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5">
        <f t="shared" si="2"/>
        <v>0</v>
      </c>
    </row>
    <row r="50" spans="1:12">
      <c r="A50" s="217"/>
      <c r="B50" s="81">
        <v>5</v>
      </c>
      <c r="C50" s="83">
        <v>0</v>
      </c>
      <c r="D50" s="83">
        <v>0</v>
      </c>
      <c r="E50" s="83">
        <v>0</v>
      </c>
      <c r="F50" s="83">
        <v>0</v>
      </c>
      <c r="G50" s="83">
        <v>0</v>
      </c>
      <c r="H50" s="83">
        <v>0</v>
      </c>
      <c r="I50" s="83">
        <v>0</v>
      </c>
      <c r="J50" s="83">
        <v>0</v>
      </c>
      <c r="K50" s="83">
        <v>1</v>
      </c>
      <c r="L50" s="85">
        <f t="shared" si="2"/>
        <v>1</v>
      </c>
    </row>
    <row r="51" spans="1:12">
      <c r="A51" s="217"/>
      <c r="B51" s="81">
        <v>6</v>
      </c>
      <c r="C51" s="83">
        <v>0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0</v>
      </c>
      <c r="K51" s="83">
        <v>0</v>
      </c>
      <c r="L51" s="85">
        <f t="shared" si="2"/>
        <v>0</v>
      </c>
    </row>
    <row r="52" spans="1:12">
      <c r="A52" s="217"/>
      <c r="B52" s="81">
        <v>7</v>
      </c>
      <c r="C52" s="83">
        <v>0</v>
      </c>
      <c r="D52" s="83">
        <v>0</v>
      </c>
      <c r="E52" s="83">
        <v>0</v>
      </c>
      <c r="F52" s="83">
        <v>0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5">
        <f t="shared" si="2"/>
        <v>0</v>
      </c>
    </row>
    <row r="53" spans="1:12">
      <c r="A53" s="217"/>
      <c r="B53" s="81">
        <v>8</v>
      </c>
      <c r="C53" s="83">
        <v>0</v>
      </c>
      <c r="D53" s="83">
        <v>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5">
        <f t="shared" si="2"/>
        <v>0</v>
      </c>
    </row>
    <row r="54" spans="1:12">
      <c r="A54" s="217"/>
      <c r="B54" s="81">
        <v>9</v>
      </c>
      <c r="C54" s="83">
        <v>0</v>
      </c>
      <c r="D54" s="83">
        <v>0</v>
      </c>
      <c r="E54" s="83">
        <v>0</v>
      </c>
      <c r="F54" s="83">
        <v>0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5">
        <f t="shared" si="2"/>
        <v>0</v>
      </c>
    </row>
    <row r="55" spans="1:12">
      <c r="A55" s="218" t="s">
        <v>168</v>
      </c>
      <c r="B55" s="219"/>
      <c r="C55" s="86">
        <f>SUM(C46:C52)</f>
        <v>0</v>
      </c>
      <c r="D55" s="86">
        <f>SUM(D46:D52)</f>
        <v>0</v>
      </c>
      <c r="E55" s="86">
        <f>SUM(E46:E52)</f>
        <v>1</v>
      </c>
      <c r="F55" s="86">
        <f>SUM(F46:F52)</f>
        <v>0</v>
      </c>
      <c r="G55" s="86">
        <f>SUM(G46:G52)</f>
        <v>1</v>
      </c>
      <c r="H55" s="86">
        <f t="shared" ref="H55:J55" si="3">SUM(H46:H52)</f>
        <v>0</v>
      </c>
      <c r="I55" s="86">
        <f t="shared" si="3"/>
        <v>0</v>
      </c>
      <c r="J55" s="86">
        <f t="shared" si="3"/>
        <v>0</v>
      </c>
      <c r="K55" s="86">
        <f>SUM(K46:K52)</f>
        <v>1</v>
      </c>
    </row>
    <row r="56" spans="1:12">
      <c r="D56" s="80" t="s">
        <v>30</v>
      </c>
      <c r="E56" s="80" t="s">
        <v>30</v>
      </c>
      <c r="F56" s="80" t="s">
        <v>30</v>
      </c>
      <c r="G56" s="80" t="s">
        <v>30</v>
      </c>
      <c r="H56" s="80" t="s">
        <v>30</v>
      </c>
      <c r="I56" s="80" t="s">
        <v>30</v>
      </c>
      <c r="J56" s="80" t="s">
        <v>30</v>
      </c>
    </row>
    <row r="57" spans="1:12">
      <c r="D57" s="2">
        <f>L47</f>
        <v>0</v>
      </c>
      <c r="E57" s="2">
        <f>L48</f>
        <v>1</v>
      </c>
      <c r="F57" s="2">
        <f>L49</f>
        <v>0</v>
      </c>
      <c r="G57" s="2">
        <f>L50</f>
        <v>1</v>
      </c>
      <c r="H57" s="2">
        <f>L51</f>
        <v>0</v>
      </c>
      <c r="I57" s="2">
        <f>L50</f>
        <v>1</v>
      </c>
      <c r="J57" s="2">
        <f>L53</f>
        <v>0</v>
      </c>
    </row>
    <row r="59" spans="1:12">
      <c r="A59" t="s">
        <v>12</v>
      </c>
    </row>
    <row r="60" spans="1:12">
      <c r="A60" s="2">
        <v>0</v>
      </c>
      <c r="B60" s="2">
        <v>8</v>
      </c>
      <c r="C60" s="2">
        <v>4</v>
      </c>
      <c r="D60" s="2">
        <v>6</v>
      </c>
      <c r="E60" s="2">
        <v>7</v>
      </c>
      <c r="F60" s="2">
        <v>0</v>
      </c>
      <c r="G60" s="2">
        <v>2</v>
      </c>
      <c r="H60" s="2">
        <v>5</v>
      </c>
    </row>
    <row r="61" spans="1:12">
      <c r="A61" s="2">
        <v>3</v>
      </c>
      <c r="B61" s="2">
        <v>0</v>
      </c>
      <c r="C61" s="2">
        <v>3</v>
      </c>
      <c r="D61" s="2">
        <v>6</v>
      </c>
      <c r="E61" s="2">
        <v>8</v>
      </c>
      <c r="F61" s="2">
        <v>7</v>
      </c>
      <c r="G61" s="2">
        <v>3</v>
      </c>
      <c r="H61" s="2">
        <v>4</v>
      </c>
    </row>
    <row r="62" spans="1:12">
      <c r="A62" s="2">
        <v>4</v>
      </c>
      <c r="B62" s="2">
        <v>3</v>
      </c>
      <c r="C62" s="2">
        <v>0</v>
      </c>
      <c r="D62" s="2">
        <v>2</v>
      </c>
      <c r="E62" s="2">
        <v>5</v>
      </c>
      <c r="F62" s="2">
        <v>4</v>
      </c>
      <c r="G62" s="2">
        <v>1</v>
      </c>
      <c r="H62" s="2">
        <v>2</v>
      </c>
    </row>
    <row r="63" spans="1:12">
      <c r="A63" s="2">
        <v>5</v>
      </c>
      <c r="B63" s="2">
        <v>6</v>
      </c>
      <c r="C63" s="2">
        <v>2</v>
      </c>
      <c r="D63" s="2">
        <v>0</v>
      </c>
      <c r="E63" s="2">
        <v>4</v>
      </c>
      <c r="F63" s="2">
        <v>2</v>
      </c>
      <c r="G63" s="2">
        <v>3</v>
      </c>
      <c r="H63" s="2">
        <v>7</v>
      </c>
    </row>
    <row r="64" spans="1:12">
      <c r="A64" s="2">
        <v>7</v>
      </c>
      <c r="B64" s="2">
        <v>8</v>
      </c>
      <c r="C64" s="2">
        <v>5</v>
      </c>
      <c r="D64" s="2">
        <v>4</v>
      </c>
      <c r="E64" s="2">
        <v>0</v>
      </c>
      <c r="F64" s="2">
        <v>2</v>
      </c>
      <c r="G64" s="2">
        <v>0</v>
      </c>
      <c r="H64" s="2">
        <v>4</v>
      </c>
    </row>
    <row r="65" spans="1:11">
      <c r="A65" s="2">
        <v>0</v>
      </c>
      <c r="B65" s="2">
        <v>7</v>
      </c>
      <c r="C65" s="2">
        <v>4</v>
      </c>
      <c r="D65" s="2">
        <v>2</v>
      </c>
      <c r="E65" s="2">
        <v>2</v>
      </c>
      <c r="F65" s="2">
        <v>0</v>
      </c>
      <c r="G65" s="2">
        <v>5</v>
      </c>
      <c r="H65" s="2">
        <v>0</v>
      </c>
    </row>
    <row r="66" spans="1:11">
      <c r="A66" s="2">
        <v>2</v>
      </c>
      <c r="B66" s="2">
        <v>3</v>
      </c>
      <c r="C66" s="2">
        <v>1</v>
      </c>
      <c r="D66" s="2">
        <v>3</v>
      </c>
      <c r="E66" s="2">
        <v>0</v>
      </c>
      <c r="F66" s="2">
        <v>5</v>
      </c>
      <c r="G66" s="2">
        <v>0</v>
      </c>
      <c r="H66" s="2">
        <v>4</v>
      </c>
    </row>
    <row r="67" spans="1:11">
      <c r="A67" s="2">
        <v>5</v>
      </c>
      <c r="B67" s="2">
        <v>4</v>
      </c>
      <c r="C67" s="2">
        <v>2</v>
      </c>
      <c r="D67" s="2">
        <v>7</v>
      </c>
      <c r="E67" s="2">
        <v>4</v>
      </c>
      <c r="F67" s="2">
        <v>0</v>
      </c>
      <c r="G67" s="2">
        <v>4</v>
      </c>
      <c r="H67" s="2">
        <v>0</v>
      </c>
    </row>
    <row r="71" spans="1:11">
      <c r="K71" t="s">
        <v>178</v>
      </c>
    </row>
    <row r="72" spans="1:11">
      <c r="K72" s="73" t="s">
        <v>202</v>
      </c>
    </row>
    <row r="73" spans="1:11">
      <c r="K73" s="73" t="s">
        <v>180</v>
      </c>
    </row>
    <row r="74" spans="1:11">
      <c r="K74" s="73" t="s">
        <v>201</v>
      </c>
    </row>
    <row r="75" spans="1:11">
      <c r="K75" s="73" t="s">
        <v>197</v>
      </c>
    </row>
    <row r="76" spans="1:11">
      <c r="K76" s="73" t="s">
        <v>199</v>
      </c>
    </row>
    <row r="77" spans="1:11">
      <c r="K77" s="73" t="s">
        <v>198</v>
      </c>
    </row>
    <row r="78" spans="1:11">
      <c r="K78" s="73" t="s">
        <v>200</v>
      </c>
    </row>
    <row r="79" spans="1:11">
      <c r="K79" s="73" t="s">
        <v>203</v>
      </c>
    </row>
    <row r="80" spans="1:11">
      <c r="K80" s="73" t="s">
        <v>179</v>
      </c>
    </row>
    <row r="87" spans="1:10">
      <c r="A87" t="s">
        <v>10</v>
      </c>
    </row>
    <row r="88" spans="1:10">
      <c r="C88" s="197" t="s">
        <v>164</v>
      </c>
      <c r="D88" s="197"/>
      <c r="E88" s="197"/>
      <c r="F88" s="197"/>
      <c r="G88" s="197"/>
      <c r="H88" s="197"/>
      <c r="I88" s="197"/>
      <c r="J88" s="204"/>
    </row>
    <row r="89" spans="1:10">
      <c r="C89" s="81" t="s">
        <v>171</v>
      </c>
      <c r="D89" s="81" t="s">
        <v>28</v>
      </c>
      <c r="E89" s="81" t="s">
        <v>172</v>
      </c>
      <c r="F89" s="81" t="s">
        <v>173</v>
      </c>
      <c r="G89" s="81" t="s">
        <v>174</v>
      </c>
      <c r="H89" s="81" t="s">
        <v>175</v>
      </c>
      <c r="I89" s="81" t="s">
        <v>176</v>
      </c>
      <c r="J89" s="204"/>
    </row>
    <row r="90" spans="1:10">
      <c r="A90" s="202" t="s">
        <v>167</v>
      </c>
      <c r="B90" s="81" t="s">
        <v>171</v>
      </c>
      <c r="C90" s="2">
        <v>0</v>
      </c>
      <c r="D90" s="2">
        <v>2</v>
      </c>
      <c r="E90" s="2">
        <v>7</v>
      </c>
      <c r="F90" s="2">
        <v>2</v>
      </c>
      <c r="G90" s="2">
        <v>0</v>
      </c>
      <c r="H90" s="2">
        <v>0</v>
      </c>
      <c r="I90" s="2">
        <v>0</v>
      </c>
    </row>
    <row r="91" spans="1:10">
      <c r="A91" s="202"/>
      <c r="B91" s="81" t="s">
        <v>28</v>
      </c>
      <c r="C91" s="2">
        <v>0</v>
      </c>
      <c r="D91" s="2">
        <v>0</v>
      </c>
      <c r="E91" s="2">
        <v>7</v>
      </c>
      <c r="F91" s="2">
        <v>0</v>
      </c>
      <c r="G91" s="2">
        <v>0</v>
      </c>
      <c r="H91" s="2">
        <v>0</v>
      </c>
      <c r="I91" s="2">
        <v>0</v>
      </c>
    </row>
    <row r="92" spans="1:10">
      <c r="A92" s="202"/>
      <c r="B92" s="81" t="s">
        <v>172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3</v>
      </c>
    </row>
    <row r="93" spans="1:10">
      <c r="A93" s="202"/>
      <c r="B93" s="81" t="s">
        <v>173</v>
      </c>
      <c r="C93" s="2">
        <v>0</v>
      </c>
      <c r="D93" s="2">
        <v>0</v>
      </c>
      <c r="E93" s="2">
        <v>0</v>
      </c>
      <c r="F93" s="2">
        <v>0</v>
      </c>
      <c r="G93" s="2">
        <v>4</v>
      </c>
      <c r="H93" s="2">
        <v>0</v>
      </c>
      <c r="I93" s="2">
        <v>0</v>
      </c>
    </row>
    <row r="94" spans="1:10">
      <c r="A94" s="202"/>
      <c r="B94" s="81" t="s">
        <v>174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5</v>
      </c>
      <c r="I94" s="2">
        <v>0</v>
      </c>
    </row>
    <row r="95" spans="1:10">
      <c r="A95" s="202"/>
      <c r="B95" s="81" t="s">
        <v>175</v>
      </c>
      <c r="C95" s="2">
        <v>0</v>
      </c>
      <c r="D95" s="2">
        <v>0</v>
      </c>
      <c r="E95" s="2">
        <v>3</v>
      </c>
      <c r="F95" s="2">
        <v>0</v>
      </c>
      <c r="G95" s="2">
        <v>0</v>
      </c>
      <c r="H95" s="2">
        <v>0</v>
      </c>
      <c r="I95" s="2">
        <v>3</v>
      </c>
    </row>
    <row r="96" spans="1:10">
      <c r="A96" s="202"/>
      <c r="B96" s="81" t="s">
        <v>176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</row>
    <row r="97" spans="1:11">
      <c r="A97" s="203"/>
      <c r="B97" s="203"/>
    </row>
    <row r="99" spans="1:11">
      <c r="C99" s="212" t="s">
        <v>164</v>
      </c>
      <c r="D99" s="213"/>
      <c r="E99" s="213"/>
      <c r="F99" s="213"/>
      <c r="G99" s="213"/>
      <c r="H99" s="213"/>
      <c r="I99" s="214"/>
      <c r="J99" s="210" t="s">
        <v>169</v>
      </c>
    </row>
    <row r="100" spans="1:11">
      <c r="C100" s="81" t="s">
        <v>171</v>
      </c>
      <c r="D100" s="81" t="s">
        <v>28</v>
      </c>
      <c r="E100" s="81" t="s">
        <v>172</v>
      </c>
      <c r="F100" s="81" t="s">
        <v>173</v>
      </c>
      <c r="G100" s="81" t="s">
        <v>174</v>
      </c>
      <c r="H100" s="81" t="s">
        <v>175</v>
      </c>
      <c r="I100" s="81" t="s">
        <v>176</v>
      </c>
      <c r="J100" s="211"/>
    </row>
    <row r="101" spans="1:11">
      <c r="A101" s="206" t="s">
        <v>167</v>
      </c>
      <c r="B101" s="81" t="s">
        <v>171</v>
      </c>
      <c r="C101" s="83">
        <v>0</v>
      </c>
      <c r="D101" s="83">
        <v>0</v>
      </c>
      <c r="E101" s="83">
        <v>1</v>
      </c>
      <c r="F101" s="83">
        <v>0</v>
      </c>
      <c r="G101" s="83">
        <v>0</v>
      </c>
      <c r="H101" s="83">
        <v>0</v>
      </c>
      <c r="I101" s="83">
        <v>0</v>
      </c>
      <c r="J101" s="3">
        <f>SUM(C101:I101)</f>
        <v>1</v>
      </c>
      <c r="K101" t="s">
        <v>170</v>
      </c>
    </row>
    <row r="102" spans="1:11">
      <c r="A102" s="207"/>
      <c r="B102" s="81" t="s">
        <v>28</v>
      </c>
      <c r="C102" s="83">
        <v>0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0</v>
      </c>
      <c r="J102" s="2">
        <f t="shared" ref="J102:J107" si="4">SUM(C102:I102)</f>
        <v>0</v>
      </c>
      <c r="K102" s="9">
        <f>SUMPRODUCT(C90:I96,C101:I107)</f>
        <v>10</v>
      </c>
    </row>
    <row r="103" spans="1:11">
      <c r="A103" s="207"/>
      <c r="B103" s="81" t="s">
        <v>172</v>
      </c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1</v>
      </c>
      <c r="J103" s="2">
        <f t="shared" si="4"/>
        <v>1</v>
      </c>
    </row>
    <row r="104" spans="1:11">
      <c r="A104" s="207"/>
      <c r="B104" s="81" t="s">
        <v>173</v>
      </c>
      <c r="C104" s="83">
        <v>0</v>
      </c>
      <c r="D104" s="83">
        <v>0</v>
      </c>
      <c r="E104" s="83">
        <v>0</v>
      </c>
      <c r="F104" s="83">
        <v>0</v>
      </c>
      <c r="G104" s="83">
        <v>0</v>
      </c>
      <c r="H104" s="83">
        <v>0</v>
      </c>
      <c r="I104" s="83">
        <v>0</v>
      </c>
      <c r="J104" s="2">
        <f t="shared" si="4"/>
        <v>0</v>
      </c>
    </row>
    <row r="105" spans="1:11">
      <c r="A105" s="207"/>
      <c r="B105" s="81" t="s">
        <v>174</v>
      </c>
      <c r="C105" s="83">
        <v>0</v>
      </c>
      <c r="D105" s="83">
        <v>0</v>
      </c>
      <c r="E105" s="83">
        <v>0</v>
      </c>
      <c r="F105" s="83">
        <v>0</v>
      </c>
      <c r="G105" s="83">
        <v>0</v>
      </c>
      <c r="H105" s="83">
        <v>0</v>
      </c>
      <c r="I105" s="83">
        <v>0</v>
      </c>
      <c r="J105" s="2">
        <f t="shared" si="4"/>
        <v>0</v>
      </c>
    </row>
    <row r="106" spans="1:11">
      <c r="A106" s="207"/>
      <c r="B106" s="81" t="s">
        <v>175</v>
      </c>
      <c r="C106" s="83">
        <v>0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2">
        <f t="shared" si="4"/>
        <v>0</v>
      </c>
    </row>
    <row r="107" spans="1:11">
      <c r="A107" s="208"/>
      <c r="B107" s="81" t="s">
        <v>176</v>
      </c>
      <c r="C107" s="83">
        <v>0</v>
      </c>
      <c r="D107" s="83">
        <v>0</v>
      </c>
      <c r="E107" s="83">
        <v>0</v>
      </c>
      <c r="F107" s="83">
        <v>0</v>
      </c>
      <c r="G107" s="83">
        <v>0</v>
      </c>
      <c r="H107" s="83">
        <v>0</v>
      </c>
      <c r="I107" s="83">
        <v>0</v>
      </c>
      <c r="J107" s="2">
        <f t="shared" si="4"/>
        <v>0</v>
      </c>
    </row>
    <row r="108" spans="1:11">
      <c r="A108" s="209" t="s">
        <v>168</v>
      </c>
      <c r="B108" s="209"/>
      <c r="C108" s="2">
        <f>SUM(C101:C107)</f>
        <v>0</v>
      </c>
      <c r="D108" s="2">
        <f t="shared" ref="D108:I108" si="5">SUM(D101:D107)</f>
        <v>0</v>
      </c>
      <c r="E108" s="2">
        <f t="shared" si="5"/>
        <v>1</v>
      </c>
      <c r="F108" s="2">
        <f t="shared" si="5"/>
        <v>0</v>
      </c>
      <c r="G108" s="2">
        <f t="shared" si="5"/>
        <v>0</v>
      </c>
      <c r="H108" s="2">
        <f t="shared" si="5"/>
        <v>0</v>
      </c>
      <c r="I108" s="3">
        <f t="shared" si="5"/>
        <v>1</v>
      </c>
      <c r="J108" s="2"/>
    </row>
    <row r="109" spans="1:11">
      <c r="D109" s="80" t="s">
        <v>30</v>
      </c>
      <c r="E109" s="80" t="s">
        <v>30</v>
      </c>
      <c r="F109" s="80" t="s">
        <v>30</v>
      </c>
      <c r="G109" s="80" t="s">
        <v>30</v>
      </c>
      <c r="H109" s="80" t="s">
        <v>30</v>
      </c>
    </row>
    <row r="110" spans="1:11">
      <c r="D110" s="2">
        <f>J102</f>
        <v>0</v>
      </c>
      <c r="E110" s="2">
        <f>J103</f>
        <v>1</v>
      </c>
      <c r="F110" s="2">
        <f>J104</f>
        <v>0</v>
      </c>
      <c r="G110" s="2">
        <f>J105</f>
        <v>0</v>
      </c>
      <c r="H110" s="2">
        <f>J106</f>
        <v>0</v>
      </c>
    </row>
    <row r="112" spans="1:11">
      <c r="A112" t="s">
        <v>181</v>
      </c>
    </row>
    <row r="114" spans="1:10">
      <c r="A114" t="s">
        <v>85</v>
      </c>
    </row>
    <row r="115" spans="1:10">
      <c r="C115" s="197" t="s">
        <v>164</v>
      </c>
      <c r="D115" s="197"/>
      <c r="E115" s="197"/>
      <c r="F115" s="197"/>
      <c r="G115" s="197"/>
      <c r="H115" s="197"/>
      <c r="I115" s="197"/>
      <c r="J115" s="204"/>
    </row>
    <row r="116" spans="1:10">
      <c r="C116" s="81" t="s">
        <v>171</v>
      </c>
      <c r="D116" s="81" t="s">
        <v>28</v>
      </c>
      <c r="E116" s="81" t="s">
        <v>172</v>
      </c>
      <c r="F116" s="81" t="s">
        <v>173</v>
      </c>
      <c r="G116" s="81" t="s">
        <v>174</v>
      </c>
      <c r="H116" s="81" t="s">
        <v>175</v>
      </c>
      <c r="I116" s="81" t="s">
        <v>177</v>
      </c>
      <c r="J116" s="204"/>
    </row>
    <row r="117" spans="1:10">
      <c r="A117" s="202" t="s">
        <v>167</v>
      </c>
      <c r="B117" s="81" t="s">
        <v>171</v>
      </c>
      <c r="C117" s="87">
        <v>0</v>
      </c>
      <c r="D117" s="87">
        <v>3</v>
      </c>
      <c r="E117" s="87">
        <v>0</v>
      </c>
      <c r="F117" s="87">
        <v>9</v>
      </c>
      <c r="G117" s="87">
        <v>4</v>
      </c>
      <c r="H117" s="87">
        <v>0</v>
      </c>
      <c r="I117" s="87">
        <v>0</v>
      </c>
    </row>
    <row r="118" spans="1:10">
      <c r="A118" s="202"/>
      <c r="B118" s="81" t="s">
        <v>28</v>
      </c>
      <c r="C118" s="87">
        <v>0</v>
      </c>
      <c r="D118" s="87">
        <v>0</v>
      </c>
      <c r="E118" s="87">
        <v>2</v>
      </c>
      <c r="F118" s="87">
        <v>0</v>
      </c>
      <c r="G118" s="87">
        <v>0</v>
      </c>
      <c r="H118" s="87">
        <v>0</v>
      </c>
      <c r="I118" s="87">
        <v>0</v>
      </c>
    </row>
    <row r="119" spans="1:10">
      <c r="A119" s="202"/>
      <c r="B119" s="81" t="s">
        <v>172</v>
      </c>
      <c r="C119" s="87">
        <v>0</v>
      </c>
      <c r="D119" s="87">
        <v>0</v>
      </c>
      <c r="E119" s="87">
        <v>0</v>
      </c>
      <c r="F119" s="87">
        <v>0</v>
      </c>
      <c r="G119" s="87">
        <v>0</v>
      </c>
      <c r="H119" s="87">
        <v>0</v>
      </c>
      <c r="I119" s="87">
        <v>2</v>
      </c>
    </row>
    <row r="120" spans="1:10">
      <c r="A120" s="202"/>
      <c r="B120" s="81" t="s">
        <v>173</v>
      </c>
      <c r="C120" s="87">
        <v>0</v>
      </c>
      <c r="D120" s="87">
        <v>1</v>
      </c>
      <c r="E120" s="87">
        <v>3</v>
      </c>
      <c r="F120" s="87">
        <v>0</v>
      </c>
      <c r="G120" s="87">
        <v>1</v>
      </c>
      <c r="H120" s="87">
        <v>8</v>
      </c>
      <c r="I120" s="87">
        <v>2</v>
      </c>
    </row>
    <row r="121" spans="1:10">
      <c r="A121" s="202"/>
      <c r="B121" s="81" t="s">
        <v>174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4</v>
      </c>
      <c r="I121" s="87">
        <v>0</v>
      </c>
    </row>
    <row r="122" spans="1:10">
      <c r="A122" s="202"/>
      <c r="B122" s="81" t="s">
        <v>175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2</v>
      </c>
    </row>
    <row r="123" spans="1:10">
      <c r="A123" s="202"/>
      <c r="B123" s="81" t="s">
        <v>177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</row>
    <row r="124" spans="1:10">
      <c r="A124" s="203"/>
      <c r="B124" s="203"/>
    </row>
    <row r="126" spans="1:10">
      <c r="C126" s="212" t="s">
        <v>164</v>
      </c>
      <c r="D126" s="213"/>
      <c r="E126" s="213"/>
      <c r="F126" s="213"/>
      <c r="G126" s="213"/>
      <c r="H126" s="213"/>
      <c r="I126" s="214"/>
      <c r="J126" s="210" t="s">
        <v>169</v>
      </c>
    </row>
    <row r="127" spans="1:10">
      <c r="C127" s="81" t="s">
        <v>171</v>
      </c>
      <c r="D127" s="81" t="s">
        <v>28</v>
      </c>
      <c r="E127" s="81" t="s">
        <v>172</v>
      </c>
      <c r="F127" s="81" t="s">
        <v>173</v>
      </c>
      <c r="G127" s="81" t="s">
        <v>174</v>
      </c>
      <c r="H127" s="81" t="s">
        <v>175</v>
      </c>
      <c r="I127" s="81" t="s">
        <v>177</v>
      </c>
      <c r="J127" s="211"/>
    </row>
    <row r="128" spans="1:10">
      <c r="A128" s="206" t="s">
        <v>167</v>
      </c>
      <c r="B128" s="81" t="s">
        <v>171</v>
      </c>
      <c r="C128" s="83">
        <v>0</v>
      </c>
      <c r="D128" s="83">
        <v>2</v>
      </c>
      <c r="E128" s="83">
        <v>0</v>
      </c>
      <c r="F128" s="83">
        <v>4</v>
      </c>
      <c r="G128" s="83">
        <v>0</v>
      </c>
      <c r="H128" s="83">
        <v>0</v>
      </c>
      <c r="I128" s="83">
        <v>0</v>
      </c>
      <c r="J128" s="3">
        <f>SUM(C128:I128)</f>
        <v>6</v>
      </c>
    </row>
    <row r="129" spans="1:24">
      <c r="A129" s="207"/>
      <c r="B129" s="81" t="s">
        <v>28</v>
      </c>
      <c r="C129" s="83">
        <v>0</v>
      </c>
      <c r="D129" s="83">
        <v>0</v>
      </c>
      <c r="E129" s="83">
        <v>2</v>
      </c>
      <c r="F129" s="83">
        <v>0</v>
      </c>
      <c r="G129" s="83">
        <v>0</v>
      </c>
      <c r="H129" s="83">
        <v>0</v>
      </c>
      <c r="I129" s="83">
        <v>0</v>
      </c>
      <c r="J129" s="2">
        <f t="shared" ref="J129:J134" si="6">SUM(C129:I129)</f>
        <v>2</v>
      </c>
    </row>
    <row r="130" spans="1:24">
      <c r="A130" s="207"/>
      <c r="B130" s="81" t="s">
        <v>172</v>
      </c>
      <c r="C130" s="83">
        <v>0</v>
      </c>
      <c r="D130" s="83">
        <v>0</v>
      </c>
      <c r="E130" s="83">
        <v>0</v>
      </c>
      <c r="F130" s="83">
        <v>0</v>
      </c>
      <c r="G130" s="83">
        <v>0</v>
      </c>
      <c r="H130" s="83">
        <v>0</v>
      </c>
      <c r="I130" s="83">
        <v>2</v>
      </c>
      <c r="J130" s="2">
        <f t="shared" si="6"/>
        <v>2</v>
      </c>
    </row>
    <row r="131" spans="1:24">
      <c r="A131" s="207"/>
      <c r="B131" s="81" t="s">
        <v>173</v>
      </c>
      <c r="C131" s="83">
        <v>0</v>
      </c>
      <c r="D131" s="83">
        <v>0</v>
      </c>
      <c r="E131" s="83">
        <v>0</v>
      </c>
      <c r="F131" s="83">
        <v>0</v>
      </c>
      <c r="G131" s="83">
        <v>0</v>
      </c>
      <c r="H131" s="83">
        <v>2</v>
      </c>
      <c r="I131" s="83">
        <v>2</v>
      </c>
      <c r="J131" s="2">
        <f t="shared" si="6"/>
        <v>4</v>
      </c>
    </row>
    <row r="132" spans="1:24">
      <c r="A132" s="207"/>
      <c r="B132" s="81" t="s">
        <v>174</v>
      </c>
      <c r="C132" s="83">
        <v>0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2">
        <f t="shared" si="6"/>
        <v>0</v>
      </c>
    </row>
    <row r="133" spans="1:24">
      <c r="A133" s="207"/>
      <c r="B133" s="81" t="s">
        <v>175</v>
      </c>
      <c r="C133" s="83">
        <v>0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2</v>
      </c>
      <c r="J133" s="2">
        <f t="shared" si="6"/>
        <v>2</v>
      </c>
    </row>
    <row r="134" spans="1:24">
      <c r="A134" s="208"/>
      <c r="B134" s="81" t="s">
        <v>177</v>
      </c>
      <c r="C134" s="83">
        <v>0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2">
        <f t="shared" si="6"/>
        <v>0</v>
      </c>
    </row>
    <row r="135" spans="1:24">
      <c r="A135" s="209" t="s">
        <v>168</v>
      </c>
      <c r="B135" s="209"/>
      <c r="C135" s="2">
        <f>SUM(C128:C134)</f>
        <v>0</v>
      </c>
      <c r="D135" s="2">
        <f t="shared" ref="D135:I135" si="7">SUM(D128:D134)</f>
        <v>2</v>
      </c>
      <c r="E135" s="2">
        <f t="shared" si="7"/>
        <v>2</v>
      </c>
      <c r="F135" s="2">
        <f t="shared" si="7"/>
        <v>4</v>
      </c>
      <c r="G135" s="2">
        <f t="shared" si="7"/>
        <v>0</v>
      </c>
      <c r="H135" s="2">
        <f t="shared" si="7"/>
        <v>2</v>
      </c>
      <c r="I135" s="3">
        <f t="shared" si="7"/>
        <v>6</v>
      </c>
      <c r="J135" s="2"/>
    </row>
    <row r="136" spans="1:24">
      <c r="D136" s="80" t="s">
        <v>30</v>
      </c>
      <c r="E136" s="80" t="s">
        <v>30</v>
      </c>
      <c r="F136" s="80" t="s">
        <v>30</v>
      </c>
      <c r="G136" s="80" t="s">
        <v>30</v>
      </c>
      <c r="H136" s="80" t="s">
        <v>30</v>
      </c>
    </row>
    <row r="137" spans="1:24">
      <c r="D137" s="2">
        <f>J129</f>
        <v>2</v>
      </c>
      <c r="E137" s="2">
        <f>J130</f>
        <v>2</v>
      </c>
      <c r="F137" s="2">
        <f>J131</f>
        <v>4</v>
      </c>
      <c r="G137" s="2">
        <f>J132</f>
        <v>0</v>
      </c>
      <c r="H137" s="2">
        <f>J133</f>
        <v>2</v>
      </c>
    </row>
    <row r="139" spans="1:24" ht="15.6">
      <c r="A139" s="88" t="s">
        <v>184</v>
      </c>
    </row>
    <row r="141" spans="1:24" ht="18">
      <c r="G141" s="199" t="s">
        <v>193</v>
      </c>
      <c r="H141" s="200"/>
      <c r="I141" s="200"/>
      <c r="J141" s="200"/>
      <c r="K141" s="200"/>
      <c r="L141" s="201"/>
      <c r="M141" s="199" t="s">
        <v>194</v>
      </c>
      <c r="N141" s="200"/>
      <c r="O141" s="200"/>
      <c r="P141" s="200"/>
      <c r="Q141" s="200"/>
      <c r="R141" s="201"/>
      <c r="S141" s="199" t="s">
        <v>195</v>
      </c>
      <c r="T141" s="200"/>
      <c r="U141" s="200"/>
      <c r="V141" s="200"/>
      <c r="W141" s="200"/>
      <c r="X141" s="201"/>
    </row>
    <row r="142" spans="1:24">
      <c r="G142" s="11"/>
      <c r="H142" s="93"/>
      <c r="I142" s="93"/>
      <c r="J142" s="93"/>
      <c r="K142" s="93"/>
      <c r="L142" s="12"/>
      <c r="M142" s="11"/>
      <c r="N142" s="93"/>
      <c r="O142" s="93"/>
      <c r="P142" s="93"/>
      <c r="Q142" s="93"/>
      <c r="R142" s="12"/>
      <c r="S142" s="11"/>
      <c r="T142" s="93"/>
      <c r="U142" s="93"/>
      <c r="V142" s="93"/>
      <c r="W142" s="93"/>
      <c r="X142" s="12"/>
    </row>
    <row r="143" spans="1:24">
      <c r="G143" s="90"/>
      <c r="L143" s="91"/>
      <c r="M143" s="90"/>
      <c r="R143" s="91"/>
      <c r="S143" s="90"/>
      <c r="X143" s="91"/>
    </row>
    <row r="144" spans="1:24">
      <c r="G144" s="90"/>
      <c r="L144" s="91"/>
      <c r="M144" s="90"/>
      <c r="R144" s="91"/>
      <c r="S144" s="90"/>
      <c r="X144" s="91"/>
    </row>
    <row r="145" spans="1:24">
      <c r="G145" s="90"/>
      <c r="L145" s="91"/>
      <c r="M145" s="90"/>
      <c r="R145" s="91"/>
      <c r="S145" s="90"/>
      <c r="X145" s="91"/>
    </row>
    <row r="146" spans="1:24">
      <c r="G146" s="90"/>
      <c r="L146" s="91"/>
      <c r="M146" s="90"/>
      <c r="R146" s="91"/>
      <c r="S146" s="90"/>
      <c r="X146" s="91"/>
    </row>
    <row r="147" spans="1:24">
      <c r="G147" s="90"/>
      <c r="L147" s="91"/>
      <c r="M147" s="90"/>
      <c r="R147" s="91"/>
      <c r="S147" s="90"/>
      <c r="X147" s="91"/>
    </row>
    <row r="148" spans="1:24">
      <c r="G148" s="90"/>
      <c r="L148" s="91"/>
      <c r="M148" s="90"/>
      <c r="R148" s="91"/>
      <c r="S148" s="90"/>
      <c r="X148" s="91"/>
    </row>
    <row r="149" spans="1:24">
      <c r="G149" s="90"/>
      <c r="L149" s="91"/>
      <c r="M149" s="90"/>
      <c r="R149" s="91"/>
      <c r="S149" s="90"/>
      <c r="X149" s="91"/>
    </row>
    <row r="150" spans="1:24">
      <c r="G150" s="90"/>
      <c r="L150" s="91"/>
      <c r="M150" s="90"/>
      <c r="R150" s="91"/>
      <c r="S150" s="90"/>
      <c r="X150" s="91"/>
    </row>
    <row r="151" spans="1:24">
      <c r="G151" s="90"/>
      <c r="L151" s="91"/>
      <c r="M151" s="90"/>
      <c r="R151" s="91"/>
      <c r="S151" s="90"/>
      <c r="X151" s="91"/>
    </row>
    <row r="152" spans="1:24">
      <c r="G152" s="13"/>
      <c r="H152" s="92"/>
      <c r="I152" s="92"/>
      <c r="J152" s="92"/>
      <c r="K152" s="92"/>
      <c r="L152" s="14"/>
      <c r="M152" s="13"/>
      <c r="N152" s="92"/>
      <c r="O152" s="92"/>
      <c r="P152" s="92"/>
      <c r="Q152" s="92"/>
      <c r="R152" s="14"/>
      <c r="S152" s="13"/>
      <c r="T152" s="92"/>
      <c r="U152" s="92"/>
      <c r="V152" s="92"/>
      <c r="W152" s="92"/>
      <c r="X152" s="14"/>
    </row>
    <row r="153" spans="1:24">
      <c r="G153" s="90"/>
      <c r="L153" s="91"/>
      <c r="M153" s="90"/>
      <c r="R153" s="91"/>
      <c r="S153" s="90"/>
      <c r="X153" s="91"/>
    </row>
    <row r="154" spans="1:24">
      <c r="A154" t="s">
        <v>185</v>
      </c>
      <c r="B154" s="186" t="s">
        <v>187</v>
      </c>
      <c r="C154" s="186"/>
      <c r="D154" s="89">
        <v>2</v>
      </c>
      <c r="G154" s="90"/>
      <c r="L154" s="91"/>
      <c r="M154" s="90"/>
      <c r="R154" s="91"/>
      <c r="S154" s="90"/>
      <c r="X154" s="91"/>
    </row>
    <row r="155" spans="1:24">
      <c r="A155" t="s">
        <v>186</v>
      </c>
      <c r="B155" s="186" t="s">
        <v>188</v>
      </c>
      <c r="C155" s="186"/>
      <c r="D155" s="89">
        <v>2</v>
      </c>
      <c r="G155" s="90"/>
      <c r="L155" s="91"/>
      <c r="M155" s="90"/>
      <c r="R155" s="91"/>
      <c r="S155" s="90"/>
      <c r="X155" s="91"/>
    </row>
    <row r="156" spans="1:24">
      <c r="A156" t="s">
        <v>189</v>
      </c>
      <c r="B156" s="186" t="s">
        <v>190</v>
      </c>
      <c r="C156" s="186"/>
      <c r="D156" s="89">
        <v>2</v>
      </c>
      <c r="G156" s="90"/>
      <c r="L156" s="91"/>
      <c r="M156" s="90"/>
      <c r="R156" s="91"/>
      <c r="S156" s="90"/>
      <c r="X156" s="91"/>
    </row>
    <row r="157" spans="1:24">
      <c r="C157" t="s">
        <v>191</v>
      </c>
      <c r="D157" s="89">
        <f>SUM(D154:D156)</f>
        <v>6</v>
      </c>
      <c r="G157" s="90"/>
      <c r="L157" s="91"/>
      <c r="M157" s="90"/>
      <c r="R157" s="91"/>
      <c r="S157" s="90"/>
      <c r="X157" s="91"/>
    </row>
    <row r="158" spans="1:24">
      <c r="G158" s="90"/>
      <c r="L158" s="91"/>
      <c r="M158" s="90"/>
      <c r="R158" s="91"/>
      <c r="S158" s="90"/>
      <c r="X158" s="91"/>
    </row>
    <row r="159" spans="1:24">
      <c r="G159" s="90"/>
      <c r="L159" s="91"/>
      <c r="M159" s="90"/>
      <c r="R159" s="91"/>
      <c r="S159" s="90"/>
      <c r="X159" s="91"/>
    </row>
    <row r="160" spans="1:24">
      <c r="G160" s="90"/>
      <c r="L160" s="91"/>
      <c r="M160" s="90"/>
      <c r="R160" s="91"/>
      <c r="S160" s="90"/>
      <c r="X160" s="91"/>
    </row>
    <row r="161" spans="1:24">
      <c r="G161" s="90"/>
      <c r="L161" s="91"/>
      <c r="M161" s="90"/>
      <c r="R161" s="91"/>
      <c r="S161" s="90"/>
      <c r="X161" s="91"/>
    </row>
    <row r="162" spans="1:24">
      <c r="G162" s="13"/>
      <c r="H162" s="92"/>
      <c r="I162" s="92"/>
      <c r="J162" s="92"/>
      <c r="K162" s="92"/>
      <c r="L162" s="14"/>
      <c r="M162" s="13"/>
      <c r="N162" s="92"/>
      <c r="O162" s="92"/>
      <c r="P162" s="92"/>
      <c r="Q162" s="92"/>
      <c r="R162" s="14"/>
      <c r="S162" s="13"/>
      <c r="T162" s="92"/>
      <c r="U162" s="92"/>
      <c r="V162" s="92"/>
      <c r="W162" s="92"/>
      <c r="X162" s="14"/>
    </row>
    <row r="168" spans="1:24">
      <c r="A168" t="s">
        <v>192</v>
      </c>
    </row>
  </sheetData>
  <mergeCells count="36">
    <mergeCell ref="C126:I126"/>
    <mergeCell ref="J126:J127"/>
    <mergeCell ref="A128:A134"/>
    <mergeCell ref="A135:B135"/>
    <mergeCell ref="A108:B108"/>
    <mergeCell ref="C115:I115"/>
    <mergeCell ref="J115:J116"/>
    <mergeCell ref="A117:A123"/>
    <mergeCell ref="A124:B124"/>
    <mergeCell ref="A90:A96"/>
    <mergeCell ref="A97:B97"/>
    <mergeCell ref="C99:I99"/>
    <mergeCell ref="J99:J100"/>
    <mergeCell ref="A101:A107"/>
    <mergeCell ref="L44:L45"/>
    <mergeCell ref="C44:K44"/>
    <mergeCell ref="A46:A54"/>
    <mergeCell ref="A55:B55"/>
    <mergeCell ref="C88:I88"/>
    <mergeCell ref="J88:J89"/>
    <mergeCell ref="C4:I4"/>
    <mergeCell ref="A6:A12"/>
    <mergeCell ref="A13:B13"/>
    <mergeCell ref="J4:J5"/>
    <mergeCell ref="A33:A41"/>
    <mergeCell ref="A17:A23"/>
    <mergeCell ref="A24:B24"/>
    <mergeCell ref="J15:J16"/>
    <mergeCell ref="C15:I15"/>
    <mergeCell ref="C31:K31"/>
    <mergeCell ref="M141:R141"/>
    <mergeCell ref="S141:X141"/>
    <mergeCell ref="B154:C154"/>
    <mergeCell ref="B155:C155"/>
    <mergeCell ref="B156:C156"/>
    <mergeCell ref="G141:L14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C4178-D7EA-4E8C-9191-4B69122F41B1}">
  <dimension ref="A1:AG236"/>
  <sheetViews>
    <sheetView topLeftCell="A40" zoomScaleNormal="100" workbookViewId="0">
      <selection activeCell="J240" sqref="J240"/>
    </sheetView>
  </sheetViews>
  <sheetFormatPr defaultRowHeight="14.4"/>
  <sheetData>
    <row r="1" spans="1:1" ht="18">
      <c r="A1" s="94" t="s">
        <v>209</v>
      </c>
    </row>
    <row r="2" spans="1:1" ht="15.6">
      <c r="A2" s="88" t="s">
        <v>210</v>
      </c>
    </row>
    <row r="3" spans="1:1">
      <c r="A3" t="s">
        <v>228</v>
      </c>
    </row>
    <row r="33" spans="1:29">
      <c r="A33" t="s">
        <v>227</v>
      </c>
    </row>
    <row r="34" spans="1:29">
      <c r="A34" s="95"/>
      <c r="B34" s="96" t="s">
        <v>28</v>
      </c>
      <c r="C34" s="96" t="s">
        <v>172</v>
      </c>
      <c r="D34" s="96" t="s">
        <v>173</v>
      </c>
      <c r="E34" s="96" t="s">
        <v>174</v>
      </c>
      <c r="F34" s="96" t="s">
        <v>175</v>
      </c>
      <c r="G34" s="96" t="s">
        <v>176</v>
      </c>
      <c r="H34" s="96" t="s">
        <v>214</v>
      </c>
      <c r="I34" s="96" t="s">
        <v>215</v>
      </c>
      <c r="J34" s="96" t="s">
        <v>216</v>
      </c>
      <c r="K34" s="96" t="s">
        <v>217</v>
      </c>
      <c r="L34" s="96" t="s">
        <v>218</v>
      </c>
      <c r="M34" s="96" t="s">
        <v>219</v>
      </c>
      <c r="N34" s="96" t="s">
        <v>220</v>
      </c>
      <c r="O34" s="96" t="s">
        <v>221</v>
      </c>
      <c r="P34" s="96" t="s">
        <v>222</v>
      </c>
      <c r="Q34" s="96" t="s">
        <v>223</v>
      </c>
      <c r="R34" s="96" t="s">
        <v>224</v>
      </c>
      <c r="S34" s="96" t="s">
        <v>225</v>
      </c>
      <c r="T34" s="96" t="s">
        <v>171</v>
      </c>
      <c r="U34" s="96" t="s">
        <v>177</v>
      </c>
      <c r="V34" s="96" t="s">
        <v>226</v>
      </c>
      <c r="W34" s="96" t="s">
        <v>93</v>
      </c>
      <c r="AC34" t="s">
        <v>55</v>
      </c>
    </row>
    <row r="35" spans="1:29">
      <c r="A35" s="96" t="str" cm="1">
        <f t="array" ref="A35:A56">TRANSPOSE(B34:W34)</f>
        <v>A</v>
      </c>
      <c r="B35" s="71">
        <v>0</v>
      </c>
      <c r="C35" s="71" t="s">
        <v>211</v>
      </c>
      <c r="D35" s="71">
        <v>1</v>
      </c>
      <c r="E35" s="71" t="s">
        <v>211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0</v>
      </c>
      <c r="U35" s="71">
        <v>0</v>
      </c>
      <c r="V35" s="71">
        <v>0</v>
      </c>
      <c r="W35" s="71">
        <v>0</v>
      </c>
      <c r="AC35" t="s">
        <v>55</v>
      </c>
    </row>
    <row r="36" spans="1:29">
      <c r="A36" s="96" t="str">
        <v>B</v>
      </c>
      <c r="B36" s="71">
        <v>0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</v>
      </c>
      <c r="P36" s="71">
        <v>0</v>
      </c>
      <c r="Q36" s="71" t="s">
        <v>212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AC36" t="s">
        <v>55</v>
      </c>
    </row>
    <row r="37" spans="1:29">
      <c r="A37" s="96" t="str">
        <v>C</v>
      </c>
      <c r="B37" s="71">
        <v>0</v>
      </c>
      <c r="C37" s="71">
        <v>0</v>
      </c>
      <c r="D37" s="71">
        <v>0</v>
      </c>
      <c r="E37" s="71" t="s">
        <v>211</v>
      </c>
      <c r="F37" s="71">
        <v>3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AC37" t="s">
        <v>55</v>
      </c>
    </row>
    <row r="38" spans="1:29">
      <c r="A38" s="96" t="str">
        <v>D</v>
      </c>
      <c r="B38" s="71">
        <v>0</v>
      </c>
      <c r="C38" s="71">
        <v>0</v>
      </c>
      <c r="D38" s="71">
        <v>0</v>
      </c>
      <c r="E38" s="71">
        <v>0</v>
      </c>
      <c r="F38" s="71">
        <v>3</v>
      </c>
      <c r="G38" s="71">
        <v>0</v>
      </c>
      <c r="H38" s="71" t="s">
        <v>211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2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AC38" t="s">
        <v>55</v>
      </c>
    </row>
    <row r="39" spans="1:29">
      <c r="A39" s="96" t="str">
        <v>E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 t="s">
        <v>213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AC39" t="s">
        <v>55</v>
      </c>
    </row>
    <row r="40" spans="1:29">
      <c r="A40" s="96" t="str">
        <v>F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 t="s">
        <v>211</v>
      </c>
      <c r="I40" s="71">
        <v>0</v>
      </c>
      <c r="J40" s="71">
        <v>3</v>
      </c>
      <c r="K40" s="71">
        <v>4</v>
      </c>
      <c r="L40" s="71">
        <v>1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AC40" t="s">
        <v>55</v>
      </c>
    </row>
    <row r="41" spans="1:29">
      <c r="A41" s="96" t="str">
        <v>G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 t="s">
        <v>211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AC41" t="s">
        <v>55</v>
      </c>
    </row>
    <row r="42" spans="1:29">
      <c r="A42" s="96" t="str">
        <v>H</v>
      </c>
      <c r="B42" s="71">
        <v>0</v>
      </c>
      <c r="C42" s="71">
        <v>0</v>
      </c>
      <c r="D42" s="71">
        <v>0</v>
      </c>
      <c r="E42" s="71">
        <v>0</v>
      </c>
      <c r="F42" s="71">
        <v>0</v>
      </c>
      <c r="G42" s="71">
        <v>3</v>
      </c>
      <c r="H42" s="71">
        <v>0</v>
      </c>
      <c r="I42" s="71">
        <v>0</v>
      </c>
      <c r="J42" s="71">
        <v>3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AC42" t="s">
        <v>55</v>
      </c>
    </row>
    <row r="43" spans="1:29">
      <c r="A43" s="96" t="str">
        <v>I</v>
      </c>
      <c r="B43" s="71">
        <v>0</v>
      </c>
      <c r="C43" s="71">
        <v>0</v>
      </c>
      <c r="D43" s="71">
        <v>0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4</v>
      </c>
      <c r="L43" s="71">
        <v>1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2</v>
      </c>
      <c r="W43" s="71">
        <v>0</v>
      </c>
      <c r="AC43" t="s">
        <v>55</v>
      </c>
    </row>
    <row r="44" spans="1:29">
      <c r="A44" s="96" t="str">
        <v>J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1</v>
      </c>
      <c r="M44" s="71">
        <v>2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AC44" t="s">
        <v>55</v>
      </c>
    </row>
    <row r="45" spans="1:29">
      <c r="A45" s="96" t="str">
        <v>K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2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AC45" t="s">
        <v>55</v>
      </c>
    </row>
    <row r="46" spans="1:29">
      <c r="A46" s="96" t="str">
        <v>L</v>
      </c>
      <c r="B46" s="71">
        <v>0</v>
      </c>
      <c r="C46" s="71">
        <v>0</v>
      </c>
      <c r="D46" s="71">
        <v>0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2</v>
      </c>
      <c r="O46" s="71">
        <v>2</v>
      </c>
      <c r="P46" s="71">
        <v>0</v>
      </c>
      <c r="Q46" s="71">
        <v>0</v>
      </c>
      <c r="R46" s="71">
        <v>0</v>
      </c>
      <c r="S46" s="71">
        <v>0</v>
      </c>
      <c r="T46" s="71">
        <v>0</v>
      </c>
      <c r="U46" s="71">
        <v>0</v>
      </c>
      <c r="V46" s="71">
        <v>0</v>
      </c>
      <c r="W46" s="71">
        <v>0</v>
      </c>
      <c r="AC46" t="s">
        <v>55</v>
      </c>
    </row>
    <row r="47" spans="1:29">
      <c r="A47" s="96" t="str">
        <v>M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2</v>
      </c>
      <c r="P47" s="71">
        <v>0</v>
      </c>
      <c r="Q47" s="71" t="s">
        <v>212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AC47" t="s">
        <v>55</v>
      </c>
    </row>
    <row r="48" spans="1:29">
      <c r="A48" s="96" t="str">
        <v>N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2</v>
      </c>
      <c r="Q48" s="71" t="s">
        <v>212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AC48" t="s">
        <v>55</v>
      </c>
    </row>
    <row r="49" spans="1:29">
      <c r="A49" s="96" t="str">
        <v>O</v>
      </c>
      <c r="B49" s="71">
        <v>0</v>
      </c>
      <c r="C49" s="71" t="s">
        <v>211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0</v>
      </c>
      <c r="M49" s="71">
        <v>0</v>
      </c>
      <c r="N49" s="71">
        <v>0</v>
      </c>
      <c r="O49" s="71">
        <v>0</v>
      </c>
      <c r="P49" s="71">
        <v>0</v>
      </c>
      <c r="Q49" s="71" t="s">
        <v>212</v>
      </c>
      <c r="R49" s="71">
        <v>0</v>
      </c>
      <c r="S49" s="71">
        <v>0</v>
      </c>
      <c r="T49" s="71">
        <v>0</v>
      </c>
      <c r="U49" s="71">
        <v>0</v>
      </c>
      <c r="V49" s="71">
        <v>0</v>
      </c>
      <c r="W49" s="71">
        <v>0</v>
      </c>
      <c r="AC49" t="s">
        <v>55</v>
      </c>
    </row>
    <row r="50" spans="1:29">
      <c r="A50" s="96" t="str">
        <v>P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 t="s">
        <v>211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AC50" t="s">
        <v>55</v>
      </c>
    </row>
    <row r="51" spans="1:29">
      <c r="A51" s="96" t="str">
        <v>Q</v>
      </c>
      <c r="B51" s="71">
        <v>0</v>
      </c>
      <c r="C51" s="71">
        <v>0</v>
      </c>
      <c r="D51" s="71">
        <v>0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0</v>
      </c>
      <c r="O51" s="71">
        <v>0</v>
      </c>
      <c r="P51" s="71">
        <v>0</v>
      </c>
      <c r="Q51" s="71">
        <v>0</v>
      </c>
      <c r="R51" s="71">
        <v>0</v>
      </c>
      <c r="S51" s="71">
        <v>1</v>
      </c>
      <c r="T51" s="71">
        <v>1</v>
      </c>
      <c r="U51" s="71">
        <v>0</v>
      </c>
      <c r="V51" s="71">
        <v>0</v>
      </c>
      <c r="W51" s="71">
        <v>0</v>
      </c>
      <c r="AC51" t="s">
        <v>55</v>
      </c>
    </row>
    <row r="52" spans="1:29">
      <c r="A52" s="96" t="str">
        <v>R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1</v>
      </c>
      <c r="U52" s="71">
        <v>0</v>
      </c>
      <c r="V52" s="71">
        <v>0</v>
      </c>
      <c r="W52" s="71">
        <v>0</v>
      </c>
      <c r="AC52" t="s">
        <v>55</v>
      </c>
    </row>
    <row r="53" spans="1:29">
      <c r="A53" s="96" t="str">
        <v>S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71">
        <v>0</v>
      </c>
      <c r="T53" s="71">
        <v>0</v>
      </c>
      <c r="U53" s="71">
        <v>2</v>
      </c>
      <c r="V53" s="71">
        <v>0</v>
      </c>
      <c r="W53" s="71">
        <v>0</v>
      </c>
      <c r="AC53" t="s">
        <v>55</v>
      </c>
    </row>
    <row r="54" spans="1:29">
      <c r="A54" s="96" t="str">
        <v>T</v>
      </c>
      <c r="B54" s="71">
        <v>0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0</v>
      </c>
      <c r="N54" s="71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2</v>
      </c>
      <c r="W54" s="71">
        <v>0</v>
      </c>
      <c r="AC54" t="s">
        <v>55</v>
      </c>
    </row>
    <row r="55" spans="1:29">
      <c r="A55" s="96" t="str">
        <v>U</v>
      </c>
      <c r="B55" s="71">
        <v>0</v>
      </c>
      <c r="C55" s="71">
        <v>0</v>
      </c>
      <c r="D55" s="71">
        <v>0</v>
      </c>
      <c r="E55" s="71">
        <v>0</v>
      </c>
      <c r="F55" s="71">
        <v>0</v>
      </c>
      <c r="G55" s="71">
        <v>0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0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0</v>
      </c>
      <c r="T55" s="71">
        <v>0</v>
      </c>
      <c r="U55" s="71">
        <v>0</v>
      </c>
      <c r="V55" s="71">
        <v>0</v>
      </c>
      <c r="W55" s="71">
        <v>0</v>
      </c>
      <c r="AC55" t="s">
        <v>55</v>
      </c>
    </row>
    <row r="56" spans="1:29">
      <c r="A56" s="96" t="str">
        <v>Y</v>
      </c>
      <c r="B56" s="71">
        <v>1</v>
      </c>
      <c r="C56" s="71">
        <v>0</v>
      </c>
      <c r="D56" s="71">
        <v>0</v>
      </c>
      <c r="E56" s="71">
        <v>0</v>
      </c>
      <c r="F56" s="71">
        <v>3</v>
      </c>
      <c r="G56" s="71" t="s">
        <v>213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</row>
    <row r="58" spans="1:29">
      <c r="A58" t="s">
        <v>229</v>
      </c>
    </row>
    <row r="59" spans="1:29">
      <c r="C59" s="212" t="s">
        <v>164</v>
      </c>
      <c r="D59" s="213"/>
      <c r="E59" s="213"/>
      <c r="F59" s="213"/>
      <c r="G59" s="213"/>
      <c r="H59" s="213"/>
      <c r="I59" s="213"/>
      <c r="J59" s="213"/>
      <c r="K59" s="213"/>
      <c r="L59" s="213"/>
      <c r="M59" s="213"/>
      <c r="N59" s="213"/>
      <c r="O59" s="213"/>
      <c r="P59" s="213"/>
      <c r="Q59" s="213"/>
      <c r="R59" s="213"/>
      <c r="S59" s="213"/>
      <c r="T59" s="213"/>
      <c r="U59" s="213"/>
      <c r="V59" s="213"/>
      <c r="W59" s="213"/>
      <c r="X59" s="214"/>
    </row>
    <row r="60" spans="1:29">
      <c r="B60" s="95"/>
      <c r="C60" s="96" t="s">
        <v>28</v>
      </c>
      <c r="D60" s="96" t="s">
        <v>172</v>
      </c>
      <c r="E60" s="96" t="s">
        <v>173</v>
      </c>
      <c r="F60" s="96" t="s">
        <v>174</v>
      </c>
      <c r="G60" s="96" t="s">
        <v>175</v>
      </c>
      <c r="H60" s="96" t="s">
        <v>176</v>
      </c>
      <c r="I60" s="96" t="s">
        <v>214</v>
      </c>
      <c r="J60" s="96" t="s">
        <v>215</v>
      </c>
      <c r="K60" s="96" t="s">
        <v>216</v>
      </c>
      <c r="L60" s="96" t="s">
        <v>217</v>
      </c>
      <c r="M60" s="96" t="s">
        <v>218</v>
      </c>
      <c r="N60" s="96" t="s">
        <v>219</v>
      </c>
      <c r="O60" s="96" t="s">
        <v>220</v>
      </c>
      <c r="P60" s="96" t="s">
        <v>221</v>
      </c>
      <c r="Q60" s="96" t="s">
        <v>222</v>
      </c>
      <c r="R60" s="96" t="s">
        <v>223</v>
      </c>
      <c r="S60" s="96" t="s">
        <v>224</v>
      </c>
      <c r="T60" s="96" t="s">
        <v>225</v>
      </c>
      <c r="U60" s="96" t="s">
        <v>171</v>
      </c>
      <c r="V60" s="96" t="s">
        <v>177</v>
      </c>
      <c r="W60" s="96" t="s">
        <v>226</v>
      </c>
      <c r="X60" s="96" t="s">
        <v>93</v>
      </c>
    </row>
    <row r="61" spans="1:29" ht="14.4" customHeight="1">
      <c r="A61" s="222" t="s">
        <v>167</v>
      </c>
      <c r="B61" s="96" t="str" cm="1">
        <f t="array" ref="B61:B82">TRANSPOSE(C60:X60)</f>
        <v>A</v>
      </c>
      <c r="C61" s="71">
        <v>0</v>
      </c>
      <c r="D61" s="71" t="s">
        <v>211</v>
      </c>
      <c r="E61" s="71">
        <v>1</v>
      </c>
      <c r="F61" s="71" t="s">
        <v>211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</row>
    <row r="62" spans="1:29">
      <c r="A62" s="223"/>
      <c r="B62" s="96" t="str">
        <v>B</v>
      </c>
      <c r="C62" s="71">
        <v>0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0</v>
      </c>
      <c r="L62" s="71">
        <v>0</v>
      </c>
      <c r="M62" s="71">
        <v>0</v>
      </c>
      <c r="N62" s="71">
        <v>0</v>
      </c>
      <c r="O62" s="71">
        <v>0</v>
      </c>
      <c r="P62" s="71">
        <v>0</v>
      </c>
      <c r="Q62" s="71">
        <v>0</v>
      </c>
      <c r="R62" s="71" t="s">
        <v>212</v>
      </c>
      <c r="S62" s="71">
        <v>0</v>
      </c>
      <c r="T62" s="71">
        <v>0</v>
      </c>
      <c r="U62" s="71">
        <v>0</v>
      </c>
      <c r="V62" s="71">
        <v>0</v>
      </c>
      <c r="W62" s="71">
        <v>0</v>
      </c>
      <c r="X62" s="71">
        <v>0</v>
      </c>
    </row>
    <row r="63" spans="1:29">
      <c r="A63" s="223"/>
      <c r="B63" s="96" t="str">
        <v>C</v>
      </c>
      <c r="C63" s="71">
        <v>0</v>
      </c>
      <c r="D63" s="71">
        <v>0</v>
      </c>
      <c r="E63" s="71">
        <v>0</v>
      </c>
      <c r="F63" s="71" t="s">
        <v>211</v>
      </c>
      <c r="G63" s="71">
        <v>3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  <c r="P63" s="71">
        <v>0</v>
      </c>
      <c r="Q63" s="71">
        <v>0</v>
      </c>
      <c r="R63" s="71">
        <v>0</v>
      </c>
      <c r="S63" s="71">
        <v>0</v>
      </c>
      <c r="T63" s="71">
        <v>0</v>
      </c>
      <c r="U63" s="71">
        <v>0</v>
      </c>
      <c r="V63" s="71">
        <v>0</v>
      </c>
      <c r="W63" s="71">
        <v>0</v>
      </c>
      <c r="X63" s="71">
        <v>0</v>
      </c>
    </row>
    <row r="64" spans="1:29">
      <c r="A64" s="223"/>
      <c r="B64" s="96" t="str">
        <v>D</v>
      </c>
      <c r="C64" s="71">
        <v>0</v>
      </c>
      <c r="D64" s="71">
        <v>0</v>
      </c>
      <c r="E64" s="71">
        <v>0</v>
      </c>
      <c r="F64" s="71">
        <v>0</v>
      </c>
      <c r="G64" s="71">
        <v>3</v>
      </c>
      <c r="H64" s="71">
        <v>0</v>
      </c>
      <c r="I64" s="71" t="s">
        <v>211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2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</row>
    <row r="65" spans="1:24">
      <c r="A65" s="223"/>
      <c r="B65" s="96" t="str">
        <v>E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 t="s">
        <v>213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</row>
    <row r="66" spans="1:24">
      <c r="A66" s="223"/>
      <c r="B66" s="96" t="str">
        <v>F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 t="s">
        <v>211</v>
      </c>
      <c r="J66" s="71">
        <v>0</v>
      </c>
      <c r="K66" s="71">
        <v>3</v>
      </c>
      <c r="L66" s="71">
        <v>4</v>
      </c>
      <c r="M66" s="71">
        <v>1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</row>
    <row r="67" spans="1:24">
      <c r="A67" s="223"/>
      <c r="B67" s="96" t="str">
        <v>G</v>
      </c>
      <c r="C67" s="71">
        <v>0</v>
      </c>
      <c r="D67" s="71">
        <v>0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 t="s">
        <v>211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</row>
    <row r="68" spans="1:24">
      <c r="A68" s="223"/>
      <c r="B68" s="96" t="str">
        <v>H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3</v>
      </c>
      <c r="I68" s="71">
        <v>0</v>
      </c>
      <c r="J68" s="71">
        <v>0</v>
      </c>
      <c r="K68" s="71">
        <v>3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</row>
    <row r="69" spans="1:24">
      <c r="A69" s="223"/>
      <c r="B69" s="96" t="str">
        <v>I</v>
      </c>
      <c r="C69" s="71">
        <v>0</v>
      </c>
      <c r="D69" s="71">
        <v>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4</v>
      </c>
      <c r="M69" s="71">
        <v>1</v>
      </c>
      <c r="N69" s="71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2</v>
      </c>
      <c r="X69" s="71">
        <v>0</v>
      </c>
    </row>
    <row r="70" spans="1:24">
      <c r="A70" s="223"/>
      <c r="B70" s="96" t="str">
        <v>J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1</v>
      </c>
      <c r="N70" s="71">
        <v>2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</row>
    <row r="71" spans="1:24">
      <c r="A71" s="223"/>
      <c r="B71" s="96" t="str">
        <v>K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71">
        <v>0</v>
      </c>
      <c r="M71" s="71">
        <v>0</v>
      </c>
      <c r="N71" s="71">
        <v>2</v>
      </c>
      <c r="O71" s="71">
        <v>0</v>
      </c>
      <c r="P71" s="71">
        <v>0</v>
      </c>
      <c r="Q71" s="71">
        <v>0</v>
      </c>
      <c r="R71" s="71">
        <v>0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0</v>
      </c>
    </row>
    <row r="72" spans="1:24">
      <c r="A72" s="223"/>
      <c r="B72" s="96" t="str">
        <v>L</v>
      </c>
      <c r="C72" s="71">
        <v>0</v>
      </c>
      <c r="D72" s="71">
        <v>0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0</v>
      </c>
      <c r="K72" s="71">
        <v>0</v>
      </c>
      <c r="L72" s="71">
        <v>0</v>
      </c>
      <c r="M72" s="71">
        <v>0</v>
      </c>
      <c r="N72" s="71">
        <v>0</v>
      </c>
      <c r="O72" s="71">
        <v>2</v>
      </c>
      <c r="P72" s="71">
        <v>2</v>
      </c>
      <c r="Q72" s="71">
        <v>0</v>
      </c>
      <c r="R72" s="71">
        <v>0</v>
      </c>
      <c r="S72" s="71">
        <v>0</v>
      </c>
      <c r="T72" s="71">
        <v>0</v>
      </c>
      <c r="U72" s="71">
        <v>0</v>
      </c>
      <c r="V72" s="71">
        <v>0</v>
      </c>
      <c r="W72" s="71">
        <v>0</v>
      </c>
      <c r="X72" s="71">
        <v>0</v>
      </c>
    </row>
    <row r="73" spans="1:24">
      <c r="A73" s="223"/>
      <c r="B73" s="96" t="str">
        <v>M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2</v>
      </c>
      <c r="Q73" s="71">
        <v>0</v>
      </c>
      <c r="R73" s="71" t="s">
        <v>212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</row>
    <row r="74" spans="1:24">
      <c r="A74" s="223"/>
      <c r="B74" s="96" t="str">
        <v>N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2</v>
      </c>
      <c r="R74" s="71" t="s">
        <v>212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</row>
    <row r="75" spans="1:24">
      <c r="A75" s="223"/>
      <c r="B75" s="96" t="str">
        <v>O</v>
      </c>
      <c r="C75" s="71">
        <v>0</v>
      </c>
      <c r="D75" s="71" t="s">
        <v>211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 t="s">
        <v>212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</row>
    <row r="76" spans="1:24">
      <c r="A76" s="223"/>
      <c r="B76" s="96" t="str">
        <v>P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 t="s">
        <v>211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</row>
    <row r="77" spans="1:24">
      <c r="A77" s="223"/>
      <c r="B77" s="96" t="str">
        <v>Q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1</v>
      </c>
      <c r="U77" s="71">
        <v>1</v>
      </c>
      <c r="V77" s="71">
        <v>0</v>
      </c>
      <c r="W77" s="71">
        <v>0</v>
      </c>
      <c r="X77" s="71">
        <v>0</v>
      </c>
    </row>
    <row r="78" spans="1:24">
      <c r="A78" s="223"/>
      <c r="B78" s="96" t="str">
        <v>R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1</v>
      </c>
      <c r="V78" s="71">
        <v>0</v>
      </c>
      <c r="W78" s="71">
        <v>0</v>
      </c>
      <c r="X78" s="71">
        <v>0</v>
      </c>
    </row>
    <row r="79" spans="1:24">
      <c r="A79" s="223"/>
      <c r="B79" s="96" t="str">
        <v>S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0</v>
      </c>
      <c r="V79" s="71">
        <v>2</v>
      </c>
      <c r="W79" s="71">
        <v>0</v>
      </c>
      <c r="X79" s="71">
        <v>0</v>
      </c>
    </row>
    <row r="80" spans="1:24">
      <c r="A80" s="223"/>
      <c r="B80" s="96" t="str">
        <v>T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2</v>
      </c>
      <c r="X80" s="71">
        <v>0</v>
      </c>
    </row>
    <row r="81" spans="1:26">
      <c r="A81" s="223"/>
      <c r="B81" s="96" t="str">
        <v>U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</row>
    <row r="82" spans="1:26">
      <c r="A82" s="224"/>
      <c r="B82" s="96" t="str">
        <v>Y</v>
      </c>
      <c r="C82" s="71">
        <v>1</v>
      </c>
      <c r="D82" s="71">
        <v>0</v>
      </c>
      <c r="E82" s="71">
        <v>0</v>
      </c>
      <c r="F82" s="71">
        <v>0</v>
      </c>
      <c r="G82" s="71">
        <v>3</v>
      </c>
      <c r="H82" s="71" t="s">
        <v>213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</row>
    <row r="84" spans="1:26">
      <c r="C84" s="212" t="s">
        <v>164</v>
      </c>
      <c r="D84" s="213"/>
      <c r="E84" s="213"/>
      <c r="F84" s="213"/>
      <c r="G84" s="213"/>
      <c r="H84" s="213"/>
      <c r="I84" s="213"/>
      <c r="J84" s="213"/>
      <c r="K84" s="213"/>
      <c r="L84" s="213"/>
      <c r="M84" s="213"/>
      <c r="N84" s="213"/>
      <c r="O84" s="213"/>
      <c r="P84" s="213"/>
      <c r="Q84" s="213"/>
      <c r="R84" s="213"/>
      <c r="S84" s="213"/>
      <c r="T84" s="213"/>
      <c r="U84" s="213"/>
      <c r="V84" s="213"/>
      <c r="W84" s="213"/>
      <c r="X84" s="214"/>
      <c r="Y84" s="229" t="s">
        <v>169</v>
      </c>
    </row>
    <row r="85" spans="1:26">
      <c r="B85" s="95"/>
      <c r="C85" s="71" t="s">
        <v>28</v>
      </c>
      <c r="D85" s="71" t="s">
        <v>172</v>
      </c>
      <c r="E85" s="71" t="s">
        <v>173</v>
      </c>
      <c r="F85" s="71" t="s">
        <v>174</v>
      </c>
      <c r="G85" s="71" t="s">
        <v>175</v>
      </c>
      <c r="H85" s="71" t="s">
        <v>176</v>
      </c>
      <c r="I85" s="71" t="s">
        <v>214</v>
      </c>
      <c r="J85" s="71" t="s">
        <v>215</v>
      </c>
      <c r="K85" s="71" t="s">
        <v>216</v>
      </c>
      <c r="L85" s="71" t="s">
        <v>217</v>
      </c>
      <c r="M85" s="71" t="s">
        <v>218</v>
      </c>
      <c r="N85" s="71" t="s">
        <v>219</v>
      </c>
      <c r="O85" s="71" t="s">
        <v>220</v>
      </c>
      <c r="P85" s="71" t="s">
        <v>221</v>
      </c>
      <c r="Q85" s="71" t="s">
        <v>222</v>
      </c>
      <c r="R85" s="71" t="s">
        <v>223</v>
      </c>
      <c r="S85" s="71" t="s">
        <v>224</v>
      </c>
      <c r="T85" s="71" t="s">
        <v>225</v>
      </c>
      <c r="U85" s="71" t="s">
        <v>171</v>
      </c>
      <c r="V85" s="71" t="s">
        <v>177</v>
      </c>
      <c r="W85" s="71" t="s">
        <v>226</v>
      </c>
      <c r="X85" s="71" t="s">
        <v>93</v>
      </c>
      <c r="Y85" s="230"/>
    </row>
    <row r="86" spans="1:26">
      <c r="A86" s="222" t="s">
        <v>167</v>
      </c>
      <c r="B86" s="71" t="str" cm="1">
        <f t="array" ref="B86:B107">TRANSPOSE(C85:X85)</f>
        <v>A</v>
      </c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9">
        <f>SUM(C86:X86)</f>
        <v>0</v>
      </c>
      <c r="Z86" t="s">
        <v>230</v>
      </c>
    </row>
    <row r="87" spans="1:26">
      <c r="A87" s="223"/>
      <c r="B87" s="71" t="str">
        <v>B</v>
      </c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8">
        <f t="shared" ref="Y87:Y107" si="0">SUM(C87:X87)</f>
        <v>0</v>
      </c>
    </row>
    <row r="88" spans="1:26">
      <c r="A88" s="223"/>
      <c r="B88" s="71" t="str">
        <v>C</v>
      </c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8">
        <f t="shared" si="0"/>
        <v>0</v>
      </c>
    </row>
    <row r="89" spans="1:26">
      <c r="A89" s="223"/>
      <c r="B89" s="71" t="str">
        <v>D</v>
      </c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8">
        <f t="shared" si="0"/>
        <v>0</v>
      </c>
    </row>
    <row r="90" spans="1:26">
      <c r="A90" s="223"/>
      <c r="B90" s="71" t="str">
        <v>E</v>
      </c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8">
        <f t="shared" si="0"/>
        <v>0</v>
      </c>
    </row>
    <row r="91" spans="1:26">
      <c r="A91" s="223"/>
      <c r="B91" s="71" t="str">
        <v>F</v>
      </c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8">
        <f t="shared" si="0"/>
        <v>0</v>
      </c>
    </row>
    <row r="92" spans="1:26">
      <c r="A92" s="223"/>
      <c r="B92" s="71" t="str">
        <v>G</v>
      </c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8">
        <f t="shared" si="0"/>
        <v>0</v>
      </c>
    </row>
    <row r="93" spans="1:26">
      <c r="A93" s="223"/>
      <c r="B93" s="71" t="str">
        <v>H</v>
      </c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8">
        <f t="shared" si="0"/>
        <v>0</v>
      </c>
    </row>
    <row r="94" spans="1:26">
      <c r="A94" s="223"/>
      <c r="B94" s="71" t="str">
        <v>I</v>
      </c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8">
        <f t="shared" si="0"/>
        <v>0</v>
      </c>
    </row>
    <row r="95" spans="1:26">
      <c r="A95" s="223"/>
      <c r="B95" s="71" t="str">
        <v>J</v>
      </c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8">
        <f t="shared" si="0"/>
        <v>0</v>
      </c>
    </row>
    <row r="96" spans="1:26">
      <c r="A96" s="223"/>
      <c r="B96" s="71" t="str">
        <v>K</v>
      </c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8">
        <f t="shared" si="0"/>
        <v>0</v>
      </c>
    </row>
    <row r="97" spans="1:25">
      <c r="A97" s="223"/>
      <c r="B97" s="71" t="str">
        <v>L</v>
      </c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8">
        <f t="shared" si="0"/>
        <v>0</v>
      </c>
    </row>
    <row r="98" spans="1:25">
      <c r="A98" s="223"/>
      <c r="B98" s="71" t="str">
        <v>M</v>
      </c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8">
        <f t="shared" si="0"/>
        <v>0</v>
      </c>
    </row>
    <row r="99" spans="1:25">
      <c r="A99" s="223"/>
      <c r="B99" s="71" t="str">
        <v>N</v>
      </c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8">
        <f t="shared" si="0"/>
        <v>0</v>
      </c>
    </row>
    <row r="100" spans="1:25">
      <c r="A100" s="223"/>
      <c r="B100" s="71" t="str">
        <v>O</v>
      </c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P100" s="97"/>
      <c r="Q100" s="97"/>
      <c r="R100" s="97"/>
      <c r="S100" s="97"/>
      <c r="T100" s="97"/>
      <c r="U100" s="97"/>
      <c r="V100" s="97"/>
      <c r="W100" s="97"/>
      <c r="X100" s="97"/>
      <c r="Y100" s="98">
        <f t="shared" si="0"/>
        <v>0</v>
      </c>
    </row>
    <row r="101" spans="1:25">
      <c r="A101" s="223"/>
      <c r="B101" s="71" t="str">
        <v>P</v>
      </c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8">
        <f t="shared" si="0"/>
        <v>0</v>
      </c>
    </row>
    <row r="102" spans="1:25">
      <c r="A102" s="223"/>
      <c r="B102" s="71" t="str">
        <v>Q</v>
      </c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8">
        <f t="shared" si="0"/>
        <v>0</v>
      </c>
    </row>
    <row r="103" spans="1:25">
      <c r="A103" s="223"/>
      <c r="B103" s="71" t="str">
        <v>R</v>
      </c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8">
        <f t="shared" si="0"/>
        <v>0</v>
      </c>
    </row>
    <row r="104" spans="1:25">
      <c r="A104" s="223"/>
      <c r="B104" s="71" t="str">
        <v>S</v>
      </c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8">
        <f t="shared" si="0"/>
        <v>0</v>
      </c>
    </row>
    <row r="105" spans="1:25">
      <c r="A105" s="223"/>
      <c r="B105" s="71" t="str">
        <v>T</v>
      </c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8">
        <f t="shared" si="0"/>
        <v>0</v>
      </c>
    </row>
    <row r="106" spans="1:25">
      <c r="A106" s="223"/>
      <c r="B106" s="71" t="str">
        <v>U</v>
      </c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8">
        <f t="shared" si="0"/>
        <v>0</v>
      </c>
    </row>
    <row r="107" spans="1:25">
      <c r="A107" s="224"/>
      <c r="B107" s="71" t="str">
        <v>Y</v>
      </c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8">
        <f t="shared" si="0"/>
        <v>0</v>
      </c>
    </row>
    <row r="108" spans="1:25">
      <c r="A108" s="212" t="s">
        <v>168</v>
      </c>
      <c r="B108" s="214"/>
      <c r="C108" s="98">
        <f>SUM(C86:C107)</f>
        <v>0</v>
      </c>
      <c r="D108" s="98">
        <f t="shared" ref="D108:W108" si="1">SUM(D86:D107)</f>
        <v>0</v>
      </c>
      <c r="E108" s="98">
        <f t="shared" si="1"/>
        <v>0</v>
      </c>
      <c r="F108" s="98">
        <f t="shared" si="1"/>
        <v>0</v>
      </c>
      <c r="G108" s="98">
        <f t="shared" si="1"/>
        <v>0</v>
      </c>
      <c r="H108" s="98">
        <f t="shared" si="1"/>
        <v>0</v>
      </c>
      <c r="I108" s="98">
        <f t="shared" si="1"/>
        <v>0</v>
      </c>
      <c r="J108" s="98">
        <f t="shared" si="1"/>
        <v>0</v>
      </c>
      <c r="K108" s="98">
        <f t="shared" si="1"/>
        <v>0</v>
      </c>
      <c r="L108" s="98">
        <f t="shared" si="1"/>
        <v>0</v>
      </c>
      <c r="M108" s="98">
        <f t="shared" si="1"/>
        <v>0</v>
      </c>
      <c r="N108" s="98">
        <f t="shared" si="1"/>
        <v>0</v>
      </c>
      <c r="O108" s="98">
        <f t="shared" si="1"/>
        <v>0</v>
      </c>
      <c r="P108" s="98">
        <f t="shared" si="1"/>
        <v>0</v>
      </c>
      <c r="Q108" s="98">
        <f t="shared" si="1"/>
        <v>0</v>
      </c>
      <c r="R108" s="98">
        <f t="shared" si="1"/>
        <v>0</v>
      </c>
      <c r="S108" s="98">
        <f t="shared" si="1"/>
        <v>0</v>
      </c>
      <c r="T108" s="98">
        <f t="shared" si="1"/>
        <v>0</v>
      </c>
      <c r="U108" s="98">
        <f t="shared" si="1"/>
        <v>0</v>
      </c>
      <c r="V108" s="98">
        <f t="shared" si="1"/>
        <v>0</v>
      </c>
      <c r="W108" s="98">
        <f t="shared" si="1"/>
        <v>0</v>
      </c>
      <c r="X108" s="99">
        <f>SUM(X86:X107)</f>
        <v>0</v>
      </c>
      <c r="Y108" s="2"/>
    </row>
    <row r="109" spans="1:25">
      <c r="D109" s="80" t="s">
        <v>30</v>
      </c>
      <c r="E109" s="80" t="s">
        <v>30</v>
      </c>
      <c r="F109" s="80" t="s">
        <v>30</v>
      </c>
      <c r="G109" s="80" t="s">
        <v>30</v>
      </c>
      <c r="H109" s="80" t="s">
        <v>30</v>
      </c>
      <c r="I109" s="80" t="s">
        <v>30</v>
      </c>
      <c r="J109" s="80" t="s">
        <v>30</v>
      </c>
      <c r="K109" s="80" t="s">
        <v>30</v>
      </c>
      <c r="L109" s="80" t="s">
        <v>30</v>
      </c>
      <c r="M109" s="80" t="s">
        <v>30</v>
      </c>
      <c r="N109" s="80" t="s">
        <v>30</v>
      </c>
      <c r="O109" s="80" t="s">
        <v>30</v>
      </c>
      <c r="P109" s="80" t="s">
        <v>30</v>
      </c>
      <c r="Q109" s="80" t="s">
        <v>30</v>
      </c>
      <c r="R109" s="80" t="s">
        <v>30</v>
      </c>
      <c r="S109" s="80" t="s">
        <v>30</v>
      </c>
      <c r="T109" s="80" t="s">
        <v>30</v>
      </c>
      <c r="U109" s="80" t="s">
        <v>30</v>
      </c>
      <c r="V109" s="80" t="s">
        <v>30</v>
      </c>
      <c r="W109" s="80" t="s">
        <v>30</v>
      </c>
    </row>
    <row r="110" spans="1:25">
      <c r="D110" s="71" cm="1">
        <f t="array" ref="D110:W110">TRANSPOSE(Y87:Y106)</f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</row>
    <row r="111" spans="1:25"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</row>
    <row r="112" spans="1:25"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</row>
    <row r="113" spans="4:33"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</row>
    <row r="114" spans="4:33">
      <c r="D114" s="80"/>
      <c r="E114" s="80"/>
      <c r="F114" s="80"/>
      <c r="G114" s="80"/>
      <c r="H114" s="80"/>
      <c r="I114" s="225" t="s">
        <v>265</v>
      </c>
      <c r="J114" s="225"/>
      <c r="K114" s="225"/>
      <c r="L114" s="225"/>
      <c r="M114" s="225"/>
      <c r="N114" s="226" t="s">
        <v>267</v>
      </c>
      <c r="O114" s="227"/>
      <c r="P114" s="227"/>
      <c r="Q114" s="227"/>
      <c r="R114" s="228"/>
      <c r="S114" s="226" t="s">
        <v>268</v>
      </c>
      <c r="T114" s="227"/>
      <c r="U114" s="227"/>
      <c r="V114" s="227"/>
      <c r="W114" s="228"/>
      <c r="X114" s="212" t="s">
        <v>274</v>
      </c>
      <c r="Y114" s="213"/>
      <c r="Z114" s="213"/>
      <c r="AA114" s="213"/>
      <c r="AB114" s="214"/>
      <c r="AC114" s="212" t="s">
        <v>276</v>
      </c>
      <c r="AD114" s="213"/>
      <c r="AE114" s="213"/>
      <c r="AF114" s="213"/>
      <c r="AG114" s="214"/>
    </row>
    <row r="115" spans="4:33">
      <c r="D115" s="80"/>
      <c r="E115" s="80"/>
      <c r="F115" s="80"/>
      <c r="G115" s="80"/>
      <c r="H115" s="80"/>
      <c r="I115" s="107"/>
      <c r="J115" s="80"/>
      <c r="K115" s="80"/>
      <c r="L115" s="80"/>
      <c r="M115" s="108"/>
      <c r="N115" s="112"/>
      <c r="O115" s="113"/>
      <c r="P115" s="113"/>
      <c r="Q115" s="113"/>
      <c r="R115" s="114"/>
      <c r="S115" s="112"/>
      <c r="T115" s="113"/>
      <c r="U115" s="113"/>
      <c r="V115" s="113"/>
      <c r="W115" s="114"/>
      <c r="X115" s="11"/>
      <c r="Y115" s="93"/>
      <c r="Z115" s="93"/>
      <c r="AA115" s="93"/>
      <c r="AB115" s="12"/>
      <c r="AC115" s="11"/>
      <c r="AD115" s="93"/>
      <c r="AE115" s="93"/>
      <c r="AF115" s="93"/>
      <c r="AG115" s="12"/>
    </row>
    <row r="116" spans="4:33">
      <c r="D116" s="80"/>
      <c r="E116" s="80"/>
      <c r="F116" s="80"/>
      <c r="G116" s="80"/>
      <c r="H116" s="80"/>
      <c r="I116" s="107"/>
      <c r="J116" s="80"/>
      <c r="K116" s="80"/>
      <c r="L116" s="80"/>
      <c r="M116" s="108"/>
      <c r="N116" s="107"/>
      <c r="O116" s="80"/>
      <c r="P116" s="80"/>
      <c r="Q116" s="80"/>
      <c r="R116" s="108"/>
      <c r="S116" s="107"/>
      <c r="T116" s="80"/>
      <c r="U116" s="80"/>
      <c r="V116" s="80"/>
      <c r="W116" s="108"/>
      <c r="X116" s="90"/>
      <c r="AB116" s="91"/>
      <c r="AC116" s="90"/>
      <c r="AG116" s="91"/>
    </row>
    <row r="117" spans="4:33">
      <c r="D117" s="80"/>
      <c r="E117" s="80"/>
      <c r="F117" s="80"/>
      <c r="G117" s="80"/>
      <c r="H117" s="80"/>
      <c r="I117" s="107"/>
      <c r="J117" s="80"/>
      <c r="K117" s="80"/>
      <c r="L117" s="80"/>
      <c r="M117" s="108"/>
      <c r="N117" s="107"/>
      <c r="O117" s="80"/>
      <c r="P117" s="80"/>
      <c r="Q117" s="80"/>
      <c r="R117" s="108"/>
      <c r="S117" s="107"/>
      <c r="T117" s="80"/>
      <c r="U117" s="80"/>
      <c r="V117" s="80"/>
      <c r="W117" s="108"/>
      <c r="X117" s="90"/>
      <c r="AB117" s="91"/>
      <c r="AC117" s="90"/>
      <c r="AG117" s="91"/>
    </row>
    <row r="118" spans="4:33">
      <c r="D118" s="80"/>
      <c r="E118" s="80"/>
      <c r="F118" s="80"/>
      <c r="G118" s="80"/>
      <c r="H118" s="80"/>
      <c r="I118" s="107"/>
      <c r="J118" s="80"/>
      <c r="K118" s="80"/>
      <c r="L118" s="80"/>
      <c r="M118" s="108"/>
      <c r="N118" s="107"/>
      <c r="O118" s="80"/>
      <c r="P118" s="80"/>
      <c r="Q118" s="80"/>
      <c r="R118" s="108"/>
      <c r="S118" s="107"/>
      <c r="T118" s="80"/>
      <c r="U118" s="80"/>
      <c r="V118" s="80"/>
      <c r="W118" s="108"/>
      <c r="X118" s="90"/>
      <c r="AB118" s="91"/>
      <c r="AC118" s="90"/>
      <c r="AG118" s="91"/>
    </row>
    <row r="119" spans="4:33">
      <c r="D119" s="80"/>
      <c r="E119" s="80"/>
      <c r="F119" s="80"/>
      <c r="G119" s="80"/>
      <c r="H119" s="80"/>
      <c r="I119" s="107"/>
      <c r="J119" s="80"/>
      <c r="K119" s="80"/>
      <c r="L119" s="80"/>
      <c r="M119" s="108"/>
      <c r="N119" s="107"/>
      <c r="O119" s="80"/>
      <c r="P119" s="80"/>
      <c r="Q119" s="80"/>
      <c r="R119" s="108"/>
      <c r="S119" s="107"/>
      <c r="T119" s="80"/>
      <c r="U119" s="80"/>
      <c r="V119" s="80"/>
      <c r="W119" s="108"/>
      <c r="X119" s="90"/>
      <c r="AB119" s="91"/>
      <c r="AC119" s="90"/>
      <c r="AG119" s="91"/>
    </row>
    <row r="120" spans="4:33">
      <c r="D120" s="80"/>
      <c r="E120" s="80"/>
      <c r="F120" s="80"/>
      <c r="G120" s="80"/>
      <c r="H120" s="80"/>
      <c r="I120" s="107"/>
      <c r="J120" s="80"/>
      <c r="K120" s="80"/>
      <c r="L120" s="80"/>
      <c r="M120" s="108"/>
      <c r="N120" s="107"/>
      <c r="O120" s="80"/>
      <c r="P120" s="80"/>
      <c r="Q120" s="80"/>
      <c r="R120" s="108"/>
      <c r="S120" s="107"/>
      <c r="T120" s="80"/>
      <c r="U120" s="80"/>
      <c r="V120" s="80"/>
      <c r="W120" s="108"/>
      <c r="X120" s="90"/>
      <c r="AB120" s="91"/>
      <c r="AC120" s="90"/>
      <c r="AG120" s="91"/>
    </row>
    <row r="121" spans="4:33">
      <c r="D121" s="80"/>
      <c r="E121" s="80"/>
      <c r="F121" s="80"/>
      <c r="G121" s="80"/>
      <c r="H121" s="80"/>
      <c r="I121" s="107"/>
      <c r="J121" s="80"/>
      <c r="K121" s="80"/>
      <c r="L121" s="80"/>
      <c r="M121" s="108"/>
      <c r="N121" s="107"/>
      <c r="O121" s="80"/>
      <c r="P121" s="80"/>
      <c r="Q121" s="80"/>
      <c r="R121" s="108"/>
      <c r="S121" s="107"/>
      <c r="T121" s="80"/>
      <c r="U121" s="80"/>
      <c r="V121" s="80"/>
      <c r="W121" s="108"/>
      <c r="X121" s="90"/>
      <c r="AB121" s="91"/>
      <c r="AC121" s="90"/>
      <c r="AG121" s="91"/>
    </row>
    <row r="122" spans="4:33">
      <c r="D122" s="80"/>
      <c r="E122" s="80"/>
      <c r="F122" s="80"/>
      <c r="G122" s="80"/>
      <c r="H122" s="80"/>
      <c r="I122" s="107"/>
      <c r="J122" s="80"/>
      <c r="K122" s="80"/>
      <c r="L122" s="80"/>
      <c r="M122" s="108"/>
      <c r="N122" s="107"/>
      <c r="O122" s="80"/>
      <c r="P122" s="80"/>
      <c r="Q122" s="80"/>
      <c r="R122" s="108"/>
      <c r="S122" s="107"/>
      <c r="T122" s="80"/>
      <c r="U122" s="80"/>
      <c r="V122" s="80"/>
      <c r="W122" s="108"/>
      <c r="X122" s="90"/>
      <c r="AB122" s="91"/>
      <c r="AC122" s="90"/>
      <c r="AG122" s="91"/>
    </row>
    <row r="123" spans="4:33">
      <c r="D123" s="80"/>
      <c r="E123" s="80"/>
      <c r="F123" s="80"/>
      <c r="G123" s="80"/>
      <c r="H123" s="80"/>
      <c r="I123" s="107"/>
      <c r="J123" s="80"/>
      <c r="K123" s="80"/>
      <c r="L123" s="80"/>
      <c r="M123" s="108"/>
      <c r="N123" s="107"/>
      <c r="O123" s="80"/>
      <c r="P123" s="80"/>
      <c r="Q123" s="80"/>
      <c r="R123" s="108"/>
      <c r="S123" s="107"/>
      <c r="T123" s="80"/>
      <c r="U123" s="80"/>
      <c r="V123" s="80"/>
      <c r="W123" s="108"/>
      <c r="X123" s="90"/>
      <c r="AB123" s="91"/>
      <c r="AC123" s="90"/>
      <c r="AG123" s="91"/>
    </row>
    <row r="124" spans="4:33">
      <c r="D124" s="80"/>
      <c r="E124" s="80"/>
      <c r="F124" s="80"/>
      <c r="G124" s="80"/>
      <c r="H124" s="80"/>
      <c r="I124" s="107"/>
      <c r="J124" s="80"/>
      <c r="K124" s="80"/>
      <c r="L124" s="80"/>
      <c r="M124" s="108"/>
      <c r="N124" s="107"/>
      <c r="O124" s="80"/>
      <c r="P124" s="80"/>
      <c r="Q124" s="80"/>
      <c r="R124" s="108"/>
      <c r="S124" s="107"/>
      <c r="T124" s="80"/>
      <c r="U124" s="80"/>
      <c r="V124" s="80"/>
      <c r="W124" s="108"/>
      <c r="X124" s="90"/>
      <c r="AB124" s="91"/>
      <c r="AC124" s="90"/>
      <c r="AG124" s="91"/>
    </row>
    <row r="125" spans="4:33">
      <c r="D125" s="80"/>
      <c r="E125" s="80"/>
      <c r="F125" s="80"/>
      <c r="G125" s="80"/>
      <c r="H125" s="80"/>
      <c r="I125" s="107"/>
      <c r="J125" s="80"/>
      <c r="K125" s="80"/>
      <c r="L125" s="80"/>
      <c r="M125" s="108"/>
      <c r="N125" s="107"/>
      <c r="O125" s="80"/>
      <c r="P125" s="80"/>
      <c r="Q125" s="80"/>
      <c r="R125" s="108"/>
      <c r="S125" s="107"/>
      <c r="T125" s="80"/>
      <c r="U125" s="80"/>
      <c r="V125" s="80"/>
      <c r="W125" s="108"/>
      <c r="X125" s="90"/>
      <c r="AB125" s="91"/>
      <c r="AC125" s="90"/>
      <c r="AG125" s="91"/>
    </row>
    <row r="126" spans="4:33">
      <c r="D126" s="80"/>
      <c r="E126" s="80"/>
      <c r="F126" s="80"/>
      <c r="G126" s="80"/>
      <c r="H126" s="80"/>
      <c r="I126" s="107"/>
      <c r="J126" s="80"/>
      <c r="K126" s="80"/>
      <c r="L126" s="80"/>
      <c r="M126" s="108"/>
      <c r="N126" s="107"/>
      <c r="O126" s="80"/>
      <c r="P126" s="80"/>
      <c r="Q126" s="80"/>
      <c r="R126" s="108"/>
      <c r="S126" s="107"/>
      <c r="T126" s="80"/>
      <c r="U126" s="80"/>
      <c r="V126" s="80"/>
      <c r="W126" s="108"/>
      <c r="X126" s="90"/>
      <c r="AB126" s="91"/>
      <c r="AC126" s="90"/>
      <c r="AG126" s="91"/>
    </row>
    <row r="127" spans="4:33">
      <c r="D127" s="80"/>
      <c r="E127" s="80"/>
      <c r="F127" s="80"/>
      <c r="G127" s="80"/>
      <c r="H127" s="80"/>
      <c r="I127" s="107"/>
      <c r="J127" s="80"/>
      <c r="K127" s="80"/>
      <c r="L127" s="80"/>
      <c r="M127" s="108"/>
      <c r="N127" s="107"/>
      <c r="O127" s="80"/>
      <c r="P127" s="80"/>
      <c r="Q127" s="80"/>
      <c r="R127" s="108"/>
      <c r="S127" s="107"/>
      <c r="T127" s="80"/>
      <c r="U127" s="80"/>
      <c r="V127" s="80"/>
      <c r="W127" s="108"/>
      <c r="X127" s="90"/>
      <c r="AB127" s="91"/>
      <c r="AC127" s="90"/>
      <c r="AG127" s="91"/>
    </row>
    <row r="128" spans="4:33">
      <c r="D128" s="80"/>
      <c r="E128" s="80"/>
      <c r="F128" s="80"/>
      <c r="G128" s="80"/>
      <c r="H128" s="80"/>
      <c r="I128" s="107"/>
      <c r="J128" s="80"/>
      <c r="K128" s="80"/>
      <c r="L128" s="80"/>
      <c r="M128" s="108"/>
      <c r="N128" s="107"/>
      <c r="O128" s="80"/>
      <c r="P128" s="80"/>
      <c r="Q128" s="80"/>
      <c r="R128" s="108"/>
      <c r="S128" s="107"/>
      <c r="T128" s="80"/>
      <c r="U128" s="80"/>
      <c r="V128" s="80"/>
      <c r="W128" s="108"/>
      <c r="X128" s="90"/>
      <c r="AB128" s="91"/>
      <c r="AC128" s="90"/>
      <c r="AG128" s="91"/>
    </row>
    <row r="129" spans="1:33">
      <c r="D129" s="80"/>
      <c r="E129" s="80"/>
      <c r="F129" s="80"/>
      <c r="G129" s="80"/>
      <c r="H129" s="80"/>
      <c r="I129" s="109"/>
      <c r="J129" s="110"/>
      <c r="K129" s="110"/>
      <c r="L129" s="110"/>
      <c r="M129" s="111"/>
      <c r="N129" s="109"/>
      <c r="O129" s="110"/>
      <c r="P129" s="110"/>
      <c r="Q129" s="110"/>
      <c r="R129" s="111"/>
      <c r="S129" s="109"/>
      <c r="T129" s="110"/>
      <c r="U129" s="110"/>
      <c r="V129" s="110"/>
      <c r="W129" s="111"/>
      <c r="X129" s="13"/>
      <c r="Y129" s="92"/>
      <c r="Z129" s="92"/>
      <c r="AA129" s="92"/>
      <c r="AB129" s="14"/>
      <c r="AC129" s="13"/>
      <c r="AD129" s="92"/>
      <c r="AE129" s="92"/>
      <c r="AF129" s="92"/>
      <c r="AG129" s="14"/>
    </row>
    <row r="130" spans="1:33">
      <c r="D130" s="80"/>
      <c r="E130" s="80"/>
      <c r="F130" s="80"/>
      <c r="G130" s="80"/>
      <c r="H130" s="80"/>
      <c r="I130" s="112"/>
      <c r="J130" s="113"/>
      <c r="K130" s="113"/>
      <c r="L130" s="113"/>
      <c r="M130" s="114"/>
      <c r="N130" s="112"/>
      <c r="O130" s="113"/>
      <c r="P130" s="113"/>
      <c r="Q130" s="113"/>
      <c r="R130" s="114"/>
      <c r="S130" s="112"/>
      <c r="T130" s="113"/>
      <c r="U130" s="113"/>
      <c r="V130" s="113"/>
      <c r="W130" s="114"/>
      <c r="X130" s="11"/>
      <c r="Y130" s="93"/>
      <c r="Z130" s="93"/>
      <c r="AA130" s="93"/>
      <c r="AB130" s="12"/>
      <c r="AC130" s="11"/>
      <c r="AD130" s="93"/>
      <c r="AE130" s="93"/>
      <c r="AF130" s="93"/>
      <c r="AG130" s="12"/>
    </row>
    <row r="131" spans="1:33">
      <c r="D131" s="80"/>
      <c r="E131" s="80"/>
      <c r="F131" s="80"/>
      <c r="G131" s="80"/>
      <c r="H131" s="80"/>
      <c r="I131" s="107"/>
      <c r="J131" s="80"/>
      <c r="K131" s="80"/>
      <c r="L131" s="80"/>
      <c r="M131" s="108"/>
      <c r="N131" s="107"/>
      <c r="O131" s="80"/>
      <c r="P131" s="80"/>
      <c r="Q131" s="80"/>
      <c r="R131" s="108"/>
      <c r="S131" s="107"/>
      <c r="T131" s="80"/>
      <c r="U131" s="80"/>
      <c r="V131" s="80"/>
      <c r="W131" s="108"/>
      <c r="X131" s="90"/>
      <c r="AB131" s="91"/>
      <c r="AC131" s="90"/>
      <c r="AG131" s="91"/>
    </row>
    <row r="132" spans="1:33">
      <c r="D132" s="80"/>
      <c r="E132" s="80"/>
      <c r="F132" s="80"/>
      <c r="G132" s="80"/>
      <c r="H132" s="80"/>
      <c r="I132" s="107"/>
      <c r="J132" s="80"/>
      <c r="K132" s="80"/>
      <c r="L132" s="80"/>
      <c r="M132" s="108"/>
      <c r="N132" s="107"/>
      <c r="O132" s="80"/>
      <c r="P132" s="80"/>
      <c r="Q132" s="80"/>
      <c r="R132" s="108"/>
      <c r="S132" s="107"/>
      <c r="T132" s="80"/>
      <c r="U132" s="80"/>
      <c r="V132" s="80"/>
      <c r="W132" s="108"/>
      <c r="X132" s="90"/>
      <c r="AB132" s="91"/>
      <c r="AC132" s="90"/>
      <c r="AG132" s="91"/>
    </row>
    <row r="133" spans="1:33">
      <c r="D133" s="80"/>
      <c r="E133" s="80"/>
      <c r="F133" s="80"/>
      <c r="G133" s="80"/>
      <c r="H133" s="80"/>
      <c r="I133" s="107"/>
      <c r="J133" s="80"/>
      <c r="K133" s="80"/>
      <c r="L133" s="80"/>
      <c r="M133" s="108"/>
      <c r="N133" s="107"/>
      <c r="O133" s="80"/>
      <c r="P133" s="80"/>
      <c r="Q133" s="80"/>
      <c r="R133" s="108"/>
      <c r="S133" s="107"/>
      <c r="T133" s="80"/>
      <c r="U133" s="80"/>
      <c r="V133" s="80"/>
      <c r="W133" s="108"/>
      <c r="X133" s="90"/>
      <c r="AB133" s="91"/>
      <c r="AC133" s="90"/>
      <c r="AG133" s="91"/>
    </row>
    <row r="134" spans="1:33">
      <c r="D134" s="80"/>
      <c r="E134" s="80"/>
      <c r="F134" s="80"/>
      <c r="G134" s="80"/>
      <c r="H134" s="80"/>
      <c r="I134" s="107"/>
      <c r="J134" s="80"/>
      <c r="K134" s="80"/>
      <c r="L134" s="80"/>
      <c r="M134" s="108"/>
      <c r="N134" s="107"/>
      <c r="O134" s="80"/>
      <c r="P134" s="80"/>
      <c r="Q134" s="80"/>
      <c r="R134" s="108"/>
      <c r="S134" s="107"/>
      <c r="T134" s="80"/>
      <c r="U134" s="80"/>
      <c r="V134" s="80"/>
      <c r="W134" s="108"/>
      <c r="X134" s="90"/>
      <c r="AB134" s="91"/>
      <c r="AC134" s="90"/>
      <c r="AG134" s="91"/>
    </row>
    <row r="135" spans="1:33">
      <c r="D135" s="80"/>
      <c r="E135" s="80"/>
      <c r="F135" s="80"/>
      <c r="G135" s="80"/>
      <c r="H135" s="80"/>
      <c r="I135" s="107"/>
      <c r="J135" s="80"/>
      <c r="K135" s="80"/>
      <c r="L135" s="80"/>
      <c r="M135" s="108"/>
      <c r="N135" s="107"/>
      <c r="O135" s="80"/>
      <c r="P135" s="80"/>
      <c r="Q135" s="80"/>
      <c r="R135" s="108"/>
      <c r="S135" s="107"/>
      <c r="T135" s="80"/>
      <c r="U135" s="80"/>
      <c r="V135" s="80"/>
      <c r="W135" s="108"/>
      <c r="X135" s="90"/>
      <c r="AB135" s="91"/>
      <c r="AC135" s="90"/>
      <c r="AG135" s="91"/>
    </row>
    <row r="136" spans="1:33">
      <c r="D136" s="80"/>
      <c r="E136" s="80"/>
      <c r="F136" s="80"/>
      <c r="G136" s="80"/>
      <c r="H136" s="80"/>
      <c r="I136" s="107"/>
      <c r="J136" s="80"/>
      <c r="K136" s="80"/>
      <c r="L136" s="80"/>
      <c r="M136" s="108"/>
      <c r="N136" s="107"/>
      <c r="O136" s="80"/>
      <c r="P136" s="80"/>
      <c r="Q136" s="80"/>
      <c r="R136" s="108"/>
      <c r="S136" s="107"/>
      <c r="T136" s="80"/>
      <c r="U136" s="80"/>
      <c r="V136" s="80"/>
      <c r="W136" s="108"/>
      <c r="X136" s="90"/>
      <c r="AB136" s="91"/>
      <c r="AC136" s="90"/>
      <c r="AG136" s="91"/>
    </row>
    <row r="137" spans="1:33">
      <c r="A137" t="s">
        <v>269</v>
      </c>
      <c r="E137" s="69" t="s">
        <v>266</v>
      </c>
      <c r="F137" s="106">
        <v>2</v>
      </c>
      <c r="G137" s="80"/>
      <c r="H137" s="80"/>
      <c r="I137" s="107"/>
      <c r="J137" s="80"/>
      <c r="K137" s="80"/>
      <c r="L137" s="80"/>
      <c r="M137" s="108"/>
      <c r="N137" s="107"/>
      <c r="O137" s="80"/>
      <c r="P137" s="80"/>
      <c r="Q137" s="80"/>
      <c r="R137" s="108"/>
      <c r="S137" s="107"/>
      <c r="T137" s="80"/>
      <c r="U137" s="80"/>
      <c r="V137" s="80"/>
      <c r="W137" s="108"/>
      <c r="X137" s="90"/>
      <c r="AB137" s="91"/>
      <c r="AC137" s="90"/>
      <c r="AG137" s="91"/>
    </row>
    <row r="138" spans="1:33">
      <c r="A138" t="s">
        <v>270</v>
      </c>
      <c r="D138" s="69" t="s">
        <v>271</v>
      </c>
      <c r="E138" s="106" t="s">
        <v>272</v>
      </c>
      <c r="F138" s="80"/>
      <c r="G138" s="80"/>
      <c r="H138" s="80"/>
      <c r="I138" s="107"/>
      <c r="J138" s="80"/>
      <c r="K138" s="80"/>
      <c r="L138" s="80"/>
      <c r="M138" s="108"/>
      <c r="N138" s="107"/>
      <c r="O138" s="80"/>
      <c r="P138" s="80"/>
      <c r="Q138" s="80"/>
      <c r="R138" s="108"/>
      <c r="S138" s="107"/>
      <c r="T138" s="80"/>
      <c r="U138" s="80"/>
      <c r="V138" s="80"/>
      <c r="W138" s="108"/>
      <c r="X138" s="90"/>
      <c r="AB138" s="91"/>
      <c r="AC138" s="90"/>
      <c r="AG138" s="91"/>
    </row>
    <row r="139" spans="1:33">
      <c r="A139" t="s">
        <v>273</v>
      </c>
      <c r="D139" s="69" t="s">
        <v>271</v>
      </c>
      <c r="E139" s="106" t="s">
        <v>272</v>
      </c>
      <c r="F139" s="80"/>
      <c r="G139" s="80"/>
      <c r="H139" s="80"/>
      <c r="I139" s="107"/>
      <c r="J139" s="80"/>
      <c r="K139" s="80"/>
      <c r="L139" s="80"/>
      <c r="M139" s="108"/>
      <c r="N139" s="107"/>
      <c r="O139" s="80"/>
      <c r="P139" s="80"/>
      <c r="Q139" s="80"/>
      <c r="R139" s="108"/>
      <c r="S139" s="107"/>
      <c r="T139" s="80"/>
      <c r="U139" s="80"/>
      <c r="V139" s="80"/>
      <c r="W139" s="108"/>
      <c r="X139" s="90"/>
      <c r="AB139" s="91"/>
      <c r="AC139" s="90"/>
      <c r="AG139" s="91"/>
    </row>
    <row r="140" spans="1:33">
      <c r="A140" t="s">
        <v>275</v>
      </c>
      <c r="C140" s="69"/>
      <c r="D140" s="69" t="s">
        <v>271</v>
      </c>
      <c r="E140" s="106" t="s">
        <v>272</v>
      </c>
      <c r="F140" s="80"/>
      <c r="G140" s="80"/>
      <c r="H140" s="80"/>
      <c r="I140" s="107"/>
      <c r="J140" s="80"/>
      <c r="K140" s="80"/>
      <c r="L140" s="80"/>
      <c r="M140" s="108"/>
      <c r="N140" s="107"/>
      <c r="O140" s="80"/>
      <c r="P140" s="80"/>
      <c r="Q140" s="80"/>
      <c r="R140" s="108"/>
      <c r="S140" s="107"/>
      <c r="T140" s="80"/>
      <c r="U140" s="80"/>
      <c r="V140" s="80"/>
      <c r="W140" s="108"/>
      <c r="X140" s="90"/>
      <c r="AB140" s="91"/>
      <c r="AC140" s="90"/>
      <c r="AG140" s="91"/>
    </row>
    <row r="141" spans="1:33" ht="18" customHeight="1">
      <c r="A141" t="s">
        <v>277</v>
      </c>
      <c r="C141" s="69"/>
      <c r="D141" s="69" t="s">
        <v>271</v>
      </c>
      <c r="E141" s="106" t="s">
        <v>272</v>
      </c>
      <c r="F141" s="80"/>
      <c r="G141" s="80"/>
      <c r="H141" s="80"/>
      <c r="I141" s="107"/>
      <c r="J141" s="80"/>
      <c r="K141" s="80"/>
      <c r="L141" s="80"/>
      <c r="M141" s="108"/>
      <c r="N141" s="107"/>
      <c r="O141" s="80"/>
      <c r="P141" s="80"/>
      <c r="Q141" s="80"/>
      <c r="R141" s="108"/>
      <c r="S141" s="107"/>
      <c r="T141" s="80"/>
      <c r="U141" s="80"/>
      <c r="V141" s="80"/>
      <c r="W141" s="108"/>
      <c r="X141" s="90"/>
      <c r="AB141" s="91"/>
      <c r="AC141" s="90"/>
      <c r="AG141" s="91"/>
    </row>
    <row r="142" spans="1:33" ht="18" customHeight="1">
      <c r="C142" s="69"/>
      <c r="D142" s="69"/>
      <c r="E142" s="106"/>
      <c r="F142" s="80"/>
      <c r="G142" s="80"/>
      <c r="H142" s="80"/>
      <c r="I142" s="107"/>
      <c r="J142" s="80"/>
      <c r="K142" s="80"/>
      <c r="L142" s="80"/>
      <c r="M142" s="108"/>
      <c r="N142" s="107"/>
      <c r="O142" s="80"/>
      <c r="P142" s="80"/>
      <c r="Q142" s="80"/>
      <c r="R142" s="108"/>
      <c r="S142" s="107"/>
      <c r="T142" s="80"/>
      <c r="U142" s="80"/>
      <c r="V142" s="80"/>
      <c r="W142" s="108"/>
      <c r="X142" s="90"/>
      <c r="AB142" s="91"/>
      <c r="AC142" s="90"/>
      <c r="AG142" s="91"/>
    </row>
    <row r="143" spans="1:33" ht="18" customHeight="1">
      <c r="C143" s="69"/>
      <c r="D143" s="69"/>
      <c r="E143" s="106"/>
      <c r="F143" s="80"/>
      <c r="G143" s="80"/>
      <c r="H143" s="80"/>
      <c r="I143" s="107"/>
      <c r="J143" s="80"/>
      <c r="K143" s="80"/>
      <c r="L143" s="80"/>
      <c r="M143" s="108"/>
      <c r="N143" s="107"/>
      <c r="O143" s="80"/>
      <c r="P143" s="80"/>
      <c r="Q143" s="80"/>
      <c r="R143" s="108"/>
      <c r="S143" s="107"/>
      <c r="T143" s="80"/>
      <c r="U143" s="80"/>
      <c r="V143" s="80"/>
      <c r="W143" s="108"/>
      <c r="X143" s="90"/>
      <c r="AB143" s="91"/>
      <c r="AC143" s="90"/>
      <c r="AG143" s="91"/>
    </row>
    <row r="144" spans="1:33" ht="18" customHeight="1">
      <c r="C144" s="69"/>
      <c r="D144" s="69"/>
      <c r="E144" s="106"/>
      <c r="F144" s="80"/>
      <c r="G144" s="80"/>
      <c r="H144" s="80"/>
      <c r="I144" s="107"/>
      <c r="J144" s="80"/>
      <c r="K144" s="80"/>
      <c r="L144" s="80"/>
      <c r="M144" s="108"/>
      <c r="N144" s="107"/>
      <c r="O144" s="80"/>
      <c r="P144" s="80"/>
      <c r="Q144" s="80"/>
      <c r="R144" s="108"/>
      <c r="S144" s="107"/>
      <c r="T144" s="80"/>
      <c r="U144" s="80"/>
      <c r="V144" s="80"/>
      <c r="W144" s="108"/>
      <c r="X144" s="90"/>
      <c r="AB144" s="91"/>
      <c r="AC144" s="90"/>
      <c r="AG144" s="91"/>
    </row>
    <row r="145" spans="3:33" ht="18" customHeight="1">
      <c r="C145" s="69"/>
      <c r="D145" s="69"/>
      <c r="E145" s="106"/>
      <c r="F145" s="80"/>
      <c r="G145" s="80"/>
      <c r="H145" s="80"/>
      <c r="I145" s="107"/>
      <c r="J145" s="80"/>
      <c r="K145" s="80"/>
      <c r="L145" s="80"/>
      <c r="M145" s="108"/>
      <c r="N145" s="107"/>
      <c r="O145" s="80"/>
      <c r="P145" s="80"/>
      <c r="Q145" s="80"/>
      <c r="R145" s="108"/>
      <c r="S145" s="107"/>
      <c r="T145" s="80"/>
      <c r="U145" s="80"/>
      <c r="V145" s="80"/>
      <c r="W145" s="108"/>
      <c r="X145" s="90"/>
      <c r="AB145" s="91"/>
      <c r="AC145" s="90"/>
      <c r="AG145" s="91"/>
    </row>
    <row r="146" spans="3:33" ht="18" customHeight="1">
      <c r="C146" s="69"/>
      <c r="D146" s="69"/>
      <c r="E146" s="106"/>
      <c r="F146" s="80"/>
      <c r="G146" s="80"/>
      <c r="H146" s="80"/>
      <c r="I146" s="107"/>
      <c r="J146" s="80"/>
      <c r="K146" s="80"/>
      <c r="L146" s="80"/>
      <c r="M146" s="108"/>
      <c r="N146" s="107"/>
      <c r="O146" s="80"/>
      <c r="P146" s="80"/>
      <c r="Q146" s="80"/>
      <c r="R146" s="108"/>
      <c r="S146" s="107"/>
      <c r="T146" s="80"/>
      <c r="U146" s="80"/>
      <c r="V146" s="80"/>
      <c r="W146" s="108"/>
      <c r="X146" s="90"/>
      <c r="AB146" s="91"/>
      <c r="AC146" s="90"/>
      <c r="AG146" s="91"/>
    </row>
    <row r="147" spans="3:33" ht="18" customHeight="1">
      <c r="C147" s="69"/>
      <c r="D147" s="69"/>
      <c r="E147" s="106"/>
      <c r="F147" s="80"/>
      <c r="G147" s="80"/>
      <c r="H147" s="80"/>
      <c r="I147" s="107"/>
      <c r="J147" s="80"/>
      <c r="K147" s="80"/>
      <c r="L147" s="80"/>
      <c r="M147" s="108"/>
      <c r="N147" s="107"/>
      <c r="O147" s="80"/>
      <c r="P147" s="80"/>
      <c r="Q147" s="80"/>
      <c r="R147" s="108"/>
      <c r="S147" s="107"/>
      <c r="T147" s="80"/>
      <c r="U147" s="80"/>
      <c r="V147" s="80"/>
      <c r="W147" s="108"/>
      <c r="X147" s="90"/>
      <c r="AB147" s="91"/>
      <c r="AC147" s="90"/>
      <c r="AG147" s="91"/>
    </row>
    <row r="148" spans="3:33" ht="18" customHeight="1">
      <c r="C148" s="69"/>
      <c r="D148" s="69"/>
      <c r="E148" s="106"/>
      <c r="F148" s="80"/>
      <c r="G148" s="80"/>
      <c r="H148" s="80"/>
      <c r="I148" s="107"/>
      <c r="J148" s="80"/>
      <c r="K148" s="80"/>
      <c r="L148" s="80"/>
      <c r="M148" s="108"/>
      <c r="N148" s="107"/>
      <c r="O148" s="80"/>
      <c r="P148" s="80"/>
      <c r="Q148" s="80"/>
      <c r="R148" s="108"/>
      <c r="S148" s="107"/>
      <c r="T148" s="80"/>
      <c r="U148" s="80"/>
      <c r="V148" s="80"/>
      <c r="W148" s="108"/>
      <c r="X148" s="90"/>
      <c r="AB148" s="91"/>
      <c r="AC148" s="90"/>
      <c r="AG148" s="91"/>
    </row>
    <row r="149" spans="3:33" ht="18" customHeight="1">
      <c r="C149" s="69"/>
      <c r="D149" s="69"/>
      <c r="E149" s="106"/>
      <c r="F149" s="80"/>
      <c r="G149" s="80"/>
      <c r="H149" s="80"/>
      <c r="I149" s="107"/>
      <c r="J149" s="80"/>
      <c r="K149" s="80"/>
      <c r="L149" s="80"/>
      <c r="M149" s="108"/>
      <c r="N149" s="107"/>
      <c r="O149" s="80"/>
      <c r="P149" s="80"/>
      <c r="Q149" s="80"/>
      <c r="R149" s="108"/>
      <c r="S149" s="107"/>
      <c r="T149" s="80"/>
      <c r="U149" s="80"/>
      <c r="V149" s="80"/>
      <c r="W149" s="108"/>
      <c r="X149" s="90"/>
      <c r="AB149" s="91"/>
      <c r="AC149" s="90"/>
      <c r="AG149" s="91"/>
    </row>
    <row r="150" spans="3:33" ht="18" customHeight="1">
      <c r="C150" s="69"/>
      <c r="D150" s="69"/>
      <c r="E150" s="106"/>
      <c r="F150" s="80"/>
      <c r="G150" s="80"/>
      <c r="H150" s="80"/>
      <c r="I150" s="107"/>
      <c r="J150" s="80"/>
      <c r="K150" s="80"/>
      <c r="L150" s="80"/>
      <c r="M150" s="108"/>
      <c r="N150" s="107"/>
      <c r="O150" s="80"/>
      <c r="P150" s="80"/>
      <c r="Q150" s="80"/>
      <c r="R150" s="108"/>
      <c r="S150" s="107"/>
      <c r="T150" s="80"/>
      <c r="U150" s="80"/>
      <c r="V150" s="80"/>
      <c r="W150" s="108"/>
      <c r="X150" s="90"/>
      <c r="AB150" s="91"/>
      <c r="AC150" s="90"/>
      <c r="AG150" s="91"/>
    </row>
    <row r="151" spans="3:33" ht="18" customHeight="1">
      <c r="C151" s="69"/>
      <c r="D151" s="69"/>
      <c r="E151" s="106"/>
      <c r="F151" s="80"/>
      <c r="G151" s="80"/>
      <c r="H151" s="80"/>
      <c r="I151" s="107"/>
      <c r="J151" s="80"/>
      <c r="K151" s="80"/>
      <c r="L151" s="80"/>
      <c r="M151" s="108"/>
      <c r="N151" s="107"/>
      <c r="O151" s="80"/>
      <c r="P151" s="80"/>
      <c r="Q151" s="80"/>
      <c r="R151" s="108"/>
      <c r="S151" s="107"/>
      <c r="T151" s="80"/>
      <c r="U151" s="80"/>
      <c r="V151" s="80"/>
      <c r="W151" s="108"/>
      <c r="X151" s="90"/>
      <c r="AB151" s="91"/>
      <c r="AC151" s="90"/>
      <c r="AG151" s="91"/>
    </row>
    <row r="152" spans="3:33" ht="18" customHeight="1">
      <c r="C152" s="69"/>
      <c r="D152" s="69"/>
      <c r="E152" s="106"/>
      <c r="F152" s="80"/>
      <c r="G152" s="80"/>
      <c r="H152" s="80"/>
      <c r="I152" s="107"/>
      <c r="J152" s="80"/>
      <c r="K152" s="80"/>
      <c r="L152" s="80"/>
      <c r="M152" s="108"/>
      <c r="N152" s="107"/>
      <c r="O152" s="80"/>
      <c r="P152" s="80"/>
      <c r="Q152" s="80"/>
      <c r="R152" s="108"/>
      <c r="S152" s="107"/>
      <c r="T152" s="80"/>
      <c r="U152" s="80"/>
      <c r="V152" s="80"/>
      <c r="W152" s="108"/>
      <c r="X152" s="90"/>
      <c r="AB152" s="91"/>
      <c r="AC152" s="90"/>
      <c r="AG152" s="91"/>
    </row>
    <row r="153" spans="3:33" ht="18" customHeight="1">
      <c r="C153" s="69"/>
      <c r="D153" s="69"/>
      <c r="E153" s="106"/>
      <c r="F153" s="80"/>
      <c r="G153" s="80"/>
      <c r="H153" s="80"/>
      <c r="I153" s="107"/>
      <c r="J153" s="80"/>
      <c r="K153" s="80"/>
      <c r="L153" s="80"/>
      <c r="M153" s="108"/>
      <c r="N153" s="107"/>
      <c r="O153" s="80"/>
      <c r="P153" s="80"/>
      <c r="Q153" s="80"/>
      <c r="R153" s="108"/>
      <c r="S153" s="107"/>
      <c r="T153" s="80"/>
      <c r="U153" s="80"/>
      <c r="V153" s="80"/>
      <c r="W153" s="108"/>
      <c r="X153" s="90"/>
      <c r="AB153" s="91"/>
      <c r="AC153" s="90"/>
      <c r="AG153" s="91"/>
    </row>
    <row r="154" spans="3:33" ht="18" customHeight="1">
      <c r="C154" s="69"/>
      <c r="D154" s="69"/>
      <c r="E154" s="106"/>
      <c r="F154" s="80"/>
      <c r="G154" s="80"/>
      <c r="H154" s="80"/>
      <c r="I154" s="107"/>
      <c r="J154" s="80"/>
      <c r="K154" s="80"/>
      <c r="L154" s="80"/>
      <c r="M154" s="108"/>
      <c r="N154" s="107"/>
      <c r="O154" s="80"/>
      <c r="P154" s="80"/>
      <c r="Q154" s="80"/>
      <c r="R154" s="108"/>
      <c r="S154" s="107"/>
      <c r="T154" s="80"/>
      <c r="U154" s="80"/>
      <c r="V154" s="80"/>
      <c r="W154" s="108"/>
      <c r="X154" s="90"/>
      <c r="AB154" s="91"/>
      <c r="AC154" s="90"/>
      <c r="AG154" s="91"/>
    </row>
    <row r="155" spans="3:33" ht="18" customHeight="1">
      <c r="C155" s="69"/>
      <c r="D155" s="69"/>
      <c r="E155" s="106"/>
      <c r="F155" s="80"/>
      <c r="G155" s="80"/>
      <c r="H155" s="80"/>
      <c r="I155" s="107"/>
      <c r="J155" s="80"/>
      <c r="K155" s="80"/>
      <c r="L155" s="80"/>
      <c r="M155" s="108"/>
      <c r="N155" s="107"/>
      <c r="O155" s="80"/>
      <c r="P155" s="80"/>
      <c r="Q155" s="80"/>
      <c r="R155" s="108"/>
      <c r="S155" s="107"/>
      <c r="T155" s="80"/>
      <c r="U155" s="80"/>
      <c r="V155" s="80"/>
      <c r="W155" s="108"/>
      <c r="X155" s="90"/>
      <c r="AB155" s="91"/>
      <c r="AC155" s="90"/>
      <c r="AG155" s="91"/>
    </row>
    <row r="156" spans="3:33" ht="18" customHeight="1">
      <c r="C156" s="69"/>
      <c r="D156" s="69"/>
      <c r="E156" s="106"/>
      <c r="F156" s="80"/>
      <c r="G156" s="80"/>
      <c r="H156" s="80"/>
      <c r="I156" s="107"/>
      <c r="J156" s="80"/>
      <c r="K156" s="80"/>
      <c r="L156" s="80"/>
      <c r="M156" s="108"/>
      <c r="N156" s="107"/>
      <c r="O156" s="80"/>
      <c r="P156" s="80"/>
      <c r="Q156" s="80"/>
      <c r="R156" s="108"/>
      <c r="S156" s="107"/>
      <c r="T156" s="80"/>
      <c r="U156" s="80"/>
      <c r="V156" s="80"/>
      <c r="W156" s="108"/>
      <c r="X156" s="90"/>
      <c r="AB156" s="91"/>
      <c r="AC156" s="90"/>
      <c r="AG156" s="91"/>
    </row>
    <row r="157" spans="3:33" ht="18" customHeight="1">
      <c r="C157" s="69"/>
      <c r="D157" s="69"/>
      <c r="E157" s="106"/>
      <c r="F157" s="80"/>
      <c r="G157" s="80"/>
      <c r="H157" s="80"/>
      <c r="I157" s="107"/>
      <c r="J157" s="80"/>
      <c r="K157" s="80"/>
      <c r="L157" s="80"/>
      <c r="M157" s="108"/>
      <c r="N157" s="107"/>
      <c r="O157" s="80"/>
      <c r="P157" s="80"/>
      <c r="Q157" s="80"/>
      <c r="R157" s="108"/>
      <c r="S157" s="107"/>
      <c r="T157" s="80"/>
      <c r="U157" s="80"/>
      <c r="V157" s="80"/>
      <c r="W157" s="108"/>
      <c r="X157" s="90"/>
      <c r="AB157" s="91"/>
      <c r="AC157" s="90"/>
      <c r="AG157" s="91"/>
    </row>
    <row r="158" spans="3:33" ht="18" customHeight="1">
      <c r="C158" s="69"/>
      <c r="D158" s="69"/>
      <c r="E158" s="106"/>
      <c r="F158" s="80"/>
      <c r="G158" s="80"/>
      <c r="H158" s="80"/>
      <c r="I158" s="107"/>
      <c r="J158" s="80"/>
      <c r="K158" s="80"/>
      <c r="L158" s="80"/>
      <c r="M158" s="108"/>
      <c r="N158" s="107"/>
      <c r="O158" s="80"/>
      <c r="P158" s="80"/>
      <c r="Q158" s="80"/>
      <c r="R158" s="108"/>
      <c r="S158" s="107"/>
      <c r="T158" s="80"/>
      <c r="U158" s="80"/>
      <c r="V158" s="80"/>
      <c r="W158" s="108"/>
      <c r="X158" s="90"/>
      <c r="AB158" s="91"/>
      <c r="AC158" s="90"/>
      <c r="AG158" s="91"/>
    </row>
    <row r="159" spans="3:33" ht="18" customHeight="1">
      <c r="C159" s="69"/>
      <c r="D159" s="69"/>
      <c r="E159" s="106"/>
      <c r="F159" s="80"/>
      <c r="G159" s="80"/>
      <c r="H159" s="80"/>
      <c r="I159" s="107"/>
      <c r="J159" s="80"/>
      <c r="K159" s="80"/>
      <c r="L159" s="80"/>
      <c r="M159" s="108"/>
      <c r="N159" s="107"/>
      <c r="O159" s="80"/>
      <c r="P159" s="80"/>
      <c r="Q159" s="80"/>
      <c r="R159" s="108"/>
      <c r="S159" s="107"/>
      <c r="T159" s="80"/>
      <c r="U159" s="80"/>
      <c r="V159" s="80"/>
      <c r="W159" s="108"/>
      <c r="X159" s="90"/>
      <c r="AB159" s="91"/>
      <c r="AC159" s="90"/>
      <c r="AG159" s="91"/>
    </row>
    <row r="160" spans="3:33" ht="18" customHeight="1">
      <c r="C160" s="69"/>
      <c r="D160" s="69"/>
      <c r="E160" s="106"/>
      <c r="F160" s="80"/>
      <c r="G160" s="80"/>
      <c r="H160" s="80"/>
      <c r="I160" s="107"/>
      <c r="J160" s="80"/>
      <c r="K160" s="80"/>
      <c r="L160" s="80"/>
      <c r="M160" s="108"/>
      <c r="N160" s="107"/>
      <c r="O160" s="80"/>
      <c r="P160" s="80"/>
      <c r="Q160" s="80"/>
      <c r="R160" s="108"/>
      <c r="S160" s="107"/>
      <c r="T160" s="80"/>
      <c r="U160" s="80"/>
      <c r="V160" s="80"/>
      <c r="W160" s="108"/>
      <c r="X160" s="90"/>
      <c r="AB160" s="91"/>
      <c r="AC160" s="90"/>
      <c r="AG160" s="91"/>
    </row>
    <row r="161" spans="1:33" ht="18" customHeight="1">
      <c r="C161" s="69"/>
      <c r="D161" s="69"/>
      <c r="E161" s="106"/>
      <c r="F161" s="80"/>
      <c r="G161" s="80"/>
      <c r="H161" s="80"/>
      <c r="I161" s="107"/>
      <c r="J161" s="80"/>
      <c r="K161" s="80"/>
      <c r="L161" s="80"/>
      <c r="M161" s="108"/>
      <c r="N161" s="107"/>
      <c r="O161" s="80"/>
      <c r="P161" s="80"/>
      <c r="Q161" s="80"/>
      <c r="R161" s="108"/>
      <c r="S161" s="107"/>
      <c r="T161" s="80"/>
      <c r="U161" s="80"/>
      <c r="V161" s="80"/>
      <c r="W161" s="108"/>
      <c r="X161" s="90"/>
      <c r="AB161" s="91"/>
      <c r="AC161" s="90"/>
      <c r="AG161" s="91"/>
    </row>
    <row r="162" spans="1:33" ht="18" customHeight="1">
      <c r="C162" s="69"/>
      <c r="D162" s="69"/>
      <c r="E162" s="106"/>
      <c r="F162" s="80"/>
      <c r="G162" s="80"/>
      <c r="H162" s="80"/>
      <c r="I162" s="107"/>
      <c r="J162" s="80"/>
      <c r="K162" s="80"/>
      <c r="L162" s="80"/>
      <c r="M162" s="108"/>
      <c r="N162" s="107"/>
      <c r="O162" s="80"/>
      <c r="P162" s="80"/>
      <c r="Q162" s="80"/>
      <c r="R162" s="108"/>
      <c r="S162" s="107"/>
      <c r="T162" s="80"/>
      <c r="U162" s="80"/>
      <c r="V162" s="80"/>
      <c r="W162" s="108"/>
      <c r="X162" s="90"/>
      <c r="AB162" s="91"/>
      <c r="AC162" s="90"/>
      <c r="AG162" s="91"/>
    </row>
    <row r="163" spans="1:33" ht="18" customHeight="1">
      <c r="C163" s="69"/>
      <c r="D163" s="69"/>
      <c r="E163" s="106"/>
      <c r="F163" s="80"/>
      <c r="G163" s="80"/>
      <c r="H163" s="80"/>
      <c r="I163" s="107"/>
      <c r="J163" s="80"/>
      <c r="K163" s="80"/>
      <c r="L163" s="80"/>
      <c r="M163" s="108"/>
      <c r="N163" s="107"/>
      <c r="O163" s="80"/>
      <c r="P163" s="80"/>
      <c r="Q163" s="80"/>
      <c r="R163" s="108"/>
      <c r="S163" s="107"/>
      <c r="T163" s="80"/>
      <c r="U163" s="80"/>
      <c r="V163" s="80"/>
      <c r="W163" s="108"/>
      <c r="X163" s="90"/>
      <c r="AB163" s="91"/>
      <c r="AC163" s="90"/>
      <c r="AG163" s="91"/>
    </row>
    <row r="164" spans="1:33">
      <c r="A164" t="s">
        <v>281</v>
      </c>
      <c r="D164" s="80"/>
      <c r="E164" s="80"/>
      <c r="F164" s="80"/>
      <c r="G164" s="80"/>
      <c r="H164" s="80"/>
      <c r="I164" s="107"/>
      <c r="J164" s="80"/>
      <c r="K164" s="80"/>
      <c r="L164" s="80"/>
      <c r="M164" s="108"/>
      <c r="N164" s="107"/>
      <c r="O164" s="80"/>
      <c r="P164" s="80"/>
      <c r="Q164" s="80"/>
      <c r="R164" s="108"/>
      <c r="S164" s="107"/>
      <c r="T164" s="80"/>
      <c r="U164" s="80"/>
      <c r="V164" s="80"/>
      <c r="W164" s="108"/>
      <c r="X164" s="90"/>
      <c r="AB164" s="91"/>
      <c r="AC164" s="90"/>
      <c r="AG164" s="91"/>
    </row>
    <row r="165" spans="1:33">
      <c r="D165" s="80"/>
      <c r="E165" s="80"/>
      <c r="F165" s="80"/>
      <c r="G165" s="80"/>
      <c r="H165" s="80"/>
      <c r="I165" s="107"/>
      <c r="J165" s="80"/>
      <c r="K165" s="80"/>
      <c r="L165" s="80"/>
      <c r="M165" s="108"/>
      <c r="N165" s="107"/>
      <c r="O165" s="80"/>
      <c r="P165" s="80"/>
      <c r="Q165" s="80"/>
      <c r="R165" s="108"/>
      <c r="S165" s="107"/>
      <c r="T165" s="80"/>
      <c r="U165" s="80"/>
      <c r="V165" s="80"/>
      <c r="W165" s="108"/>
      <c r="X165" s="90"/>
      <c r="AB165" s="91"/>
      <c r="AC165" s="90"/>
      <c r="AG165" s="91"/>
    </row>
    <row r="166" spans="1:33">
      <c r="D166" s="80"/>
      <c r="E166" s="80"/>
      <c r="F166" s="80"/>
      <c r="G166" s="80"/>
      <c r="H166" s="80"/>
      <c r="I166" s="107"/>
      <c r="J166" s="80"/>
      <c r="K166" s="80"/>
      <c r="L166" s="80"/>
      <c r="M166" s="108"/>
      <c r="N166" s="107"/>
      <c r="O166" s="80"/>
      <c r="P166" s="80"/>
      <c r="Q166" s="80"/>
      <c r="R166" s="108"/>
      <c r="S166" s="107"/>
      <c r="T166" s="80"/>
      <c r="U166" s="80"/>
      <c r="V166" s="80"/>
      <c r="W166" s="108"/>
      <c r="X166" s="90"/>
      <c r="AB166" s="91"/>
      <c r="AC166" s="90"/>
      <c r="AG166" s="91"/>
    </row>
    <row r="167" spans="1:33">
      <c r="D167" s="80"/>
      <c r="E167" s="80"/>
      <c r="F167" s="80"/>
      <c r="G167" s="80"/>
      <c r="H167" s="80"/>
      <c r="I167" s="107"/>
      <c r="J167" s="80"/>
      <c r="K167" s="80"/>
      <c r="L167" s="80"/>
      <c r="M167" s="108"/>
      <c r="N167" s="107"/>
      <c r="O167" s="80"/>
      <c r="P167" s="80"/>
      <c r="Q167" s="80"/>
      <c r="R167" s="108"/>
      <c r="S167" s="107"/>
      <c r="T167" s="80"/>
      <c r="U167" s="80"/>
      <c r="V167" s="80"/>
      <c r="W167" s="108"/>
      <c r="X167" s="90"/>
      <c r="AB167" s="91"/>
      <c r="AC167" s="90"/>
      <c r="AG167" s="91"/>
    </row>
    <row r="168" spans="1:33">
      <c r="D168" s="80"/>
      <c r="E168" s="80"/>
      <c r="F168" s="80"/>
      <c r="G168" s="80"/>
      <c r="H168" s="80"/>
      <c r="I168" s="109"/>
      <c r="J168" s="110"/>
      <c r="K168" s="110"/>
      <c r="L168" s="110"/>
      <c r="M168" s="111"/>
      <c r="N168" s="109"/>
      <c r="O168" s="110"/>
      <c r="P168" s="110"/>
      <c r="Q168" s="110"/>
      <c r="R168" s="111"/>
      <c r="S168" s="109"/>
      <c r="T168" s="110"/>
      <c r="U168" s="110"/>
      <c r="V168" s="110"/>
      <c r="W168" s="111"/>
      <c r="X168" s="13"/>
      <c r="Y168" s="92"/>
      <c r="Z168" s="92"/>
      <c r="AA168" s="92"/>
      <c r="AB168" s="14"/>
      <c r="AC168" s="13"/>
      <c r="AD168" s="92"/>
      <c r="AE168" s="92"/>
      <c r="AF168" s="92"/>
      <c r="AG168" s="14"/>
    </row>
    <row r="169" spans="1:33"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</row>
    <row r="170" spans="1:33">
      <c r="A170" t="s">
        <v>10</v>
      </c>
    </row>
    <row r="171" spans="1:33">
      <c r="C171" s="212" t="s">
        <v>164</v>
      </c>
      <c r="D171" s="213"/>
      <c r="E171" s="213"/>
      <c r="F171" s="213"/>
      <c r="G171" s="213"/>
      <c r="H171" s="213"/>
      <c r="I171" s="213"/>
      <c r="J171" s="213"/>
      <c r="K171" s="213"/>
      <c r="L171" s="213"/>
      <c r="M171" s="213"/>
      <c r="N171" s="21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4"/>
    </row>
    <row r="172" spans="1:33">
      <c r="B172" s="95"/>
      <c r="C172" s="96" t="s">
        <v>28</v>
      </c>
      <c r="D172" s="96" t="s">
        <v>172</v>
      </c>
      <c r="E172" s="96" t="s">
        <v>173</v>
      </c>
      <c r="F172" s="96" t="s">
        <v>174</v>
      </c>
      <c r="G172" s="96" t="s">
        <v>175</v>
      </c>
      <c r="H172" s="96" t="s">
        <v>176</v>
      </c>
      <c r="I172" s="96" t="s">
        <v>214</v>
      </c>
      <c r="J172" s="96" t="s">
        <v>215</v>
      </c>
      <c r="K172" s="96" t="s">
        <v>216</v>
      </c>
      <c r="L172" s="96" t="s">
        <v>217</v>
      </c>
      <c r="M172" s="96" t="s">
        <v>218</v>
      </c>
      <c r="N172" s="96" t="s">
        <v>219</v>
      </c>
      <c r="O172" s="96" t="s">
        <v>220</v>
      </c>
      <c r="P172" s="96" t="s">
        <v>221</v>
      </c>
      <c r="Q172" s="96" t="s">
        <v>222</v>
      </c>
      <c r="R172" s="96" t="s">
        <v>223</v>
      </c>
      <c r="S172" s="96" t="s">
        <v>224</v>
      </c>
      <c r="T172" s="96" t="s">
        <v>225</v>
      </c>
      <c r="U172" s="96" t="s">
        <v>171</v>
      </c>
      <c r="V172" s="96" t="s">
        <v>177</v>
      </c>
      <c r="W172" s="96" t="s">
        <v>226</v>
      </c>
      <c r="X172" s="96" t="s">
        <v>93</v>
      </c>
    </row>
    <row r="173" spans="1:33">
      <c r="A173" s="222" t="s">
        <v>167</v>
      </c>
      <c r="B173" s="96" t="str" cm="1">
        <f t="array" ref="B173:B194">TRANSPOSE(C172:X172)</f>
        <v>A</v>
      </c>
      <c r="C173" s="71">
        <v>0</v>
      </c>
      <c r="D173" s="71" t="s">
        <v>211</v>
      </c>
      <c r="E173" s="71">
        <v>1</v>
      </c>
      <c r="F173" s="71" t="s">
        <v>211</v>
      </c>
      <c r="G173" s="71">
        <v>0</v>
      </c>
      <c r="H173" s="71">
        <v>0</v>
      </c>
      <c r="I173" s="71">
        <v>0</v>
      </c>
      <c r="J173" s="71">
        <v>0</v>
      </c>
      <c r="K173" s="71">
        <v>0</v>
      </c>
      <c r="L173" s="71">
        <v>0</v>
      </c>
      <c r="M173" s="71">
        <v>0</v>
      </c>
      <c r="N173" s="71">
        <v>0</v>
      </c>
      <c r="O173" s="71">
        <v>0</v>
      </c>
      <c r="P173" s="71">
        <v>0</v>
      </c>
      <c r="Q173" s="71">
        <v>0</v>
      </c>
      <c r="R173" s="71">
        <v>0</v>
      </c>
      <c r="S173" s="71">
        <v>0</v>
      </c>
      <c r="T173" s="71">
        <v>0</v>
      </c>
      <c r="U173" s="71">
        <v>0</v>
      </c>
      <c r="V173" s="71">
        <v>0</v>
      </c>
      <c r="W173" s="71">
        <v>0</v>
      </c>
      <c r="X173" s="71">
        <v>0</v>
      </c>
    </row>
    <row r="174" spans="1:33">
      <c r="A174" s="223"/>
      <c r="B174" s="96" t="str">
        <v>B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 t="s">
        <v>212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</row>
    <row r="175" spans="1:33">
      <c r="A175" s="223"/>
      <c r="B175" s="96" t="str">
        <v>C</v>
      </c>
      <c r="C175" s="71">
        <v>0</v>
      </c>
      <c r="D175" s="71">
        <v>0</v>
      </c>
      <c r="E175" s="71">
        <v>0</v>
      </c>
      <c r="F175" s="71" t="s">
        <v>211</v>
      </c>
      <c r="G175" s="71">
        <v>3</v>
      </c>
      <c r="H175" s="71">
        <v>0</v>
      </c>
      <c r="I175" s="71">
        <v>0</v>
      </c>
      <c r="J175" s="71">
        <v>0</v>
      </c>
      <c r="K175" s="71">
        <v>0</v>
      </c>
      <c r="L175" s="71">
        <v>0</v>
      </c>
      <c r="M175" s="71">
        <v>0</v>
      </c>
      <c r="N175" s="71">
        <v>0</v>
      </c>
      <c r="O175" s="71">
        <v>0</v>
      </c>
      <c r="P175" s="71">
        <v>0</v>
      </c>
      <c r="Q175" s="71">
        <v>0</v>
      </c>
      <c r="R175" s="71">
        <v>0</v>
      </c>
      <c r="S175" s="71">
        <v>0</v>
      </c>
      <c r="T175" s="71">
        <v>0</v>
      </c>
      <c r="U175" s="71">
        <v>0</v>
      </c>
      <c r="V175" s="71">
        <v>0</v>
      </c>
      <c r="W175" s="71">
        <v>0</v>
      </c>
      <c r="X175" s="71">
        <v>0</v>
      </c>
    </row>
    <row r="176" spans="1:33">
      <c r="A176" s="223"/>
      <c r="B176" s="96" t="str">
        <v>D</v>
      </c>
      <c r="C176" s="71">
        <v>0</v>
      </c>
      <c r="D176" s="71">
        <v>0</v>
      </c>
      <c r="E176" s="71">
        <v>0</v>
      </c>
      <c r="F176" s="71">
        <v>0</v>
      </c>
      <c r="G176" s="71">
        <v>3</v>
      </c>
      <c r="H176" s="71">
        <v>0</v>
      </c>
      <c r="I176" s="71" t="s">
        <v>211</v>
      </c>
      <c r="J176" s="71">
        <v>0</v>
      </c>
      <c r="K176" s="71">
        <v>0</v>
      </c>
      <c r="L176" s="71">
        <v>0</v>
      </c>
      <c r="M176" s="71">
        <v>0</v>
      </c>
      <c r="N176" s="71">
        <v>0</v>
      </c>
      <c r="O176" s="71">
        <v>0</v>
      </c>
      <c r="P176" s="71">
        <v>0</v>
      </c>
      <c r="Q176" s="71">
        <v>2</v>
      </c>
      <c r="R176" s="71">
        <v>0</v>
      </c>
      <c r="S176" s="71">
        <v>0</v>
      </c>
      <c r="T176" s="71">
        <v>0</v>
      </c>
      <c r="U176" s="71">
        <v>0</v>
      </c>
      <c r="V176" s="71">
        <v>0</v>
      </c>
      <c r="W176" s="71">
        <v>0</v>
      </c>
      <c r="X176" s="71">
        <v>0</v>
      </c>
    </row>
    <row r="177" spans="1:24">
      <c r="A177" s="223"/>
      <c r="B177" s="96" t="str">
        <v>E</v>
      </c>
      <c r="C177" s="71">
        <v>0</v>
      </c>
      <c r="D177" s="71">
        <v>0</v>
      </c>
      <c r="E177" s="71">
        <v>0</v>
      </c>
      <c r="F177" s="71">
        <v>0</v>
      </c>
      <c r="G177" s="71">
        <v>0</v>
      </c>
      <c r="H177" s="71" t="s">
        <v>213</v>
      </c>
      <c r="I177" s="71">
        <v>0</v>
      </c>
      <c r="J177" s="71">
        <v>0</v>
      </c>
      <c r="K177" s="71">
        <v>0</v>
      </c>
      <c r="L177" s="71">
        <v>0</v>
      </c>
      <c r="M177" s="71">
        <v>0</v>
      </c>
      <c r="N177" s="71">
        <v>0</v>
      </c>
      <c r="O177" s="71">
        <v>0</v>
      </c>
      <c r="P177" s="71">
        <v>0</v>
      </c>
      <c r="Q177" s="71">
        <v>0</v>
      </c>
      <c r="R177" s="71">
        <v>0</v>
      </c>
      <c r="S177" s="71">
        <v>0</v>
      </c>
      <c r="T177" s="71">
        <v>0</v>
      </c>
      <c r="U177" s="71">
        <v>0</v>
      </c>
      <c r="V177" s="71">
        <v>0</v>
      </c>
      <c r="W177" s="71">
        <v>0</v>
      </c>
      <c r="X177" s="71">
        <v>0</v>
      </c>
    </row>
    <row r="178" spans="1:24">
      <c r="A178" s="223"/>
      <c r="B178" s="96" t="str">
        <v>F</v>
      </c>
      <c r="C178" s="71">
        <v>0</v>
      </c>
      <c r="D178" s="71">
        <v>0</v>
      </c>
      <c r="E178" s="71">
        <v>0</v>
      </c>
      <c r="F178" s="71">
        <v>0</v>
      </c>
      <c r="G178" s="71">
        <v>0</v>
      </c>
      <c r="H178" s="71">
        <v>0</v>
      </c>
      <c r="I178" s="71" t="s">
        <v>211</v>
      </c>
      <c r="J178" s="71">
        <v>0</v>
      </c>
      <c r="K178" s="71">
        <v>3</v>
      </c>
      <c r="L178" s="71">
        <v>4</v>
      </c>
      <c r="M178" s="71">
        <v>1</v>
      </c>
      <c r="N178" s="71">
        <v>0</v>
      </c>
      <c r="O178" s="71">
        <v>0</v>
      </c>
      <c r="P178" s="71">
        <v>0</v>
      </c>
      <c r="Q178" s="71">
        <v>0</v>
      </c>
      <c r="R178" s="71">
        <v>0</v>
      </c>
      <c r="S178" s="71">
        <v>0</v>
      </c>
      <c r="T178" s="71">
        <v>0</v>
      </c>
      <c r="U178" s="71">
        <v>0</v>
      </c>
      <c r="V178" s="71">
        <v>0</v>
      </c>
      <c r="W178" s="71">
        <v>0</v>
      </c>
      <c r="X178" s="71">
        <v>0</v>
      </c>
    </row>
    <row r="179" spans="1:24">
      <c r="A179" s="223"/>
      <c r="B179" s="96" t="str">
        <v>G</v>
      </c>
      <c r="C179" s="71">
        <v>0</v>
      </c>
      <c r="D179" s="71">
        <v>0</v>
      </c>
      <c r="E179" s="71">
        <v>0</v>
      </c>
      <c r="F179" s="71">
        <v>0</v>
      </c>
      <c r="G179" s="71">
        <v>0</v>
      </c>
      <c r="H179" s="71">
        <v>0</v>
      </c>
      <c r="I179" s="71">
        <v>0</v>
      </c>
      <c r="J179" s="71" t="s">
        <v>211</v>
      </c>
      <c r="K179" s="71">
        <v>0</v>
      </c>
      <c r="L179" s="71">
        <v>0</v>
      </c>
      <c r="M179" s="71">
        <v>0</v>
      </c>
      <c r="N179" s="71">
        <v>0</v>
      </c>
      <c r="O179" s="71">
        <v>0</v>
      </c>
      <c r="P179" s="71">
        <v>0</v>
      </c>
      <c r="Q179" s="71">
        <v>0</v>
      </c>
      <c r="R179" s="71">
        <v>0</v>
      </c>
      <c r="S179" s="71">
        <v>0</v>
      </c>
      <c r="T179" s="71">
        <v>0</v>
      </c>
      <c r="U179" s="71">
        <v>0</v>
      </c>
      <c r="V179" s="71">
        <v>0</v>
      </c>
      <c r="W179" s="71">
        <v>0</v>
      </c>
      <c r="X179" s="71">
        <v>0</v>
      </c>
    </row>
    <row r="180" spans="1:24">
      <c r="A180" s="223"/>
      <c r="B180" s="96" t="str">
        <v>H</v>
      </c>
      <c r="C180" s="71">
        <v>0</v>
      </c>
      <c r="D180" s="71">
        <v>0</v>
      </c>
      <c r="E180" s="71">
        <v>0</v>
      </c>
      <c r="F180" s="71">
        <v>0</v>
      </c>
      <c r="G180" s="71">
        <v>0</v>
      </c>
      <c r="H180" s="71">
        <v>3</v>
      </c>
      <c r="I180" s="71">
        <v>0</v>
      </c>
      <c r="J180" s="71">
        <v>0</v>
      </c>
      <c r="K180" s="71">
        <v>3</v>
      </c>
      <c r="L180" s="71">
        <v>0</v>
      </c>
      <c r="M180" s="71">
        <v>0</v>
      </c>
      <c r="N180" s="71">
        <v>0</v>
      </c>
      <c r="O180" s="71">
        <v>0</v>
      </c>
      <c r="P180" s="71">
        <v>0</v>
      </c>
      <c r="Q180" s="71">
        <v>0</v>
      </c>
      <c r="R180" s="71">
        <v>0</v>
      </c>
      <c r="S180" s="71">
        <v>0</v>
      </c>
      <c r="T180" s="71">
        <v>0</v>
      </c>
      <c r="U180" s="71">
        <v>0</v>
      </c>
      <c r="V180" s="71">
        <v>0</v>
      </c>
      <c r="W180" s="71">
        <v>0</v>
      </c>
      <c r="X180" s="71">
        <v>0</v>
      </c>
    </row>
    <row r="181" spans="1:24">
      <c r="A181" s="223"/>
      <c r="B181" s="96" t="str">
        <v>I</v>
      </c>
      <c r="C181" s="71">
        <v>0</v>
      </c>
      <c r="D181" s="71">
        <v>0</v>
      </c>
      <c r="E181" s="71">
        <v>0</v>
      </c>
      <c r="F181" s="71">
        <v>0</v>
      </c>
      <c r="G181" s="71">
        <v>0</v>
      </c>
      <c r="H181" s="71">
        <v>0</v>
      </c>
      <c r="I181" s="71">
        <v>0</v>
      </c>
      <c r="J181" s="71">
        <v>0</v>
      </c>
      <c r="K181" s="71">
        <v>0</v>
      </c>
      <c r="L181" s="71">
        <v>4</v>
      </c>
      <c r="M181" s="71">
        <v>1</v>
      </c>
      <c r="N181" s="71">
        <v>0</v>
      </c>
      <c r="O181" s="71">
        <v>0</v>
      </c>
      <c r="P181" s="71">
        <v>0</v>
      </c>
      <c r="Q181" s="71">
        <v>0</v>
      </c>
      <c r="R181" s="71">
        <v>0</v>
      </c>
      <c r="S181" s="71">
        <v>0</v>
      </c>
      <c r="T181" s="71">
        <v>0</v>
      </c>
      <c r="U181" s="71">
        <v>0</v>
      </c>
      <c r="V181" s="71">
        <v>0</v>
      </c>
      <c r="W181" s="71">
        <v>2</v>
      </c>
      <c r="X181" s="71">
        <v>0</v>
      </c>
    </row>
    <row r="182" spans="1:24">
      <c r="A182" s="223"/>
      <c r="B182" s="96" t="str">
        <v>J</v>
      </c>
      <c r="C182" s="71">
        <v>0</v>
      </c>
      <c r="D182" s="71">
        <v>0</v>
      </c>
      <c r="E182" s="71">
        <v>0</v>
      </c>
      <c r="F182" s="71">
        <v>0</v>
      </c>
      <c r="G182" s="71">
        <v>0</v>
      </c>
      <c r="H182" s="71">
        <v>0</v>
      </c>
      <c r="I182" s="71">
        <v>0</v>
      </c>
      <c r="J182" s="71">
        <v>0</v>
      </c>
      <c r="K182" s="71">
        <v>0</v>
      </c>
      <c r="L182" s="71">
        <v>0</v>
      </c>
      <c r="M182" s="71">
        <v>1</v>
      </c>
      <c r="N182" s="71">
        <v>2</v>
      </c>
      <c r="O182" s="71">
        <v>0</v>
      </c>
      <c r="P182" s="71">
        <v>0</v>
      </c>
      <c r="Q182" s="71">
        <v>0</v>
      </c>
      <c r="R182" s="71">
        <v>0</v>
      </c>
      <c r="S182" s="71">
        <v>0</v>
      </c>
      <c r="T182" s="71">
        <v>0</v>
      </c>
      <c r="U182" s="71">
        <v>0</v>
      </c>
      <c r="V182" s="71">
        <v>0</v>
      </c>
      <c r="W182" s="71">
        <v>0</v>
      </c>
      <c r="X182" s="71">
        <v>0</v>
      </c>
    </row>
    <row r="183" spans="1:24">
      <c r="A183" s="223"/>
      <c r="B183" s="96" t="str">
        <v>K</v>
      </c>
      <c r="C183" s="71">
        <v>0</v>
      </c>
      <c r="D183" s="71">
        <v>0</v>
      </c>
      <c r="E183" s="71">
        <v>0</v>
      </c>
      <c r="F183" s="71">
        <v>0</v>
      </c>
      <c r="G183" s="71">
        <v>0</v>
      </c>
      <c r="H183" s="71">
        <v>0</v>
      </c>
      <c r="I183" s="71">
        <v>0</v>
      </c>
      <c r="J183" s="71">
        <v>0</v>
      </c>
      <c r="K183" s="71">
        <v>0</v>
      </c>
      <c r="L183" s="71">
        <v>0</v>
      </c>
      <c r="M183" s="71">
        <v>0</v>
      </c>
      <c r="N183" s="71">
        <v>2</v>
      </c>
      <c r="O183" s="71">
        <v>0</v>
      </c>
      <c r="P183" s="71">
        <v>0</v>
      </c>
      <c r="Q183" s="71">
        <v>0</v>
      </c>
      <c r="R183" s="71">
        <v>0</v>
      </c>
      <c r="S183" s="71">
        <v>0</v>
      </c>
      <c r="T183" s="71">
        <v>0</v>
      </c>
      <c r="U183" s="71">
        <v>0</v>
      </c>
      <c r="V183" s="71">
        <v>0</v>
      </c>
      <c r="W183" s="71">
        <v>0</v>
      </c>
      <c r="X183" s="71">
        <v>0</v>
      </c>
    </row>
    <row r="184" spans="1:24">
      <c r="A184" s="223"/>
      <c r="B184" s="96" t="str">
        <v>L</v>
      </c>
      <c r="C184" s="71">
        <v>0</v>
      </c>
      <c r="D184" s="71">
        <v>0</v>
      </c>
      <c r="E184" s="71">
        <v>0</v>
      </c>
      <c r="F184" s="71">
        <v>0</v>
      </c>
      <c r="G184" s="71">
        <v>0</v>
      </c>
      <c r="H184" s="71">
        <v>0</v>
      </c>
      <c r="I184" s="71">
        <v>0</v>
      </c>
      <c r="J184" s="71">
        <v>0</v>
      </c>
      <c r="K184" s="71">
        <v>0</v>
      </c>
      <c r="L184" s="71">
        <v>0</v>
      </c>
      <c r="M184" s="71">
        <v>0</v>
      </c>
      <c r="N184" s="71">
        <v>0</v>
      </c>
      <c r="O184" s="71">
        <v>2</v>
      </c>
      <c r="P184" s="71">
        <v>2</v>
      </c>
      <c r="Q184" s="71">
        <v>0</v>
      </c>
      <c r="R184" s="71">
        <v>0</v>
      </c>
      <c r="S184" s="71">
        <v>0</v>
      </c>
      <c r="T184" s="71">
        <v>0</v>
      </c>
      <c r="U184" s="71">
        <v>0</v>
      </c>
      <c r="V184" s="71">
        <v>0</v>
      </c>
      <c r="W184" s="71">
        <v>0</v>
      </c>
      <c r="X184" s="71">
        <v>0</v>
      </c>
    </row>
    <row r="185" spans="1:24">
      <c r="A185" s="223"/>
      <c r="B185" s="96" t="str">
        <v>M</v>
      </c>
      <c r="C185" s="71">
        <v>0</v>
      </c>
      <c r="D185" s="71">
        <v>0</v>
      </c>
      <c r="E185" s="71">
        <v>0</v>
      </c>
      <c r="F185" s="71">
        <v>0</v>
      </c>
      <c r="G185" s="71">
        <v>0</v>
      </c>
      <c r="H185" s="71">
        <v>0</v>
      </c>
      <c r="I185" s="71">
        <v>0</v>
      </c>
      <c r="J185" s="71">
        <v>0</v>
      </c>
      <c r="K185" s="71">
        <v>0</v>
      </c>
      <c r="L185" s="71">
        <v>0</v>
      </c>
      <c r="M185" s="71">
        <v>0</v>
      </c>
      <c r="N185" s="71">
        <v>0</v>
      </c>
      <c r="O185" s="71">
        <v>0</v>
      </c>
      <c r="P185" s="71">
        <v>2</v>
      </c>
      <c r="Q185" s="71">
        <v>0</v>
      </c>
      <c r="R185" s="71" t="s">
        <v>212</v>
      </c>
      <c r="S185" s="71">
        <v>0</v>
      </c>
      <c r="T185" s="71">
        <v>0</v>
      </c>
      <c r="U185" s="71">
        <v>0</v>
      </c>
      <c r="V185" s="71">
        <v>0</v>
      </c>
      <c r="W185" s="71">
        <v>0</v>
      </c>
      <c r="X185" s="71">
        <v>0</v>
      </c>
    </row>
    <row r="186" spans="1:24">
      <c r="A186" s="223"/>
      <c r="B186" s="96" t="str">
        <v>N</v>
      </c>
      <c r="C186" s="71">
        <v>0</v>
      </c>
      <c r="D186" s="71">
        <v>0</v>
      </c>
      <c r="E186" s="71">
        <v>0</v>
      </c>
      <c r="F186" s="71">
        <v>0</v>
      </c>
      <c r="G186" s="71">
        <v>0</v>
      </c>
      <c r="H186" s="71">
        <v>0</v>
      </c>
      <c r="I186" s="71">
        <v>0</v>
      </c>
      <c r="J186" s="71">
        <v>0</v>
      </c>
      <c r="K186" s="71">
        <v>0</v>
      </c>
      <c r="L186" s="71">
        <v>0</v>
      </c>
      <c r="M186" s="71">
        <v>0</v>
      </c>
      <c r="N186" s="71">
        <v>0</v>
      </c>
      <c r="O186" s="71">
        <v>0</v>
      </c>
      <c r="P186" s="71">
        <v>0</v>
      </c>
      <c r="Q186" s="71">
        <v>2</v>
      </c>
      <c r="R186" s="71" t="s">
        <v>212</v>
      </c>
      <c r="S186" s="71">
        <v>0</v>
      </c>
      <c r="T186" s="71">
        <v>0</v>
      </c>
      <c r="U186" s="71">
        <v>0</v>
      </c>
      <c r="V186" s="71">
        <v>0</v>
      </c>
      <c r="W186" s="71">
        <v>0</v>
      </c>
      <c r="X186" s="71">
        <v>0</v>
      </c>
    </row>
    <row r="187" spans="1:24">
      <c r="A187" s="223"/>
      <c r="B187" s="96" t="str">
        <v>O</v>
      </c>
      <c r="C187" s="71">
        <v>0</v>
      </c>
      <c r="D187" s="71" t="s">
        <v>211</v>
      </c>
      <c r="E187" s="71">
        <v>0</v>
      </c>
      <c r="F187" s="71">
        <v>0</v>
      </c>
      <c r="G187" s="71">
        <v>0</v>
      </c>
      <c r="H187" s="71">
        <v>0</v>
      </c>
      <c r="I187" s="71">
        <v>0</v>
      </c>
      <c r="J187" s="71">
        <v>0</v>
      </c>
      <c r="K187" s="71">
        <v>0</v>
      </c>
      <c r="L187" s="71">
        <v>0</v>
      </c>
      <c r="M187" s="71">
        <v>0</v>
      </c>
      <c r="N187" s="71">
        <v>0</v>
      </c>
      <c r="O187" s="71">
        <v>0</v>
      </c>
      <c r="P187" s="71">
        <v>0</v>
      </c>
      <c r="Q187" s="71">
        <v>0</v>
      </c>
      <c r="R187" s="71" t="s">
        <v>212</v>
      </c>
      <c r="S187" s="71">
        <v>0</v>
      </c>
      <c r="T187" s="71">
        <v>0</v>
      </c>
      <c r="U187" s="71">
        <v>0</v>
      </c>
      <c r="V187" s="71">
        <v>0</v>
      </c>
      <c r="W187" s="71">
        <v>0</v>
      </c>
      <c r="X187" s="71">
        <v>0</v>
      </c>
    </row>
    <row r="188" spans="1:24">
      <c r="A188" s="223"/>
      <c r="B188" s="96" t="str">
        <v>P</v>
      </c>
      <c r="C188" s="71">
        <v>0</v>
      </c>
      <c r="D188" s="71">
        <v>0</v>
      </c>
      <c r="E188" s="71">
        <v>0</v>
      </c>
      <c r="F188" s="71">
        <v>0</v>
      </c>
      <c r="G188" s="71">
        <v>0</v>
      </c>
      <c r="H188" s="71">
        <v>0</v>
      </c>
      <c r="I188" s="71">
        <v>0</v>
      </c>
      <c r="J188" s="71">
        <v>0</v>
      </c>
      <c r="K188" s="71">
        <v>0</v>
      </c>
      <c r="L188" s="71">
        <v>0</v>
      </c>
      <c r="M188" s="71">
        <v>0</v>
      </c>
      <c r="N188" s="71">
        <v>0</v>
      </c>
      <c r="O188" s="71">
        <v>0</v>
      </c>
      <c r="P188" s="71">
        <v>0</v>
      </c>
      <c r="Q188" s="71">
        <v>0</v>
      </c>
      <c r="R188" s="71">
        <v>0</v>
      </c>
      <c r="S188" s="71" t="s">
        <v>211</v>
      </c>
      <c r="T188" s="71">
        <v>0</v>
      </c>
      <c r="U188" s="71">
        <v>0</v>
      </c>
      <c r="V188" s="71">
        <v>0</v>
      </c>
      <c r="W188" s="71">
        <v>0</v>
      </c>
      <c r="X188" s="71">
        <v>0</v>
      </c>
    </row>
    <row r="189" spans="1:24">
      <c r="A189" s="223"/>
      <c r="B189" s="96" t="str">
        <v>Q</v>
      </c>
      <c r="C189" s="71">
        <v>0</v>
      </c>
      <c r="D189" s="71">
        <v>0</v>
      </c>
      <c r="E189" s="71">
        <v>0</v>
      </c>
      <c r="F189" s="71">
        <v>0</v>
      </c>
      <c r="G189" s="71">
        <v>0</v>
      </c>
      <c r="H189" s="71">
        <v>0</v>
      </c>
      <c r="I189" s="71">
        <v>0</v>
      </c>
      <c r="J189" s="71">
        <v>0</v>
      </c>
      <c r="K189" s="71">
        <v>0</v>
      </c>
      <c r="L189" s="71">
        <v>0</v>
      </c>
      <c r="M189" s="71">
        <v>0</v>
      </c>
      <c r="N189" s="71">
        <v>0</v>
      </c>
      <c r="O189" s="71">
        <v>0</v>
      </c>
      <c r="P189" s="71">
        <v>0</v>
      </c>
      <c r="Q189" s="71">
        <v>0</v>
      </c>
      <c r="R189" s="71">
        <v>0</v>
      </c>
      <c r="S189" s="71">
        <v>0</v>
      </c>
      <c r="T189" s="71">
        <v>1</v>
      </c>
      <c r="U189" s="71">
        <v>1</v>
      </c>
      <c r="V189" s="71">
        <v>0</v>
      </c>
      <c r="W189" s="71">
        <v>0</v>
      </c>
      <c r="X189" s="71">
        <v>0</v>
      </c>
    </row>
    <row r="190" spans="1:24">
      <c r="A190" s="223"/>
      <c r="B190" s="96" t="str">
        <v>R</v>
      </c>
      <c r="C190" s="71">
        <v>0</v>
      </c>
      <c r="D190" s="71">
        <v>0</v>
      </c>
      <c r="E190" s="71">
        <v>0</v>
      </c>
      <c r="F190" s="71">
        <v>0</v>
      </c>
      <c r="G190" s="71">
        <v>0</v>
      </c>
      <c r="H190" s="71">
        <v>0</v>
      </c>
      <c r="I190" s="71">
        <v>0</v>
      </c>
      <c r="J190" s="71">
        <v>0</v>
      </c>
      <c r="K190" s="71">
        <v>0</v>
      </c>
      <c r="L190" s="71">
        <v>0</v>
      </c>
      <c r="M190" s="71">
        <v>0</v>
      </c>
      <c r="N190" s="71">
        <v>0</v>
      </c>
      <c r="O190" s="71">
        <v>0</v>
      </c>
      <c r="P190" s="71">
        <v>0</v>
      </c>
      <c r="Q190" s="71">
        <v>0</v>
      </c>
      <c r="R190" s="71">
        <v>0</v>
      </c>
      <c r="S190" s="71">
        <v>0</v>
      </c>
      <c r="T190" s="71">
        <v>0</v>
      </c>
      <c r="U190" s="71">
        <v>1</v>
      </c>
      <c r="V190" s="71">
        <v>0</v>
      </c>
      <c r="W190" s="71">
        <v>0</v>
      </c>
      <c r="X190" s="71">
        <v>0</v>
      </c>
    </row>
    <row r="191" spans="1:24">
      <c r="A191" s="223"/>
      <c r="B191" s="96" t="str">
        <v>S</v>
      </c>
      <c r="C191" s="71">
        <v>0</v>
      </c>
      <c r="D191" s="71">
        <v>0</v>
      </c>
      <c r="E191" s="71">
        <v>0</v>
      </c>
      <c r="F191" s="71">
        <v>0</v>
      </c>
      <c r="G191" s="71">
        <v>0</v>
      </c>
      <c r="H191" s="71">
        <v>0</v>
      </c>
      <c r="I191" s="71">
        <v>0</v>
      </c>
      <c r="J191" s="71">
        <v>0</v>
      </c>
      <c r="K191" s="71">
        <v>0</v>
      </c>
      <c r="L191" s="71">
        <v>0</v>
      </c>
      <c r="M191" s="71">
        <v>0</v>
      </c>
      <c r="N191" s="71">
        <v>0</v>
      </c>
      <c r="O191" s="71">
        <v>0</v>
      </c>
      <c r="P191" s="71">
        <v>0</v>
      </c>
      <c r="Q191" s="71">
        <v>0</v>
      </c>
      <c r="R191" s="71">
        <v>0</v>
      </c>
      <c r="S191" s="71">
        <v>0</v>
      </c>
      <c r="T191" s="71">
        <v>0</v>
      </c>
      <c r="U191" s="71">
        <v>0</v>
      </c>
      <c r="V191" s="71">
        <v>2</v>
      </c>
      <c r="W191" s="71">
        <v>0</v>
      </c>
      <c r="X191" s="71">
        <v>0</v>
      </c>
    </row>
    <row r="192" spans="1:24">
      <c r="A192" s="223"/>
      <c r="B192" s="96" t="str">
        <v>T</v>
      </c>
      <c r="C192" s="71">
        <v>0</v>
      </c>
      <c r="D192" s="71">
        <v>0</v>
      </c>
      <c r="E192" s="71">
        <v>0</v>
      </c>
      <c r="F192" s="71">
        <v>0</v>
      </c>
      <c r="G192" s="71">
        <v>0</v>
      </c>
      <c r="H192" s="71">
        <v>0</v>
      </c>
      <c r="I192" s="71">
        <v>0</v>
      </c>
      <c r="J192" s="71">
        <v>0</v>
      </c>
      <c r="K192" s="71">
        <v>0</v>
      </c>
      <c r="L192" s="71">
        <v>0</v>
      </c>
      <c r="M192" s="71">
        <v>0</v>
      </c>
      <c r="N192" s="71">
        <v>0</v>
      </c>
      <c r="O192" s="71">
        <v>0</v>
      </c>
      <c r="P192" s="71">
        <v>0</v>
      </c>
      <c r="Q192" s="71">
        <v>0</v>
      </c>
      <c r="R192" s="71">
        <v>0</v>
      </c>
      <c r="S192" s="71">
        <v>0</v>
      </c>
      <c r="T192" s="71">
        <v>0</v>
      </c>
      <c r="U192" s="71">
        <v>0</v>
      </c>
      <c r="V192" s="71">
        <v>0</v>
      </c>
      <c r="W192" s="71">
        <v>2</v>
      </c>
      <c r="X192" s="71">
        <v>0</v>
      </c>
    </row>
    <row r="193" spans="1:25">
      <c r="A193" s="223"/>
      <c r="B193" s="96" t="str">
        <v>U</v>
      </c>
      <c r="C193" s="71">
        <v>0</v>
      </c>
      <c r="D193" s="71">
        <v>0</v>
      </c>
      <c r="E193" s="71">
        <v>0</v>
      </c>
      <c r="F193" s="71">
        <v>0</v>
      </c>
      <c r="G193" s="71">
        <v>0</v>
      </c>
      <c r="H193" s="71">
        <v>0</v>
      </c>
      <c r="I193" s="71">
        <v>0</v>
      </c>
      <c r="J193" s="71">
        <v>0</v>
      </c>
      <c r="K193" s="71">
        <v>0</v>
      </c>
      <c r="L193" s="71">
        <v>0</v>
      </c>
      <c r="M193" s="71">
        <v>0</v>
      </c>
      <c r="N193" s="71">
        <v>0</v>
      </c>
      <c r="O193" s="71">
        <v>0</v>
      </c>
      <c r="P193" s="71">
        <v>0</v>
      </c>
      <c r="Q193" s="71">
        <v>0</v>
      </c>
      <c r="R193" s="71">
        <v>0</v>
      </c>
      <c r="S193" s="71">
        <v>0</v>
      </c>
      <c r="T193" s="71">
        <v>0</v>
      </c>
      <c r="U193" s="71">
        <v>0</v>
      </c>
      <c r="V193" s="71">
        <v>0</v>
      </c>
      <c r="W193" s="71">
        <v>0</v>
      </c>
      <c r="X193" s="71">
        <v>0</v>
      </c>
    </row>
    <row r="194" spans="1:25">
      <c r="A194" s="224"/>
      <c r="B194" s="96" t="str">
        <v>Y</v>
      </c>
      <c r="C194" s="71">
        <v>1</v>
      </c>
      <c r="D194" s="71">
        <v>0</v>
      </c>
      <c r="E194" s="71">
        <v>0</v>
      </c>
      <c r="F194" s="71">
        <v>0</v>
      </c>
      <c r="G194" s="71">
        <v>3</v>
      </c>
      <c r="H194" s="71" t="s">
        <v>213</v>
      </c>
      <c r="I194" s="71">
        <v>0</v>
      </c>
      <c r="J194" s="71">
        <v>0</v>
      </c>
      <c r="K194" s="71">
        <v>0</v>
      </c>
      <c r="L194" s="71">
        <v>0</v>
      </c>
      <c r="M194" s="71">
        <v>0</v>
      </c>
      <c r="N194" s="71">
        <v>0</v>
      </c>
      <c r="O194" s="71">
        <v>0</v>
      </c>
      <c r="P194" s="71">
        <v>0</v>
      </c>
      <c r="Q194" s="71">
        <v>0</v>
      </c>
      <c r="R194" s="71">
        <v>0</v>
      </c>
      <c r="S194" s="71">
        <v>0</v>
      </c>
      <c r="T194" s="71">
        <v>0</v>
      </c>
      <c r="U194" s="71">
        <v>0</v>
      </c>
      <c r="V194" s="71">
        <v>0</v>
      </c>
      <c r="W194" s="71">
        <v>0</v>
      </c>
      <c r="X194" s="71">
        <v>0</v>
      </c>
    </row>
    <row r="196" spans="1:25">
      <c r="A196" t="s">
        <v>278</v>
      </c>
      <c r="Y196" s="116"/>
    </row>
    <row r="197" spans="1:25">
      <c r="A197" t="s">
        <v>279</v>
      </c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116"/>
    </row>
    <row r="198" spans="1:25">
      <c r="A198" s="221" t="s">
        <v>280</v>
      </c>
      <c r="B198" s="221"/>
      <c r="C198" s="118">
        <v>7.1</v>
      </c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</row>
    <row r="199" spans="1:25">
      <c r="A199" s="115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</row>
    <row r="200" spans="1:25">
      <c r="A200" s="115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</row>
    <row r="201" spans="1:25">
      <c r="A201" s="117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</row>
    <row r="202" spans="1:25">
      <c r="A202" s="115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</row>
    <row r="203" spans="1:25">
      <c r="A203" s="115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</row>
    <row r="204" spans="1:25">
      <c r="A204" s="115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</row>
    <row r="205" spans="1:25">
      <c r="A205" s="115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</row>
    <row r="206" spans="1:25">
      <c r="A206" s="115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</row>
    <row r="207" spans="1:25">
      <c r="A207" s="115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</row>
    <row r="208" spans="1:25">
      <c r="A208" s="115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</row>
    <row r="209" spans="1:24">
      <c r="A209" s="115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</row>
    <row r="210" spans="1:24">
      <c r="A210" s="115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</row>
    <row r="211" spans="1:24">
      <c r="A211" s="115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</row>
    <row r="212" spans="1:24">
      <c r="A212" s="115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</row>
    <row r="213" spans="1:24">
      <c r="A213" s="115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</row>
    <row r="214" spans="1:24">
      <c r="A214" s="115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</row>
    <row r="215" spans="1:24">
      <c r="A215" s="115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</row>
    <row r="216" spans="1:24">
      <c r="A216" s="115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</row>
    <row r="217" spans="1:24">
      <c r="A217" s="115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</row>
    <row r="218" spans="1:24">
      <c r="A218" s="115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</row>
    <row r="219" spans="1:24">
      <c r="A219" s="115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</row>
    <row r="221" spans="1:24"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</row>
    <row r="222" spans="1:24"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</row>
    <row r="229" spans="1:7" ht="14.4" customHeight="1">
      <c r="A229" s="220" t="s">
        <v>302</v>
      </c>
      <c r="B229" s="220"/>
      <c r="C229" s="220"/>
      <c r="D229" s="220"/>
      <c r="E229" s="220"/>
      <c r="F229" s="220"/>
      <c r="G229" s="220"/>
    </row>
    <row r="230" spans="1:7">
      <c r="A230" s="220" t="s">
        <v>304</v>
      </c>
      <c r="B230" s="220"/>
      <c r="C230" s="220"/>
      <c r="D230" s="220"/>
      <c r="E230" s="220"/>
      <c r="F230" s="220"/>
      <c r="G230" s="220"/>
    </row>
    <row r="231" spans="1:7">
      <c r="A231" s="220"/>
      <c r="B231" s="220"/>
      <c r="C231" s="220"/>
      <c r="D231" s="220"/>
      <c r="E231" s="220"/>
      <c r="F231" s="220"/>
      <c r="G231" s="220"/>
    </row>
    <row r="232" spans="1:7">
      <c r="A232" s="220"/>
      <c r="B232" s="220"/>
      <c r="C232" s="220"/>
      <c r="D232" s="220"/>
      <c r="E232" s="220"/>
      <c r="F232" s="220"/>
      <c r="G232" s="220"/>
    </row>
    <row r="233" spans="1:7">
      <c r="A233" s="220"/>
      <c r="B233" s="220"/>
      <c r="C233" s="220"/>
      <c r="D233" s="220"/>
      <c r="E233" s="220"/>
      <c r="F233" s="220"/>
      <c r="G233" s="220"/>
    </row>
    <row r="234" spans="1:7">
      <c r="A234" s="220"/>
      <c r="B234" s="220"/>
      <c r="C234" s="220"/>
      <c r="D234" s="220"/>
      <c r="E234" s="220"/>
      <c r="F234" s="220"/>
      <c r="G234" s="220"/>
    </row>
    <row r="235" spans="1:7">
      <c r="A235" s="220"/>
      <c r="B235" s="220"/>
      <c r="C235" s="220"/>
      <c r="D235" s="220"/>
      <c r="E235" s="220"/>
      <c r="F235" s="220"/>
      <c r="G235" s="220"/>
    </row>
    <row r="236" spans="1:7">
      <c r="A236" s="220"/>
      <c r="B236" s="220"/>
      <c r="C236" s="220"/>
      <c r="D236" s="220"/>
      <c r="E236" s="220"/>
      <c r="F236" s="220"/>
      <c r="G236" s="220"/>
    </row>
  </sheetData>
  <mergeCells count="16">
    <mergeCell ref="A229:G229"/>
    <mergeCell ref="A230:G236"/>
    <mergeCell ref="AC114:AG114"/>
    <mergeCell ref="A198:B198"/>
    <mergeCell ref="C59:X59"/>
    <mergeCell ref="A61:A82"/>
    <mergeCell ref="C84:X84"/>
    <mergeCell ref="A86:A107"/>
    <mergeCell ref="I114:M114"/>
    <mergeCell ref="N114:R114"/>
    <mergeCell ref="S114:W114"/>
    <mergeCell ref="X114:AB114"/>
    <mergeCell ref="Y84:Y85"/>
    <mergeCell ref="A108:B108"/>
    <mergeCell ref="C171:X171"/>
    <mergeCell ref="A173:A194"/>
  </mergeCells>
  <conditionalFormatting sqref="B35:W56">
    <cfRule type="cellIs" dxfId="2" priority="4" operator="equal">
      <formula>0</formula>
    </cfRule>
  </conditionalFormatting>
  <conditionalFormatting sqref="C61:X82">
    <cfRule type="cellIs" dxfId="1" priority="2" operator="equal">
      <formula>0</formula>
    </cfRule>
  </conditionalFormatting>
  <conditionalFormatting sqref="C173:X194">
    <cfRule type="cellIs" dxfId="0" priority="1" operator="equal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476E9-BE01-4283-8596-36B25E73C469}">
  <dimension ref="A1:T176"/>
  <sheetViews>
    <sheetView topLeftCell="A121" zoomScale="85" zoomScaleNormal="85" workbookViewId="0">
      <selection activeCell="K138" sqref="K138:M138"/>
    </sheetView>
  </sheetViews>
  <sheetFormatPr defaultRowHeight="14.4"/>
  <cols>
    <col min="1" max="1" width="16.33203125" customWidth="1"/>
    <col min="2" max="2" width="14.6640625" customWidth="1"/>
    <col min="3" max="3" width="13.6640625" customWidth="1"/>
    <col min="4" max="4" width="14.21875" bestFit="1" customWidth="1"/>
    <col min="5" max="5" width="12" bestFit="1" customWidth="1"/>
    <col min="6" max="6" width="13.5546875" bestFit="1" customWidth="1"/>
    <col min="7" max="7" width="17.77734375" customWidth="1"/>
    <col min="8" max="8" width="16.77734375" customWidth="1"/>
    <col min="9" max="9" width="15.5546875" customWidth="1"/>
    <col min="10" max="10" width="11.77734375" customWidth="1"/>
    <col min="11" max="11" width="14.33203125" bestFit="1" customWidth="1"/>
  </cols>
  <sheetData>
    <row r="1" spans="1:1">
      <c r="A1" t="s">
        <v>231</v>
      </c>
    </row>
    <row r="3" spans="1:1">
      <c r="A3" t="s">
        <v>1</v>
      </c>
    </row>
    <row r="28" spans="1:2">
      <c r="A28" s="100" t="s">
        <v>232</v>
      </c>
      <c r="B28" s="100" t="s">
        <v>233</v>
      </c>
    </row>
    <row r="29" spans="1:2">
      <c r="A29" s="100">
        <v>3.5</v>
      </c>
      <c r="B29" s="101">
        <v>16</v>
      </c>
    </row>
    <row r="30" spans="1:2">
      <c r="A30" s="100">
        <v>2.4</v>
      </c>
      <c r="B30" s="101">
        <v>13</v>
      </c>
    </row>
    <row r="31" spans="1:2">
      <c r="A31" s="100">
        <v>4.9000000000000004</v>
      </c>
      <c r="B31" s="101">
        <v>19</v>
      </c>
    </row>
    <row r="32" spans="1:2">
      <c r="A32" s="100">
        <v>4.2</v>
      </c>
      <c r="B32" s="101">
        <v>18</v>
      </c>
    </row>
    <row r="33" spans="1:3">
      <c r="A33" s="100">
        <v>3</v>
      </c>
      <c r="B33" s="101">
        <v>12</v>
      </c>
    </row>
    <row r="34" spans="1:3">
      <c r="A34" s="100">
        <v>1.3</v>
      </c>
      <c r="B34" s="101">
        <v>11</v>
      </c>
    </row>
    <row r="35" spans="1:3">
      <c r="A35" s="100">
        <v>1</v>
      </c>
      <c r="B35" s="101">
        <v>8</v>
      </c>
    </row>
    <row r="36" spans="1:3">
      <c r="A36" s="100">
        <v>3</v>
      </c>
      <c r="B36" s="101">
        <v>14</v>
      </c>
    </row>
    <row r="37" spans="1:3">
      <c r="A37" s="100">
        <v>1.5</v>
      </c>
      <c r="B37" s="101">
        <v>9</v>
      </c>
    </row>
    <row r="38" spans="1:3">
      <c r="A38" s="100">
        <v>4.0999999999999996</v>
      </c>
      <c r="B38" s="101">
        <v>16</v>
      </c>
    </row>
    <row r="43" spans="1:3">
      <c r="A43" s="235" t="s">
        <v>234</v>
      </c>
      <c r="B43" s="235"/>
    </row>
    <row r="44" spans="1:3">
      <c r="A44" s="236" t="s">
        <v>235</v>
      </c>
      <c r="B44" s="236"/>
      <c r="C44">
        <f>2.6597*2+5.9135</f>
        <v>11.232900000000001</v>
      </c>
    </row>
    <row r="45" spans="1:3">
      <c r="A45" t="s">
        <v>236</v>
      </c>
    </row>
    <row r="47" spans="1:3">
      <c r="A47" s="237" t="s">
        <v>237</v>
      </c>
      <c r="B47" s="238"/>
    </row>
    <row r="48" spans="1:3">
      <c r="A48" s="2" t="s">
        <v>238</v>
      </c>
      <c r="B48" s="2">
        <v>0.95827575706852364</v>
      </c>
    </row>
    <row r="49" spans="1:9">
      <c r="A49" s="103" t="s">
        <v>239</v>
      </c>
      <c r="B49" s="103">
        <v>0.91829242658525212</v>
      </c>
      <c r="C49" s="104" t="s">
        <v>259</v>
      </c>
    </row>
    <row r="50" spans="1:9">
      <c r="A50" s="2" t="s">
        <v>240</v>
      </c>
      <c r="B50" s="2">
        <v>0.90807897990840858</v>
      </c>
      <c r="D50" s="69" t="s">
        <v>260</v>
      </c>
      <c r="E50">
        <f>SQRT(B49)</f>
        <v>0.95827575706852364</v>
      </c>
      <c r="F50" s="73" t="s">
        <v>261</v>
      </c>
    </row>
    <row r="51" spans="1:9">
      <c r="A51" s="2" t="s">
        <v>241</v>
      </c>
      <c r="B51" s="2">
        <v>1.1180902795595895</v>
      </c>
    </row>
    <row r="52" spans="1:9">
      <c r="A52" s="103" t="s">
        <v>242</v>
      </c>
      <c r="B52" s="103">
        <v>10</v>
      </c>
      <c r="C52" s="105" t="s">
        <v>262</v>
      </c>
    </row>
    <row r="54" spans="1:9">
      <c r="A54" s="212" t="s">
        <v>243</v>
      </c>
      <c r="B54" s="213"/>
      <c r="C54" s="213"/>
      <c r="D54" s="213"/>
      <c r="E54" s="213"/>
      <c r="F54" s="214"/>
    </row>
    <row r="55" spans="1:9">
      <c r="A55" s="102"/>
      <c r="B55" s="102" t="s">
        <v>248</v>
      </c>
      <c r="C55" s="102" t="s">
        <v>249</v>
      </c>
      <c r="D55" s="102" t="s">
        <v>250</v>
      </c>
      <c r="E55" s="102" t="s">
        <v>176</v>
      </c>
      <c r="F55" s="102" t="s">
        <v>251</v>
      </c>
    </row>
    <row r="56" spans="1:9">
      <c r="A56" s="2" t="s">
        <v>244</v>
      </c>
      <c r="B56" s="2">
        <v>1</v>
      </c>
      <c r="C56" s="2">
        <v>112.39899301403486</v>
      </c>
      <c r="D56" s="2">
        <v>112.39899301403486</v>
      </c>
      <c r="E56" s="2">
        <v>89.910140586258592</v>
      </c>
      <c r="F56" s="2">
        <v>1.2607220398148177E-5</v>
      </c>
    </row>
    <row r="57" spans="1:9">
      <c r="A57" s="2" t="s">
        <v>245</v>
      </c>
      <c r="B57" s="2">
        <v>8</v>
      </c>
      <c r="C57" s="2">
        <v>10.001006985965127</v>
      </c>
      <c r="D57" s="2">
        <v>1.2501258732456408</v>
      </c>
      <c r="E57" s="2"/>
      <c r="F57" s="2"/>
    </row>
    <row r="58" spans="1:9">
      <c r="A58" s="2" t="s">
        <v>246</v>
      </c>
      <c r="B58" s="2">
        <v>9</v>
      </c>
      <c r="C58" s="2">
        <v>122.39999999999998</v>
      </c>
      <c r="D58" s="2"/>
      <c r="E58" s="2"/>
      <c r="F58" s="2"/>
    </row>
    <row r="60" spans="1:9">
      <c r="A60" s="102"/>
      <c r="B60" s="102" t="s">
        <v>252</v>
      </c>
      <c r="C60" s="102" t="s">
        <v>241</v>
      </c>
      <c r="D60" s="102" t="s">
        <v>253</v>
      </c>
      <c r="E60" s="102" t="s">
        <v>254</v>
      </c>
      <c r="F60" s="102" t="s">
        <v>255</v>
      </c>
      <c r="G60" s="102" t="s">
        <v>256</v>
      </c>
      <c r="H60" s="102" t="s">
        <v>257</v>
      </c>
      <c r="I60" s="102" t="s">
        <v>258</v>
      </c>
    </row>
    <row r="61" spans="1:9">
      <c r="A61" s="2" t="s">
        <v>247</v>
      </c>
      <c r="B61" s="2">
        <v>5.9134621436213726</v>
      </c>
      <c r="C61" s="2">
        <v>0.88438959870459055</v>
      </c>
      <c r="D61" s="2">
        <v>6.6864899273839438</v>
      </c>
      <c r="E61" s="2">
        <v>1.5484967866219096E-4</v>
      </c>
      <c r="F61" s="2">
        <v>3.8740560718770327</v>
      </c>
      <c r="G61" s="2">
        <v>7.9528682153657124</v>
      </c>
      <c r="H61" s="2">
        <v>3.8740560718770327</v>
      </c>
      <c r="I61" s="2">
        <v>7.9528682153657124</v>
      </c>
    </row>
    <row r="62" spans="1:9">
      <c r="A62" s="2" t="s">
        <v>232</v>
      </c>
      <c r="B62" s="2">
        <v>2.6597016804078297</v>
      </c>
      <c r="C62" s="2">
        <v>0.28049723806663129</v>
      </c>
      <c r="D62" s="2">
        <v>9.482095790818537</v>
      </c>
      <c r="E62" s="2">
        <v>1.2607220398148155E-5</v>
      </c>
      <c r="F62" s="2">
        <v>2.0128738895128304</v>
      </c>
      <c r="G62" s="2">
        <v>3.306529471302829</v>
      </c>
      <c r="H62" s="2">
        <v>2.0128738895128304</v>
      </c>
      <c r="I62" s="2">
        <v>3.306529471302829</v>
      </c>
    </row>
    <row r="63" spans="1:9" ht="25.8" customHeight="1">
      <c r="C63" s="239" t="s">
        <v>263</v>
      </c>
    </row>
    <row r="64" spans="1:9">
      <c r="C64" s="240"/>
    </row>
    <row r="66" spans="1:1">
      <c r="A66" t="s">
        <v>264</v>
      </c>
    </row>
    <row r="68" spans="1:1">
      <c r="A68" t="s">
        <v>282</v>
      </c>
    </row>
    <row r="83" spans="1:11">
      <c r="A83" s="71" t="s">
        <v>232</v>
      </c>
      <c r="B83" s="71" t="s">
        <v>233</v>
      </c>
    </row>
    <row r="84" spans="1:11">
      <c r="A84" s="71">
        <v>1</v>
      </c>
      <c r="B84" s="71">
        <v>30</v>
      </c>
      <c r="J84">
        <f>-8.6*B89+33</f>
        <v>19.240000000000002</v>
      </c>
      <c r="K84" s="121" t="s">
        <v>285</v>
      </c>
    </row>
    <row r="85" spans="1:11">
      <c r="A85" s="71">
        <v>2</v>
      </c>
      <c r="B85" s="71">
        <v>7</v>
      </c>
      <c r="J85">
        <f>4*(B89)^2 - 28.6*B89 + 53</f>
        <v>17.479999999999997</v>
      </c>
      <c r="K85" s="121" t="s">
        <v>286</v>
      </c>
    </row>
    <row r="86" spans="1:11">
      <c r="A86" s="71">
        <v>3</v>
      </c>
      <c r="B86" s="71">
        <v>8</v>
      </c>
      <c r="J86" s="119">
        <f>33.719*((B89)^-2.091)</f>
        <v>12.620013009175915</v>
      </c>
      <c r="K86" s="121" t="s">
        <v>287</v>
      </c>
    </row>
    <row r="87" spans="1:11">
      <c r="A87" s="71">
        <v>4</v>
      </c>
      <c r="B87" s="71">
        <v>1</v>
      </c>
      <c r="J87">
        <f>(79.373*2.71828182845904)^(-1.007*B89)</f>
        <v>1.7358489175531351E-4</v>
      </c>
      <c r="K87" s="121" t="s">
        <v>288</v>
      </c>
    </row>
    <row r="88" spans="1:11">
      <c r="A88" s="69" t="s">
        <v>283</v>
      </c>
      <c r="B88" s="89">
        <f>COUNT(B84:B87)</f>
        <v>4</v>
      </c>
    </row>
    <row r="89" spans="1:11">
      <c r="A89" s="69" t="s">
        <v>284</v>
      </c>
      <c r="B89" s="120">
        <v>1.6</v>
      </c>
      <c r="J89" s="119"/>
    </row>
    <row r="108" spans="1:19">
      <c r="A108" t="s">
        <v>289</v>
      </c>
    </row>
    <row r="110" spans="1:19">
      <c r="A110" s="234" t="s">
        <v>287</v>
      </c>
      <c r="B110" s="234"/>
      <c r="C110" s="234"/>
      <c r="D110" s="234"/>
      <c r="F110" s="234" t="s">
        <v>285</v>
      </c>
      <c r="G110" s="234"/>
      <c r="H110" s="234"/>
      <c r="I110" s="234"/>
      <c r="K110" s="234" t="s">
        <v>292</v>
      </c>
      <c r="L110" s="234"/>
      <c r="M110" s="234"/>
      <c r="N110" s="234"/>
      <c r="P110" s="234" t="s">
        <v>293</v>
      </c>
      <c r="Q110" s="234"/>
      <c r="R110" s="234"/>
      <c r="S110" s="234"/>
    </row>
    <row r="111" spans="1:19">
      <c r="A111" s="71" t="s">
        <v>232</v>
      </c>
      <c r="B111" s="71" t="s">
        <v>233</v>
      </c>
      <c r="C111" s="71" t="s">
        <v>290</v>
      </c>
      <c r="D111" s="71" t="s">
        <v>291</v>
      </c>
      <c r="F111" s="71" t="s">
        <v>232</v>
      </c>
      <c r="G111" s="71" t="s">
        <v>233</v>
      </c>
      <c r="H111" s="71" t="s">
        <v>290</v>
      </c>
      <c r="I111" s="71" t="s">
        <v>291</v>
      </c>
      <c r="K111" s="71" t="s">
        <v>232</v>
      </c>
      <c r="L111" s="71" t="s">
        <v>233</v>
      </c>
      <c r="M111" s="71" t="s">
        <v>290</v>
      </c>
      <c r="N111" s="71" t="s">
        <v>291</v>
      </c>
      <c r="P111" s="71" t="s">
        <v>232</v>
      </c>
      <c r="Q111" s="71" t="s">
        <v>233</v>
      </c>
      <c r="R111" s="71" t="s">
        <v>290</v>
      </c>
      <c r="S111" s="71" t="s">
        <v>291</v>
      </c>
    </row>
    <row r="112" spans="1:19">
      <c r="A112" s="71">
        <v>1</v>
      </c>
      <c r="B112" s="71">
        <v>30</v>
      </c>
      <c r="C112" s="2">
        <f>33.739*A112^-2.091</f>
        <v>33.738999999999997</v>
      </c>
      <c r="D112" s="2">
        <f>ABS((B112-C112)/B112)</f>
        <v>0.12463333333333323</v>
      </c>
      <c r="F112" s="71">
        <v>1</v>
      </c>
      <c r="G112" s="71">
        <v>30</v>
      </c>
      <c r="H112" s="2">
        <f>-8.6*F112+33</f>
        <v>24.4</v>
      </c>
      <c r="I112" s="2">
        <f>ABS((G112-H112)/G112)</f>
        <v>0.1866666666666667</v>
      </c>
      <c r="K112" s="71">
        <v>1</v>
      </c>
      <c r="L112" s="71">
        <v>30</v>
      </c>
      <c r="M112" s="2">
        <f>4*K112^2-28.6*K112+53</f>
        <v>28.4</v>
      </c>
      <c r="N112" s="2">
        <f>ABS((L112-M112)/L112)</f>
        <v>5.3333333333333378E-2</v>
      </c>
      <c r="P112" s="71">
        <v>1</v>
      </c>
      <c r="Q112" s="71">
        <v>30</v>
      </c>
      <c r="R112" s="2">
        <f>(79.373*2.71828182845904)^(-1.007*P112)</f>
        <v>4.463699520586074E-3</v>
      </c>
      <c r="S112" s="2">
        <f>ABS((Q112-R112)/Q112)</f>
        <v>0.99985121001598054</v>
      </c>
    </row>
    <row r="113" spans="1:19">
      <c r="A113" s="71">
        <v>2</v>
      </c>
      <c r="B113" s="71">
        <v>7</v>
      </c>
      <c r="C113" s="2">
        <f t="shared" ref="C113:C115" si="0">33.739*A113^-2.091</f>
        <v>7.9191484706690094</v>
      </c>
      <c r="D113" s="2">
        <f t="shared" ref="D113:D115" si="1">ABS((B113-C113)/B113)</f>
        <v>0.13130692438128705</v>
      </c>
      <c r="F113" s="71">
        <v>2</v>
      </c>
      <c r="G113" s="71">
        <v>7</v>
      </c>
      <c r="H113" s="2">
        <f t="shared" ref="H113:H115" si="2">-8.6*F113+33</f>
        <v>15.8</v>
      </c>
      <c r="I113" s="2">
        <f t="shared" ref="I113:I115" si="3">ABS((G113-H113)/G113)</f>
        <v>1.2571428571428573</v>
      </c>
      <c r="K113" s="71">
        <v>2</v>
      </c>
      <c r="L113" s="71">
        <v>7</v>
      </c>
      <c r="M113" s="2">
        <f t="shared" ref="M113:M115" si="4">4*K113^2-28.6*K113+53</f>
        <v>11.799999999999997</v>
      </c>
      <c r="N113" s="2">
        <f t="shared" ref="N113:N115" si="5">ABS((L113-M113)/L113)</f>
        <v>0.68571428571428528</v>
      </c>
      <c r="P113" s="71">
        <v>2</v>
      </c>
      <c r="Q113" s="71">
        <v>7</v>
      </c>
      <c r="R113" s="2">
        <f t="shared" ref="R113:R115" si="6">(79.373*2.71828182845904)^(-1.007*P113)</f>
        <v>1.9924613410080347E-5</v>
      </c>
      <c r="S113" s="2">
        <f t="shared" ref="S113:S115" si="7">ABS((Q113-R113)/Q113)</f>
        <v>0.99999715362665575</v>
      </c>
    </row>
    <row r="114" spans="1:19">
      <c r="A114" s="71">
        <v>3</v>
      </c>
      <c r="B114" s="71">
        <v>8</v>
      </c>
      <c r="C114" s="2">
        <f t="shared" si="0"/>
        <v>3.3921235549429909</v>
      </c>
      <c r="D114" s="2">
        <f t="shared" si="1"/>
        <v>0.57598455563212614</v>
      </c>
      <c r="F114" s="71">
        <v>3</v>
      </c>
      <c r="G114" s="71">
        <v>8</v>
      </c>
      <c r="H114" s="2">
        <f t="shared" si="2"/>
        <v>7.2000000000000028</v>
      </c>
      <c r="I114" s="2">
        <f t="shared" si="3"/>
        <v>9.9999999999999645E-2</v>
      </c>
      <c r="K114" s="71">
        <v>3</v>
      </c>
      <c r="L114" s="71">
        <v>8</v>
      </c>
      <c r="M114" s="2">
        <f t="shared" si="4"/>
        <v>3.1999999999999886</v>
      </c>
      <c r="N114" s="2">
        <f t="shared" si="5"/>
        <v>0.60000000000000142</v>
      </c>
      <c r="P114" s="71">
        <v>3</v>
      </c>
      <c r="Q114" s="71">
        <v>8</v>
      </c>
      <c r="R114" s="2">
        <f t="shared" si="6"/>
        <v>8.8937487326438587E-8</v>
      </c>
      <c r="S114" s="2">
        <f t="shared" si="7"/>
        <v>0.99999998888281405</v>
      </c>
    </row>
    <row r="115" spans="1:19">
      <c r="A115" s="71">
        <v>4</v>
      </c>
      <c r="B115" s="71">
        <v>1</v>
      </c>
      <c r="C115" s="2">
        <f t="shared" si="0"/>
        <v>1.8587661904768755</v>
      </c>
      <c r="D115" s="2">
        <f t="shared" si="1"/>
        <v>0.85876619047687552</v>
      </c>
      <c r="F115" s="71">
        <v>4</v>
      </c>
      <c r="G115" s="71">
        <v>1</v>
      </c>
      <c r="H115" s="2">
        <f t="shared" si="2"/>
        <v>-1.3999999999999986</v>
      </c>
      <c r="I115" s="2">
        <f t="shared" si="3"/>
        <v>2.3999999999999986</v>
      </c>
      <c r="K115" s="71">
        <v>4</v>
      </c>
      <c r="L115" s="71">
        <v>1</v>
      </c>
      <c r="M115" s="2">
        <f t="shared" si="4"/>
        <v>2.5999999999999943</v>
      </c>
      <c r="N115" s="2">
        <f t="shared" si="5"/>
        <v>1.5999999999999943</v>
      </c>
      <c r="P115" s="71">
        <v>4</v>
      </c>
      <c r="Q115" s="71">
        <v>1</v>
      </c>
      <c r="R115" s="2">
        <f t="shared" si="6"/>
        <v>3.9699021954115365E-10</v>
      </c>
      <c r="S115" s="2">
        <f t="shared" si="7"/>
        <v>0.99999999960300978</v>
      </c>
    </row>
    <row r="116" spans="1:19">
      <c r="D116">
        <f>SUM(D112:D115)</f>
        <v>1.690691003823622</v>
      </c>
      <c r="I116">
        <f>SUM(I112:I115)</f>
        <v>3.9438095238095223</v>
      </c>
      <c r="N116">
        <f>SUM(N112:N115)</f>
        <v>2.9390476190476145</v>
      </c>
      <c r="S116">
        <f>SUM(S112:S115)</f>
        <v>3.9998483521284598</v>
      </c>
    </row>
    <row r="118" spans="1:19">
      <c r="D118">
        <f>(D116/$B$88)*100</f>
        <v>42.267275095590549</v>
      </c>
      <c r="I118">
        <f>(I116/$B$88)*100</f>
        <v>98.595238095238059</v>
      </c>
      <c r="N118">
        <f>(N116/$B$88)*100</f>
        <v>73.476190476190368</v>
      </c>
      <c r="S118">
        <f>(S116/$B$88)*100</f>
        <v>99.996208803211488</v>
      </c>
    </row>
    <row r="119" spans="1:19" ht="15.6">
      <c r="A119" s="88" t="s">
        <v>12</v>
      </c>
    </row>
    <row r="120" spans="1:19" ht="15.6">
      <c r="A120" s="88" t="s">
        <v>296</v>
      </c>
    </row>
    <row r="125" spans="1:19">
      <c r="A125" s="71" t="s">
        <v>232</v>
      </c>
      <c r="B125" s="71" t="s">
        <v>233</v>
      </c>
    </row>
    <row r="126" spans="1:19">
      <c r="A126" s="71">
        <v>0</v>
      </c>
      <c r="B126" s="71">
        <v>-2.2999999999999998</v>
      </c>
    </row>
    <row r="127" spans="1:19">
      <c r="A127" s="71">
        <v>1</v>
      </c>
      <c r="B127" s="71">
        <v>-2.7</v>
      </c>
    </row>
    <row r="128" spans="1:19">
      <c r="A128" s="71">
        <v>2</v>
      </c>
      <c r="B128" s="71">
        <v>-2.9</v>
      </c>
    </row>
    <row r="129" spans="1:13">
      <c r="A129" s="71">
        <v>3</v>
      </c>
      <c r="B129" s="71">
        <v>-2.8</v>
      </c>
    </row>
    <row r="130" spans="1:13">
      <c r="A130" s="71">
        <v>4</v>
      </c>
      <c r="B130" s="71">
        <v>-2.1</v>
      </c>
    </row>
    <row r="131" spans="1:13">
      <c r="A131" s="71">
        <v>5</v>
      </c>
      <c r="B131" s="71">
        <v>3</v>
      </c>
    </row>
    <row r="132" spans="1:13">
      <c r="A132" s="71">
        <v>6</v>
      </c>
      <c r="B132" s="71">
        <v>2.2000000000000002</v>
      </c>
    </row>
    <row r="133" spans="1:13">
      <c r="A133" s="71">
        <v>7</v>
      </c>
      <c r="B133" s="71">
        <v>4.7</v>
      </c>
    </row>
    <row r="134" spans="1:13">
      <c r="A134" s="71">
        <v>8</v>
      </c>
      <c r="B134" s="71">
        <v>4.5</v>
      </c>
    </row>
    <row r="135" spans="1:13">
      <c r="A135" s="71">
        <v>9</v>
      </c>
      <c r="B135" s="71">
        <v>3.2</v>
      </c>
    </row>
    <row r="136" spans="1:13">
      <c r="A136" s="69" t="s">
        <v>294</v>
      </c>
      <c r="B136" s="89">
        <v>10</v>
      </c>
    </row>
    <row r="137" spans="1:13">
      <c r="A137" s="69" t="s">
        <v>295</v>
      </c>
      <c r="B137" s="106">
        <v>5.5</v>
      </c>
    </row>
    <row r="138" spans="1:13">
      <c r="K138" s="233" t="s">
        <v>235</v>
      </c>
      <c r="L138" s="233"/>
      <c r="M138" s="233"/>
    </row>
    <row r="139" spans="1:13" ht="15.6">
      <c r="G139" s="122"/>
      <c r="K139" s="123" t="s">
        <v>297</v>
      </c>
      <c r="L139" s="133">
        <f>-0.0007*B137^6 + 0.0218*B137^5 - 0.2669*B137^4 + 1.4855*B137^3- 3.2999*B137^2 + 1.9718*B137 - 2.3502</f>
        <v>1.9321515625000147</v>
      </c>
    </row>
    <row r="140" spans="1:13">
      <c r="G140" s="89"/>
    </row>
    <row r="141" spans="1:13">
      <c r="G141" s="197" t="s">
        <v>298</v>
      </c>
      <c r="H141" s="197"/>
      <c r="I141" s="197"/>
      <c r="J141" s="197"/>
      <c r="K141" s="197"/>
    </row>
    <row r="142" spans="1:13">
      <c r="G142" s="132" t="s">
        <v>232</v>
      </c>
      <c r="H142" s="132" t="s">
        <v>233</v>
      </c>
      <c r="I142" s="132" t="s">
        <v>290</v>
      </c>
      <c r="J142" s="132" t="s">
        <v>291</v>
      </c>
    </row>
    <row r="143" spans="1:13">
      <c r="G143" s="71">
        <v>0</v>
      </c>
      <c r="H143" s="71">
        <v>-2.2999999999999998</v>
      </c>
      <c r="I143" s="2">
        <f>-0.0007*G143^6 + 0.0218*G143^5 - 0.2669*G143^4 + 1.4855*G143^3- 3.2999*G143^2 + 1.9718*G143 - 2.3502</f>
        <v>-2.3502000000000001</v>
      </c>
      <c r="J143" s="2">
        <f>ABS((H143-I143)/H143)</f>
        <v>2.1826086956521846E-2</v>
      </c>
    </row>
    <row r="144" spans="1:13">
      <c r="G144" s="71">
        <v>1</v>
      </c>
      <c r="H144" s="71">
        <v>-2.7</v>
      </c>
      <c r="I144" s="2">
        <f t="shared" ref="I144:I152" si="8">-0.0007*G144^6 + 0.0218*G144^5 - 0.2669*G144^4 + 1.4855*G144^3- 3.2999*G144^2 + 1.9718*G144 - 2.3502</f>
        <v>-2.4386000000000001</v>
      </c>
      <c r="J144" s="2">
        <f t="shared" ref="J144:J152" si="9">ABS((H144-I144)/H144)</f>
        <v>9.681481481481484E-2</v>
      </c>
    </row>
    <row r="145" spans="1:13">
      <c r="G145" s="71">
        <v>2</v>
      </c>
      <c r="H145" s="71">
        <v>-2.9</v>
      </c>
      <c r="I145" s="2">
        <f t="shared" si="8"/>
        <v>-3.3397999999999994</v>
      </c>
      <c r="J145" s="2">
        <f t="shared" si="9"/>
        <v>0.15165517241379295</v>
      </c>
    </row>
    <row r="146" spans="1:13">
      <c r="G146" s="71">
        <v>3</v>
      </c>
      <c r="H146" s="71">
        <v>-2.8</v>
      </c>
      <c r="I146" s="2">
        <f t="shared" si="8"/>
        <v>-2.8572000000000068</v>
      </c>
      <c r="J146" s="2">
        <f t="shared" si="9"/>
        <v>2.042857142857394E-2</v>
      </c>
    </row>
    <row r="147" spans="1:13">
      <c r="G147" s="71">
        <v>4</v>
      </c>
      <c r="H147" s="71">
        <v>-2.1</v>
      </c>
      <c r="I147" s="2">
        <f t="shared" si="8"/>
        <v>-1.0598000000000019</v>
      </c>
      <c r="J147" s="2">
        <f t="shared" si="9"/>
        <v>0.49533333333333246</v>
      </c>
    </row>
    <row r="148" spans="1:13">
      <c r="G148" s="71">
        <v>5</v>
      </c>
      <c r="H148" s="71">
        <v>3</v>
      </c>
      <c r="I148" s="2">
        <f t="shared" si="8"/>
        <v>1.0737999999999692</v>
      </c>
      <c r="J148" s="2">
        <f t="shared" si="9"/>
        <v>0.64206666666667689</v>
      </c>
    </row>
    <row r="149" spans="1:13">
      <c r="G149" s="71">
        <v>6</v>
      </c>
      <c r="H149" s="71">
        <v>2.2000000000000002</v>
      </c>
      <c r="I149" s="2">
        <f t="shared" si="8"/>
        <v>2.5073999999999232</v>
      </c>
      <c r="J149" s="2">
        <f t="shared" si="9"/>
        <v>0.13972727272723776</v>
      </c>
    </row>
    <row r="150" spans="1:13">
      <c r="G150" s="71">
        <v>7</v>
      </c>
      <c r="H150" s="71">
        <v>4.7</v>
      </c>
      <c r="I150" s="2">
        <f t="shared" si="8"/>
        <v>2.4952000000000281</v>
      </c>
      <c r="J150" s="2">
        <f t="shared" si="9"/>
        <v>0.46910638297871743</v>
      </c>
    </row>
    <row r="151" spans="1:13">
      <c r="G151" s="71">
        <v>8</v>
      </c>
      <c r="H151" s="71">
        <v>4.5</v>
      </c>
      <c r="I151" s="2">
        <f t="shared" si="8"/>
        <v>0.42579999999988249</v>
      </c>
      <c r="J151" s="2">
        <f t="shared" si="9"/>
        <v>0.90537777777780393</v>
      </c>
    </row>
    <row r="152" spans="1:13">
      <c r="G152" s="71">
        <v>9</v>
      </c>
      <c r="H152" s="71">
        <v>3.2</v>
      </c>
      <c r="I152" s="2">
        <f t="shared" si="8"/>
        <v>-4.8378000000001427</v>
      </c>
      <c r="J152" s="2">
        <f t="shared" si="9"/>
        <v>2.5118125000000444</v>
      </c>
    </row>
    <row r="153" spans="1:13">
      <c r="J153">
        <f>SUM(J143:J152)</f>
        <v>5.4541485790975166</v>
      </c>
    </row>
    <row r="155" spans="1:13" ht="15" thickBot="1">
      <c r="A155" t="s">
        <v>236</v>
      </c>
      <c r="H155" s="105"/>
      <c r="I155" s="134" t="s">
        <v>301</v>
      </c>
      <c r="J155" s="105">
        <f>(J153/B136)*100</f>
        <v>54.541485790975166</v>
      </c>
    </row>
    <row r="156" spans="1:13">
      <c r="A156" s="126" t="s">
        <v>237</v>
      </c>
      <c r="B156" s="131"/>
    </row>
    <row r="157" spans="1:13">
      <c r="A157" t="s">
        <v>238</v>
      </c>
      <c r="B157" s="91">
        <v>0.88149277291123462</v>
      </c>
      <c r="L157" s="127"/>
      <c r="M157" s="127"/>
    </row>
    <row r="158" spans="1:13">
      <c r="A158" t="s">
        <v>239</v>
      </c>
      <c r="B158" s="91">
        <v>0.77702950869473753</v>
      </c>
      <c r="C158" s="104" t="s">
        <v>299</v>
      </c>
      <c r="D158" s="105"/>
      <c r="E158" s="105">
        <f>B158</f>
        <v>0.77702950869473753</v>
      </c>
      <c r="F158" s="73" t="s">
        <v>300</v>
      </c>
    </row>
    <row r="159" spans="1:13">
      <c r="A159" t="s">
        <v>240</v>
      </c>
      <c r="B159" s="91">
        <v>0.74915819728157973</v>
      </c>
      <c r="C159" s="105"/>
      <c r="D159" s="134" t="s">
        <v>260</v>
      </c>
      <c r="E159" s="105">
        <f>SQRT(B158)</f>
        <v>0.88149277291123462</v>
      </c>
      <c r="F159" s="73" t="s">
        <v>261</v>
      </c>
    </row>
    <row r="160" spans="1:13">
      <c r="A160" t="s">
        <v>241</v>
      </c>
      <c r="B160" s="91">
        <v>1.5163717194624542</v>
      </c>
    </row>
    <row r="161" spans="1:20" ht="15" thickBot="1">
      <c r="A161" s="124" t="s">
        <v>242</v>
      </c>
      <c r="B161" s="130">
        <v>10</v>
      </c>
    </row>
    <row r="163" spans="1:20" ht="15" thickBot="1">
      <c r="A163" t="s">
        <v>243</v>
      </c>
    </row>
    <row r="164" spans="1:20">
      <c r="A164" s="125"/>
      <c r="B164" s="125" t="s">
        <v>248</v>
      </c>
      <c r="C164" s="125" t="s">
        <v>249</v>
      </c>
      <c r="D164" s="125" t="s">
        <v>250</v>
      </c>
      <c r="E164" s="125" t="s">
        <v>176</v>
      </c>
      <c r="F164" s="129" t="s">
        <v>251</v>
      </c>
    </row>
    <row r="165" spans="1:20">
      <c r="A165" t="s">
        <v>244</v>
      </c>
      <c r="B165">
        <v>1</v>
      </c>
      <c r="C165">
        <v>64.104934467315843</v>
      </c>
      <c r="D165">
        <v>64.104934467315843</v>
      </c>
      <c r="E165">
        <v>27.879187210685334</v>
      </c>
      <c r="F165" s="91">
        <v>7.4613955517722943E-4</v>
      </c>
      <c r="L165" s="128"/>
      <c r="M165" s="128"/>
      <c r="N165" s="128"/>
      <c r="O165" s="128"/>
      <c r="P165" s="128"/>
      <c r="Q165" s="128"/>
    </row>
    <row r="166" spans="1:20">
      <c r="A166" t="s">
        <v>245</v>
      </c>
      <c r="B166">
        <v>8</v>
      </c>
      <c r="C166">
        <v>18.395065532684157</v>
      </c>
      <c r="D166">
        <v>2.2993831915855196</v>
      </c>
      <c r="F166" s="91"/>
    </row>
    <row r="167" spans="1:20" ht="15" thickBot="1">
      <c r="A167" s="124" t="s">
        <v>246</v>
      </c>
      <c r="B167" s="124">
        <v>9</v>
      </c>
      <c r="C167" s="124">
        <v>82.5</v>
      </c>
      <c r="D167" s="124"/>
      <c r="E167" s="124"/>
      <c r="F167" s="130"/>
    </row>
    <row r="168" spans="1:20" ht="15" thickBot="1"/>
    <row r="169" spans="1:20">
      <c r="A169" s="125"/>
      <c r="B169" s="125" t="s">
        <v>252</v>
      </c>
      <c r="C169" s="125" t="s">
        <v>241</v>
      </c>
      <c r="D169" s="125" t="s">
        <v>253</v>
      </c>
      <c r="E169" s="125" t="s">
        <v>254</v>
      </c>
      <c r="F169" s="125" t="s">
        <v>255</v>
      </c>
      <c r="G169" s="125" t="s">
        <v>256</v>
      </c>
      <c r="H169" s="125" t="s">
        <v>257</v>
      </c>
      <c r="I169" s="129" t="s">
        <v>258</v>
      </c>
    </row>
    <row r="170" spans="1:20">
      <c r="A170" t="s">
        <v>247</v>
      </c>
      <c r="B170">
        <v>4.1105016639960557</v>
      </c>
      <c r="C170">
        <v>0.48515974217118762</v>
      </c>
      <c r="D170">
        <v>8.4724706250372961</v>
      </c>
      <c r="E170">
        <v>2.8826385411458348E-5</v>
      </c>
      <c r="F170">
        <v>2.9917212923147094</v>
      </c>
      <c r="G170">
        <v>5.2292820356774019</v>
      </c>
      <c r="H170">
        <v>2.9917212923147094</v>
      </c>
      <c r="I170" s="91">
        <v>5.2292820356774019</v>
      </c>
      <c r="L170" s="128"/>
      <c r="M170" s="128"/>
      <c r="N170" s="128"/>
      <c r="O170" s="128"/>
      <c r="P170" s="128"/>
      <c r="Q170" s="128"/>
      <c r="R170" s="128"/>
      <c r="S170" s="128"/>
      <c r="T170" s="128"/>
    </row>
    <row r="171" spans="1:20" ht="15" thickBot="1">
      <c r="A171" s="124" t="s">
        <v>233</v>
      </c>
      <c r="B171" s="124">
        <v>0.81145486667488376</v>
      </c>
      <c r="C171" s="124">
        <v>0.15368246406649846</v>
      </c>
      <c r="D171" s="124">
        <v>5.2800745459401721</v>
      </c>
      <c r="E171" s="124">
        <v>7.4613955517723073E-4</v>
      </c>
      <c r="F171" s="124">
        <v>0.45706246902917247</v>
      </c>
      <c r="G171" s="124">
        <v>1.165847264320595</v>
      </c>
      <c r="H171" s="124">
        <v>0.45706246902917247</v>
      </c>
      <c r="I171" s="130">
        <v>1.165847264320595</v>
      </c>
    </row>
    <row r="172" spans="1:20">
      <c r="C172" s="231" t="s">
        <v>263</v>
      </c>
    </row>
    <row r="173" spans="1:20">
      <c r="C173" s="232"/>
    </row>
    <row r="174" spans="1:20">
      <c r="C174" s="232"/>
    </row>
    <row r="176" spans="1:20">
      <c r="A176" t="s">
        <v>303</v>
      </c>
    </row>
  </sheetData>
  <mergeCells count="12">
    <mergeCell ref="P110:S110"/>
    <mergeCell ref="A43:B43"/>
    <mergeCell ref="A44:B44"/>
    <mergeCell ref="A54:F54"/>
    <mergeCell ref="A47:B47"/>
    <mergeCell ref="C63:C64"/>
    <mergeCell ref="C172:C174"/>
    <mergeCell ref="G141:K141"/>
    <mergeCell ref="K138:M138"/>
    <mergeCell ref="A110:D110"/>
    <mergeCell ref="F110:I110"/>
    <mergeCell ref="K110:N110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028F4-D3E8-4598-BE46-EF18C75B4DE8}">
  <dimension ref="A1:AE166"/>
  <sheetViews>
    <sheetView zoomScale="70" zoomScaleNormal="70" workbookViewId="0">
      <selection activeCell="I158" sqref="I158"/>
    </sheetView>
  </sheetViews>
  <sheetFormatPr defaultRowHeight="14.4"/>
  <cols>
    <col min="9" max="9" width="11" bestFit="1" customWidth="1"/>
    <col min="22" max="22" width="13" bestFit="1" customWidth="1"/>
  </cols>
  <sheetData>
    <row r="1" spans="1:29">
      <c r="A1" t="s">
        <v>305</v>
      </c>
    </row>
    <row r="2" spans="1:29">
      <c r="A2" t="s">
        <v>345</v>
      </c>
      <c r="Y2" s="121"/>
    </row>
    <row r="3" spans="1:29" ht="15" thickBot="1">
      <c r="A3" t="s">
        <v>306</v>
      </c>
      <c r="M3" s="121" t="s">
        <v>307</v>
      </c>
      <c r="Y3" s="121" t="s">
        <v>342</v>
      </c>
    </row>
    <row r="4" spans="1:29">
      <c r="H4" s="135" t="s">
        <v>308</v>
      </c>
      <c r="I4" s="135" t="s">
        <v>309</v>
      </c>
      <c r="J4" s="135" t="s">
        <v>310</v>
      </c>
      <c r="K4" s="136" t="s">
        <v>311</v>
      </c>
      <c r="L4" s="135" t="s">
        <v>312</v>
      </c>
      <c r="M4" s="135" t="s">
        <v>313</v>
      </c>
      <c r="N4" s="135"/>
      <c r="O4" s="2"/>
      <c r="P4" s="2"/>
      <c r="Q4" s="2"/>
      <c r="S4" s="138" t="s">
        <v>308</v>
      </c>
      <c r="T4" s="139" t="s">
        <v>309</v>
      </c>
      <c r="U4" s="140" t="s">
        <v>314</v>
      </c>
      <c r="V4" s="141" t="s">
        <v>315</v>
      </c>
      <c r="W4" s="141" t="s">
        <v>316</v>
      </c>
      <c r="X4" s="142" t="s">
        <v>311</v>
      </c>
      <c r="Y4" s="137" t="s">
        <v>313</v>
      </c>
      <c r="Z4" s="135"/>
      <c r="AA4" s="2"/>
      <c r="AB4" s="2"/>
      <c r="AC4" s="2"/>
    </row>
    <row r="5" spans="1:29">
      <c r="H5" s="2">
        <v>45.1</v>
      </c>
      <c r="I5" s="2">
        <v>68.8</v>
      </c>
      <c r="J5" s="2">
        <f>H5*I5</f>
        <v>3102.88</v>
      </c>
      <c r="K5" s="143">
        <f>H5^2</f>
        <v>2034.0100000000002</v>
      </c>
      <c r="L5" s="2">
        <f>I5^2</f>
        <v>4733.4399999999996</v>
      </c>
      <c r="M5" s="2">
        <f>I$23+I$22*H5</f>
        <v>61.275795004695766</v>
      </c>
      <c r="N5" s="2">
        <f>(I5-M5)^2</f>
        <v>56.613660811361143</v>
      </c>
      <c r="O5" s="2">
        <f>(I5-$I$13)^2</f>
        <v>119.121632653061</v>
      </c>
      <c r="P5" s="2">
        <f>ABS((I5-M5)/I5)</f>
        <v>0.1093634446991894</v>
      </c>
      <c r="Q5" s="2">
        <f>(H5-H$13)^2</f>
        <v>96.039999999999949</v>
      </c>
      <c r="S5" s="3">
        <v>45.1</v>
      </c>
      <c r="T5" s="144">
        <v>68.8</v>
      </c>
      <c r="U5" s="145">
        <f>LOG10(S5)</f>
        <v>1.6541765418779606</v>
      </c>
      <c r="V5" s="2">
        <f>LOG10(T5)</f>
        <v>1.8375884382355112</v>
      </c>
      <c r="W5" s="2">
        <f>U5*V5</f>
        <v>3.0396956881553403</v>
      </c>
      <c r="X5" s="146">
        <f>U5^2</f>
        <v>2.7363000316993284</v>
      </c>
      <c r="Y5" s="147">
        <f>W$17*S5^T$16</f>
        <v>60.979294134561108</v>
      </c>
      <c r="Z5" s="2">
        <f>(T5-Y5)^2</f>
        <v>61.16344023371024</v>
      </c>
      <c r="AA5" s="2">
        <f>(T5-$T$13)^2</f>
        <v>119.121632653061</v>
      </c>
      <c r="AB5" s="2">
        <f>ABS((T5-Y5)/T5)</f>
        <v>0.1136730503697513</v>
      </c>
      <c r="AC5" s="2">
        <f>(S5-S$13)^2</f>
        <v>96.039999999999949</v>
      </c>
    </row>
    <row r="6" spans="1:29">
      <c r="H6" s="2">
        <v>59</v>
      </c>
      <c r="I6" s="2">
        <v>61.2</v>
      </c>
      <c r="J6" s="2">
        <f t="shared" ref="J6:J11" si="0">H6*I6</f>
        <v>3610.8</v>
      </c>
      <c r="K6" s="143">
        <f t="shared" ref="K6:L11" si="1">H6^2</f>
        <v>3481</v>
      </c>
      <c r="L6" s="2">
        <f t="shared" si="1"/>
        <v>3745.4400000000005</v>
      </c>
      <c r="M6" s="2">
        <f t="shared" ref="M6:M11" si="2">I$23+I$22*H6</f>
        <v>56.467415209405729</v>
      </c>
      <c r="N6" s="2">
        <f t="shared" ref="N6:N11" si="3">(I6-M6)^2</f>
        <v>22.397358800164245</v>
      </c>
      <c r="O6" s="2">
        <f t="shared" ref="O6:O11" si="4">(I6-$I$13)^2</f>
        <v>10.984489795918336</v>
      </c>
      <c r="P6" s="2">
        <f t="shared" ref="P6:P11" si="5">ABS((I6-M6)/I6)</f>
        <v>7.7329816839775717E-2</v>
      </c>
      <c r="Q6" s="2">
        <f t="shared" ref="Q6:Q11" si="6">(H6-H$13)^2</f>
        <v>16.810000000000013</v>
      </c>
      <c r="S6" s="3">
        <v>59</v>
      </c>
      <c r="T6" s="144">
        <v>61.2</v>
      </c>
      <c r="U6" s="145">
        <f t="shared" ref="U6:V11" si="7">LOG10(S6)</f>
        <v>1.7708520116421442</v>
      </c>
      <c r="V6" s="2">
        <f t="shared" si="7"/>
        <v>1.7867514221455612</v>
      </c>
      <c r="W6" s="2">
        <f t="shared" ref="W6:W11" si="8">U6*V6</f>
        <v>3.1640723502109291</v>
      </c>
      <c r="X6" s="146">
        <f t="shared" ref="X6:X11" si="9">U6^2</f>
        <v>3.1359168471370289</v>
      </c>
      <c r="Y6" s="147">
        <f t="shared" ref="Y6:Y11" si="10">W$17*S6^T$16</f>
        <v>56.281235195232554</v>
      </c>
      <c r="Z6" s="2">
        <f t="shared" ref="Z6:Z11" si="11">(T6-Y6)^2</f>
        <v>24.194247204618957</v>
      </c>
      <c r="AA6" s="2">
        <f t="shared" ref="AA6:AA11" si="12">(T6-$T$13)^2</f>
        <v>10.984489795918336</v>
      </c>
      <c r="AB6" s="2">
        <f t="shared" ref="AB6:AB11" si="13">ABS((T6-Y6)/T6)</f>
        <v>8.0371973934108637E-2</v>
      </c>
      <c r="AC6" s="2">
        <f t="shared" ref="AC6:AC11" si="14">(S6-S$13)^2</f>
        <v>16.810000000000013</v>
      </c>
    </row>
    <row r="7" spans="1:29">
      <c r="H7" s="2">
        <v>57.2</v>
      </c>
      <c r="I7" s="2">
        <v>59.9</v>
      </c>
      <c r="J7" s="2">
        <f t="shared" si="0"/>
        <v>3426.28</v>
      </c>
      <c r="K7" s="143">
        <f t="shared" si="1"/>
        <v>3271.84</v>
      </c>
      <c r="L7" s="2">
        <f t="shared" si="1"/>
        <v>3588.0099999999998</v>
      </c>
      <c r="M7" s="2">
        <f t="shared" si="2"/>
        <v>57.090083096565586</v>
      </c>
      <c r="N7" s="2">
        <f t="shared" si="3"/>
        <v>7.8956330042064398</v>
      </c>
      <c r="O7" s="2">
        <f t="shared" si="4"/>
        <v>4.0573469387754741</v>
      </c>
      <c r="P7" s="2">
        <f t="shared" si="5"/>
        <v>4.6910131943813237E-2</v>
      </c>
      <c r="Q7" s="2">
        <f t="shared" si="6"/>
        <v>5.2900000000000196</v>
      </c>
      <c r="S7" s="3">
        <v>57.2</v>
      </c>
      <c r="T7" s="144">
        <v>59.9</v>
      </c>
      <c r="U7" s="145">
        <f t="shared" si="7"/>
        <v>1.7573960287930241</v>
      </c>
      <c r="V7" s="2">
        <f t="shared" si="7"/>
        <v>1.7774268223893113</v>
      </c>
      <c r="W7" s="2">
        <f t="shared" si="8"/>
        <v>3.1236428391371795</v>
      </c>
      <c r="X7" s="146">
        <f t="shared" si="9"/>
        <v>3.0884408020174918</v>
      </c>
      <c r="Y7" s="147">
        <f t="shared" si="10"/>
        <v>56.804038080378852</v>
      </c>
      <c r="Z7" s="2">
        <f t="shared" si="11"/>
        <v>9.5849802077442536</v>
      </c>
      <c r="AA7" s="2">
        <f t="shared" si="12"/>
        <v>4.0573469387754741</v>
      </c>
      <c r="AB7" s="2">
        <f t="shared" si="13"/>
        <v>5.1685507840085916E-2</v>
      </c>
      <c r="AC7" s="2">
        <f t="shared" si="14"/>
        <v>5.2900000000000196</v>
      </c>
    </row>
    <row r="8" spans="1:29">
      <c r="H8" s="2">
        <v>61.8</v>
      </c>
      <c r="I8" s="2">
        <v>56.7</v>
      </c>
      <c r="J8" s="2">
        <f t="shared" si="0"/>
        <v>3504.06</v>
      </c>
      <c r="K8" s="143">
        <f t="shared" si="1"/>
        <v>3819.24</v>
      </c>
      <c r="L8" s="2">
        <f t="shared" si="1"/>
        <v>3214.8900000000003</v>
      </c>
      <c r="M8" s="2">
        <f t="shared" si="2"/>
        <v>55.498820718268163</v>
      </c>
      <c r="N8" s="2">
        <f t="shared" si="3"/>
        <v>1.4428316668618177</v>
      </c>
      <c r="O8" s="2">
        <f t="shared" si="4"/>
        <v>1.4059183673469497</v>
      </c>
      <c r="P8" s="2">
        <f t="shared" si="5"/>
        <v>2.1184819783630324E-2</v>
      </c>
      <c r="Q8" s="2">
        <f t="shared" si="6"/>
        <v>47.609999999999978</v>
      </c>
      <c r="S8" s="3">
        <v>61.8</v>
      </c>
      <c r="T8" s="144">
        <v>56.7</v>
      </c>
      <c r="U8" s="145">
        <f t="shared" si="7"/>
        <v>1.7909884750888159</v>
      </c>
      <c r="V8" s="2">
        <f t="shared" si="7"/>
        <v>1.7535830588929067</v>
      </c>
      <c r="W8" s="2">
        <f t="shared" si="8"/>
        <v>3.1406470485881881</v>
      </c>
      <c r="X8" s="146">
        <f t="shared" si="9"/>
        <v>3.2076397179009621</v>
      </c>
      <c r="Y8" s="147">
        <f t="shared" si="10"/>
        <v>55.507851043253638</v>
      </c>
      <c r="Z8" s="2">
        <f t="shared" si="11"/>
        <v>1.4212191350714469</v>
      </c>
      <c r="AA8" s="2">
        <f t="shared" si="12"/>
        <v>1.4059183673469497</v>
      </c>
      <c r="AB8" s="2">
        <f t="shared" si="13"/>
        <v>2.1025554792704852E-2</v>
      </c>
      <c r="AC8" s="2">
        <f t="shared" si="14"/>
        <v>47.609999999999978</v>
      </c>
    </row>
    <row r="9" spans="1:29">
      <c r="H9" s="2">
        <v>58.8</v>
      </c>
      <c r="I9" s="2">
        <v>55</v>
      </c>
      <c r="J9" s="2">
        <f t="shared" si="0"/>
        <v>3234</v>
      </c>
      <c r="K9" s="143">
        <f t="shared" si="1"/>
        <v>3457.4399999999996</v>
      </c>
      <c r="L9" s="2">
        <f t="shared" si="1"/>
        <v>3025</v>
      </c>
      <c r="M9" s="2">
        <f t="shared" si="2"/>
        <v>56.53660053020127</v>
      </c>
      <c r="N9" s="2">
        <f t="shared" si="3"/>
        <v>2.3611411894148224</v>
      </c>
      <c r="O9" s="2">
        <f t="shared" si="4"/>
        <v>8.3273469387755537</v>
      </c>
      <c r="P9" s="2">
        <f t="shared" si="5"/>
        <v>2.7938191458204899E-2</v>
      </c>
      <c r="Q9" s="2">
        <f t="shared" si="6"/>
        <v>15.209999999999988</v>
      </c>
      <c r="S9" s="3">
        <v>58.8</v>
      </c>
      <c r="T9" s="144">
        <v>55</v>
      </c>
      <c r="U9" s="145">
        <f t="shared" si="7"/>
        <v>1.7693773260761385</v>
      </c>
      <c r="V9" s="2">
        <f t="shared" si="7"/>
        <v>1.7403626894942439</v>
      </c>
      <c r="W9" s="2">
        <f t="shared" si="8"/>
        <v>3.0793582819400021</v>
      </c>
      <c r="X9" s="146">
        <f t="shared" si="9"/>
        <v>3.1306961220323459</v>
      </c>
      <c r="Y9" s="147">
        <f t="shared" si="10"/>
        <v>56.338295317477886</v>
      </c>
      <c r="Z9" s="2">
        <f t="shared" si="11"/>
        <v>1.7910343567832363</v>
      </c>
      <c r="AA9" s="2">
        <f t="shared" si="12"/>
        <v>8.3273469387755537</v>
      </c>
      <c r="AB9" s="2">
        <f t="shared" si="13"/>
        <v>2.4332642135961566E-2</v>
      </c>
      <c r="AC9" s="2">
        <f t="shared" si="14"/>
        <v>15.209999999999988</v>
      </c>
    </row>
    <row r="10" spans="1:29">
      <c r="H10" s="2">
        <v>47.2</v>
      </c>
      <c r="I10" s="2">
        <v>54.3</v>
      </c>
      <c r="J10" s="2">
        <f t="shared" si="0"/>
        <v>2562.96</v>
      </c>
      <c r="K10" s="143">
        <f t="shared" si="1"/>
        <v>2227.84</v>
      </c>
      <c r="L10" s="2">
        <f t="shared" si="1"/>
        <v>2948.49</v>
      </c>
      <c r="M10" s="2">
        <f t="shared" si="2"/>
        <v>60.549349136342599</v>
      </c>
      <c r="N10" s="2">
        <f t="shared" si="3"/>
        <v>39.054364627906018</v>
      </c>
      <c r="O10" s="2">
        <f t="shared" si="4"/>
        <v>12.857346938775585</v>
      </c>
      <c r="P10" s="2">
        <f t="shared" si="5"/>
        <v>0.11508930269507554</v>
      </c>
      <c r="Q10" s="2">
        <f t="shared" si="6"/>
        <v>59.289999999999935</v>
      </c>
      <c r="S10" s="3">
        <v>47.2</v>
      </c>
      <c r="T10" s="144">
        <v>54.3</v>
      </c>
      <c r="U10" s="145">
        <f t="shared" si="7"/>
        <v>1.6739419986340878</v>
      </c>
      <c r="V10" s="2">
        <f t="shared" si="7"/>
        <v>1.7347998295888469</v>
      </c>
      <c r="W10" s="2">
        <f t="shared" si="8"/>
        <v>2.9039542939720291</v>
      </c>
      <c r="X10" s="146">
        <f t="shared" si="9"/>
        <v>2.8020818147910842</v>
      </c>
      <c r="Y10" s="147">
        <f t="shared" si="10"/>
        <v>60.156686132402179</v>
      </c>
      <c r="Z10" s="2">
        <f t="shared" si="11"/>
        <v>34.300772453472021</v>
      </c>
      <c r="AA10" s="2">
        <f t="shared" si="12"/>
        <v>12.857346938775585</v>
      </c>
      <c r="AB10" s="2">
        <f t="shared" si="13"/>
        <v>0.1078579398232446</v>
      </c>
      <c r="AC10" s="2">
        <f t="shared" si="14"/>
        <v>59.289999999999935</v>
      </c>
    </row>
    <row r="11" spans="1:29" ht="15" thickBot="1">
      <c r="H11" s="78">
        <v>55.2</v>
      </c>
      <c r="I11" s="78">
        <v>49.3</v>
      </c>
      <c r="J11" s="78">
        <f t="shared" si="0"/>
        <v>2721.36</v>
      </c>
      <c r="K11" s="11">
        <f t="shared" si="1"/>
        <v>3047.0400000000004</v>
      </c>
      <c r="L11" s="78">
        <f t="shared" si="1"/>
        <v>2430.4899999999998</v>
      </c>
      <c r="M11" s="78">
        <f t="shared" si="2"/>
        <v>57.78193630452099</v>
      </c>
      <c r="N11" s="78">
        <f t="shared" si="3"/>
        <v>71.943243473951227</v>
      </c>
      <c r="O11" s="78">
        <f t="shared" si="4"/>
        <v>73.714489795918539</v>
      </c>
      <c r="P11" s="78">
        <f t="shared" si="5"/>
        <v>0.17204738954403637</v>
      </c>
      <c r="Q11" s="2">
        <f t="shared" si="6"/>
        <v>9.0000000000002564E-2</v>
      </c>
      <c r="S11" s="148">
        <v>55.2</v>
      </c>
      <c r="T11" s="149">
        <v>49.3</v>
      </c>
      <c r="U11" s="150">
        <f t="shared" si="7"/>
        <v>1.741939077729199</v>
      </c>
      <c r="V11" s="78">
        <f t="shared" si="7"/>
        <v>1.69284691927723</v>
      </c>
      <c r="W11" s="78">
        <f t="shared" si="8"/>
        <v>2.9488362013024938</v>
      </c>
      <c r="X11" s="151">
        <f t="shared" si="9"/>
        <v>3.0343517505200523</v>
      </c>
      <c r="Y11" s="12">
        <f t="shared" si="10"/>
        <v>57.410580298585657</v>
      </c>
      <c r="Z11" s="78">
        <f t="shared" si="11"/>
        <v>65.781512779805851</v>
      </c>
      <c r="AA11" s="78">
        <f t="shared" si="12"/>
        <v>73.714489795918539</v>
      </c>
      <c r="AB11" s="78">
        <f t="shared" si="13"/>
        <v>0.1645148133587355</v>
      </c>
      <c r="AC11" s="2">
        <f t="shared" si="14"/>
        <v>9.0000000000002564E-2</v>
      </c>
    </row>
    <row r="12" spans="1:29">
      <c r="H12" s="152">
        <f>SUM(H5:H11)</f>
        <v>384.3</v>
      </c>
      <c r="I12" s="153">
        <f>SUM(I5:I11)</f>
        <v>405.20000000000005</v>
      </c>
      <c r="J12" s="153">
        <f t="shared" ref="J12:L12" si="15">SUM(J5:J11)</f>
        <v>22162.34</v>
      </c>
      <c r="K12" s="154">
        <f t="shared" si="15"/>
        <v>21338.41</v>
      </c>
      <c r="L12" s="153">
        <f t="shared" si="15"/>
        <v>23685.760000000002</v>
      </c>
      <c r="M12" s="153"/>
      <c r="N12" s="153">
        <f t="shared" ref="N12:Q12" si="16">SUM(N5:N11)</f>
        <v>201.7082335738657</v>
      </c>
      <c r="O12" s="153">
        <f t="shared" si="16"/>
        <v>230.46857142857141</v>
      </c>
      <c r="P12" s="155">
        <f t="shared" si="16"/>
        <v>0.5698630969637255</v>
      </c>
      <c r="Q12" s="156">
        <f t="shared" si="16"/>
        <v>240.33999999999989</v>
      </c>
      <c r="S12" s="157"/>
      <c r="T12" s="158">
        <f>SUM(T5:T11)</f>
        <v>405.20000000000005</v>
      </c>
      <c r="U12" s="152">
        <f>SUM(U5:U11)</f>
        <v>12.15867145984137</v>
      </c>
      <c r="V12" s="153">
        <f>SUM(V5:V11)</f>
        <v>12.32335918002361</v>
      </c>
      <c r="W12" s="153">
        <f t="shared" ref="W12:X12" si="17">SUM(W5:W11)</f>
        <v>21.400206703306164</v>
      </c>
      <c r="X12" s="159">
        <f t="shared" si="17"/>
        <v>21.135427086098293</v>
      </c>
      <c r="Y12" s="160"/>
      <c r="Z12" s="153">
        <f t="shared" ref="Z12:AC12" si="18">SUM(Z5:Z11)</f>
        <v>198.23720637120601</v>
      </c>
      <c r="AA12" s="153">
        <f t="shared" si="18"/>
        <v>230.46857142857141</v>
      </c>
      <c r="AB12" s="155">
        <f t="shared" si="18"/>
        <v>0.56346148225459236</v>
      </c>
      <c r="AC12" s="156">
        <f t="shared" si="18"/>
        <v>240.33999999999989</v>
      </c>
    </row>
    <row r="13" spans="1:29" ht="15" thickBot="1">
      <c r="G13" t="s">
        <v>317</v>
      </c>
      <c r="H13" s="161">
        <f>AVERAGE(H5:H11)</f>
        <v>54.9</v>
      </c>
      <c r="I13" s="162">
        <f t="shared" ref="I13:O13" si="19">AVERAGE(I5:I11)</f>
        <v>57.885714285714293</v>
      </c>
      <c r="J13" s="162">
        <f t="shared" si="19"/>
        <v>3166.0485714285714</v>
      </c>
      <c r="K13" s="163">
        <f t="shared" si="19"/>
        <v>3048.3442857142859</v>
      </c>
      <c r="L13" s="162">
        <f t="shared" si="19"/>
        <v>3383.6800000000003</v>
      </c>
      <c r="M13" s="162"/>
      <c r="N13" s="162">
        <f t="shared" si="19"/>
        <v>28.815461939123672</v>
      </c>
      <c r="O13" s="162">
        <f t="shared" si="19"/>
        <v>32.924081632653056</v>
      </c>
      <c r="P13" s="162"/>
      <c r="Q13" s="164"/>
      <c r="S13" s="165">
        <f>AVERAGE(S5:S11)</f>
        <v>54.9</v>
      </c>
      <c r="T13" s="166">
        <f>AVERAGE(T5:T11)</f>
        <v>57.885714285714293</v>
      </c>
      <c r="U13" s="161">
        <f>AVERAGE(U5:U11)</f>
        <v>1.7369530656916243</v>
      </c>
      <c r="V13" s="162">
        <f t="shared" ref="V13:AA13" si="20">AVERAGE(V5:V11)</f>
        <v>1.7604798828605157</v>
      </c>
      <c r="W13" s="162">
        <f t="shared" si="20"/>
        <v>3.0571723861865947</v>
      </c>
      <c r="X13" s="164">
        <f t="shared" si="20"/>
        <v>3.0193467265854705</v>
      </c>
      <c r="Y13" s="167"/>
      <c r="Z13" s="162">
        <f t="shared" si="20"/>
        <v>28.319600910172287</v>
      </c>
      <c r="AA13" s="162">
        <f t="shared" si="20"/>
        <v>32.924081632653056</v>
      </c>
      <c r="AB13" s="162"/>
      <c r="AC13" s="164"/>
    </row>
    <row r="15" spans="1:29">
      <c r="H15">
        <f>(SUM(H5:H11)/COUNT(H5:H11))</f>
        <v>54.9</v>
      </c>
    </row>
    <row r="16" spans="1:29">
      <c r="S16" s="69" t="s">
        <v>318</v>
      </c>
      <c r="T16" s="15">
        <f>(W13-U13*V13)/(X13-U13^2)</f>
        <v>-0.29842410488851762</v>
      </c>
    </row>
    <row r="17" spans="8:23">
      <c r="S17" s="69" t="s">
        <v>319</v>
      </c>
      <c r="T17">
        <f>V13-T16*U13</f>
        <v>2.278828546722905</v>
      </c>
      <c r="V17" s="69" t="s">
        <v>320</v>
      </c>
      <c r="W17" s="15">
        <f>10^T17</f>
        <v>190.03279094173132</v>
      </c>
    </row>
    <row r="22" spans="8:23">
      <c r="H22" s="69" t="s">
        <v>318</v>
      </c>
      <c r="I22">
        <f>(J13-H13*I13)/(K13-H13^2)</f>
        <v>-0.34592660397770114</v>
      </c>
    </row>
    <row r="23" spans="8:23">
      <c r="H23" s="69" t="s">
        <v>320</v>
      </c>
      <c r="I23">
        <f>I13-I22*H13</f>
        <v>76.877084844090092</v>
      </c>
    </row>
    <row r="44" spans="7:27">
      <c r="G44" s="69" t="s">
        <v>321</v>
      </c>
      <c r="H44">
        <f>(J13-H13*I13)/SQRT((K13-H13^2)*(L13-I13^2))</f>
        <v>-0.35325729317080473</v>
      </c>
      <c r="I44" t="s">
        <v>322</v>
      </c>
      <c r="L44" s="69" t="s">
        <v>323</v>
      </c>
      <c r="M44">
        <f>H44^2</f>
        <v>0.12479071517836389</v>
      </c>
      <c r="N44" t="s">
        <v>324</v>
      </c>
    </row>
    <row r="46" spans="7:27">
      <c r="Y46" s="69" t="s">
        <v>323</v>
      </c>
      <c r="Z46">
        <f>U48^2</f>
        <v>0.13985145504906638</v>
      </c>
      <c r="AA46" t="s">
        <v>324</v>
      </c>
    </row>
    <row r="48" spans="7:27">
      <c r="T48" s="69" t="s">
        <v>325</v>
      </c>
      <c r="U48">
        <f>SQRT(1-Z12/AA12)</f>
        <v>0.37396718445482136</v>
      </c>
      <c r="V48" t="s">
        <v>326</v>
      </c>
    </row>
    <row r="50" spans="7:28">
      <c r="G50" s="69" t="s">
        <v>95</v>
      </c>
      <c r="H50">
        <f>(P12/COUNT(P5:P11))*100</f>
        <v>8.140901385196079</v>
      </c>
      <c r="I50" t="s">
        <v>327</v>
      </c>
      <c r="T50" s="69" t="s">
        <v>126</v>
      </c>
      <c r="U50">
        <f>AB12/COUNT(AB5:AB11)*100</f>
        <v>8.0494497464941759</v>
      </c>
      <c r="V50" t="s">
        <v>327</v>
      </c>
    </row>
    <row r="51" spans="7:28">
      <c r="G51" s="11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12"/>
    </row>
    <row r="52" spans="7:28">
      <c r="G52" s="168" t="s">
        <v>328</v>
      </c>
      <c r="H52">
        <f>M44/(1-M44)*(H55-2)</f>
        <v>0.71291928309350439</v>
      </c>
      <c r="T52" s="69" t="s">
        <v>328</v>
      </c>
      <c r="U52">
        <f>Z46/(1-Z46)*(U55-2)</f>
        <v>0.81294943687339538</v>
      </c>
      <c r="AB52" s="91"/>
    </row>
    <row r="53" spans="7:28">
      <c r="G53" s="90"/>
      <c r="AB53" s="91"/>
    </row>
    <row r="54" spans="7:28">
      <c r="G54" s="168" t="s">
        <v>329</v>
      </c>
      <c r="H54">
        <v>1</v>
      </c>
      <c r="T54" s="69" t="s">
        <v>329</v>
      </c>
      <c r="U54">
        <v>2</v>
      </c>
      <c r="AB54" s="91"/>
    </row>
    <row r="55" spans="7:28">
      <c r="G55" s="168" t="s">
        <v>294</v>
      </c>
      <c r="H55">
        <f>COUNT(H5:H11)</f>
        <v>7</v>
      </c>
      <c r="T55" s="69" t="s">
        <v>294</v>
      </c>
      <c r="U55">
        <f>COUNT(U5:U11)</f>
        <v>7</v>
      </c>
      <c r="AB55" s="91"/>
    </row>
    <row r="56" spans="7:28">
      <c r="G56" s="168"/>
      <c r="AB56" s="91"/>
    </row>
    <row r="57" spans="7:28">
      <c r="G57" s="168" t="s">
        <v>330</v>
      </c>
      <c r="H57" t="s">
        <v>331</v>
      </c>
      <c r="T57" s="69" t="s">
        <v>330</v>
      </c>
      <c r="U57" t="s">
        <v>332</v>
      </c>
      <c r="AB57" s="91"/>
    </row>
    <row r="58" spans="7:28">
      <c r="G58" s="90"/>
      <c r="AB58" s="91"/>
    </row>
    <row r="59" spans="7:28">
      <c r="G59" s="168" t="s">
        <v>333</v>
      </c>
      <c r="H59">
        <v>1</v>
      </c>
      <c r="I59" t="s">
        <v>343</v>
      </c>
      <c r="T59" s="69" t="s">
        <v>333</v>
      </c>
      <c r="U59">
        <v>2</v>
      </c>
      <c r="V59" t="s">
        <v>344</v>
      </c>
      <c r="AB59" s="91"/>
    </row>
    <row r="60" spans="7:28">
      <c r="G60" s="90" t="s">
        <v>334</v>
      </c>
      <c r="H60">
        <f>H55-H54-1</f>
        <v>5</v>
      </c>
      <c r="T60" t="s">
        <v>334</v>
      </c>
      <c r="U60">
        <f>U55-U54-1</f>
        <v>4</v>
      </c>
      <c r="AB60" s="91"/>
    </row>
    <row r="61" spans="7:28">
      <c r="G61" s="90"/>
      <c r="AB61" s="91"/>
    </row>
    <row r="62" spans="7:28">
      <c r="G62" s="90" t="s">
        <v>335</v>
      </c>
      <c r="I62" t="s">
        <v>336</v>
      </c>
      <c r="T62" t="s">
        <v>335</v>
      </c>
      <c r="V62" t="s">
        <v>336</v>
      </c>
      <c r="AB62" s="91"/>
    </row>
    <row r="63" spans="7:28">
      <c r="G63" s="90"/>
      <c r="AB63" s="91"/>
    </row>
    <row r="64" spans="7:28">
      <c r="G64" s="168" t="s">
        <v>295</v>
      </c>
      <c r="H64">
        <f>H13*1.1</f>
        <v>60.39</v>
      </c>
      <c r="T64" s="69" t="s">
        <v>295</v>
      </c>
      <c r="U64">
        <f>S13*1.1</f>
        <v>60.39</v>
      </c>
      <c r="AB64" s="91"/>
    </row>
    <row r="65" spans="1:28">
      <c r="G65" s="168" t="s">
        <v>337</v>
      </c>
      <c r="H65">
        <f>I22*H64+I23</f>
        <v>55.986577229876715</v>
      </c>
      <c r="T65" s="69" t="s">
        <v>337</v>
      </c>
      <c r="U65">
        <f>W17*U64^T16</f>
        <v>55.891485416497538</v>
      </c>
      <c r="AB65" s="91"/>
    </row>
    <row r="66" spans="1:28">
      <c r="G66" s="90"/>
      <c r="AB66" s="91"/>
    </row>
    <row r="67" spans="1:28">
      <c r="G67" s="90"/>
      <c r="H67">
        <f>SQRT(N12/(H55-H54-1))</f>
        <v>6.3515074364101265</v>
      </c>
      <c r="U67">
        <f>SQRT(Z12/(U55-U54-1))</f>
        <v>7.0398367589597912</v>
      </c>
      <c r="AB67" s="91"/>
    </row>
    <row r="68" spans="1:28">
      <c r="G68" s="90"/>
      <c r="H68">
        <f>H67*SQRT(1+1/H55+(H64-H13)^2/Q12)</f>
        <v>7.152889439698443</v>
      </c>
      <c r="U68">
        <f>U67*SQRT(1+1/U55+(U64-S13)^2/AC12)</f>
        <v>7.9280666069447543</v>
      </c>
      <c r="AB68" s="91"/>
    </row>
    <row r="69" spans="1:28">
      <c r="G69" s="90"/>
      <c r="AB69" s="91"/>
    </row>
    <row r="70" spans="1:28">
      <c r="G70" s="168" t="s">
        <v>320</v>
      </c>
      <c r="H70">
        <v>0.05</v>
      </c>
      <c r="T70" s="69" t="s">
        <v>320</v>
      </c>
      <c r="U70">
        <v>0.05</v>
      </c>
      <c r="AB70" s="91"/>
    </row>
    <row r="71" spans="1:28">
      <c r="G71" s="168" t="s">
        <v>338</v>
      </c>
      <c r="H71" t="s">
        <v>339</v>
      </c>
      <c r="I71">
        <f>H55-2</f>
        <v>5</v>
      </c>
      <c r="T71" s="69" t="s">
        <v>338</v>
      </c>
      <c r="U71" t="s">
        <v>339</v>
      </c>
      <c r="V71" s="89">
        <f>U55-2</f>
        <v>5</v>
      </c>
      <c r="AB71" s="91"/>
    </row>
    <row r="72" spans="1:28">
      <c r="G72" s="90"/>
      <c r="AB72" s="91"/>
    </row>
    <row r="73" spans="1:28">
      <c r="G73" s="168" t="s">
        <v>340</v>
      </c>
      <c r="H73">
        <v>2.5710000000000002</v>
      </c>
      <c r="T73" s="69" t="s">
        <v>340</v>
      </c>
      <c r="U73">
        <v>2.5710000000000002</v>
      </c>
      <c r="AB73" s="91"/>
    </row>
    <row r="74" spans="1:28">
      <c r="G74" s="90"/>
      <c r="H74">
        <f>H73*H68</f>
        <v>18.390078749464699</v>
      </c>
      <c r="U74">
        <f>U73*U68</f>
        <v>20.383059246454966</v>
      </c>
      <c r="AB74" s="91"/>
    </row>
    <row r="75" spans="1:28">
      <c r="G75" s="90"/>
      <c r="AB75" s="91"/>
    </row>
    <row r="76" spans="1:28">
      <c r="G76" s="90"/>
      <c r="H76" s="2">
        <f>H65-H74</f>
        <v>37.596498480412016</v>
      </c>
      <c r="I76" s="2">
        <v>55.986577229876715</v>
      </c>
      <c r="J76" s="2">
        <f>H65+H74</f>
        <v>74.376655979341422</v>
      </c>
      <c r="U76" s="2">
        <f>U65-U74</f>
        <v>35.508426170042569</v>
      </c>
      <c r="V76" s="2">
        <v>55.891485416497538</v>
      </c>
      <c r="W76" s="2">
        <f>U65+U74</f>
        <v>76.274544662952508</v>
      </c>
      <c r="AB76" s="91"/>
    </row>
    <row r="77" spans="1:28">
      <c r="G77" s="13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14"/>
    </row>
    <row r="78" spans="1:28">
      <c r="G78" t="s">
        <v>341</v>
      </c>
    </row>
    <row r="80" spans="1:28">
      <c r="A80" t="s">
        <v>346</v>
      </c>
      <c r="AA80" s="121"/>
    </row>
    <row r="81" spans="9:31" ht="15" thickBot="1">
      <c r="AA81" s="121" t="s">
        <v>342</v>
      </c>
    </row>
    <row r="82" spans="9:31">
      <c r="I82" s="135" t="s">
        <v>308</v>
      </c>
      <c r="J82" s="135" t="s">
        <v>309</v>
      </c>
      <c r="K82" s="135" t="s">
        <v>310</v>
      </c>
      <c r="L82" s="136" t="s">
        <v>311</v>
      </c>
      <c r="M82" s="135" t="s">
        <v>312</v>
      </c>
      <c r="N82" s="169" t="s">
        <v>313</v>
      </c>
      <c r="O82" s="135"/>
      <c r="P82" s="2"/>
      <c r="Q82" s="2"/>
      <c r="R82" s="2"/>
      <c r="U82" s="138" t="s">
        <v>308</v>
      </c>
      <c r="V82" s="139" t="s">
        <v>309</v>
      </c>
      <c r="W82" s="140" t="s">
        <v>314</v>
      </c>
      <c r="X82" s="141" t="s">
        <v>315</v>
      </c>
      <c r="Y82" s="141" t="s">
        <v>316</v>
      </c>
      <c r="Z82" s="142" t="s">
        <v>311</v>
      </c>
      <c r="AA82" s="137" t="s">
        <v>313</v>
      </c>
      <c r="AB82" s="135"/>
      <c r="AC82" s="2"/>
      <c r="AD82" s="2"/>
      <c r="AE82" s="2"/>
    </row>
    <row r="83" spans="9:31">
      <c r="I83" s="2">
        <v>524</v>
      </c>
      <c r="J83" s="2">
        <v>408</v>
      </c>
      <c r="K83" s="2">
        <f t="shared" ref="K83:K98" si="21">I83*J83</f>
        <v>213792</v>
      </c>
      <c r="L83" s="143">
        <f t="shared" ref="L83:L98" si="22">I83^2</f>
        <v>274576</v>
      </c>
      <c r="M83" s="143">
        <f t="shared" ref="M83:M98" si="23">J83^2</f>
        <v>166464</v>
      </c>
      <c r="N83" s="2">
        <f>J$110+J$109*J83</f>
        <v>315.20252393161809</v>
      </c>
      <c r="O83" s="147">
        <f>(J83-N83)^2</f>
        <v>8611.371564661913</v>
      </c>
      <c r="P83" s="2">
        <f t="shared" ref="P83:P98" si="24">(J83-$I$13)^2</f>
        <v>122580.01306122448</v>
      </c>
      <c r="Q83" s="2">
        <f t="shared" ref="Q83:Q98" si="25">ABS((J83-N83)/J83)</f>
        <v>0.22744479428524977</v>
      </c>
      <c r="R83" s="2">
        <f>(I83-I$100)^2</f>
        <v>179352.25</v>
      </c>
      <c r="U83" s="2">
        <v>524</v>
      </c>
      <c r="V83" s="2">
        <v>408</v>
      </c>
      <c r="W83" s="145">
        <f>LOG10(U83)</f>
        <v>2.7193312869837265</v>
      </c>
      <c r="X83" s="2">
        <f>LOG10(V83)</f>
        <v>2.61066016308988</v>
      </c>
      <c r="Y83" s="2">
        <f>W83*X83</f>
        <v>7.0992498611723489</v>
      </c>
      <c r="Z83" s="146">
        <f>W83^2</f>
        <v>7.3947626483685704</v>
      </c>
      <c r="AA83" s="147">
        <f>Y$104*U83^V$103</f>
        <v>331.28965417272286</v>
      </c>
      <c r="AB83" s="2">
        <f>(V83-AA83)^2</f>
        <v>5884.4771569404547</v>
      </c>
      <c r="AC83" s="2">
        <f>(V83-$V$100)^2</f>
        <v>9530.640625</v>
      </c>
      <c r="AD83" s="2">
        <f>ABS((V83-AA83)/V83)</f>
        <v>0.18801555349822827</v>
      </c>
      <c r="AE83" s="2">
        <f>(U83-U$100)^2</f>
        <v>179352.25</v>
      </c>
    </row>
    <row r="84" spans="9:31">
      <c r="I84" s="2">
        <v>371</v>
      </c>
      <c r="J84" s="2">
        <v>249</v>
      </c>
      <c r="K84" s="2">
        <f t="shared" si="21"/>
        <v>92379</v>
      </c>
      <c r="L84" s="143">
        <f t="shared" si="22"/>
        <v>137641</v>
      </c>
      <c r="M84" s="143">
        <f t="shared" si="23"/>
        <v>62001</v>
      </c>
      <c r="N84" s="2">
        <f t="shared" ref="N84:N97" si="26">J$110+J$109*J84</f>
        <v>259.08172004862877</v>
      </c>
      <c r="O84" s="147">
        <f t="shared" ref="O84:O98" si="27">(J84-N84)^2</f>
        <v>101.64107913892323</v>
      </c>
      <c r="P84" s="2">
        <f t="shared" si="24"/>
        <v>36524.670204081624</v>
      </c>
      <c r="Q84" s="2">
        <f t="shared" si="25"/>
        <v>4.0488835536661716E-2</v>
      </c>
      <c r="R84" s="2">
        <f t="shared" ref="R84:R98" si="28">(I84-I$100)^2</f>
        <v>332352.25</v>
      </c>
      <c r="U84" s="2">
        <v>371</v>
      </c>
      <c r="V84" s="2">
        <v>249</v>
      </c>
      <c r="W84" s="145">
        <f t="shared" ref="W84:W98" si="29">LOG10(U84)</f>
        <v>2.5693739096150461</v>
      </c>
      <c r="X84" s="2">
        <f t="shared" ref="X84:X98" si="30">LOG10(V84)</f>
        <v>2.3961993470957363</v>
      </c>
      <c r="Y84" s="2">
        <f t="shared" ref="Y84:Y98" si="31">W84*X84</f>
        <v>6.1567320846643927</v>
      </c>
      <c r="Z84" s="146">
        <f t="shared" ref="Z84:Z98" si="32">W84^2</f>
        <v>6.6016822874105072</v>
      </c>
      <c r="AA84" s="147">
        <f t="shared" ref="AA84:AA98" si="33">Y$104*U84^V$103</f>
        <v>255.95080357814047</v>
      </c>
      <c r="AB84" s="2">
        <f t="shared" ref="AB84:AB98" si="34">(V84-AA84)^2</f>
        <v>48.313670381890304</v>
      </c>
      <c r="AC84" s="2">
        <f t="shared" ref="AC84:AC98" si="35">(V84-$V$100)^2</f>
        <v>65856.390625</v>
      </c>
      <c r="AD84" s="2">
        <f t="shared" ref="AD84:AD98" si="36">ABS((V84-AA84)/V84)</f>
        <v>2.7914873807793034E-2</v>
      </c>
      <c r="AE84" s="2">
        <f t="shared" ref="AE84:AE98" si="37">(U84-U$100)^2</f>
        <v>332352.25</v>
      </c>
    </row>
    <row r="85" spans="9:31">
      <c r="I85" s="2">
        <v>453</v>
      </c>
      <c r="J85" s="2">
        <v>253</v>
      </c>
      <c r="K85" s="2">
        <f t="shared" si="21"/>
        <v>114609</v>
      </c>
      <c r="L85" s="143">
        <f t="shared" si="22"/>
        <v>205209</v>
      </c>
      <c r="M85" s="143">
        <f t="shared" si="23"/>
        <v>64009</v>
      </c>
      <c r="N85" s="2">
        <f t="shared" si="26"/>
        <v>260.49356417147123</v>
      </c>
      <c r="O85" s="147">
        <f t="shared" si="27"/>
        <v>56.153503991957372</v>
      </c>
      <c r="P85" s="2">
        <f t="shared" si="24"/>
        <v>38069.58448979591</v>
      </c>
      <c r="Q85" s="2">
        <f t="shared" si="25"/>
        <v>2.9618830717277608E-2</v>
      </c>
      <c r="R85" s="2">
        <f t="shared" si="28"/>
        <v>244530.25</v>
      </c>
      <c r="U85" s="2">
        <v>453</v>
      </c>
      <c r="V85" s="2">
        <v>253</v>
      </c>
      <c r="W85" s="145">
        <f t="shared" si="29"/>
        <v>2.6560982020128319</v>
      </c>
      <c r="X85" s="2">
        <f t="shared" si="30"/>
        <v>2.403120521175818</v>
      </c>
      <c r="Y85" s="2">
        <f t="shared" si="31"/>
        <v>6.3829240955152295</v>
      </c>
      <c r="Z85" s="146">
        <f t="shared" si="32"/>
        <v>7.0548576587357985</v>
      </c>
      <c r="AA85" s="147">
        <f t="shared" si="33"/>
        <v>297.13838124023647</v>
      </c>
      <c r="AB85" s="2">
        <f t="shared" si="34"/>
        <v>1948.1966985084587</v>
      </c>
      <c r="AC85" s="2">
        <f t="shared" si="35"/>
        <v>63819.390625</v>
      </c>
      <c r="AD85" s="2">
        <f t="shared" si="36"/>
        <v>0.17446000490212044</v>
      </c>
      <c r="AE85" s="2">
        <f t="shared" si="37"/>
        <v>244530.25</v>
      </c>
    </row>
    <row r="86" spans="9:31">
      <c r="I86" s="2">
        <v>1006</v>
      </c>
      <c r="J86" s="2">
        <v>580</v>
      </c>
      <c r="K86" s="2">
        <f t="shared" si="21"/>
        <v>583480</v>
      </c>
      <c r="L86" s="143">
        <f t="shared" si="22"/>
        <v>1012036</v>
      </c>
      <c r="M86" s="143">
        <f t="shared" si="23"/>
        <v>336400</v>
      </c>
      <c r="N86" s="2">
        <f t="shared" si="26"/>
        <v>375.91182121384543</v>
      </c>
      <c r="O86" s="147">
        <f t="shared" si="27"/>
        <v>41651.984720249391</v>
      </c>
      <c r="P86" s="2">
        <f t="shared" si="24"/>
        <v>272603.32734693884</v>
      </c>
      <c r="Q86" s="2">
        <f t="shared" si="25"/>
        <v>0.35187617032095614</v>
      </c>
      <c r="R86" s="2">
        <f t="shared" si="28"/>
        <v>3422.25</v>
      </c>
      <c r="U86" s="2">
        <v>1006</v>
      </c>
      <c r="V86" s="2">
        <v>580</v>
      </c>
      <c r="W86" s="145">
        <f t="shared" si="29"/>
        <v>3.0025979807199086</v>
      </c>
      <c r="X86" s="2">
        <f t="shared" si="30"/>
        <v>2.7634279935629373</v>
      </c>
      <c r="Y86" s="2">
        <f t="shared" si="31"/>
        <v>8.2974633133369444</v>
      </c>
      <c r="Z86" s="146">
        <f t="shared" si="32"/>
        <v>9.0155946338232731</v>
      </c>
      <c r="AA86" s="147">
        <f t="shared" si="33"/>
        <v>539.35019084622206</v>
      </c>
      <c r="AB86" s="2">
        <f t="shared" si="34"/>
        <v>1652.4069842385686</v>
      </c>
      <c r="AC86" s="2">
        <f t="shared" si="35"/>
        <v>5531.640625</v>
      </c>
      <c r="AD86" s="2">
        <f t="shared" si="36"/>
        <v>7.0085877851341266E-2</v>
      </c>
      <c r="AE86" s="2">
        <f t="shared" si="37"/>
        <v>3422.25</v>
      </c>
    </row>
    <row r="87" spans="9:31">
      <c r="I87" s="2">
        <v>997</v>
      </c>
      <c r="J87" s="2">
        <v>651</v>
      </c>
      <c r="K87" s="2">
        <f t="shared" si="21"/>
        <v>649047</v>
      </c>
      <c r="L87" s="143">
        <f t="shared" si="22"/>
        <v>994009</v>
      </c>
      <c r="M87" s="143">
        <f t="shared" si="23"/>
        <v>423801</v>
      </c>
      <c r="N87" s="2">
        <f t="shared" si="26"/>
        <v>400.97205439429979</v>
      </c>
      <c r="O87" s="147">
        <f t="shared" si="27"/>
        <v>62513.973583806983</v>
      </c>
      <c r="P87" s="2">
        <f t="shared" si="24"/>
        <v>351784.5559183674</v>
      </c>
      <c r="Q87" s="2">
        <f t="shared" si="25"/>
        <v>0.38406750477066087</v>
      </c>
      <c r="R87" s="2">
        <f t="shared" si="28"/>
        <v>2450.25</v>
      </c>
      <c r="U87" s="2">
        <v>997</v>
      </c>
      <c r="V87" s="2">
        <v>651</v>
      </c>
      <c r="W87" s="145">
        <f t="shared" si="29"/>
        <v>2.9986951583116559</v>
      </c>
      <c r="X87" s="2">
        <f t="shared" si="30"/>
        <v>2.8135809885681922</v>
      </c>
      <c r="Y87" s="2">
        <f t="shared" si="31"/>
        <v>8.437071687937161</v>
      </c>
      <c r="Z87" s="146">
        <f t="shared" si="32"/>
        <v>8.9921726524817664</v>
      </c>
      <c r="AA87" s="147">
        <f t="shared" si="33"/>
        <v>535.74060518227918</v>
      </c>
      <c r="AB87" s="2">
        <f t="shared" si="34"/>
        <v>13284.728093747248</v>
      </c>
      <c r="AC87" s="2">
        <f t="shared" si="35"/>
        <v>21133.890625</v>
      </c>
      <c r="AD87" s="2">
        <f t="shared" si="36"/>
        <v>0.17704976162476316</v>
      </c>
      <c r="AE87" s="2">
        <f t="shared" si="37"/>
        <v>2450.25</v>
      </c>
    </row>
    <row r="88" spans="9:31">
      <c r="I88" s="2">
        <v>217</v>
      </c>
      <c r="J88" s="2">
        <v>139</v>
      </c>
      <c r="K88" s="2">
        <f t="shared" si="21"/>
        <v>30163</v>
      </c>
      <c r="L88" s="143">
        <f t="shared" si="22"/>
        <v>47089</v>
      </c>
      <c r="M88" s="143">
        <f t="shared" si="23"/>
        <v>19321</v>
      </c>
      <c r="N88" s="2">
        <f t="shared" si="26"/>
        <v>220.25600667046007</v>
      </c>
      <c r="O88" s="147">
        <f t="shared" si="27"/>
        <v>6602.5386200298508</v>
      </c>
      <c r="P88" s="2">
        <f t="shared" si="24"/>
        <v>6579.527346938773</v>
      </c>
      <c r="Q88" s="2">
        <f t="shared" si="25"/>
        <v>0.58457558755726668</v>
      </c>
      <c r="R88" s="2">
        <f t="shared" si="28"/>
        <v>533630.25</v>
      </c>
      <c r="U88" s="2">
        <v>217</v>
      </c>
      <c r="V88" s="2">
        <v>139</v>
      </c>
      <c r="W88" s="145">
        <f t="shared" si="29"/>
        <v>2.3364597338485296</v>
      </c>
      <c r="X88" s="2">
        <f t="shared" si="30"/>
        <v>2.143014800254095</v>
      </c>
      <c r="Y88" s="2">
        <f t="shared" si="31"/>
        <v>5.0070677898351423</v>
      </c>
      <c r="Z88" s="146">
        <f t="shared" si="32"/>
        <v>5.459044087895542</v>
      </c>
      <c r="AA88" s="147">
        <f t="shared" si="33"/>
        <v>171.44231330134892</v>
      </c>
      <c r="AB88" s="2">
        <f t="shared" si="34"/>
        <v>1052.5036923428809</v>
      </c>
      <c r="AC88" s="2">
        <f t="shared" si="35"/>
        <v>134413.890625</v>
      </c>
      <c r="AD88" s="2">
        <f t="shared" si="36"/>
        <v>0.23339793741977638</v>
      </c>
      <c r="AE88" s="2">
        <f t="shared" si="37"/>
        <v>533630.25</v>
      </c>
    </row>
    <row r="89" spans="9:31">
      <c r="I89" s="2">
        <v>486</v>
      </c>
      <c r="J89" s="2">
        <v>322</v>
      </c>
      <c r="K89" s="2">
        <f t="shared" si="21"/>
        <v>156492</v>
      </c>
      <c r="L89" s="2">
        <f t="shared" si="22"/>
        <v>236196</v>
      </c>
      <c r="M89" s="2">
        <f t="shared" si="23"/>
        <v>103684</v>
      </c>
      <c r="N89" s="2">
        <f t="shared" si="26"/>
        <v>284.84787529050436</v>
      </c>
      <c r="O89" s="147">
        <f t="shared" si="27"/>
        <v>1380.2803704299163</v>
      </c>
      <c r="P89" s="2">
        <f t="shared" si="24"/>
        <v>69756.355918367335</v>
      </c>
      <c r="Q89" s="2">
        <f t="shared" si="25"/>
        <v>0.11537926928414795</v>
      </c>
      <c r="R89" s="2">
        <f t="shared" si="28"/>
        <v>212982.25</v>
      </c>
      <c r="U89" s="2">
        <v>486</v>
      </c>
      <c r="V89" s="2">
        <v>322</v>
      </c>
      <c r="W89" s="145">
        <f t="shared" si="29"/>
        <v>2.6866362692622934</v>
      </c>
      <c r="X89" s="2">
        <f t="shared" si="30"/>
        <v>2.5078558716958308</v>
      </c>
      <c r="Y89" s="2">
        <f t="shared" si="31"/>
        <v>6.7376965429804239</v>
      </c>
      <c r="Z89" s="146">
        <f t="shared" si="32"/>
        <v>7.2180144433156146</v>
      </c>
      <c r="AA89" s="147">
        <f t="shared" si="33"/>
        <v>313.16805383651422</v>
      </c>
      <c r="AB89" s="2">
        <f t="shared" si="34"/>
        <v>78.003273034711214</v>
      </c>
      <c r="AC89" s="2">
        <f t="shared" si="35"/>
        <v>33718.140625</v>
      </c>
      <c r="AD89" s="2">
        <f t="shared" si="36"/>
        <v>2.7428404234427894E-2</v>
      </c>
      <c r="AE89" s="2">
        <f t="shared" si="37"/>
        <v>212982.25</v>
      </c>
    </row>
    <row r="90" spans="9:31">
      <c r="I90" s="2">
        <v>1989</v>
      </c>
      <c r="J90" s="2">
        <v>899</v>
      </c>
      <c r="K90" s="2">
        <f t="shared" si="21"/>
        <v>1788111</v>
      </c>
      <c r="L90" s="2">
        <f t="shared" si="22"/>
        <v>3956121</v>
      </c>
      <c r="M90" s="2">
        <f t="shared" si="23"/>
        <v>808201</v>
      </c>
      <c r="N90" s="2">
        <f t="shared" si="26"/>
        <v>488.50639001053469</v>
      </c>
      <c r="O90" s="147">
        <f t="shared" si="27"/>
        <v>168505.00384218324</v>
      </c>
      <c r="P90" s="2">
        <f t="shared" si="24"/>
        <v>707473.24163265317</v>
      </c>
      <c r="Q90" s="2">
        <f t="shared" si="25"/>
        <v>0.45661135705168554</v>
      </c>
      <c r="R90" s="2">
        <f t="shared" si="28"/>
        <v>1084722.25</v>
      </c>
      <c r="U90" s="2">
        <v>1989</v>
      </c>
      <c r="V90" s="2">
        <v>899</v>
      </c>
      <c r="W90" s="145">
        <f t="shared" si="29"/>
        <v>3.2986347831244354</v>
      </c>
      <c r="X90" s="2">
        <f t="shared" si="30"/>
        <v>2.9537596917332287</v>
      </c>
      <c r="Y90" s="2">
        <f t="shared" si="31"/>
        <v>9.7433744601421388</v>
      </c>
      <c r="Z90" s="146">
        <f t="shared" si="32"/>
        <v>10.880991432438391</v>
      </c>
      <c r="AA90" s="147">
        <f t="shared" si="33"/>
        <v>897.58564776681771</v>
      </c>
      <c r="AB90" s="2">
        <f t="shared" si="34"/>
        <v>2.0003922395077169</v>
      </c>
      <c r="AC90" s="2">
        <f t="shared" si="35"/>
        <v>154743.890625</v>
      </c>
      <c r="AD90" s="2">
        <f t="shared" si="36"/>
        <v>1.5732505374663906E-3</v>
      </c>
      <c r="AE90" s="2">
        <f t="shared" si="37"/>
        <v>1084722.25</v>
      </c>
    </row>
    <row r="91" spans="9:31">
      <c r="I91" s="2">
        <v>595</v>
      </c>
      <c r="J91" s="2">
        <v>330</v>
      </c>
      <c r="K91" s="2">
        <f t="shared" si="21"/>
        <v>196350</v>
      </c>
      <c r="L91" s="2">
        <f t="shared" si="22"/>
        <v>354025</v>
      </c>
      <c r="M91" s="2">
        <f t="shared" si="23"/>
        <v>108900</v>
      </c>
      <c r="N91" s="2">
        <f t="shared" si="26"/>
        <v>287.67156353618935</v>
      </c>
      <c r="O91" s="147">
        <f t="shared" si="27"/>
        <v>1791.6965334708548</v>
      </c>
      <c r="P91" s="2">
        <f t="shared" si="24"/>
        <v>74046.184489795909</v>
      </c>
      <c r="Q91" s="2">
        <f t="shared" si="25"/>
        <v>0.12826798928427469</v>
      </c>
      <c r="R91" s="2">
        <f t="shared" si="28"/>
        <v>124256.25</v>
      </c>
      <c r="U91" s="2">
        <v>595</v>
      </c>
      <c r="V91" s="2">
        <v>330</v>
      </c>
      <c r="W91" s="145">
        <f t="shared" si="29"/>
        <v>2.7745169657285498</v>
      </c>
      <c r="X91" s="2">
        <f t="shared" si="30"/>
        <v>2.5185139398778875</v>
      </c>
      <c r="Y91" s="2">
        <f t="shared" si="31"/>
        <v>6.9876596546150518</v>
      </c>
      <c r="Z91" s="146">
        <f t="shared" si="32"/>
        <v>7.6979443931155584</v>
      </c>
      <c r="AA91" s="147">
        <f t="shared" si="33"/>
        <v>364.287105562438</v>
      </c>
      <c r="AB91" s="2">
        <f t="shared" si="34"/>
        <v>1175.6056078497668</v>
      </c>
      <c r="AC91" s="2">
        <f t="shared" si="35"/>
        <v>30844.140625</v>
      </c>
      <c r="AD91" s="2">
        <f t="shared" si="36"/>
        <v>0.10390031988617576</v>
      </c>
      <c r="AE91" s="2">
        <f t="shared" si="37"/>
        <v>124256.25</v>
      </c>
    </row>
    <row r="92" spans="9:31">
      <c r="I92" s="2">
        <v>1550</v>
      </c>
      <c r="J92" s="2">
        <v>446</v>
      </c>
      <c r="K92" s="2">
        <f t="shared" si="21"/>
        <v>691300</v>
      </c>
      <c r="L92" s="2">
        <f t="shared" si="22"/>
        <v>2402500</v>
      </c>
      <c r="M92" s="2">
        <f t="shared" si="23"/>
        <v>198916</v>
      </c>
      <c r="N92" s="2">
        <f t="shared" si="26"/>
        <v>328.61504309862175</v>
      </c>
      <c r="O92" s="147">
        <f t="shared" si="27"/>
        <v>13779.228106738428</v>
      </c>
      <c r="P92" s="2">
        <f t="shared" si="24"/>
        <v>150632.69877551019</v>
      </c>
      <c r="Q92" s="2">
        <f t="shared" si="25"/>
        <v>0.26319497063089292</v>
      </c>
      <c r="R92" s="2">
        <f t="shared" si="28"/>
        <v>363006.25</v>
      </c>
      <c r="U92" s="2">
        <v>1550</v>
      </c>
      <c r="V92" s="2">
        <v>446</v>
      </c>
      <c r="W92" s="145">
        <f t="shared" si="29"/>
        <v>3.1903316981702914</v>
      </c>
      <c r="X92" s="2">
        <f t="shared" si="30"/>
        <v>2.6493348587121419</v>
      </c>
      <c r="Y92" s="2">
        <f t="shared" si="31"/>
        <v>8.4522569788168571</v>
      </c>
      <c r="Z92" s="146">
        <f t="shared" si="32"/>
        <v>10.178216344350135</v>
      </c>
      <c r="AA92" s="147">
        <f t="shared" si="33"/>
        <v>744.98839276169906</v>
      </c>
      <c r="AB92" s="2">
        <f t="shared" si="34"/>
        <v>89394.059006224023</v>
      </c>
      <c r="AC92" s="2">
        <f t="shared" si="35"/>
        <v>3555.140625</v>
      </c>
      <c r="AD92" s="2">
        <f t="shared" si="36"/>
        <v>0.67037756224596201</v>
      </c>
      <c r="AE92" s="2">
        <f t="shared" si="37"/>
        <v>363006.25</v>
      </c>
    </row>
    <row r="93" spans="9:31">
      <c r="I93" s="2">
        <v>937</v>
      </c>
      <c r="J93" s="2">
        <v>642</v>
      </c>
      <c r="K93" s="2">
        <f t="shared" si="21"/>
        <v>601554</v>
      </c>
      <c r="L93" s="2">
        <f t="shared" si="22"/>
        <v>877969</v>
      </c>
      <c r="M93" s="2">
        <f t="shared" si="23"/>
        <v>412164</v>
      </c>
      <c r="N93" s="2">
        <f t="shared" si="26"/>
        <v>397.79540511790418</v>
      </c>
      <c r="O93" s="147">
        <f t="shared" si="27"/>
        <v>59635.884161528542</v>
      </c>
      <c r="P93" s="2">
        <f t="shared" si="24"/>
        <v>341189.49877551023</v>
      </c>
      <c r="Q93" s="2">
        <f t="shared" si="25"/>
        <v>0.38038098891292182</v>
      </c>
      <c r="R93" s="2">
        <f t="shared" si="28"/>
        <v>110.25</v>
      </c>
      <c r="U93" s="2">
        <v>937</v>
      </c>
      <c r="V93" s="2">
        <v>642</v>
      </c>
      <c r="W93" s="145">
        <f t="shared" si="29"/>
        <v>2.9717395908877782</v>
      </c>
      <c r="X93" s="2">
        <f t="shared" si="30"/>
        <v>2.8075350280688531</v>
      </c>
      <c r="Y93" s="2">
        <f t="shared" si="31"/>
        <v>8.3432629957164401</v>
      </c>
      <c r="Z93" s="146">
        <f t="shared" si="32"/>
        <v>8.8312361960498595</v>
      </c>
      <c r="AA93" s="147">
        <f t="shared" si="33"/>
        <v>511.46130742699569</v>
      </c>
      <c r="AB93" s="2">
        <f t="shared" si="34"/>
        <v>17040.350258669332</v>
      </c>
      <c r="AC93" s="2">
        <f t="shared" si="35"/>
        <v>18598.140625</v>
      </c>
      <c r="AD93" s="2">
        <f t="shared" si="36"/>
        <v>0.20333129684268583</v>
      </c>
      <c r="AE93" s="2">
        <f t="shared" si="37"/>
        <v>110.25</v>
      </c>
    </row>
    <row r="94" spans="9:31">
      <c r="I94" s="2">
        <v>761</v>
      </c>
      <c r="J94" s="2">
        <v>542</v>
      </c>
      <c r="K94" s="2">
        <f t="shared" si="21"/>
        <v>412462</v>
      </c>
      <c r="L94" s="2">
        <f t="shared" si="22"/>
        <v>579121</v>
      </c>
      <c r="M94" s="2">
        <f t="shared" si="23"/>
        <v>293764</v>
      </c>
      <c r="N94" s="2">
        <f t="shared" si="26"/>
        <v>362.49930204684176</v>
      </c>
      <c r="O94" s="147">
        <f t="shared" si="27"/>
        <v>32220.500565670947</v>
      </c>
      <c r="P94" s="2">
        <f t="shared" si="24"/>
        <v>234366.64163265305</v>
      </c>
      <c r="Q94" s="2">
        <f t="shared" si="25"/>
        <v>0.33118209954457239</v>
      </c>
      <c r="R94" s="2">
        <f t="shared" si="28"/>
        <v>34782.25</v>
      </c>
      <c r="U94" s="2">
        <v>761</v>
      </c>
      <c r="V94" s="2">
        <v>542</v>
      </c>
      <c r="W94" s="145">
        <f t="shared" si="29"/>
        <v>2.8813846567705728</v>
      </c>
      <c r="X94" s="2">
        <f t="shared" si="30"/>
        <v>2.7339992865383871</v>
      </c>
      <c r="Y94" s="2">
        <f t="shared" si="31"/>
        <v>7.8777035958534016</v>
      </c>
      <c r="Z94" s="146">
        <f t="shared" si="32"/>
        <v>8.3023775402728717</v>
      </c>
      <c r="AA94" s="147">
        <f t="shared" si="33"/>
        <v>437.82205516852815</v>
      </c>
      <c r="AB94" s="2">
        <f t="shared" si="34"/>
        <v>10853.044189309192</v>
      </c>
      <c r="AC94" s="2">
        <f t="shared" si="35"/>
        <v>1323.140625</v>
      </c>
      <c r="AD94" s="2">
        <f t="shared" si="36"/>
        <v>0.19221023031636872</v>
      </c>
      <c r="AE94" s="2">
        <f t="shared" si="37"/>
        <v>34782.25</v>
      </c>
    </row>
    <row r="95" spans="9:31">
      <c r="I95" s="2">
        <v>767</v>
      </c>
      <c r="J95" s="2">
        <v>504</v>
      </c>
      <c r="K95" s="2">
        <f t="shared" si="21"/>
        <v>386568</v>
      </c>
      <c r="L95" s="2">
        <f t="shared" si="22"/>
        <v>588289</v>
      </c>
      <c r="M95" s="2">
        <f t="shared" si="23"/>
        <v>254016</v>
      </c>
      <c r="N95" s="2">
        <f t="shared" si="26"/>
        <v>349.08678287983798</v>
      </c>
      <c r="O95" s="147">
        <f t="shared" si="27"/>
        <v>23998.104838518459</v>
      </c>
      <c r="P95" s="2">
        <f t="shared" si="24"/>
        <v>199017.95591836734</v>
      </c>
      <c r="Q95" s="2">
        <f t="shared" si="25"/>
        <v>0.30736749428603577</v>
      </c>
      <c r="R95" s="2">
        <f t="shared" si="28"/>
        <v>32580.25</v>
      </c>
      <c r="U95" s="2">
        <v>767</v>
      </c>
      <c r="V95" s="2">
        <v>504</v>
      </c>
      <c r="W95" s="145">
        <f t="shared" si="29"/>
        <v>2.8847953639489812</v>
      </c>
      <c r="X95" s="2">
        <f t="shared" si="30"/>
        <v>2.7024305364455254</v>
      </c>
      <c r="Y95" s="2">
        <f t="shared" si="31"/>
        <v>7.7959590829322103</v>
      </c>
      <c r="Z95" s="146">
        <f t="shared" si="32"/>
        <v>8.322044291861534</v>
      </c>
      <c r="AA95" s="147">
        <f t="shared" si="33"/>
        <v>440.39886291546992</v>
      </c>
      <c r="AB95" s="2">
        <f t="shared" si="34"/>
        <v>4045.1046384451874</v>
      </c>
      <c r="AC95" s="2">
        <f t="shared" si="35"/>
        <v>2.640625</v>
      </c>
      <c r="AD95" s="2">
        <f t="shared" si="36"/>
        <v>0.12619273231057557</v>
      </c>
      <c r="AE95" s="2">
        <f t="shared" si="37"/>
        <v>32580.25</v>
      </c>
    </row>
    <row r="96" spans="9:31">
      <c r="I96" s="2">
        <v>1720</v>
      </c>
      <c r="J96" s="2">
        <v>861</v>
      </c>
      <c r="K96" s="2">
        <f t="shared" si="21"/>
        <v>1480920</v>
      </c>
      <c r="L96" s="2">
        <f t="shared" si="22"/>
        <v>2958400</v>
      </c>
      <c r="M96" s="2">
        <f t="shared" si="23"/>
        <v>741321</v>
      </c>
      <c r="N96" s="2">
        <f t="shared" si="26"/>
        <v>475.09387084353096</v>
      </c>
      <c r="O96" s="147">
        <f t="shared" si="27"/>
        <v>148923.54052052935</v>
      </c>
      <c r="P96" s="2">
        <f t="shared" si="24"/>
        <v>644992.55591836746</v>
      </c>
      <c r="Q96" s="2">
        <f t="shared" si="25"/>
        <v>0.44820688636059119</v>
      </c>
      <c r="R96" s="2">
        <f t="shared" si="28"/>
        <v>596756.25</v>
      </c>
      <c r="U96" s="2">
        <v>1720</v>
      </c>
      <c r="V96" s="2">
        <v>861</v>
      </c>
      <c r="W96" s="145">
        <f t="shared" si="29"/>
        <v>3.2355284469075487</v>
      </c>
      <c r="X96" s="2">
        <f t="shared" si="30"/>
        <v>2.935003151453655</v>
      </c>
      <c r="Y96" s="2">
        <f t="shared" si="31"/>
        <v>9.4962861882916059</v>
      </c>
      <c r="Z96" s="146">
        <f t="shared" si="32"/>
        <v>10.468644330747974</v>
      </c>
      <c r="AA96" s="147">
        <f t="shared" si="33"/>
        <v>805.23285870498034</v>
      </c>
      <c r="AB96" s="2">
        <f t="shared" si="34"/>
        <v>3109.9740482186867</v>
      </c>
      <c r="AC96" s="2">
        <f t="shared" si="35"/>
        <v>126291.390625</v>
      </c>
      <c r="AD96" s="2">
        <f t="shared" si="36"/>
        <v>6.4770198948919458E-2</v>
      </c>
      <c r="AE96" s="2">
        <f t="shared" si="37"/>
        <v>596756.25</v>
      </c>
    </row>
    <row r="97" spans="8:31">
      <c r="I97" s="2">
        <v>1735</v>
      </c>
      <c r="J97" s="2">
        <v>707</v>
      </c>
      <c r="K97" s="2">
        <f t="shared" si="21"/>
        <v>1226645</v>
      </c>
      <c r="L97" s="2">
        <f t="shared" si="22"/>
        <v>3010225</v>
      </c>
      <c r="M97" s="2">
        <f t="shared" si="23"/>
        <v>499849</v>
      </c>
      <c r="N97" s="2">
        <f t="shared" si="26"/>
        <v>420.73787211409478</v>
      </c>
      <c r="O97" s="147">
        <f t="shared" si="27"/>
        <v>81946.005861766345</v>
      </c>
      <c r="P97" s="2">
        <f t="shared" si="24"/>
        <v>421349.35591836739</v>
      </c>
      <c r="Q97" s="2">
        <f t="shared" si="25"/>
        <v>0.40489692770283625</v>
      </c>
      <c r="R97" s="2">
        <f t="shared" si="28"/>
        <v>620156.25</v>
      </c>
      <c r="U97" s="2">
        <v>1735</v>
      </c>
      <c r="V97" s="2">
        <v>707</v>
      </c>
      <c r="W97" s="145">
        <f t="shared" si="29"/>
        <v>3.2392994791268923</v>
      </c>
      <c r="X97" s="2">
        <f t="shared" si="30"/>
        <v>2.8494194137968996</v>
      </c>
      <c r="Y97" s="2">
        <f t="shared" si="31"/>
        <v>9.2301228229263508</v>
      </c>
      <c r="Z97" s="146">
        <f t="shared" si="32"/>
        <v>10.493061115471756</v>
      </c>
      <c r="AA97" s="147">
        <f t="shared" si="33"/>
        <v>810.47436894395321</v>
      </c>
      <c r="AB97" s="2">
        <f t="shared" si="34"/>
        <v>10706.945028349348</v>
      </c>
      <c r="AC97" s="2">
        <f t="shared" si="35"/>
        <v>40551.890625</v>
      </c>
      <c r="AD97" s="2">
        <f t="shared" si="36"/>
        <v>0.14635695748791119</v>
      </c>
      <c r="AE97" s="2">
        <f t="shared" si="37"/>
        <v>620156.25</v>
      </c>
    </row>
    <row r="98" spans="8:31" ht="15" thickBot="1">
      <c r="I98" s="2">
        <v>1052</v>
      </c>
      <c r="J98" s="2">
        <v>557</v>
      </c>
      <c r="K98" s="2">
        <f t="shared" si="21"/>
        <v>585964</v>
      </c>
      <c r="L98" s="2">
        <f t="shared" si="22"/>
        <v>1106704</v>
      </c>
      <c r="M98" s="2">
        <f t="shared" si="23"/>
        <v>310249</v>
      </c>
      <c r="N98" s="2">
        <f>J$110+J$109*J98</f>
        <v>367.79371750750113</v>
      </c>
      <c r="O98" s="147">
        <f t="shared" si="27"/>
        <v>35799.017334631288</v>
      </c>
      <c r="P98" s="2">
        <f t="shared" si="24"/>
        <v>249115.07020408162</v>
      </c>
      <c r="Q98" s="2">
        <f t="shared" si="25"/>
        <v>0.33968811937612003</v>
      </c>
      <c r="R98" s="2">
        <f t="shared" si="28"/>
        <v>10920.25</v>
      </c>
      <c r="U98" s="2">
        <v>1052</v>
      </c>
      <c r="V98" s="2">
        <v>557</v>
      </c>
      <c r="W98" s="145">
        <f t="shared" si="29"/>
        <v>3.0220157398177201</v>
      </c>
      <c r="X98" s="2">
        <f t="shared" si="30"/>
        <v>2.7458551951737289</v>
      </c>
      <c r="Y98" s="2">
        <f t="shared" si="31"/>
        <v>8.2980176190752672</v>
      </c>
      <c r="Z98" s="146">
        <f t="shared" si="32"/>
        <v>9.1325791317060414</v>
      </c>
      <c r="AA98" s="147">
        <f t="shared" si="33"/>
        <v>557.67375164444684</v>
      </c>
      <c r="AB98" s="2">
        <f t="shared" si="34"/>
        <v>0.45394127839481885</v>
      </c>
      <c r="AC98" s="2">
        <f t="shared" si="35"/>
        <v>2639.390625</v>
      </c>
      <c r="AD98" s="2">
        <f t="shared" si="36"/>
        <v>1.2096079792582376E-3</v>
      </c>
      <c r="AE98" s="2">
        <f t="shared" si="37"/>
        <v>10920.25</v>
      </c>
    </row>
    <row r="99" spans="8:31">
      <c r="I99" s="171">
        <f>SUM(I83:I98)</f>
        <v>15160</v>
      </c>
      <c r="J99" s="170">
        <f>SUM(J83:J98)</f>
        <v>8090</v>
      </c>
      <c r="K99" s="170">
        <f>SUM(K83:K98)</f>
        <v>9209836</v>
      </c>
      <c r="L99" s="13">
        <f>SUM(L83:L98)</f>
        <v>18740110</v>
      </c>
      <c r="M99" s="170">
        <f>SUM(M83:M98)</f>
        <v>4803060</v>
      </c>
      <c r="N99" s="170"/>
      <c r="O99" s="170">
        <f>SUM(O83:O98)</f>
        <v>687516.92520734656</v>
      </c>
      <c r="P99" s="170">
        <f>SUM(P83:P98)</f>
        <v>3920081.2375510205</v>
      </c>
      <c r="Q99" s="172">
        <f>SUM(Q83:Q98)</f>
        <v>4.793247825622152</v>
      </c>
      <c r="R99" s="173">
        <f>SUM(R83:R98)</f>
        <v>4376010</v>
      </c>
      <c r="U99" s="157">
        <f t="shared" ref="U99:Z99" si="38">SUM(U83:U98)</f>
        <v>15160</v>
      </c>
      <c r="V99" s="158">
        <f t="shared" si="38"/>
        <v>8090</v>
      </c>
      <c r="W99" s="152">
        <f t="shared" si="38"/>
        <v>46.467439265236756</v>
      </c>
      <c r="X99" s="153">
        <f t="shared" si="38"/>
        <v>42.533710787242804</v>
      </c>
      <c r="Y99" s="153">
        <f t="shared" si="38"/>
        <v>124.34284877381099</v>
      </c>
      <c r="Z99" s="159">
        <f t="shared" si="38"/>
        <v>136.0432231880452</v>
      </c>
      <c r="AA99" s="160"/>
      <c r="AB99" s="153">
        <f>SUM(AB83:AB98)</f>
        <v>160276.16667977767</v>
      </c>
      <c r="AC99" s="153">
        <f>SUM(AC83:AC98)</f>
        <v>712553.75</v>
      </c>
      <c r="AD99" s="155">
        <f>SUM(AD83:AD98)</f>
        <v>2.4082745698937735</v>
      </c>
      <c r="AE99" s="156">
        <f>SUM(AE83:AE98)</f>
        <v>4376010</v>
      </c>
    </row>
    <row r="100" spans="8:31" ht="15" thickBot="1">
      <c r="H100" t="s">
        <v>317</v>
      </c>
      <c r="I100" s="161">
        <f>AVERAGE(I83:I98)</f>
        <v>947.5</v>
      </c>
      <c r="J100" s="162">
        <f>AVERAGE(J83:J98)</f>
        <v>505.625</v>
      </c>
      <c r="K100" s="162">
        <f>AVERAGE(K83:K98)</f>
        <v>575614.75</v>
      </c>
      <c r="L100" s="163">
        <f>AVERAGE(L83:L98)</f>
        <v>1171256.875</v>
      </c>
      <c r="M100" s="162">
        <f>AVERAGE(M83:M98)</f>
        <v>300191.25</v>
      </c>
      <c r="N100" s="162"/>
      <c r="O100" s="162">
        <f>AVERAGE(O83:O98)</f>
        <v>42969.80782545916</v>
      </c>
      <c r="P100" s="162">
        <f>AVERAGE(P83:P98)</f>
        <v>245005.07734693878</v>
      </c>
      <c r="Q100" s="162"/>
      <c r="R100" s="164"/>
      <c r="U100" s="165">
        <f t="shared" ref="U100:Z100" si="39">AVERAGE(U83:U98)</f>
        <v>947.5</v>
      </c>
      <c r="V100" s="166">
        <f t="shared" si="39"/>
        <v>505.625</v>
      </c>
      <c r="W100" s="161">
        <f t="shared" si="39"/>
        <v>2.9042149540772972</v>
      </c>
      <c r="X100" s="162">
        <f t="shared" si="39"/>
        <v>2.6583569242026752</v>
      </c>
      <c r="Y100" s="162">
        <f t="shared" si="39"/>
        <v>7.7714280483631866</v>
      </c>
      <c r="Z100" s="164">
        <f t="shared" si="39"/>
        <v>8.5027014492528252</v>
      </c>
      <c r="AA100" s="167"/>
      <c r="AB100" s="162">
        <f>AVERAGE(AB83:AB98)</f>
        <v>10017.260417486104</v>
      </c>
      <c r="AC100" s="162">
        <f>AVERAGE(AC83:AC98)</f>
        <v>44534.609375</v>
      </c>
      <c r="AD100" s="162"/>
      <c r="AE100" s="164"/>
    </row>
    <row r="102" spans="8:31">
      <c r="J102">
        <f>(SUM(I83:I98)/COUNT(I83:I98))</f>
        <v>947.5</v>
      </c>
    </row>
    <row r="103" spans="8:31">
      <c r="J103">
        <f>(SUM(J83:J98)/COUNT(J83:J98))</f>
        <v>505.625</v>
      </c>
      <c r="U103" s="69" t="s">
        <v>318</v>
      </c>
      <c r="V103" s="15">
        <f>(Y100-W100*X100)/(Z100-W100^2)</f>
        <v>0.74722149793081916</v>
      </c>
    </row>
    <row r="104" spans="8:31">
      <c r="U104" s="69" t="s">
        <v>319</v>
      </c>
      <c r="V104">
        <f>X100-V103*W100</f>
        <v>0.48826507590395218</v>
      </c>
      <c r="X104" s="69" t="s">
        <v>320</v>
      </c>
      <c r="Y104" s="15">
        <f>10^V104</f>
        <v>3.0779749137538768</v>
      </c>
    </row>
    <row r="109" spans="8:31">
      <c r="I109" s="69" t="s">
        <v>318</v>
      </c>
      <c r="J109">
        <f>(K100-I100*J100)/(L100-I100^2)</f>
        <v>0.35296103071062451</v>
      </c>
    </row>
    <row r="110" spans="8:31">
      <c r="I110" s="69" t="s">
        <v>320</v>
      </c>
      <c r="J110">
        <f>J100-J109*I100</f>
        <v>171.19442340168325</v>
      </c>
    </row>
    <row r="132" spans="8:29">
      <c r="H132" s="69" t="s">
        <v>321</v>
      </c>
      <c r="I132">
        <f>(K100-I100*J100)/SQRT((L100-I100^2)*(M100-J100^2))</f>
        <v>0.87469591212070497</v>
      </c>
      <c r="J132" t="s">
        <v>348</v>
      </c>
      <c r="M132" s="69" t="s">
        <v>323</v>
      </c>
      <c r="N132">
        <f>I132^2</f>
        <v>0.76509293868067207</v>
      </c>
      <c r="O132" t="s">
        <v>324</v>
      </c>
    </row>
    <row r="134" spans="8:29">
      <c r="Y134" s="69" t="s">
        <v>323</v>
      </c>
      <c r="Z134">
        <f>U136^2</f>
        <v>0.77506796269084588</v>
      </c>
      <c r="AA134" t="s">
        <v>324</v>
      </c>
    </row>
    <row r="136" spans="8:29">
      <c r="T136" s="69" t="s">
        <v>325</v>
      </c>
      <c r="U136">
        <f>SQRT(1-AB99/AC99)</f>
        <v>0.88037944245129096</v>
      </c>
      <c r="V136" t="s">
        <v>326</v>
      </c>
    </row>
    <row r="138" spans="8:29">
      <c r="H138" s="69" t="s">
        <v>95</v>
      </c>
      <c r="I138">
        <f>(Q99/COUNT(Q83:Q98))*100</f>
        <v>29.95779891013845</v>
      </c>
      <c r="J138" t="s">
        <v>349</v>
      </c>
      <c r="T138" s="69" t="s">
        <v>126</v>
      </c>
      <c r="U138">
        <f>AD99/COUNT(AD83:AD98)*100</f>
        <v>15.051716061836085</v>
      </c>
      <c r="V138" t="s">
        <v>327</v>
      </c>
    </row>
    <row r="139" spans="8:29">
      <c r="H139" s="11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11"/>
      <c r="U139" s="93"/>
      <c r="V139" s="93"/>
      <c r="W139" s="93"/>
      <c r="X139" s="93"/>
      <c r="Y139" s="93"/>
      <c r="Z139" s="93"/>
      <c r="AA139" s="93"/>
      <c r="AB139" s="93"/>
      <c r="AC139" s="12"/>
    </row>
    <row r="140" spans="8:29">
      <c r="H140" s="168" t="s">
        <v>328</v>
      </c>
      <c r="I140">
        <f>N132/(1-N132)*(I143-2)</f>
        <v>45.598038140576293</v>
      </c>
      <c r="T140" s="90"/>
      <c r="U140" s="69" t="s">
        <v>328</v>
      </c>
      <c r="V140">
        <f>Z134/(1-Z134)*(V143-2)</f>
        <v>48.241022521651431</v>
      </c>
      <c r="AC140" s="91"/>
    </row>
    <row r="141" spans="8:29">
      <c r="H141" s="90"/>
      <c r="T141" s="90"/>
      <c r="AC141" s="91"/>
    </row>
    <row r="142" spans="8:29">
      <c r="H142" s="168" t="s">
        <v>329</v>
      </c>
      <c r="I142">
        <v>1</v>
      </c>
      <c r="T142" s="90"/>
      <c r="U142" s="69" t="s">
        <v>329</v>
      </c>
      <c r="V142">
        <v>2</v>
      </c>
      <c r="AC142" s="91"/>
    </row>
    <row r="143" spans="8:29">
      <c r="H143" s="168" t="s">
        <v>294</v>
      </c>
      <c r="I143">
        <f>COUNT(I83:I98)</f>
        <v>16</v>
      </c>
      <c r="T143" s="90"/>
      <c r="U143" s="69" t="s">
        <v>294</v>
      </c>
      <c r="V143">
        <f>COUNT(V83:V98)</f>
        <v>16</v>
      </c>
      <c r="AC143" s="91"/>
    </row>
    <row r="144" spans="8:29">
      <c r="H144" s="168"/>
      <c r="T144" s="90"/>
      <c r="AC144" s="91"/>
    </row>
    <row r="145" spans="8:29">
      <c r="H145" s="168" t="s">
        <v>330</v>
      </c>
      <c r="I145" t="s">
        <v>347</v>
      </c>
      <c r="T145" s="90"/>
      <c r="U145" s="69" t="s">
        <v>330</v>
      </c>
      <c r="V145" t="s">
        <v>351</v>
      </c>
      <c r="AC145" s="91"/>
    </row>
    <row r="146" spans="8:29">
      <c r="H146" s="90"/>
      <c r="T146" s="90"/>
      <c r="AC146" s="91"/>
    </row>
    <row r="147" spans="8:29">
      <c r="H147" s="168" t="s">
        <v>333</v>
      </c>
      <c r="I147">
        <v>1</v>
      </c>
      <c r="J147" t="s">
        <v>343</v>
      </c>
      <c r="T147" s="90"/>
      <c r="U147" s="69" t="s">
        <v>333</v>
      </c>
      <c r="V147">
        <v>2</v>
      </c>
      <c r="W147" t="s">
        <v>344</v>
      </c>
      <c r="AC147" s="91"/>
    </row>
    <row r="148" spans="8:29">
      <c r="H148" s="90" t="s">
        <v>334</v>
      </c>
      <c r="I148">
        <f>I143-I142-1</f>
        <v>14</v>
      </c>
      <c r="T148" s="90"/>
      <c r="U148" t="s">
        <v>334</v>
      </c>
      <c r="V148">
        <f>V143-V142-1</f>
        <v>13</v>
      </c>
      <c r="AC148" s="91"/>
    </row>
    <row r="149" spans="8:29">
      <c r="H149" s="90"/>
      <c r="T149" s="90"/>
      <c r="AC149" s="91"/>
    </row>
    <row r="150" spans="8:29">
      <c r="H150" s="90" t="s">
        <v>335</v>
      </c>
      <c r="J150" t="s">
        <v>336</v>
      </c>
      <c r="T150" s="90"/>
      <c r="U150" t="s">
        <v>335</v>
      </c>
      <c r="W150" t="s">
        <v>336</v>
      </c>
      <c r="AC150" s="91"/>
    </row>
    <row r="151" spans="8:29">
      <c r="H151" s="90"/>
      <c r="T151" s="90"/>
      <c r="AC151" s="91"/>
    </row>
    <row r="152" spans="8:29">
      <c r="H152" s="168" t="s">
        <v>295</v>
      </c>
      <c r="I152">
        <f>I100*0.5</f>
        <v>473.75</v>
      </c>
      <c r="T152" s="90"/>
      <c r="U152" s="69" t="s">
        <v>295</v>
      </c>
      <c r="V152">
        <f>U100*0.5</f>
        <v>473.75</v>
      </c>
      <c r="AC152" s="91"/>
    </row>
    <row r="153" spans="8:29">
      <c r="H153" s="168" t="s">
        <v>337</v>
      </c>
      <c r="I153">
        <f>J109*I152+J110</f>
        <v>338.40971170084163</v>
      </c>
      <c r="T153" s="90"/>
      <c r="U153" s="69" t="s">
        <v>337</v>
      </c>
      <c r="V153">
        <f>Y104*V152^V103</f>
        <v>307.25076585435414</v>
      </c>
      <c r="AC153" s="91"/>
    </row>
    <row r="154" spans="8:29">
      <c r="H154" s="90"/>
      <c r="T154" s="90"/>
      <c r="AC154" s="91"/>
    </row>
    <row r="155" spans="8:29">
      <c r="H155" s="90"/>
      <c r="I155">
        <f>SQRT(O99/(I143-I142-1))</f>
        <v>221.6040428343417</v>
      </c>
      <c r="T155" s="90"/>
      <c r="V155">
        <f>SQRT(AB99/(V143-V142-1))</f>
        <v>111.03574153597768</v>
      </c>
      <c r="AC155" s="91"/>
    </row>
    <row r="156" spans="8:29">
      <c r="H156" s="90"/>
      <c r="I156">
        <f>I155*SQRT(1+1/I143+(I152-I100)^2/R99)</f>
        <v>233.8724402649855</v>
      </c>
      <c r="T156" s="90"/>
      <c r="V156">
        <f>V155*SQRT(1+1/V143+(V152-T101)^2/AE99)</f>
        <v>117.18287941643568</v>
      </c>
      <c r="AC156" s="91"/>
    </row>
    <row r="157" spans="8:29">
      <c r="H157" s="90"/>
      <c r="T157" s="90"/>
      <c r="AC157" s="91"/>
    </row>
    <row r="158" spans="8:29">
      <c r="H158" s="168" t="s">
        <v>320</v>
      </c>
      <c r="I158">
        <v>0.05</v>
      </c>
      <c r="T158" s="90"/>
      <c r="U158" s="69" t="s">
        <v>320</v>
      </c>
      <c r="V158">
        <v>0.05</v>
      </c>
      <c r="AC158" s="91"/>
    </row>
    <row r="159" spans="8:29">
      <c r="H159" s="168" t="s">
        <v>338</v>
      </c>
      <c r="I159" t="s">
        <v>339</v>
      </c>
      <c r="J159">
        <f>I143-2</f>
        <v>14</v>
      </c>
      <c r="T159" s="90"/>
      <c r="U159" s="69" t="s">
        <v>338</v>
      </c>
      <c r="V159" t="s">
        <v>339</v>
      </c>
      <c r="W159" s="89">
        <f>V143-2</f>
        <v>14</v>
      </c>
      <c r="AC159" s="91"/>
    </row>
    <row r="160" spans="8:29">
      <c r="H160" s="90"/>
      <c r="T160" s="90"/>
      <c r="AC160" s="91"/>
    </row>
    <row r="161" spans="8:29">
      <c r="H161" s="168" t="s">
        <v>340</v>
      </c>
      <c r="I161">
        <v>2.145</v>
      </c>
      <c r="T161" s="90"/>
      <c r="U161" s="69" t="s">
        <v>340</v>
      </c>
      <c r="V161">
        <v>2.145</v>
      </c>
      <c r="AC161" s="91"/>
    </row>
    <row r="162" spans="8:29">
      <c r="H162" s="90"/>
      <c r="I162">
        <f>I161*I156</f>
        <v>501.6563843683939</v>
      </c>
      <c r="T162" s="90"/>
      <c r="V162">
        <f>V161*V156</f>
        <v>251.35727634825454</v>
      </c>
      <c r="AC162" s="91"/>
    </row>
    <row r="163" spans="8:29">
      <c r="H163" s="90"/>
      <c r="T163" s="90"/>
      <c r="AC163" s="91"/>
    </row>
    <row r="164" spans="8:29">
      <c r="H164" s="90"/>
      <c r="I164" s="2">
        <f>I153-I162</f>
        <v>-163.24667266755228</v>
      </c>
      <c r="J164" s="2">
        <f>I153</f>
        <v>338.40971170084163</v>
      </c>
      <c r="K164" s="2">
        <f>I153+I162</f>
        <v>840.06609606923553</v>
      </c>
      <c r="T164" s="90"/>
      <c r="V164" s="2">
        <f>V153-V162</f>
        <v>55.893489506099598</v>
      </c>
      <c r="W164" s="2">
        <f>V153</f>
        <v>307.25076585435414</v>
      </c>
      <c r="X164" s="2">
        <f>V153+V162</f>
        <v>558.60804220260866</v>
      </c>
      <c r="AC164" s="91"/>
    </row>
    <row r="165" spans="8:29">
      <c r="H165" s="13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13"/>
      <c r="U165" s="92"/>
      <c r="V165" s="92"/>
      <c r="W165" s="92"/>
      <c r="X165" s="92"/>
      <c r="Y165" s="92"/>
      <c r="Z165" s="92"/>
      <c r="AA165" s="92"/>
      <c r="AB165" s="92"/>
      <c r="AC165" s="14"/>
    </row>
    <row r="166" spans="8:29">
      <c r="H166" t="s">
        <v>350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289FC-7985-48BA-9D56-7E450F11C028}">
  <dimension ref="A1:Y257"/>
  <sheetViews>
    <sheetView tabSelected="1" topLeftCell="A220" zoomScale="62" zoomScaleNormal="100" workbookViewId="0">
      <selection activeCell="B243" sqref="B243"/>
    </sheetView>
  </sheetViews>
  <sheetFormatPr defaultRowHeight="14.4"/>
  <cols>
    <col min="1" max="1" width="12.109375" customWidth="1"/>
    <col min="2" max="2" width="12" customWidth="1"/>
    <col min="24" max="24" width="9.88671875" bestFit="1" customWidth="1"/>
  </cols>
  <sheetData>
    <row r="1" spans="1:5">
      <c r="A1" t="s">
        <v>352</v>
      </c>
    </row>
    <row r="2" spans="1:5">
      <c r="A2" t="s">
        <v>296</v>
      </c>
    </row>
    <row r="3" spans="1:5">
      <c r="A3" t="s">
        <v>353</v>
      </c>
    </row>
    <row r="16" spans="1:5">
      <c r="A16" s="69" t="s">
        <v>90</v>
      </c>
      <c r="B16" s="89">
        <v>50</v>
      </c>
      <c r="D16" s="69" t="s">
        <v>366</v>
      </c>
      <c r="E16" s="89">
        <v>350</v>
      </c>
    </row>
    <row r="17" spans="1:5">
      <c r="A17" s="197" t="s">
        <v>363</v>
      </c>
      <c r="B17" s="197"/>
    </row>
    <row r="18" spans="1:5" ht="28.8">
      <c r="A18" s="71" t="s">
        <v>364</v>
      </c>
      <c r="B18" s="174" t="s">
        <v>365</v>
      </c>
      <c r="E18" s="71" t="s">
        <v>367</v>
      </c>
    </row>
    <row r="19" spans="1:5">
      <c r="A19" s="71" t="s">
        <v>354</v>
      </c>
      <c r="B19" s="71">
        <f>$B$16</f>
        <v>50</v>
      </c>
      <c r="E19" s="2">
        <f>B19*$E$16</f>
        <v>17500</v>
      </c>
    </row>
    <row r="20" spans="1:5">
      <c r="A20" s="71" t="s">
        <v>355</v>
      </c>
      <c r="B20" s="71">
        <f t="shared" ref="B20:B22" si="0">$B$16</f>
        <v>50</v>
      </c>
      <c r="E20" s="2">
        <f t="shared" ref="E20:E25" si="1">B20*$E$16</f>
        <v>17500</v>
      </c>
    </row>
    <row r="21" spans="1:5">
      <c r="A21" s="71" t="s">
        <v>356</v>
      </c>
      <c r="B21" s="71">
        <f t="shared" si="0"/>
        <v>50</v>
      </c>
      <c r="E21" s="2">
        <f t="shared" si="1"/>
        <v>17500</v>
      </c>
    </row>
    <row r="22" spans="1:5">
      <c r="A22" s="71" t="s">
        <v>357</v>
      </c>
      <c r="B22" s="71">
        <f t="shared" si="0"/>
        <v>50</v>
      </c>
      <c r="E22" s="2">
        <f t="shared" si="1"/>
        <v>17500</v>
      </c>
    </row>
    <row r="23" spans="1:5">
      <c r="A23" s="71" t="s">
        <v>358</v>
      </c>
      <c r="B23" s="71">
        <f>$B$16 + 10</f>
        <v>60</v>
      </c>
      <c r="C23" s="73" t="s">
        <v>361</v>
      </c>
      <c r="E23" s="2">
        <f t="shared" si="1"/>
        <v>21000</v>
      </c>
    </row>
    <row r="24" spans="1:5">
      <c r="A24" s="71" t="s">
        <v>359</v>
      </c>
      <c r="B24" s="71">
        <f>$B$16 +10</f>
        <v>60</v>
      </c>
      <c r="C24" s="73" t="s">
        <v>361</v>
      </c>
      <c r="E24" s="2">
        <f t="shared" si="1"/>
        <v>21000</v>
      </c>
    </row>
    <row r="25" spans="1:5">
      <c r="A25" s="71" t="s">
        <v>360</v>
      </c>
      <c r="B25" s="71">
        <f>$B$16 + 15</f>
        <v>65</v>
      </c>
      <c r="C25" s="73" t="s">
        <v>362</v>
      </c>
      <c r="E25" s="2">
        <f t="shared" si="1"/>
        <v>22750</v>
      </c>
    </row>
    <row r="26" spans="1:5">
      <c r="D26" s="69" t="s">
        <v>368</v>
      </c>
      <c r="E26">
        <f>SUM(E19:E25)</f>
        <v>134750</v>
      </c>
    </row>
    <row r="28" spans="1:5">
      <c r="A28" s="80" t="s">
        <v>125</v>
      </c>
    </row>
    <row r="53" spans="1:5">
      <c r="A53" s="71" t="s">
        <v>42</v>
      </c>
      <c r="B53" s="71" t="s">
        <v>43</v>
      </c>
      <c r="C53" s="71" t="s">
        <v>44</v>
      </c>
      <c r="D53" s="71" t="s">
        <v>369</v>
      </c>
      <c r="E53" s="71" t="s">
        <v>370</v>
      </c>
    </row>
    <row r="54" spans="1:5">
      <c r="A54" s="177">
        <v>80</v>
      </c>
      <c r="B54" s="177">
        <v>0</v>
      </c>
      <c r="C54" s="177">
        <v>0</v>
      </c>
      <c r="D54" s="177">
        <v>10</v>
      </c>
      <c r="E54" s="178">
        <f>5*A54+7*B54+3*C54+6*D54</f>
        <v>460</v>
      </c>
    </row>
    <row r="56" spans="1:5">
      <c r="A56" s="176">
        <f>2*A54+B54+3*C54+2*D54</f>
        <v>180</v>
      </c>
      <c r="B56" s="71" t="s">
        <v>6</v>
      </c>
      <c r="C56" s="71">
        <v>200</v>
      </c>
    </row>
    <row r="57" spans="1:5">
      <c r="A57" s="176">
        <f>A54+2*B54+4*C54+8*D54</f>
        <v>160</v>
      </c>
      <c r="B57" s="71" t="s">
        <v>6</v>
      </c>
      <c r="C57" s="71">
        <v>160</v>
      </c>
    </row>
    <row r="58" spans="1:5">
      <c r="A58" s="176">
        <f>2*A54+4*B54+C54+D54</f>
        <v>170</v>
      </c>
      <c r="B58" s="71" t="s">
        <v>6</v>
      </c>
      <c r="C58" s="71">
        <v>170</v>
      </c>
    </row>
    <row r="60" spans="1:5">
      <c r="A60" t="s">
        <v>371</v>
      </c>
    </row>
    <row r="67" spans="1:4">
      <c r="A67" s="71" t="s">
        <v>372</v>
      </c>
      <c r="B67" s="71" t="s">
        <v>373</v>
      </c>
      <c r="C67" s="71" t="s">
        <v>374</v>
      </c>
      <c r="D67" s="71" t="s">
        <v>370</v>
      </c>
    </row>
    <row r="68" spans="1:4">
      <c r="A68" s="177">
        <v>0</v>
      </c>
      <c r="B68" s="177">
        <v>0.46666666666666656</v>
      </c>
      <c r="C68" s="177">
        <v>2.2666666666666666</v>
      </c>
      <c r="D68" s="178">
        <f>200*A68+160*B68+C68*170</f>
        <v>460</v>
      </c>
    </row>
    <row r="70" spans="1:4">
      <c r="A70" s="176">
        <f>2*A68+B68+2*C68</f>
        <v>5</v>
      </c>
      <c r="B70" s="71" t="s">
        <v>7</v>
      </c>
      <c r="C70" s="71">
        <v>5</v>
      </c>
    </row>
    <row r="71" spans="1:4">
      <c r="A71" s="176">
        <f>A68+2*B68+4*C68</f>
        <v>10</v>
      </c>
      <c r="B71" s="71" t="s">
        <v>7</v>
      </c>
      <c r="C71" s="71">
        <v>7</v>
      </c>
    </row>
    <row r="72" spans="1:4">
      <c r="A72" s="176">
        <f>3*A68+4*B68+C68</f>
        <v>4.1333333333333329</v>
      </c>
      <c r="B72" s="71" t="s">
        <v>7</v>
      </c>
      <c r="C72" s="71">
        <v>3</v>
      </c>
    </row>
    <row r="73" spans="1:4">
      <c r="A73" s="176">
        <f>2*A68+8*B68+C68</f>
        <v>5.9999999999999991</v>
      </c>
      <c r="B73" s="71" t="s">
        <v>7</v>
      </c>
      <c r="C73" s="71">
        <v>6</v>
      </c>
    </row>
    <row r="75" spans="1:4">
      <c r="A75" t="s">
        <v>386</v>
      </c>
    </row>
    <row r="82" spans="1:5">
      <c r="A82" s="71" t="s">
        <v>42</v>
      </c>
      <c r="B82" s="71" t="s">
        <v>43</v>
      </c>
      <c r="C82" s="71" t="s">
        <v>44</v>
      </c>
      <c r="D82" s="71" t="s">
        <v>369</v>
      </c>
      <c r="E82" s="71" t="s">
        <v>370</v>
      </c>
    </row>
    <row r="83" spans="1:5">
      <c r="A83" s="177">
        <v>76.666666666666671</v>
      </c>
      <c r="B83" s="177">
        <v>0</v>
      </c>
      <c r="C83" s="177">
        <v>0</v>
      </c>
      <c r="D83" s="177">
        <v>11.666666666666666</v>
      </c>
      <c r="E83" s="178">
        <f>5*A83+7*B83+3*C83+6*D83</f>
        <v>453.33333333333337</v>
      </c>
    </row>
    <row r="85" spans="1:5">
      <c r="A85" s="176">
        <f>2*A83+B83+3*C83+2*D83</f>
        <v>176.66666666666669</v>
      </c>
      <c r="B85" s="71" t="s">
        <v>6</v>
      </c>
      <c r="C85" s="71">
        <v>208</v>
      </c>
    </row>
    <row r="86" spans="1:5">
      <c r="A86" s="176">
        <f>A83+2*B83+4*C83+8*D83</f>
        <v>170</v>
      </c>
      <c r="B86" s="71" t="s">
        <v>6</v>
      </c>
      <c r="C86" s="71">
        <v>170</v>
      </c>
    </row>
    <row r="87" spans="1:5">
      <c r="A87" s="176">
        <f>2*A83+4*B83+C83+D83</f>
        <v>165</v>
      </c>
      <c r="B87" s="71" t="s">
        <v>6</v>
      </c>
      <c r="C87" s="71">
        <v>165</v>
      </c>
    </row>
    <row r="88" spans="1:5">
      <c r="A88" t="s">
        <v>387</v>
      </c>
    </row>
    <row r="90" spans="1:5">
      <c r="A90" t="s">
        <v>389</v>
      </c>
    </row>
    <row r="97" spans="1:6">
      <c r="A97" s="71" t="s">
        <v>42</v>
      </c>
      <c r="B97" s="71" t="s">
        <v>43</v>
      </c>
      <c r="C97" s="71" t="s">
        <v>44</v>
      </c>
      <c r="D97" s="71" t="s">
        <v>369</v>
      </c>
      <c r="E97" s="71" t="s">
        <v>388</v>
      </c>
      <c r="F97" s="71" t="s">
        <v>370</v>
      </c>
    </row>
    <row r="98" spans="1:6">
      <c r="A98" s="177">
        <v>0</v>
      </c>
      <c r="B98" s="177">
        <v>0</v>
      </c>
      <c r="C98" s="177">
        <v>0</v>
      </c>
      <c r="D98" s="177">
        <v>0.71428571428571419</v>
      </c>
      <c r="E98" s="175">
        <v>82.142857142857139</v>
      </c>
      <c r="F98" s="178">
        <f>5*A98+7*B98+3*C98+6*D98+10*E98</f>
        <v>825.71428571428567</v>
      </c>
    </row>
    <row r="100" spans="1:6">
      <c r="A100" s="176">
        <f>2*A98+B98+3*C98+2*D98+2*E98</f>
        <v>165.71428571428569</v>
      </c>
      <c r="B100" s="71" t="s">
        <v>6</v>
      </c>
      <c r="C100" s="71">
        <v>208</v>
      </c>
    </row>
    <row r="101" spans="1:6">
      <c r="A101" s="176">
        <f>A98+2*B98+4*C98+8*D98+2*E98</f>
        <v>170</v>
      </c>
      <c r="B101" s="71" t="s">
        <v>6</v>
      </c>
      <c r="C101" s="71">
        <v>170</v>
      </c>
    </row>
    <row r="102" spans="1:6">
      <c r="A102" s="176">
        <f>2*A98+4*B98+C98+D98+2*E98</f>
        <v>165</v>
      </c>
      <c r="B102" s="71" t="s">
        <v>6</v>
      </c>
      <c r="C102" s="71">
        <v>165</v>
      </c>
    </row>
    <row r="103" spans="1:6">
      <c r="A103" t="s">
        <v>390</v>
      </c>
    </row>
    <row r="105" spans="1:6">
      <c r="A105" t="s">
        <v>12</v>
      </c>
    </row>
    <row r="123" spans="1:25">
      <c r="A123" s="71" t="s">
        <v>391</v>
      </c>
      <c r="B123" s="71">
        <v>1</v>
      </c>
      <c r="C123" s="71">
        <v>2</v>
      </c>
      <c r="D123" s="71">
        <v>3</v>
      </c>
      <c r="E123" s="71">
        <v>4</v>
      </c>
      <c r="F123" s="71">
        <v>5</v>
      </c>
      <c r="G123" s="71">
        <v>6</v>
      </c>
      <c r="H123" s="71">
        <v>7</v>
      </c>
      <c r="I123" s="71">
        <v>8</v>
      </c>
      <c r="J123" s="71">
        <v>9</v>
      </c>
      <c r="K123" s="71">
        <v>10</v>
      </c>
      <c r="L123" s="71">
        <v>11</v>
      </c>
      <c r="N123" s="181" t="s">
        <v>175</v>
      </c>
      <c r="O123" s="97">
        <v>1</v>
      </c>
      <c r="P123" s="97">
        <v>2</v>
      </c>
      <c r="Q123" s="97">
        <v>3</v>
      </c>
      <c r="R123" s="97">
        <v>4</v>
      </c>
      <c r="S123" s="97">
        <v>5</v>
      </c>
      <c r="T123" s="97">
        <v>6</v>
      </c>
      <c r="U123" s="97">
        <v>7</v>
      </c>
      <c r="V123" s="97">
        <v>8</v>
      </c>
      <c r="W123" s="97">
        <v>9</v>
      </c>
      <c r="X123" s="97">
        <v>10</v>
      </c>
      <c r="Y123" s="97">
        <v>11</v>
      </c>
    </row>
    <row r="124" spans="1:25">
      <c r="A124" s="71" cm="1">
        <f t="array" ref="A124:A134">TRANSPOSE(B123:L123)</f>
        <v>1</v>
      </c>
      <c r="B124" s="71">
        <v>0.05</v>
      </c>
      <c r="C124" s="71">
        <v>0.11</v>
      </c>
      <c r="D124" s="71">
        <v>0.04</v>
      </c>
      <c r="E124" s="71">
        <v>0.03</v>
      </c>
      <c r="F124" s="71">
        <v>0.13</v>
      </c>
      <c r="G124" s="71">
        <v>0.11</v>
      </c>
      <c r="H124" s="71">
        <v>0.04</v>
      </c>
      <c r="I124" s="71">
        <v>0.02</v>
      </c>
      <c r="J124" s="71">
        <v>0.08</v>
      </c>
      <c r="K124" s="71">
        <v>0.09</v>
      </c>
      <c r="L124" s="71">
        <v>0.11</v>
      </c>
      <c r="N124" s="97" cm="1">
        <f t="array" ref="N124:N134">TRANSPOSE(O123:Y123)</f>
        <v>1</v>
      </c>
      <c r="O124" s="181">
        <v>1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</row>
    <row r="125" spans="1:25">
      <c r="A125" s="71">
        <v>2</v>
      </c>
      <c r="B125" s="71">
        <v>0.04</v>
      </c>
      <c r="C125" s="71">
        <v>0.06</v>
      </c>
      <c r="D125" s="71">
        <v>0.13</v>
      </c>
      <c r="E125" s="71">
        <v>0.22</v>
      </c>
      <c r="F125" s="71">
        <v>0.03</v>
      </c>
      <c r="G125" s="71">
        <v>0.09</v>
      </c>
      <c r="H125" s="71">
        <v>0.01</v>
      </c>
      <c r="I125" s="71">
        <v>0.08</v>
      </c>
      <c r="J125" s="71">
        <v>0.15</v>
      </c>
      <c r="K125" s="71">
        <v>0.02</v>
      </c>
      <c r="L125" s="71">
        <v>0.03</v>
      </c>
      <c r="N125" s="97">
        <v>2</v>
      </c>
      <c r="O125" s="71">
        <v>0</v>
      </c>
      <c r="P125" s="181">
        <v>1</v>
      </c>
      <c r="Q125" s="71">
        <v>0</v>
      </c>
      <c r="R125" s="71">
        <v>0</v>
      </c>
      <c r="S125" s="71">
        <v>0</v>
      </c>
      <c r="T125" s="71">
        <v>0</v>
      </c>
      <c r="U125" s="71">
        <v>0</v>
      </c>
      <c r="V125" s="71">
        <v>0</v>
      </c>
      <c r="W125" s="71">
        <v>0</v>
      </c>
      <c r="X125" s="71">
        <v>0</v>
      </c>
      <c r="Y125" s="71">
        <v>0</v>
      </c>
    </row>
    <row r="126" spans="1:25">
      <c r="A126" s="71">
        <v>3</v>
      </c>
      <c r="B126" s="71">
        <v>0.08</v>
      </c>
      <c r="C126" s="71">
        <v>0.06</v>
      </c>
      <c r="D126" s="71">
        <v>0.08</v>
      </c>
      <c r="E126" s="71">
        <v>0.22</v>
      </c>
      <c r="F126" s="71">
        <v>0.03</v>
      </c>
      <c r="G126" s="71">
        <v>0.11</v>
      </c>
      <c r="H126" s="71">
        <v>0.01</v>
      </c>
      <c r="I126" s="71">
        <v>0.05</v>
      </c>
      <c r="J126" s="71">
        <v>0.14000000000000001</v>
      </c>
      <c r="K126" s="71">
        <v>0.04</v>
      </c>
      <c r="L126" s="71">
        <v>0.01</v>
      </c>
      <c r="N126" s="97">
        <v>3</v>
      </c>
      <c r="O126" s="71">
        <v>0</v>
      </c>
      <c r="P126" s="71">
        <v>0</v>
      </c>
      <c r="Q126" s="181">
        <v>1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</row>
    <row r="127" spans="1:25">
      <c r="A127" s="71">
        <v>4</v>
      </c>
      <c r="B127" s="71">
        <v>0.11</v>
      </c>
      <c r="C127" s="71">
        <v>0.05</v>
      </c>
      <c r="D127" s="71">
        <v>0.2</v>
      </c>
      <c r="E127" s="71">
        <v>0.04</v>
      </c>
      <c r="F127" s="71">
        <v>0.04</v>
      </c>
      <c r="G127" s="71">
        <v>0.03</v>
      </c>
      <c r="H127" s="71">
        <v>0.12</v>
      </c>
      <c r="I127" s="71">
        <v>0.08</v>
      </c>
      <c r="J127" s="71">
        <v>0.09</v>
      </c>
      <c r="K127" s="71">
        <v>0.04</v>
      </c>
      <c r="L127" s="71">
        <v>0.06</v>
      </c>
      <c r="N127" s="97">
        <v>4</v>
      </c>
      <c r="O127" s="71">
        <v>0</v>
      </c>
      <c r="P127" s="71">
        <v>0</v>
      </c>
      <c r="Q127" s="71">
        <v>0</v>
      </c>
      <c r="R127" s="181">
        <v>1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</row>
    <row r="128" spans="1:25">
      <c r="A128" s="71">
        <v>5</v>
      </c>
      <c r="B128" s="71">
        <v>0.21</v>
      </c>
      <c r="C128" s="71">
        <v>0.13</v>
      </c>
      <c r="D128" s="71">
        <v>0.05</v>
      </c>
      <c r="E128" s="71">
        <v>7.0000000000000007E-2</v>
      </c>
      <c r="F128" s="71">
        <v>0.02</v>
      </c>
      <c r="G128" s="71">
        <v>0.03</v>
      </c>
      <c r="H128" s="71">
        <v>0.12</v>
      </c>
      <c r="I128" s="71">
        <v>0.09</v>
      </c>
      <c r="J128" s="71">
        <v>0.04</v>
      </c>
      <c r="K128" s="71">
        <v>0.02</v>
      </c>
      <c r="L128" s="71">
        <v>0.08</v>
      </c>
      <c r="N128" s="97">
        <v>5</v>
      </c>
      <c r="O128" s="71">
        <v>0</v>
      </c>
      <c r="P128" s="71">
        <v>0</v>
      </c>
      <c r="Q128" s="71">
        <v>0</v>
      </c>
      <c r="R128" s="71">
        <v>0</v>
      </c>
      <c r="S128" s="181">
        <v>1</v>
      </c>
      <c r="T128" s="71">
        <v>0</v>
      </c>
      <c r="U128" s="71">
        <v>0</v>
      </c>
      <c r="V128" s="71">
        <v>0</v>
      </c>
      <c r="W128" s="71">
        <v>0</v>
      </c>
      <c r="X128" s="71">
        <v>0</v>
      </c>
      <c r="Y128" s="71">
        <v>0</v>
      </c>
    </row>
    <row r="129" spans="1:25">
      <c r="A129" s="71">
        <v>6</v>
      </c>
      <c r="B129" s="71">
        <v>0.02</v>
      </c>
      <c r="C129" s="71">
        <v>0.04</v>
      </c>
      <c r="D129" s="71">
        <v>0.04</v>
      </c>
      <c r="E129" s="71">
        <v>0.11</v>
      </c>
      <c r="F129" s="71">
        <v>0.2</v>
      </c>
      <c r="G129" s="71">
        <v>0.02</v>
      </c>
      <c r="H129" s="71">
        <v>0.11</v>
      </c>
      <c r="I129" s="71">
        <v>0.04</v>
      </c>
      <c r="J129" s="71">
        <v>0.11</v>
      </c>
      <c r="K129" s="71">
        <v>0.03</v>
      </c>
      <c r="L129" s="71">
        <v>0.11</v>
      </c>
      <c r="N129" s="97">
        <v>6</v>
      </c>
      <c r="O129" s="71">
        <v>0</v>
      </c>
      <c r="P129" s="71">
        <v>0</v>
      </c>
      <c r="Q129" s="71">
        <v>0</v>
      </c>
      <c r="R129" s="71">
        <v>0</v>
      </c>
      <c r="S129" s="71">
        <v>0</v>
      </c>
      <c r="T129" s="181">
        <v>1</v>
      </c>
      <c r="U129" s="71">
        <v>0</v>
      </c>
      <c r="V129" s="71">
        <v>0</v>
      </c>
      <c r="W129" s="71">
        <v>0</v>
      </c>
      <c r="X129" s="71">
        <v>0</v>
      </c>
      <c r="Y129" s="71">
        <v>0</v>
      </c>
    </row>
    <row r="130" spans="1:25">
      <c r="A130" s="71">
        <v>7</v>
      </c>
      <c r="B130" s="71">
        <v>0.06</v>
      </c>
      <c r="C130" s="71">
        <v>0.12</v>
      </c>
      <c r="D130" s="71">
        <v>0.08</v>
      </c>
      <c r="E130" s="71">
        <v>0.03</v>
      </c>
      <c r="F130" s="71">
        <v>0.11</v>
      </c>
      <c r="G130" s="71">
        <v>0.12</v>
      </c>
      <c r="H130" s="71">
        <v>0.02</v>
      </c>
      <c r="I130" s="71">
        <v>0.05</v>
      </c>
      <c r="J130" s="71">
        <v>0.06</v>
      </c>
      <c r="K130" s="71">
        <v>0.04</v>
      </c>
      <c r="L130" s="71">
        <v>0.08</v>
      </c>
      <c r="N130" s="97">
        <v>7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181">
        <v>1</v>
      </c>
      <c r="V130" s="71">
        <v>0</v>
      </c>
      <c r="W130" s="71">
        <v>0</v>
      </c>
      <c r="X130" s="71">
        <v>0</v>
      </c>
      <c r="Y130" s="71">
        <v>0</v>
      </c>
    </row>
    <row r="131" spans="1:25">
      <c r="A131" s="71">
        <v>8</v>
      </c>
      <c r="B131" s="71">
        <v>0.09</v>
      </c>
      <c r="C131" s="71">
        <v>0.05</v>
      </c>
      <c r="D131" s="71">
        <v>0.11</v>
      </c>
      <c r="E131" s="71">
        <v>7.0000000000000007E-2</v>
      </c>
      <c r="F131" s="71">
        <v>0.05</v>
      </c>
      <c r="G131" s="71">
        <v>0.06</v>
      </c>
      <c r="H131" s="71">
        <v>0.12</v>
      </c>
      <c r="I131" s="71">
        <v>0.03</v>
      </c>
      <c r="J131" s="71">
        <v>0.09</v>
      </c>
      <c r="K131" s="71">
        <v>0.08</v>
      </c>
      <c r="L131" s="71">
        <v>0.01</v>
      </c>
      <c r="N131" s="97">
        <v>8</v>
      </c>
      <c r="O131" s="71">
        <v>0</v>
      </c>
      <c r="P131" s="71">
        <v>0</v>
      </c>
      <c r="Q131" s="71">
        <v>0</v>
      </c>
      <c r="R131" s="71">
        <v>0</v>
      </c>
      <c r="S131" s="71">
        <v>0</v>
      </c>
      <c r="T131" s="71">
        <v>0</v>
      </c>
      <c r="U131" s="71">
        <v>0</v>
      </c>
      <c r="V131" s="181">
        <v>1</v>
      </c>
      <c r="W131" s="71">
        <v>0</v>
      </c>
      <c r="X131" s="71">
        <v>0</v>
      </c>
      <c r="Y131" s="71">
        <v>0</v>
      </c>
    </row>
    <row r="132" spans="1:25">
      <c r="A132" s="71">
        <v>9</v>
      </c>
      <c r="B132" s="71">
        <v>0.05</v>
      </c>
      <c r="C132" s="71">
        <v>0.11</v>
      </c>
      <c r="D132" s="71">
        <v>0.05</v>
      </c>
      <c r="E132" s="71">
        <v>0.12</v>
      </c>
      <c r="F132" s="71">
        <v>0.11</v>
      </c>
      <c r="G132" s="71">
        <v>0.03</v>
      </c>
      <c r="H132" s="71">
        <v>0.04</v>
      </c>
      <c r="I132" s="71">
        <v>0.05</v>
      </c>
      <c r="J132" s="71">
        <v>0.13</v>
      </c>
      <c r="K132" s="71">
        <v>0.05</v>
      </c>
      <c r="L132" s="71">
        <v>0.05</v>
      </c>
      <c r="N132" s="97">
        <v>9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181">
        <v>1</v>
      </c>
      <c r="X132" s="71">
        <v>0</v>
      </c>
      <c r="Y132" s="71">
        <v>0</v>
      </c>
    </row>
    <row r="133" spans="1:25">
      <c r="A133" s="71">
        <v>10</v>
      </c>
      <c r="B133" s="71">
        <v>0.06</v>
      </c>
      <c r="C133" s="71">
        <v>0.01</v>
      </c>
      <c r="D133" s="71">
        <v>0.08</v>
      </c>
      <c r="E133" s="71">
        <v>0.04</v>
      </c>
      <c r="F133" s="71">
        <v>0.08</v>
      </c>
      <c r="G133" s="71">
        <v>0.12</v>
      </c>
      <c r="H133" s="71">
        <v>0.06</v>
      </c>
      <c r="I133" s="71">
        <v>0.05</v>
      </c>
      <c r="J133" s="71">
        <v>0.08</v>
      </c>
      <c r="K133" s="71">
        <v>0.04</v>
      </c>
      <c r="L133" s="71">
        <v>0.12</v>
      </c>
      <c r="N133" s="97">
        <v>10</v>
      </c>
      <c r="O133" s="71">
        <v>0</v>
      </c>
      <c r="P133" s="71">
        <v>0</v>
      </c>
      <c r="Q133" s="71">
        <v>0</v>
      </c>
      <c r="R133" s="71">
        <v>0</v>
      </c>
      <c r="S133" s="71">
        <v>0</v>
      </c>
      <c r="T133" s="71">
        <v>0</v>
      </c>
      <c r="U133" s="71">
        <v>0</v>
      </c>
      <c r="V133" s="71">
        <v>0</v>
      </c>
      <c r="W133" s="71">
        <v>0</v>
      </c>
      <c r="X133" s="181">
        <v>1</v>
      </c>
      <c r="Y133" s="71">
        <v>0</v>
      </c>
    </row>
    <row r="134" spans="1:25">
      <c r="A134" s="71">
        <v>11</v>
      </c>
      <c r="B134" s="71">
        <v>0.15</v>
      </c>
      <c r="C134" s="71">
        <v>0.02</v>
      </c>
      <c r="D134" s="71">
        <v>0.06</v>
      </c>
      <c r="E134" s="71">
        <v>0.03</v>
      </c>
      <c r="F134" s="71">
        <v>0.08</v>
      </c>
      <c r="G134" s="71">
        <v>7.0000000000000007E-2</v>
      </c>
      <c r="H134" s="71">
        <v>0.04</v>
      </c>
      <c r="I134" s="71">
        <v>0.15</v>
      </c>
      <c r="J134" s="71">
        <v>0.21</v>
      </c>
      <c r="K134" s="71">
        <v>0.02</v>
      </c>
      <c r="L134" s="71">
        <v>0.03</v>
      </c>
      <c r="N134" s="97">
        <v>11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181">
        <v>1</v>
      </c>
    </row>
    <row r="136" spans="1:25">
      <c r="A136" s="71" t="s">
        <v>391</v>
      </c>
      <c r="B136" s="71">
        <v>1</v>
      </c>
      <c r="C136" s="71">
        <v>2</v>
      </c>
      <c r="D136" s="71">
        <v>3</v>
      </c>
      <c r="E136" s="71">
        <v>4</v>
      </c>
      <c r="F136" s="71">
        <v>5</v>
      </c>
      <c r="G136" s="71">
        <v>6</v>
      </c>
      <c r="H136" s="71">
        <v>7</v>
      </c>
      <c r="I136" s="71">
        <v>8</v>
      </c>
      <c r="J136" s="71">
        <v>9</v>
      </c>
      <c r="K136" s="71">
        <v>10</v>
      </c>
      <c r="L136" s="71">
        <v>11</v>
      </c>
    </row>
    <row r="137" spans="1:25" ht="30.6" customHeight="1">
      <c r="A137" s="180" t="s">
        <v>392</v>
      </c>
      <c r="B137" s="71">
        <v>520</v>
      </c>
      <c r="C137" s="71">
        <v>680</v>
      </c>
      <c r="D137" s="71">
        <v>450</v>
      </c>
      <c r="E137" s="71">
        <v>120</v>
      </c>
      <c r="F137" s="71">
        <v>320</v>
      </c>
      <c r="G137" s="71">
        <v>480</v>
      </c>
      <c r="H137" s="71">
        <v>650</v>
      </c>
      <c r="I137" s="71">
        <v>908</v>
      </c>
      <c r="J137" s="71">
        <v>120</v>
      </c>
      <c r="K137" s="71">
        <v>450</v>
      </c>
      <c r="L137" s="71">
        <v>780</v>
      </c>
    </row>
    <row r="139" spans="1:25">
      <c r="A139" s="69" t="s">
        <v>97</v>
      </c>
      <c r="B139" s="2">
        <f>O124-B124</f>
        <v>0.95</v>
      </c>
      <c r="C139" s="2">
        <f>P124-C124</f>
        <v>-0.11</v>
      </c>
      <c r="D139" s="2">
        <f t="shared" ref="D139:L139" si="2">Q124-D124</f>
        <v>-0.04</v>
      </c>
      <c r="E139" s="2">
        <f t="shared" si="2"/>
        <v>-0.03</v>
      </c>
      <c r="F139" s="2">
        <f t="shared" si="2"/>
        <v>-0.13</v>
      </c>
      <c r="G139" s="2">
        <f t="shared" si="2"/>
        <v>-0.11</v>
      </c>
      <c r="H139" s="2">
        <f t="shared" si="2"/>
        <v>-0.04</v>
      </c>
      <c r="I139" s="2">
        <f t="shared" si="2"/>
        <v>-0.02</v>
      </c>
      <c r="J139" s="2">
        <f t="shared" si="2"/>
        <v>-0.08</v>
      </c>
      <c r="K139" s="2">
        <f t="shared" si="2"/>
        <v>-0.09</v>
      </c>
      <c r="L139" s="2">
        <f t="shared" si="2"/>
        <v>-0.11</v>
      </c>
    </row>
    <row r="140" spans="1:25">
      <c r="B140" s="2">
        <f t="shared" ref="B140:C140" si="3">O125-B125</f>
        <v>-0.04</v>
      </c>
      <c r="C140" s="2">
        <f t="shared" si="3"/>
        <v>0.94</v>
      </c>
      <c r="D140" s="2">
        <f t="shared" ref="D140:D149" si="4">Q125-D125</f>
        <v>-0.13</v>
      </c>
      <c r="E140" s="2">
        <f t="shared" ref="E140:E149" si="5">R125-E125</f>
        <v>-0.22</v>
      </c>
      <c r="F140" s="2">
        <f t="shared" ref="F140:F149" si="6">S125-F125</f>
        <v>-0.03</v>
      </c>
      <c r="G140" s="2">
        <f t="shared" ref="G140:G149" si="7">T125-G125</f>
        <v>-0.09</v>
      </c>
      <c r="H140" s="2">
        <f t="shared" ref="H140:H149" si="8">U125-H125</f>
        <v>-0.01</v>
      </c>
      <c r="I140" s="2">
        <f t="shared" ref="I140:I149" si="9">V125-I125</f>
        <v>-0.08</v>
      </c>
      <c r="J140" s="2">
        <f t="shared" ref="J140:J149" si="10">W125-J125</f>
        <v>-0.15</v>
      </c>
      <c r="K140" s="2">
        <f t="shared" ref="K140:K149" si="11">X125-K125</f>
        <v>-0.02</v>
      </c>
      <c r="L140" s="2">
        <f t="shared" ref="L140:L149" si="12">Y125-L125</f>
        <v>-0.03</v>
      </c>
    </row>
    <row r="141" spans="1:25">
      <c r="B141" s="2">
        <f t="shared" ref="B141:C141" si="13">O126-B126</f>
        <v>-0.08</v>
      </c>
      <c r="C141" s="2">
        <f t="shared" si="13"/>
        <v>-0.06</v>
      </c>
      <c r="D141" s="2">
        <f t="shared" si="4"/>
        <v>0.92</v>
      </c>
      <c r="E141" s="2">
        <f t="shared" si="5"/>
        <v>-0.22</v>
      </c>
      <c r="F141" s="2">
        <f t="shared" si="6"/>
        <v>-0.03</v>
      </c>
      <c r="G141" s="2">
        <f t="shared" si="7"/>
        <v>-0.11</v>
      </c>
      <c r="H141" s="2">
        <f t="shared" si="8"/>
        <v>-0.01</v>
      </c>
      <c r="I141" s="2">
        <f t="shared" si="9"/>
        <v>-0.05</v>
      </c>
      <c r="J141" s="2">
        <f t="shared" si="10"/>
        <v>-0.14000000000000001</v>
      </c>
      <c r="K141" s="2">
        <f t="shared" si="11"/>
        <v>-0.04</v>
      </c>
      <c r="L141" s="2">
        <f t="shared" si="12"/>
        <v>-0.01</v>
      </c>
    </row>
    <row r="142" spans="1:25">
      <c r="B142" s="2">
        <f t="shared" ref="B142:C142" si="14">O127-B127</f>
        <v>-0.11</v>
      </c>
      <c r="C142" s="2">
        <f t="shared" si="14"/>
        <v>-0.05</v>
      </c>
      <c r="D142" s="2">
        <f t="shared" si="4"/>
        <v>-0.2</v>
      </c>
      <c r="E142" s="2">
        <f>R127-E127</f>
        <v>0.96</v>
      </c>
      <c r="F142" s="2">
        <f t="shared" si="6"/>
        <v>-0.04</v>
      </c>
      <c r="G142" s="2">
        <f t="shared" si="7"/>
        <v>-0.03</v>
      </c>
      <c r="H142" s="2">
        <f t="shared" si="8"/>
        <v>-0.12</v>
      </c>
      <c r="I142" s="2">
        <f t="shared" si="9"/>
        <v>-0.08</v>
      </c>
      <c r="J142" s="2">
        <f t="shared" si="10"/>
        <v>-0.09</v>
      </c>
      <c r="K142" s="2">
        <f t="shared" si="11"/>
        <v>-0.04</v>
      </c>
      <c r="L142" s="2">
        <f t="shared" si="12"/>
        <v>-0.06</v>
      </c>
    </row>
    <row r="143" spans="1:25">
      <c r="B143" s="2">
        <f t="shared" ref="B143:C143" si="15">O128-B128</f>
        <v>-0.21</v>
      </c>
      <c r="C143" s="2">
        <f t="shared" si="15"/>
        <v>-0.13</v>
      </c>
      <c r="D143" s="2">
        <f t="shared" si="4"/>
        <v>-0.05</v>
      </c>
      <c r="E143" s="2">
        <f t="shared" si="5"/>
        <v>-7.0000000000000007E-2</v>
      </c>
      <c r="F143" s="2">
        <f t="shared" si="6"/>
        <v>0.98</v>
      </c>
      <c r="G143" s="2">
        <f t="shared" si="7"/>
        <v>-0.03</v>
      </c>
      <c r="H143" s="2">
        <f t="shared" si="8"/>
        <v>-0.12</v>
      </c>
      <c r="I143" s="2">
        <f t="shared" si="9"/>
        <v>-0.09</v>
      </c>
      <c r="J143" s="2">
        <f t="shared" si="10"/>
        <v>-0.04</v>
      </c>
      <c r="K143" s="2">
        <f t="shared" si="11"/>
        <v>-0.02</v>
      </c>
      <c r="L143" s="2">
        <f t="shared" si="12"/>
        <v>-0.08</v>
      </c>
      <c r="N143" s="71" t="s">
        <v>157</v>
      </c>
    </row>
    <row r="144" spans="1:25">
      <c r="B144" s="2">
        <f t="shared" ref="B144:C144" si="16">O129-B129</f>
        <v>-0.02</v>
      </c>
      <c r="C144" s="2">
        <f t="shared" si="16"/>
        <v>-0.04</v>
      </c>
      <c r="D144" s="2">
        <f t="shared" si="4"/>
        <v>-0.04</v>
      </c>
      <c r="E144" s="2">
        <f t="shared" si="5"/>
        <v>-0.11</v>
      </c>
      <c r="F144" s="2">
        <f t="shared" si="6"/>
        <v>-0.2</v>
      </c>
      <c r="G144" s="2">
        <f t="shared" si="7"/>
        <v>0.98</v>
      </c>
      <c r="H144" s="2">
        <f t="shared" si="8"/>
        <v>-0.11</v>
      </c>
      <c r="I144" s="2">
        <f t="shared" si="9"/>
        <v>-0.04</v>
      </c>
      <c r="J144" s="2">
        <f t="shared" si="10"/>
        <v>-0.11</v>
      </c>
      <c r="K144" s="2">
        <f t="shared" si="11"/>
        <v>-0.03</v>
      </c>
      <c r="L144" s="2">
        <f t="shared" si="12"/>
        <v>-0.11</v>
      </c>
      <c r="N144" s="71">
        <f>MDETERM(B139:L149)</f>
        <v>0.24167894440439183</v>
      </c>
    </row>
    <row r="145" spans="2:14">
      <c r="B145" s="2">
        <f t="shared" ref="B145:C145" si="17">O130-B130</f>
        <v>-0.06</v>
      </c>
      <c r="C145" s="2">
        <f t="shared" si="17"/>
        <v>-0.12</v>
      </c>
      <c r="D145" s="2">
        <f t="shared" si="4"/>
        <v>-0.08</v>
      </c>
      <c r="E145" s="2">
        <f t="shared" si="5"/>
        <v>-0.03</v>
      </c>
      <c r="F145" s="2">
        <f t="shared" si="6"/>
        <v>-0.11</v>
      </c>
      <c r="G145" s="2">
        <f t="shared" si="7"/>
        <v>-0.12</v>
      </c>
      <c r="H145" s="2">
        <f t="shared" si="8"/>
        <v>0.98</v>
      </c>
      <c r="I145" s="2">
        <f t="shared" si="9"/>
        <v>-0.05</v>
      </c>
      <c r="J145" s="2">
        <f t="shared" si="10"/>
        <v>-0.06</v>
      </c>
      <c r="K145" s="2">
        <f t="shared" si="11"/>
        <v>-0.04</v>
      </c>
      <c r="L145" s="2">
        <f t="shared" si="12"/>
        <v>-0.08</v>
      </c>
      <c r="N145" t="s">
        <v>99</v>
      </c>
    </row>
    <row r="146" spans="2:14">
      <c r="B146" s="2">
        <f t="shared" ref="B146:C146" si="18">O131-B131</f>
        <v>-0.09</v>
      </c>
      <c r="C146" s="2">
        <f t="shared" si="18"/>
        <v>-0.05</v>
      </c>
      <c r="D146" s="2">
        <f t="shared" si="4"/>
        <v>-0.11</v>
      </c>
      <c r="E146" s="2">
        <f t="shared" si="5"/>
        <v>-7.0000000000000007E-2</v>
      </c>
      <c r="F146" s="2">
        <f t="shared" si="6"/>
        <v>-0.05</v>
      </c>
      <c r="G146" s="2">
        <f t="shared" si="7"/>
        <v>-0.06</v>
      </c>
      <c r="H146" s="2">
        <f t="shared" si="8"/>
        <v>-0.12</v>
      </c>
      <c r="I146" s="2">
        <f t="shared" si="9"/>
        <v>0.97</v>
      </c>
      <c r="J146" s="2">
        <f t="shared" si="10"/>
        <v>-0.09</v>
      </c>
      <c r="K146" s="2">
        <f t="shared" si="11"/>
        <v>-0.08</v>
      </c>
      <c r="L146" s="2">
        <f t="shared" si="12"/>
        <v>-0.01</v>
      </c>
    </row>
    <row r="147" spans="2:14">
      <c r="B147" s="2">
        <f t="shared" ref="B147:C147" si="19">O132-B132</f>
        <v>-0.05</v>
      </c>
      <c r="C147" s="2">
        <f t="shared" si="19"/>
        <v>-0.11</v>
      </c>
      <c r="D147" s="2">
        <f t="shared" si="4"/>
        <v>-0.05</v>
      </c>
      <c r="E147" s="2">
        <f t="shared" si="5"/>
        <v>-0.12</v>
      </c>
      <c r="F147" s="2">
        <f t="shared" si="6"/>
        <v>-0.11</v>
      </c>
      <c r="G147" s="2">
        <f t="shared" si="7"/>
        <v>-0.03</v>
      </c>
      <c r="H147" s="2">
        <f t="shared" si="8"/>
        <v>-0.04</v>
      </c>
      <c r="I147" s="2">
        <f t="shared" si="9"/>
        <v>-0.05</v>
      </c>
      <c r="J147" s="2">
        <f t="shared" si="10"/>
        <v>0.87</v>
      </c>
      <c r="K147" s="2">
        <f t="shared" si="11"/>
        <v>-0.05</v>
      </c>
      <c r="L147" s="2">
        <f t="shared" si="12"/>
        <v>-0.05</v>
      </c>
    </row>
    <row r="148" spans="2:14">
      <c r="B148" s="2">
        <f t="shared" ref="B148:C148" si="20">O133-B133</f>
        <v>-0.06</v>
      </c>
      <c r="C148" s="2">
        <f t="shared" si="20"/>
        <v>-0.01</v>
      </c>
      <c r="D148" s="2">
        <f t="shared" si="4"/>
        <v>-0.08</v>
      </c>
      <c r="E148" s="2">
        <f t="shared" si="5"/>
        <v>-0.04</v>
      </c>
      <c r="F148" s="2">
        <f t="shared" si="6"/>
        <v>-0.08</v>
      </c>
      <c r="G148" s="2">
        <f t="shared" si="7"/>
        <v>-0.12</v>
      </c>
      <c r="H148" s="2">
        <f t="shared" si="8"/>
        <v>-0.06</v>
      </c>
      <c r="I148" s="2">
        <f t="shared" si="9"/>
        <v>-0.05</v>
      </c>
      <c r="J148" s="2">
        <f t="shared" si="10"/>
        <v>-0.08</v>
      </c>
      <c r="K148" s="2">
        <f t="shared" si="11"/>
        <v>0.96</v>
      </c>
      <c r="L148" s="2">
        <f t="shared" si="12"/>
        <v>-0.12</v>
      </c>
    </row>
    <row r="149" spans="2:14">
      <c r="B149" s="2">
        <f t="shared" ref="B149:C149" si="21">O134-B134</f>
        <v>-0.15</v>
      </c>
      <c r="C149" s="2">
        <f t="shared" si="21"/>
        <v>-0.02</v>
      </c>
      <c r="D149" s="2">
        <f t="shared" si="4"/>
        <v>-0.06</v>
      </c>
      <c r="E149" s="2">
        <f t="shared" si="5"/>
        <v>-0.03</v>
      </c>
      <c r="F149" s="2">
        <f t="shared" si="6"/>
        <v>-0.08</v>
      </c>
      <c r="G149" s="2">
        <f t="shared" si="7"/>
        <v>-7.0000000000000007E-2</v>
      </c>
      <c r="H149" s="2">
        <f t="shared" si="8"/>
        <v>-0.04</v>
      </c>
      <c r="I149" s="2">
        <f t="shared" si="9"/>
        <v>-0.15</v>
      </c>
      <c r="J149" s="2">
        <f t="shared" si="10"/>
        <v>-0.21</v>
      </c>
      <c r="K149" s="2">
        <f t="shared" si="11"/>
        <v>-0.02</v>
      </c>
      <c r="L149" s="2">
        <f t="shared" si="12"/>
        <v>0.97</v>
      </c>
    </row>
    <row r="151" spans="2:14">
      <c r="B151" s="2">
        <f t="array" ref="B151:L161">MINVERSE(B139:L149)</f>
        <v>1.4332413193624822</v>
      </c>
      <c r="C151" s="2">
        <v>0.43853281578469167</v>
      </c>
      <c r="D151" s="2">
        <v>0.41204539630797488</v>
      </c>
      <c r="E151" s="2">
        <v>0.45015565154153531</v>
      </c>
      <c r="F151" s="2">
        <v>0.48924794549153605</v>
      </c>
      <c r="G151" s="2">
        <v>0.41383889082222242</v>
      </c>
      <c r="H151" s="2">
        <v>0.32245044762826597</v>
      </c>
      <c r="I151" s="2">
        <v>0.30704610392474035</v>
      </c>
      <c r="J151" s="2">
        <v>0.56869764948047152</v>
      </c>
      <c r="K151" s="2">
        <v>0.27930106984622766</v>
      </c>
      <c r="L151" s="2">
        <v>0.38909478762250771</v>
      </c>
    </row>
    <row r="152" spans="2:14">
      <c r="B152" s="2">
        <v>0.43613033967969489</v>
      </c>
      <c r="C152" s="2">
        <v>1.4066439236977857</v>
      </c>
      <c r="D152" s="2">
        <v>0.55347868192953498</v>
      </c>
      <c r="E152" s="2">
        <v>0.6786071679569069</v>
      </c>
      <c r="F152" s="2">
        <v>0.40201830911538694</v>
      </c>
      <c r="G152" s="2">
        <v>0.40561724305689811</v>
      </c>
      <c r="H152" s="2">
        <v>0.31549931024457634</v>
      </c>
      <c r="I152" s="2">
        <v>0.37432292208961127</v>
      </c>
      <c r="J152" s="2">
        <v>0.66853427619022987</v>
      </c>
      <c r="K152" s="2">
        <v>0.2282468190480077</v>
      </c>
      <c r="L152" s="2">
        <v>0.31237498925116919</v>
      </c>
    </row>
    <row r="153" spans="2:14">
      <c r="B153" s="2">
        <v>0.45930142446072081</v>
      </c>
      <c r="C153" s="2">
        <v>0.39573853295249445</v>
      </c>
      <c r="D153" s="2">
        <v>1.4855472491758428</v>
      </c>
      <c r="E153" s="2">
        <v>0.65429383500805649</v>
      </c>
      <c r="F153" s="2">
        <v>0.39599397482930043</v>
      </c>
      <c r="G153" s="2">
        <v>0.4144745111711966</v>
      </c>
      <c r="H153" s="2">
        <v>0.30639458050495438</v>
      </c>
      <c r="I153" s="2">
        <v>0.3324997705836133</v>
      </c>
      <c r="J153" s="2">
        <v>0.63579855989780998</v>
      </c>
      <c r="K153" s="2">
        <v>0.24132011397102188</v>
      </c>
      <c r="L153" s="2">
        <v>0.2910979745405331</v>
      </c>
    </row>
    <row r="154" spans="2:14">
      <c r="B154" s="2">
        <v>0.49992701896863695</v>
      </c>
      <c r="C154" s="2">
        <v>0.39955513553576316</v>
      </c>
      <c r="D154" s="2">
        <v>0.5963177691035082</v>
      </c>
      <c r="E154" s="2">
        <v>1.4926378440241581</v>
      </c>
      <c r="F154" s="2">
        <v>0.41139209993828968</v>
      </c>
      <c r="G154" s="2">
        <v>0.36304075699473992</v>
      </c>
      <c r="H154" s="2">
        <v>0.4031197772453502</v>
      </c>
      <c r="I154" s="2">
        <v>0.36757112711127737</v>
      </c>
      <c r="J154" s="2">
        <v>0.60106351280554482</v>
      </c>
      <c r="K154" s="2">
        <v>0.24799160640707882</v>
      </c>
      <c r="L154" s="2">
        <v>0.34132308000975209</v>
      </c>
    </row>
    <row r="155" spans="2:14">
      <c r="B155" s="2">
        <v>0.59811430205426175</v>
      </c>
      <c r="C155" s="2">
        <v>0.48207391705248831</v>
      </c>
      <c r="D155" s="2">
        <v>0.45158088850146677</v>
      </c>
      <c r="E155" s="2">
        <v>0.50729073888967424</v>
      </c>
      <c r="F155" s="2">
        <v>1.3998028405492611</v>
      </c>
      <c r="G155" s="2">
        <v>0.36534438257686397</v>
      </c>
      <c r="H155" s="2">
        <v>0.40692964594404307</v>
      </c>
      <c r="I155" s="2">
        <v>0.38078391612329904</v>
      </c>
      <c r="J155" s="2">
        <v>0.55195783515089825</v>
      </c>
      <c r="K155" s="2">
        <v>0.23179800884877491</v>
      </c>
      <c r="L155" s="2">
        <v>0.37026393498916377</v>
      </c>
    </row>
    <row r="156" spans="2:14">
      <c r="B156" s="2">
        <v>0.42929418028080168</v>
      </c>
      <c r="C156" s="2">
        <v>0.3895868962775525</v>
      </c>
      <c r="D156" s="2">
        <v>0.42955363143609515</v>
      </c>
      <c r="E156" s="2">
        <v>0.52791983734287906</v>
      </c>
      <c r="F156" s="2">
        <v>0.55516516353769563</v>
      </c>
      <c r="G156" s="2">
        <v>1.3296550112160119</v>
      </c>
      <c r="H156" s="2">
        <v>0.40327835468968276</v>
      </c>
      <c r="I156" s="2">
        <v>0.33675295383455628</v>
      </c>
      <c r="J156" s="2">
        <v>0.60157635107178309</v>
      </c>
      <c r="K156" s="2">
        <v>0.22569926483807423</v>
      </c>
      <c r="L156" s="2">
        <v>0.39004998436969451</v>
      </c>
    </row>
    <row r="157" spans="2:14">
      <c r="B157" s="2">
        <v>0.42213827617343758</v>
      </c>
      <c r="C157" s="2">
        <v>0.43372016640587185</v>
      </c>
      <c r="D157" s="2">
        <v>0.43880553412105716</v>
      </c>
      <c r="E157" s="2">
        <v>0.4423878644865834</v>
      </c>
      <c r="F157" s="2">
        <v>0.45060099062214826</v>
      </c>
      <c r="G157" s="2">
        <v>0.40913055186408082</v>
      </c>
      <c r="H157" s="2">
        <v>1.2900834603468216</v>
      </c>
      <c r="I157" s="2">
        <v>0.32016201324205507</v>
      </c>
      <c r="J157" s="2">
        <v>0.52731552376724611</v>
      </c>
      <c r="K157" s="2">
        <v>0.22250561088173731</v>
      </c>
      <c r="L157" s="2">
        <v>0.34113951442352336</v>
      </c>
    </row>
    <row r="158" spans="2:14">
      <c r="B158" s="2">
        <v>0.43159122633762093</v>
      </c>
      <c r="C158" s="2">
        <v>0.35930239608298803</v>
      </c>
      <c r="D158" s="2">
        <v>0.46096420299944874</v>
      </c>
      <c r="E158" s="2">
        <v>0.46077524546285675</v>
      </c>
      <c r="F158" s="2">
        <v>0.38335158463904634</v>
      </c>
      <c r="G158" s="2">
        <v>0.35092089233490675</v>
      </c>
      <c r="H158" s="2">
        <v>0.37454994203696157</v>
      </c>
      <c r="I158" s="2">
        <v>1.2830399071369012</v>
      </c>
      <c r="J158" s="2">
        <v>0.53288965988611581</v>
      </c>
      <c r="K158" s="2">
        <v>0.26118286414704889</v>
      </c>
      <c r="L158" s="2">
        <v>0.26861908205323182</v>
      </c>
    </row>
    <row r="159" spans="2:14">
      <c r="B159" s="2">
        <v>0.42191904555275883</v>
      </c>
      <c r="C159" s="2">
        <v>0.43526460787768867</v>
      </c>
      <c r="D159" s="2">
        <v>0.42922029049755167</v>
      </c>
      <c r="E159" s="2">
        <v>0.53480413524369508</v>
      </c>
      <c r="F159" s="2">
        <v>0.44754922620728915</v>
      </c>
      <c r="G159" s="2">
        <v>0.32483409441547134</v>
      </c>
      <c r="H159" s="2">
        <v>0.31547535131659399</v>
      </c>
      <c r="I159" s="2">
        <v>0.32547355197852756</v>
      </c>
      <c r="J159" s="2">
        <v>1.6024762915808395</v>
      </c>
      <c r="K159" s="2">
        <v>0.23853818620758691</v>
      </c>
      <c r="L159" s="2">
        <v>0.31404776628668196</v>
      </c>
    </row>
    <row r="160" spans="2:14">
      <c r="B160" s="2">
        <v>0.40809228974532974</v>
      </c>
      <c r="C160" s="2">
        <v>0.30960037587850464</v>
      </c>
      <c r="D160" s="2">
        <v>0.41425720508495484</v>
      </c>
      <c r="E160" s="2">
        <v>0.41440027099010379</v>
      </c>
      <c r="F160" s="2">
        <v>0.41387236481143475</v>
      </c>
      <c r="G160" s="2">
        <v>0.39544169179545202</v>
      </c>
      <c r="H160" s="2">
        <v>0.3185722478461484</v>
      </c>
      <c r="I160" s="2">
        <v>0.30780510846049564</v>
      </c>
      <c r="J160" s="2">
        <v>0.52478993480597902</v>
      </c>
      <c r="K160" s="2">
        <v>1.2158824417808345</v>
      </c>
      <c r="L160" s="2">
        <v>0.37165190454361607</v>
      </c>
    </row>
    <row r="161" spans="1:15">
      <c r="B161" s="2">
        <v>0.53871494626518768</v>
      </c>
      <c r="C161" s="2">
        <v>0.37559021054544073</v>
      </c>
      <c r="D161" s="2">
        <v>0.44454869413405279</v>
      </c>
      <c r="E161" s="2">
        <v>0.46399853552229053</v>
      </c>
      <c r="F161" s="2">
        <v>0.45996320650105849</v>
      </c>
      <c r="G161" s="2">
        <v>0.38492641530289956</v>
      </c>
      <c r="H161" s="2">
        <v>0.33643894479733522</v>
      </c>
      <c r="I161" s="2">
        <v>0.43126178229078277</v>
      </c>
      <c r="J161" s="2">
        <v>0.71047836409557719</v>
      </c>
      <c r="K161" s="2">
        <v>0.23217542590873388</v>
      </c>
      <c r="L161" s="2">
        <v>1.3160447571156051</v>
      </c>
    </row>
    <row r="163" spans="1:15">
      <c r="A163" t="s">
        <v>101</v>
      </c>
    </row>
    <row r="164" spans="1:15">
      <c r="A164" s="69" t="s">
        <v>100</v>
      </c>
      <c r="B164" s="2">
        <f t="array" ref="B164:L164">MMULT(B137:L137,B151:L161)</f>
        <v>3026.7329704922622</v>
      </c>
      <c r="C164" s="2">
        <v>2844.5262222087326</v>
      </c>
      <c r="D164" s="2">
        <v>2969.8243836982597</v>
      </c>
      <c r="E164" s="2">
        <v>2903.3286490968267</v>
      </c>
      <c r="F164" s="2">
        <v>2709.4555651311962</v>
      </c>
      <c r="G164" s="2">
        <v>2577.9814627067553</v>
      </c>
      <c r="H164" s="2">
        <v>2514.5393224084974</v>
      </c>
      <c r="I164" s="2">
        <v>2778.488123596921</v>
      </c>
      <c r="J164" s="2">
        <v>3383.1908660648696</v>
      </c>
      <c r="K164" s="2">
        <v>1759.9596483561245</v>
      </c>
      <c r="L164" s="2">
        <v>2589.4964025217205</v>
      </c>
    </row>
    <row r="167" spans="1:15">
      <c r="A167" t="s">
        <v>393</v>
      </c>
      <c r="E167" s="69"/>
    </row>
    <row r="168" spans="1:15">
      <c r="A168" s="241" t="s">
        <v>28</v>
      </c>
      <c r="B168" s="198"/>
      <c r="C168" s="198"/>
      <c r="D168" s="198"/>
      <c r="E168" s="198"/>
      <c r="F168" s="198"/>
      <c r="G168" s="198"/>
      <c r="H168" s="198"/>
      <c r="I168" s="198"/>
      <c r="J168" s="198"/>
      <c r="K168" s="198"/>
      <c r="L168" s="198"/>
    </row>
    <row r="169" spans="1:15">
      <c r="A169" s="95"/>
      <c r="B169" s="2">
        <v>1</v>
      </c>
      <c r="C169" s="2">
        <v>2</v>
      </c>
      <c r="D169" s="2">
        <v>3</v>
      </c>
      <c r="E169" s="2">
        <v>4</v>
      </c>
      <c r="F169" s="2">
        <v>5</v>
      </c>
      <c r="G169" s="2">
        <v>6</v>
      </c>
      <c r="H169" s="2">
        <v>7</v>
      </c>
      <c r="I169" s="2">
        <v>8</v>
      </c>
      <c r="J169" s="2">
        <v>9</v>
      </c>
      <c r="K169" s="2">
        <v>10</v>
      </c>
      <c r="L169" s="2">
        <v>11</v>
      </c>
    </row>
    <row r="170" spans="1:15">
      <c r="A170" s="2">
        <v>1</v>
      </c>
      <c r="B170" s="70">
        <f>B139*$B$164</f>
        <v>2875.3963219676489</v>
      </c>
      <c r="C170" s="70">
        <f>C139*$C$164</f>
        <v>-312.89788444296062</v>
      </c>
      <c r="D170" s="70">
        <f>D139*$D$164</f>
        <v>-118.79297534793039</v>
      </c>
      <c r="E170" s="70">
        <f>E139*$E$164</f>
        <v>-87.099859472904797</v>
      </c>
      <c r="F170" s="70">
        <f>F139*$F$164</f>
        <v>-352.22922346705553</v>
      </c>
      <c r="G170" s="70">
        <f>G139*$G$164</f>
        <v>-283.57796089774308</v>
      </c>
      <c r="H170" s="70">
        <f>H139*$H$164</f>
        <v>-100.58157289633989</v>
      </c>
      <c r="I170" s="70">
        <f>I139*$I$164</f>
        <v>-55.569762471938418</v>
      </c>
      <c r="J170" s="70">
        <f>J139*$J$164</f>
        <v>-270.65526928518955</v>
      </c>
      <c r="K170" s="70">
        <f>K139*$K$164</f>
        <v>-158.39636835205121</v>
      </c>
      <c r="L170" s="70">
        <f>L139*$L$164</f>
        <v>-284.84460427738924</v>
      </c>
      <c r="O170" s="72">
        <f t="shared" ref="O170:O180" si="22">SUM(B170:L170)</f>
        <v>850.75084105614633</v>
      </c>
    </row>
    <row r="171" spans="1:15">
      <c r="A171" s="2">
        <v>2</v>
      </c>
      <c r="B171" s="70">
        <f t="shared" ref="B171:B180" si="23">B140*$B$164</f>
        <v>-121.06931881969049</v>
      </c>
      <c r="C171" s="70">
        <f t="shared" ref="C171:C180" si="24">C140*$C$164</f>
        <v>2673.8546488762086</v>
      </c>
      <c r="D171" s="70">
        <f t="shared" ref="D171:D180" si="25">D140*$D$164</f>
        <v>-386.07716988077379</v>
      </c>
      <c r="E171" s="70">
        <f t="shared" ref="E171:E180" si="26">E140*$E$164</f>
        <v>-638.7323028013019</v>
      </c>
      <c r="F171" s="70">
        <f t="shared" ref="F171:F180" si="27">F140*$F$164</f>
        <v>-81.283666953935878</v>
      </c>
      <c r="G171" s="70">
        <f t="shared" ref="G171:G180" si="28">G140*$G$164</f>
        <v>-232.01833164360798</v>
      </c>
      <c r="H171" s="70">
        <f t="shared" ref="H171:H180" si="29">H140*$H$164</f>
        <v>-25.145393224084973</v>
      </c>
      <c r="I171" s="70">
        <f t="shared" ref="I171:I180" si="30">I140*$I$164</f>
        <v>-222.27904988775367</v>
      </c>
      <c r="J171" s="70">
        <f t="shared" ref="J171:J180" si="31">J140*$J$164</f>
        <v>-507.47862990973044</v>
      </c>
      <c r="K171" s="70">
        <f t="shared" ref="K171:K180" si="32">K140*$K$164</f>
        <v>-35.199192967122492</v>
      </c>
      <c r="L171" s="70">
        <f t="shared" ref="L171:L180" si="33">L140*$L$164</f>
        <v>-77.684892075651618</v>
      </c>
      <c r="O171" s="72">
        <f t="shared" si="22"/>
        <v>346.88670071255501</v>
      </c>
    </row>
    <row r="172" spans="1:15">
      <c r="A172" s="2">
        <v>3</v>
      </c>
      <c r="B172" s="70">
        <f t="shared" si="23"/>
        <v>-242.13863763938099</v>
      </c>
      <c r="C172" s="70">
        <f t="shared" si="24"/>
        <v>-170.67157333252396</v>
      </c>
      <c r="D172" s="70">
        <f t="shared" si="25"/>
        <v>2732.2384330023992</v>
      </c>
      <c r="E172" s="70">
        <f t="shared" si="26"/>
        <v>-638.7323028013019</v>
      </c>
      <c r="F172" s="70">
        <f t="shared" si="27"/>
        <v>-81.283666953935878</v>
      </c>
      <c r="G172" s="70">
        <f t="shared" si="28"/>
        <v>-283.57796089774308</v>
      </c>
      <c r="H172" s="70">
        <f t="shared" si="29"/>
        <v>-25.145393224084973</v>
      </c>
      <c r="I172" s="70">
        <f t="shared" si="30"/>
        <v>-138.92440617984605</v>
      </c>
      <c r="J172" s="70">
        <f t="shared" si="31"/>
        <v>-473.64672124908179</v>
      </c>
      <c r="K172" s="70">
        <f t="shared" si="32"/>
        <v>-70.398385934244985</v>
      </c>
      <c r="L172" s="70">
        <f t="shared" si="33"/>
        <v>-25.894964025217206</v>
      </c>
      <c r="O172" s="72">
        <f t="shared" si="22"/>
        <v>581.82442076503867</v>
      </c>
    </row>
    <row r="173" spans="1:15">
      <c r="A173" s="2">
        <v>4</v>
      </c>
      <c r="B173" s="70">
        <f t="shared" si="23"/>
        <v>-332.94062675414887</v>
      </c>
      <c r="C173" s="70">
        <f t="shared" si="24"/>
        <v>-142.22631111043663</v>
      </c>
      <c r="D173" s="70">
        <f t="shared" si="25"/>
        <v>-593.96487673965191</v>
      </c>
      <c r="E173" s="70">
        <f t="shared" si="26"/>
        <v>2787.1955031329535</v>
      </c>
      <c r="F173" s="70">
        <f t="shared" si="27"/>
        <v>-108.37822260524786</v>
      </c>
      <c r="G173" s="70">
        <f t="shared" si="28"/>
        <v>-77.339443881202655</v>
      </c>
      <c r="H173" s="70">
        <f t="shared" si="29"/>
        <v>-301.74471868901969</v>
      </c>
      <c r="I173" s="70">
        <f t="shared" si="30"/>
        <v>-222.27904988775367</v>
      </c>
      <c r="J173" s="70">
        <f t="shared" si="31"/>
        <v>-304.48717794583825</v>
      </c>
      <c r="K173" s="70">
        <f t="shared" si="32"/>
        <v>-70.398385934244985</v>
      </c>
      <c r="L173" s="70">
        <f t="shared" si="33"/>
        <v>-155.36978415130324</v>
      </c>
      <c r="O173" s="72">
        <f t="shared" si="22"/>
        <v>478.06690543410565</v>
      </c>
    </row>
    <row r="174" spans="1:15">
      <c r="A174" s="2">
        <v>5</v>
      </c>
      <c r="B174" s="70">
        <f t="shared" si="23"/>
        <v>-635.61392380337509</v>
      </c>
      <c r="C174" s="70">
        <f t="shared" si="24"/>
        <v>-369.78840888713523</v>
      </c>
      <c r="D174" s="70">
        <f t="shared" si="25"/>
        <v>-148.49121918491298</v>
      </c>
      <c r="E174" s="70">
        <f t="shared" si="26"/>
        <v>-203.23300543677789</v>
      </c>
      <c r="F174" s="70">
        <f t="shared" si="27"/>
        <v>2655.2664538285721</v>
      </c>
      <c r="G174" s="70">
        <f t="shared" si="28"/>
        <v>-77.339443881202655</v>
      </c>
      <c r="H174" s="70">
        <f t="shared" si="29"/>
        <v>-301.74471868901969</v>
      </c>
      <c r="I174" s="70">
        <f t="shared" si="30"/>
        <v>-250.06393112372288</v>
      </c>
      <c r="J174" s="70">
        <f t="shared" si="31"/>
        <v>-135.32763464259477</v>
      </c>
      <c r="K174" s="70">
        <f t="shared" si="32"/>
        <v>-35.199192967122492</v>
      </c>
      <c r="L174" s="70">
        <f t="shared" si="33"/>
        <v>-207.15971220173765</v>
      </c>
      <c r="O174" s="72">
        <f t="shared" si="22"/>
        <v>291.30526301097086</v>
      </c>
    </row>
    <row r="175" spans="1:15">
      <c r="A175" s="2">
        <v>6</v>
      </c>
      <c r="B175" s="70">
        <f t="shared" si="23"/>
        <v>-60.534659409845247</v>
      </c>
      <c r="C175" s="70">
        <f t="shared" si="24"/>
        <v>-113.7810488883493</v>
      </c>
      <c r="D175" s="70">
        <f t="shared" si="25"/>
        <v>-118.79297534793039</v>
      </c>
      <c r="E175" s="70">
        <f t="shared" si="26"/>
        <v>-319.36615140065095</v>
      </c>
      <c r="F175" s="70">
        <f t="shared" si="27"/>
        <v>-541.89111302623928</v>
      </c>
      <c r="G175" s="70">
        <f t="shared" si="28"/>
        <v>2526.4218334526204</v>
      </c>
      <c r="H175" s="70">
        <f t="shared" si="29"/>
        <v>-276.59932546493474</v>
      </c>
      <c r="I175" s="70">
        <f t="shared" si="30"/>
        <v>-111.13952494387684</v>
      </c>
      <c r="J175" s="70">
        <f t="shared" si="31"/>
        <v>-372.15099526713567</v>
      </c>
      <c r="K175" s="70">
        <f t="shared" si="32"/>
        <v>-52.798789450683735</v>
      </c>
      <c r="L175" s="70">
        <f t="shared" si="33"/>
        <v>-284.84460427738924</v>
      </c>
      <c r="N175" s="69" t="s">
        <v>100</v>
      </c>
      <c r="O175" s="72">
        <f t="shared" si="22"/>
        <v>274.52264597558479</v>
      </c>
    </row>
    <row r="176" spans="1:15">
      <c r="A176" s="2">
        <v>7</v>
      </c>
      <c r="B176" s="70">
        <f t="shared" si="23"/>
        <v>-181.60397822953573</v>
      </c>
      <c r="C176" s="70">
        <f t="shared" si="24"/>
        <v>-341.34314666504793</v>
      </c>
      <c r="D176" s="70">
        <f t="shared" si="25"/>
        <v>-237.58595069586079</v>
      </c>
      <c r="E176" s="70">
        <f t="shared" si="26"/>
        <v>-87.099859472904797</v>
      </c>
      <c r="F176" s="70">
        <f t="shared" si="27"/>
        <v>-298.0401121644316</v>
      </c>
      <c r="G176" s="70">
        <f t="shared" si="28"/>
        <v>-309.35777552481062</v>
      </c>
      <c r="H176" s="70">
        <f t="shared" si="29"/>
        <v>2464.2485359603274</v>
      </c>
      <c r="I176" s="70">
        <f t="shared" si="30"/>
        <v>-138.92440617984605</v>
      </c>
      <c r="J176" s="70">
        <f t="shared" si="31"/>
        <v>-202.99145196389216</v>
      </c>
      <c r="K176" s="70">
        <f t="shared" si="32"/>
        <v>-70.398385934244985</v>
      </c>
      <c r="L176" s="70">
        <f t="shared" si="33"/>
        <v>-207.15971220173765</v>
      </c>
      <c r="O176" s="72">
        <f t="shared" si="22"/>
        <v>389.74375692801505</v>
      </c>
    </row>
    <row r="177" spans="1:15">
      <c r="A177" s="2">
        <v>8</v>
      </c>
      <c r="B177" s="70">
        <f t="shared" si="23"/>
        <v>-272.40596734430358</v>
      </c>
      <c r="C177" s="70">
        <f t="shared" si="24"/>
        <v>-142.22631111043663</v>
      </c>
      <c r="D177" s="70">
        <f t="shared" si="25"/>
        <v>-326.68068220680857</v>
      </c>
      <c r="E177" s="70">
        <f t="shared" si="26"/>
        <v>-203.23300543677789</v>
      </c>
      <c r="F177" s="70">
        <f t="shared" si="27"/>
        <v>-135.47277825655982</v>
      </c>
      <c r="G177" s="70">
        <f t="shared" si="28"/>
        <v>-154.67888776240531</v>
      </c>
      <c r="H177" s="70">
        <f t="shared" si="29"/>
        <v>-301.74471868901969</v>
      </c>
      <c r="I177" s="70">
        <f t="shared" si="30"/>
        <v>2695.1334798890134</v>
      </c>
      <c r="J177" s="70">
        <f t="shared" si="31"/>
        <v>-304.48717794583825</v>
      </c>
      <c r="K177" s="70">
        <f t="shared" si="32"/>
        <v>-140.79677186848997</v>
      </c>
      <c r="L177" s="70">
        <f t="shared" si="33"/>
        <v>-25.894964025217206</v>
      </c>
      <c r="O177" s="72">
        <f t="shared" si="22"/>
        <v>687.51221524315633</v>
      </c>
    </row>
    <row r="178" spans="1:15">
      <c r="A178" s="2">
        <v>9</v>
      </c>
      <c r="B178" s="70">
        <f t="shared" si="23"/>
        <v>-151.33664852461311</v>
      </c>
      <c r="C178" s="70">
        <f t="shared" si="24"/>
        <v>-312.89788444296062</v>
      </c>
      <c r="D178" s="70">
        <f t="shared" si="25"/>
        <v>-148.49121918491298</v>
      </c>
      <c r="E178" s="70">
        <f t="shared" si="26"/>
        <v>-348.39943789161919</v>
      </c>
      <c r="F178" s="70">
        <f t="shared" si="27"/>
        <v>-298.0401121644316</v>
      </c>
      <c r="G178" s="70">
        <f t="shared" si="28"/>
        <v>-77.339443881202655</v>
      </c>
      <c r="H178" s="70">
        <f t="shared" si="29"/>
        <v>-100.58157289633989</v>
      </c>
      <c r="I178" s="70">
        <f t="shared" si="30"/>
        <v>-138.92440617984605</v>
      </c>
      <c r="J178" s="70">
        <f t="shared" si="31"/>
        <v>2943.3760534764365</v>
      </c>
      <c r="K178" s="70">
        <f t="shared" si="32"/>
        <v>-87.997982417806227</v>
      </c>
      <c r="L178" s="70">
        <f t="shared" si="33"/>
        <v>-129.47482012608603</v>
      </c>
      <c r="O178" s="72">
        <f t="shared" si="22"/>
        <v>1149.8925257666181</v>
      </c>
    </row>
    <row r="179" spans="1:15">
      <c r="A179" s="2">
        <v>10</v>
      </c>
      <c r="B179" s="70">
        <f t="shared" si="23"/>
        <v>-181.60397822953573</v>
      </c>
      <c r="C179" s="70">
        <f t="shared" si="24"/>
        <v>-28.445262222087326</v>
      </c>
      <c r="D179" s="70">
        <f t="shared" si="25"/>
        <v>-237.58595069586079</v>
      </c>
      <c r="E179" s="70">
        <f t="shared" si="26"/>
        <v>-116.13314596387306</v>
      </c>
      <c r="F179" s="70">
        <f t="shared" si="27"/>
        <v>-216.75644521049571</v>
      </c>
      <c r="G179" s="70">
        <f t="shared" si="28"/>
        <v>-309.35777552481062</v>
      </c>
      <c r="H179" s="70">
        <f t="shared" si="29"/>
        <v>-150.87235934450985</v>
      </c>
      <c r="I179" s="70">
        <f t="shared" si="30"/>
        <v>-138.92440617984605</v>
      </c>
      <c r="J179" s="70">
        <f t="shared" si="31"/>
        <v>-270.65526928518955</v>
      </c>
      <c r="K179" s="70">
        <f t="shared" si="32"/>
        <v>1689.5612624218795</v>
      </c>
      <c r="L179" s="70">
        <f t="shared" si="33"/>
        <v>-310.73956830260647</v>
      </c>
      <c r="O179" s="72">
        <f t="shared" si="22"/>
        <v>-271.51289853693572</v>
      </c>
    </row>
    <row r="180" spans="1:15">
      <c r="A180" s="2">
        <v>11</v>
      </c>
      <c r="B180" s="70">
        <f t="shared" si="23"/>
        <v>-454.00994557383933</v>
      </c>
      <c r="C180" s="70">
        <f t="shared" si="24"/>
        <v>-56.890524444174652</v>
      </c>
      <c r="D180" s="70">
        <f t="shared" si="25"/>
        <v>-178.18946302189556</v>
      </c>
      <c r="E180" s="70">
        <f t="shared" si="26"/>
        <v>-87.099859472904797</v>
      </c>
      <c r="F180" s="70">
        <f t="shared" si="27"/>
        <v>-216.75644521049571</v>
      </c>
      <c r="G180" s="70">
        <f t="shared" si="28"/>
        <v>-180.4587023894729</v>
      </c>
      <c r="H180" s="70">
        <f t="shared" si="29"/>
        <v>-100.58157289633989</v>
      </c>
      <c r="I180" s="70">
        <f t="shared" si="30"/>
        <v>-416.77321853953816</v>
      </c>
      <c r="J180" s="70">
        <f t="shared" si="31"/>
        <v>-710.47008187362258</v>
      </c>
      <c r="K180" s="70">
        <f t="shared" si="32"/>
        <v>-35.199192967122492</v>
      </c>
      <c r="L180" s="70">
        <f t="shared" si="33"/>
        <v>2511.811510446069</v>
      </c>
      <c r="O180" s="72">
        <f t="shared" si="22"/>
        <v>75.382504056662583</v>
      </c>
    </row>
    <row r="182" spans="1:15">
      <c r="A182" t="s">
        <v>10</v>
      </c>
    </row>
    <row r="192" spans="1:15">
      <c r="A192" s="179"/>
      <c r="B192" s="71" t="s">
        <v>375</v>
      </c>
      <c r="C192" s="71" t="s">
        <v>376</v>
      </c>
      <c r="D192" s="71" t="s">
        <v>377</v>
      </c>
      <c r="E192" s="71" t="s">
        <v>378</v>
      </c>
      <c r="F192" s="71" t="s">
        <v>379</v>
      </c>
    </row>
    <row r="193" spans="1:12">
      <c r="A193" s="71" t="s">
        <v>380</v>
      </c>
      <c r="B193" s="71">
        <v>8</v>
      </c>
      <c r="C193" s="71">
        <v>1</v>
      </c>
      <c r="D193" s="71">
        <v>19</v>
      </c>
      <c r="E193" s="71">
        <v>1</v>
      </c>
      <c r="F193" s="71">
        <v>18</v>
      </c>
    </row>
    <row r="194" spans="1:12">
      <c r="A194" s="71" t="s">
        <v>381</v>
      </c>
      <c r="B194" s="71">
        <v>8</v>
      </c>
      <c r="C194" s="71">
        <v>27</v>
      </c>
      <c r="D194" s="71">
        <v>30</v>
      </c>
      <c r="E194" s="71">
        <v>7</v>
      </c>
      <c r="F194" s="71">
        <v>23</v>
      </c>
    </row>
    <row r="195" spans="1:12">
      <c r="A195" s="71" t="s">
        <v>382</v>
      </c>
      <c r="B195" s="71">
        <v>10</v>
      </c>
      <c r="C195" s="71">
        <v>20</v>
      </c>
      <c r="D195" s="71">
        <v>19</v>
      </c>
      <c r="E195" s="71">
        <v>26</v>
      </c>
      <c r="F195" s="71">
        <v>17</v>
      </c>
    </row>
    <row r="196" spans="1:12">
      <c r="A196" s="71" t="s">
        <v>383</v>
      </c>
      <c r="B196" s="71">
        <v>18</v>
      </c>
      <c r="C196" s="71">
        <v>28</v>
      </c>
      <c r="D196" s="71">
        <v>25</v>
      </c>
      <c r="E196" s="71">
        <v>7</v>
      </c>
      <c r="F196" s="71">
        <v>22</v>
      </c>
    </row>
    <row r="197" spans="1:12">
      <c r="A197" s="71" t="s">
        <v>384</v>
      </c>
      <c r="B197" s="71">
        <v>21</v>
      </c>
      <c r="C197" s="71">
        <v>21</v>
      </c>
      <c r="D197" s="71">
        <v>9</v>
      </c>
      <c r="E197" s="71">
        <v>9</v>
      </c>
      <c r="F197" s="179"/>
    </row>
    <row r="198" spans="1:12">
      <c r="L198" t="s">
        <v>402</v>
      </c>
    </row>
    <row r="199" spans="1:12">
      <c r="B199" t="s">
        <v>17</v>
      </c>
      <c r="D199" t="s">
        <v>18</v>
      </c>
      <c r="F199" t="s">
        <v>19</v>
      </c>
      <c r="H199" t="s">
        <v>20</v>
      </c>
      <c r="K199" t="s">
        <v>54</v>
      </c>
    </row>
    <row r="200" spans="1:12">
      <c r="A200" t="s">
        <v>22</v>
      </c>
      <c r="B200" s="22"/>
      <c r="C200" s="23">
        <v>8</v>
      </c>
      <c r="D200" s="11"/>
      <c r="E200" s="12">
        <v>1</v>
      </c>
      <c r="F200" s="11"/>
      <c r="G200" s="12">
        <v>19</v>
      </c>
      <c r="H200" s="11"/>
      <c r="I200" s="12">
        <v>1</v>
      </c>
    </row>
    <row r="201" spans="1:12">
      <c r="B201" s="24">
        <v>18</v>
      </c>
      <c r="C201" s="25"/>
      <c r="D201" s="13">
        <v>0</v>
      </c>
      <c r="E201" s="14"/>
      <c r="F201" s="13">
        <v>0</v>
      </c>
      <c r="G201" s="14"/>
      <c r="H201" s="13">
        <v>0</v>
      </c>
      <c r="I201" s="14"/>
      <c r="J201" s="89"/>
      <c r="K201">
        <f>L201-(SUM(B201,D201,F201,H201))</f>
        <v>0</v>
      </c>
      <c r="L201">
        <v>18</v>
      </c>
    </row>
    <row r="202" spans="1:12">
      <c r="A202" t="s">
        <v>23</v>
      </c>
      <c r="B202" s="22"/>
      <c r="C202" s="23">
        <v>7</v>
      </c>
      <c r="D202" s="22"/>
      <c r="E202" s="23">
        <v>3</v>
      </c>
      <c r="F202" s="11"/>
      <c r="G202" s="12">
        <v>5</v>
      </c>
      <c r="H202" s="11"/>
      <c r="I202" s="12">
        <v>2</v>
      </c>
    </row>
    <row r="203" spans="1:12">
      <c r="B203" s="24">
        <v>3</v>
      </c>
      <c r="C203" s="25"/>
      <c r="D203" s="24">
        <v>20</v>
      </c>
      <c r="E203" s="25"/>
      <c r="F203" s="13">
        <v>0</v>
      </c>
      <c r="G203" s="14"/>
      <c r="H203" s="13">
        <v>0</v>
      </c>
      <c r="I203" s="14"/>
      <c r="J203" s="89"/>
      <c r="K203">
        <f>L203-(SUM(B203,D203,F203,H203))</f>
        <v>0</v>
      </c>
      <c r="L203">
        <v>23</v>
      </c>
    </row>
    <row r="204" spans="1:12">
      <c r="A204" t="s">
        <v>24</v>
      </c>
      <c r="B204" s="11"/>
      <c r="C204" s="12">
        <v>5</v>
      </c>
      <c r="D204" s="22"/>
      <c r="E204" s="23">
        <v>3</v>
      </c>
      <c r="F204" s="22"/>
      <c r="G204" s="23">
        <v>2</v>
      </c>
      <c r="H204" s="22"/>
      <c r="I204" s="23">
        <v>4</v>
      </c>
    </row>
    <row r="205" spans="1:12">
      <c r="B205" s="13">
        <v>0</v>
      </c>
      <c r="C205" s="14"/>
      <c r="D205" s="24">
        <v>1</v>
      </c>
      <c r="E205" s="25"/>
      <c r="F205" s="24">
        <v>9</v>
      </c>
      <c r="G205" s="25"/>
      <c r="H205" s="24">
        <v>7</v>
      </c>
      <c r="I205" s="25"/>
      <c r="J205" s="89"/>
      <c r="K205">
        <f>L205-(SUM(B205,D205,F205,H205))</f>
        <v>0</v>
      </c>
      <c r="L205">
        <v>17</v>
      </c>
    </row>
    <row r="206" spans="1:12">
      <c r="A206" t="s">
        <v>25</v>
      </c>
      <c r="B206" s="11"/>
      <c r="C206" s="12">
        <v>2</v>
      </c>
      <c r="D206" s="11"/>
      <c r="E206" s="12">
        <v>3</v>
      </c>
      <c r="F206" s="11"/>
      <c r="G206" s="12">
        <v>4</v>
      </c>
      <c r="H206" s="22"/>
      <c r="I206" s="23">
        <v>6</v>
      </c>
    </row>
    <row r="207" spans="1:12">
      <c r="B207" s="13">
        <v>0</v>
      </c>
      <c r="C207" s="14"/>
      <c r="D207" s="13">
        <v>0</v>
      </c>
      <c r="E207" s="14"/>
      <c r="F207" s="13">
        <v>0</v>
      </c>
      <c r="G207" s="14"/>
      <c r="H207" s="24">
        <v>2</v>
      </c>
      <c r="I207" s="25"/>
      <c r="J207" s="89"/>
      <c r="K207">
        <f>L207-(SUM(B207,D207,F207,H207))</f>
        <v>20</v>
      </c>
      <c r="L207">
        <v>22</v>
      </c>
    </row>
    <row r="208" spans="1:12">
      <c r="C208" s="80"/>
      <c r="E208" s="80"/>
      <c r="G208" s="80"/>
      <c r="I208" s="80"/>
      <c r="K208">
        <f>SUM(K201:K207)</f>
        <v>20</v>
      </c>
    </row>
    <row r="209" spans="1:12">
      <c r="B209">
        <f>SUM(B200:B207)-B210</f>
        <v>0</v>
      </c>
      <c r="D209">
        <f>SUM(D200:D207)-D210</f>
        <v>0</v>
      </c>
      <c r="F209">
        <f>SUM(F200:F207)-F210</f>
        <v>0</v>
      </c>
      <c r="H209">
        <f>SUM(H200:H207)-H210</f>
        <v>0</v>
      </c>
      <c r="J209">
        <f>SUM(B209:I209)</f>
        <v>0</v>
      </c>
      <c r="K209" s="15">
        <f>B201*C200+D201*E200+F201*G200+H201*I200+B203*C202+D203*E202+F203*G202+H203*I202+B205*C204+D205*E204+F205*G204+H205*I204+B207*C206+D207*E206+F207*G206+H207*I206</f>
        <v>286</v>
      </c>
      <c r="L209" s="15">
        <f>SUMPRODUCT(B212:E215,B218:E221)</f>
        <v>286</v>
      </c>
    </row>
    <row r="210" spans="1:12">
      <c r="B210">
        <v>21</v>
      </c>
      <c r="D210">
        <v>21</v>
      </c>
      <c r="F210">
        <v>9</v>
      </c>
      <c r="H210">
        <v>9</v>
      </c>
      <c r="K210" s="16">
        <f>SUM(B210:I210)</f>
        <v>60</v>
      </c>
      <c r="L210" s="16">
        <f>SUM(L201:L207)</f>
        <v>80</v>
      </c>
    </row>
    <row r="212" spans="1:12">
      <c r="B212" s="1">
        <f>B201</f>
        <v>18</v>
      </c>
      <c r="C212" s="1">
        <f>D201</f>
        <v>0</v>
      </c>
      <c r="D212" s="1">
        <f>F201</f>
        <v>0</v>
      </c>
      <c r="E212" s="1">
        <f>H201</f>
        <v>0</v>
      </c>
    </row>
    <row r="213" spans="1:12">
      <c r="A213" t="s">
        <v>29</v>
      </c>
      <c r="B213" s="1">
        <f>B203</f>
        <v>3</v>
      </c>
      <c r="C213" s="1">
        <f>D203</f>
        <v>20</v>
      </c>
      <c r="D213" s="1">
        <f>F203</f>
        <v>0</v>
      </c>
      <c r="E213" s="1">
        <f>H203</f>
        <v>0</v>
      </c>
    </row>
    <row r="214" spans="1:12">
      <c r="B214" s="1">
        <f>B205</f>
        <v>0</v>
      </c>
      <c r="C214" s="1">
        <f>D205</f>
        <v>1</v>
      </c>
      <c r="D214" s="1">
        <f>F205</f>
        <v>9</v>
      </c>
      <c r="E214" s="1">
        <f>H205</f>
        <v>7</v>
      </c>
    </row>
    <row r="215" spans="1:12">
      <c r="B215" s="1">
        <f>B207</f>
        <v>0</v>
      </c>
      <c r="C215" s="1">
        <f>D207</f>
        <v>0</v>
      </c>
      <c r="D215" s="1">
        <f>F207</f>
        <v>0</v>
      </c>
      <c r="E215" s="1">
        <f>H207</f>
        <v>2</v>
      </c>
    </row>
    <row r="218" spans="1:12">
      <c r="B218" s="2">
        <f>C200</f>
        <v>8</v>
      </c>
      <c r="C218" s="2">
        <f>E200</f>
        <v>1</v>
      </c>
      <c r="D218" s="2">
        <f>G200</f>
        <v>19</v>
      </c>
      <c r="E218" s="2">
        <f>I200</f>
        <v>1</v>
      </c>
    </row>
    <row r="219" spans="1:12">
      <c r="A219" t="s">
        <v>28</v>
      </c>
      <c r="B219" s="2">
        <f>C202</f>
        <v>7</v>
      </c>
      <c r="C219" s="2">
        <f>E202</f>
        <v>3</v>
      </c>
      <c r="D219" s="2">
        <f>G202</f>
        <v>5</v>
      </c>
      <c r="E219" s="2">
        <f>I202</f>
        <v>2</v>
      </c>
    </row>
    <row r="220" spans="1:12">
      <c r="B220" s="2">
        <f>C204</f>
        <v>5</v>
      </c>
      <c r="C220" s="2">
        <f>E204</f>
        <v>3</v>
      </c>
      <c r="D220" s="2">
        <f>G204</f>
        <v>2</v>
      </c>
      <c r="E220" s="2">
        <f>I204</f>
        <v>4</v>
      </c>
    </row>
    <row r="221" spans="1:12">
      <c r="B221" s="2">
        <f>C206</f>
        <v>2</v>
      </c>
      <c r="C221" s="2">
        <f>E206</f>
        <v>3</v>
      </c>
      <c r="D221" s="2">
        <f>G206</f>
        <v>4</v>
      </c>
      <c r="E221" s="2">
        <f>I206</f>
        <v>6</v>
      </c>
    </row>
    <row r="223" spans="1:12">
      <c r="A223" t="s">
        <v>385</v>
      </c>
    </row>
    <row r="225" spans="1:3">
      <c r="A225" t="s">
        <v>85</v>
      </c>
    </row>
    <row r="240" spans="1:3">
      <c r="A240" s="71" t="s">
        <v>394</v>
      </c>
      <c r="B240" s="71" t="s">
        <v>93</v>
      </c>
      <c r="C240" s="71" t="s">
        <v>223</v>
      </c>
    </row>
    <row r="241" spans="1:5">
      <c r="A241" s="71">
        <v>1995</v>
      </c>
      <c r="B241" s="71">
        <v>90.1</v>
      </c>
      <c r="C241" s="71">
        <v>18.100000000000001</v>
      </c>
    </row>
    <row r="242" spans="1:5">
      <c r="A242" s="71">
        <v>1996</v>
      </c>
      <c r="B242" s="71">
        <v>95.1</v>
      </c>
      <c r="C242" s="71">
        <v>19.399999999999999</v>
      </c>
    </row>
    <row r="243" spans="1:5">
      <c r="A243" s="71">
        <v>1997</v>
      </c>
      <c r="B243" s="71">
        <v>102.4</v>
      </c>
      <c r="C243" s="71">
        <v>20.2</v>
      </c>
    </row>
    <row r="244" spans="1:5">
      <c r="A244" s="71">
        <v>1998</v>
      </c>
      <c r="B244" s="71">
        <v>102.8</v>
      </c>
      <c r="C244" s="71">
        <v>20.5</v>
      </c>
    </row>
    <row r="245" spans="1:5">
      <c r="A245" s="71">
        <v>1999</v>
      </c>
      <c r="B245" s="71">
        <v>106.1</v>
      </c>
      <c r="C245" s="71">
        <v>21.1</v>
      </c>
    </row>
    <row r="246" spans="1:5">
      <c r="A246" s="71">
        <v>2000</v>
      </c>
      <c r="B246" s="71">
        <v>108.7</v>
      </c>
      <c r="C246" s="71">
        <v>21.6</v>
      </c>
    </row>
    <row r="247" spans="1:5">
      <c r="A247" s="71">
        <v>2001</v>
      </c>
      <c r="B247" s="71">
        <v>112.6</v>
      </c>
      <c r="C247" s="71">
        <v>22.3</v>
      </c>
    </row>
    <row r="248" spans="1:5">
      <c r="A248" s="71">
        <v>2002</v>
      </c>
      <c r="B248" s="71">
        <v>112.9</v>
      </c>
      <c r="C248" s="71">
        <v>22.4</v>
      </c>
    </row>
    <row r="249" spans="1:5">
      <c r="A249" s="71">
        <v>2003</v>
      </c>
      <c r="B249" s="71">
        <v>113.8</v>
      </c>
      <c r="C249" s="71">
        <v>22.6</v>
      </c>
    </row>
    <row r="250" spans="1:5">
      <c r="A250" s="71">
        <v>2004</v>
      </c>
      <c r="B250" s="71">
        <v>115.7</v>
      </c>
      <c r="C250" s="71">
        <v>22.8</v>
      </c>
    </row>
    <row r="251" spans="1:5">
      <c r="A251" s="183">
        <v>2005</v>
      </c>
      <c r="B251" s="183">
        <v>23.4</v>
      </c>
      <c r="C251" s="183">
        <v>119.5</v>
      </c>
    </row>
    <row r="252" spans="1:5">
      <c r="A252" s="69" t="s">
        <v>294</v>
      </c>
      <c r="B252" s="89">
        <f>COUNT(B241:B251)</f>
        <v>11</v>
      </c>
    </row>
    <row r="253" spans="1:5">
      <c r="A253" s="69" t="s">
        <v>284</v>
      </c>
      <c r="B253" s="182">
        <v>0.05</v>
      </c>
    </row>
    <row r="255" spans="1:5">
      <c r="A255" s="186" t="s">
        <v>395</v>
      </c>
      <c r="B255" s="186"/>
      <c r="C255">
        <f>36.072*(B253^0.7633)</f>
        <v>3.6651691853494168</v>
      </c>
    </row>
    <row r="256" spans="1:5">
      <c r="A256" t="s">
        <v>396</v>
      </c>
      <c r="E256">
        <f>(C255-B251)/B251*100</f>
        <v>-84.336883823293093</v>
      </c>
    </row>
    <row r="257" spans="1:1">
      <c r="A257" t="s">
        <v>397</v>
      </c>
    </row>
  </sheetData>
  <mergeCells count="3">
    <mergeCell ref="A17:B17"/>
    <mergeCell ref="A168:L168"/>
    <mergeCell ref="A255:B255"/>
  </mergeCells>
  <phoneticPr fontId="19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CE80-651C-4CC1-81AD-6F09A14623D7}">
  <dimension ref="B14:Q66"/>
  <sheetViews>
    <sheetView topLeftCell="B19" zoomScale="69" zoomScaleNormal="100" workbookViewId="0">
      <selection activeCell="B43" sqref="B43:Q68"/>
    </sheetView>
  </sheetViews>
  <sheetFormatPr defaultRowHeight="14.4"/>
  <cols>
    <col min="2" max="2" width="12.109375" customWidth="1"/>
    <col min="14" max="14" width="10.109375" bestFit="1" customWidth="1"/>
  </cols>
  <sheetData>
    <row r="14" spans="2:8">
      <c r="B14" s="179"/>
      <c r="C14" s="71" t="s">
        <v>375</v>
      </c>
      <c r="D14" s="71" t="s">
        <v>376</v>
      </c>
      <c r="E14" s="71" t="s">
        <v>377</v>
      </c>
      <c r="F14" s="71" t="s">
        <v>378</v>
      </c>
      <c r="G14" s="71" t="s">
        <v>398</v>
      </c>
      <c r="H14" s="71" t="s">
        <v>379</v>
      </c>
    </row>
    <row r="15" spans="2:8">
      <c r="B15" s="71" t="s">
        <v>380</v>
      </c>
      <c r="C15" s="71">
        <v>25</v>
      </c>
      <c r="D15" s="71">
        <v>18</v>
      </c>
      <c r="E15" s="71">
        <v>10</v>
      </c>
      <c r="F15" s="71">
        <v>15</v>
      </c>
      <c r="G15" s="71">
        <v>7</v>
      </c>
      <c r="H15" s="71">
        <v>16</v>
      </c>
    </row>
    <row r="16" spans="2:8">
      <c r="B16" s="71" t="s">
        <v>381</v>
      </c>
      <c r="C16" s="71">
        <v>13</v>
      </c>
      <c r="D16" s="71">
        <v>5</v>
      </c>
      <c r="E16" s="71">
        <v>11</v>
      </c>
      <c r="F16" s="71">
        <v>23</v>
      </c>
      <c r="G16" s="71">
        <v>10</v>
      </c>
      <c r="H16" s="71">
        <v>12</v>
      </c>
    </row>
    <row r="17" spans="2:17">
      <c r="B17" s="71" t="s">
        <v>382</v>
      </c>
      <c r="C17" s="71">
        <v>1</v>
      </c>
      <c r="D17" s="71">
        <v>25</v>
      </c>
      <c r="E17" s="71">
        <v>14</v>
      </c>
      <c r="F17" s="71">
        <v>16</v>
      </c>
      <c r="G17" s="71">
        <v>16</v>
      </c>
      <c r="H17" s="71">
        <v>14</v>
      </c>
    </row>
    <row r="18" spans="2:17">
      <c r="B18" s="71" t="s">
        <v>384</v>
      </c>
      <c r="C18" s="71">
        <v>7</v>
      </c>
      <c r="D18" s="71">
        <v>8</v>
      </c>
      <c r="E18" s="71">
        <v>4</v>
      </c>
      <c r="F18" s="71">
        <v>11</v>
      </c>
      <c r="G18" s="71">
        <v>30</v>
      </c>
      <c r="H18" s="184"/>
    </row>
    <row r="19" spans="2:17">
      <c r="Q19" t="s">
        <v>402</v>
      </c>
    </row>
    <row r="20" spans="2:17">
      <c r="C20" t="s">
        <v>399</v>
      </c>
      <c r="P20" t="s">
        <v>54</v>
      </c>
    </row>
    <row r="21" spans="2:17">
      <c r="B21" s="242" t="s">
        <v>400</v>
      </c>
      <c r="C21" t="s">
        <v>17</v>
      </c>
      <c r="E21" t="s">
        <v>18</v>
      </c>
      <c r="G21" t="s">
        <v>19</v>
      </c>
      <c r="I21" t="s">
        <v>20</v>
      </c>
      <c r="M21" t="s">
        <v>21</v>
      </c>
    </row>
    <row r="22" spans="2:17">
      <c r="B22" t="s">
        <v>22</v>
      </c>
      <c r="C22" s="22"/>
      <c r="D22" s="23">
        <v>8</v>
      </c>
      <c r="E22" s="11"/>
      <c r="F22" s="12">
        <v>1</v>
      </c>
      <c r="G22" s="11"/>
      <c r="H22" s="12">
        <v>19</v>
      </c>
      <c r="I22" s="11"/>
      <c r="J22" s="12">
        <v>1</v>
      </c>
      <c r="K22" s="93"/>
      <c r="L22" s="93"/>
      <c r="M22" s="11"/>
      <c r="N22" s="12">
        <v>1</v>
      </c>
      <c r="O22" s="89"/>
      <c r="P22">
        <f>Q22-(SUM(E22,G22,I22,M22))</f>
        <v>18</v>
      </c>
      <c r="Q22">
        <v>18</v>
      </c>
    </row>
    <row r="23" spans="2:17">
      <c r="C23" s="24">
        <v>18</v>
      </c>
      <c r="D23" s="25"/>
      <c r="E23" s="13">
        <v>0</v>
      </c>
      <c r="F23" s="14"/>
      <c r="G23" s="13">
        <v>0</v>
      </c>
      <c r="H23" s="14"/>
      <c r="I23" s="13">
        <v>0</v>
      </c>
      <c r="J23" s="14"/>
      <c r="K23" s="92"/>
      <c r="L23" s="92"/>
      <c r="M23" s="13">
        <v>0</v>
      </c>
      <c r="N23" s="14"/>
    </row>
    <row r="24" spans="2:17">
      <c r="B24" t="s">
        <v>23</v>
      </c>
      <c r="C24" s="22"/>
      <c r="D24" s="23">
        <v>7</v>
      </c>
      <c r="E24" s="22"/>
      <c r="F24" s="23">
        <v>3</v>
      </c>
      <c r="G24" s="11"/>
      <c r="H24" s="12">
        <v>5</v>
      </c>
      <c r="I24" s="11"/>
      <c r="J24" s="12">
        <v>2</v>
      </c>
      <c r="K24" s="93"/>
      <c r="L24" s="93"/>
      <c r="M24" s="11"/>
      <c r="N24" s="12">
        <v>2</v>
      </c>
      <c r="O24" s="89"/>
      <c r="P24">
        <f>Q24-(SUM(E24,G24,I24,M24))</f>
        <v>23</v>
      </c>
      <c r="Q24">
        <v>23</v>
      </c>
    </row>
    <row r="25" spans="2:17">
      <c r="C25" s="24">
        <v>3</v>
      </c>
      <c r="D25" s="25"/>
      <c r="E25" s="24">
        <v>20</v>
      </c>
      <c r="F25" s="25"/>
      <c r="G25" s="13">
        <v>0</v>
      </c>
      <c r="H25" s="14"/>
      <c r="I25" s="13">
        <v>0</v>
      </c>
      <c r="J25" s="14"/>
      <c r="K25" s="92"/>
      <c r="L25" s="92"/>
      <c r="M25" s="13">
        <v>0</v>
      </c>
      <c r="N25" s="14"/>
    </row>
    <row r="26" spans="2:17">
      <c r="B26" t="s">
        <v>24</v>
      </c>
      <c r="C26" s="11"/>
      <c r="D26" s="12">
        <v>5</v>
      </c>
      <c r="E26" s="22"/>
      <c r="F26" s="23">
        <v>3</v>
      </c>
      <c r="G26" s="22"/>
      <c r="H26" s="23">
        <v>2</v>
      </c>
      <c r="I26" s="22"/>
      <c r="J26" s="23">
        <v>4</v>
      </c>
      <c r="K26" s="243"/>
      <c r="L26" s="243"/>
      <c r="M26" s="22"/>
      <c r="N26" s="23">
        <v>4</v>
      </c>
      <c r="O26" s="89"/>
      <c r="P26">
        <f>Q26-(SUM(E26,G26,I26,M26))</f>
        <v>17</v>
      </c>
      <c r="Q26">
        <v>17</v>
      </c>
    </row>
    <row r="27" spans="2:17">
      <c r="C27" s="13">
        <v>0</v>
      </c>
      <c r="D27" s="14"/>
      <c r="E27" s="24">
        <v>1</v>
      </c>
      <c r="F27" s="25"/>
      <c r="G27" s="24">
        <v>9</v>
      </c>
      <c r="H27" s="25"/>
      <c r="I27" s="24">
        <v>7</v>
      </c>
      <c r="J27" s="25"/>
      <c r="K27" s="244"/>
      <c r="L27" s="244"/>
      <c r="M27" s="24">
        <v>7</v>
      </c>
      <c r="N27" s="25"/>
    </row>
    <row r="28" spans="2:17">
      <c r="D28" s="80"/>
      <c r="F28" s="80"/>
      <c r="H28" s="80"/>
      <c r="J28" s="80"/>
      <c r="K28" s="80"/>
      <c r="L28" s="80"/>
      <c r="O28" s="89"/>
      <c r="P28">
        <f>Q28-(SUM(E28,G28,I28,M28))</f>
        <v>22</v>
      </c>
      <c r="Q28">
        <v>22</v>
      </c>
    </row>
    <row r="29" spans="2:17">
      <c r="B29" t="s">
        <v>401</v>
      </c>
      <c r="C29">
        <f>SUM(C22:C27)-C30</f>
        <v>0</v>
      </c>
      <c r="E29">
        <f>SUM(E22:E27)-E30</f>
        <v>0</v>
      </c>
      <c r="G29">
        <f>SUM(G22:G27)-G30</f>
        <v>0</v>
      </c>
      <c r="I29">
        <f>SUM(I22:I27)-I30</f>
        <v>-2</v>
      </c>
      <c r="P29">
        <f>SUM(P22:P28)</f>
        <v>80</v>
      </c>
    </row>
    <row r="30" spans="2:17">
      <c r="C30">
        <v>21</v>
      </c>
      <c r="E30">
        <v>21</v>
      </c>
      <c r="G30">
        <v>9</v>
      </c>
      <c r="I30">
        <v>9</v>
      </c>
      <c r="O30">
        <f>SUM(E30:N30)</f>
        <v>39</v>
      </c>
      <c r="P30" s="15">
        <f>E22*F21+G22*H21+I22*J21+M22*N21+E24*F23+G24*H23+I24*J23+M24*N23+E26*F25+G26*H25+I26*J25+M26*N25+E28*F27+G28*H27+I28*J27+M28*N27</f>
        <v>0</v>
      </c>
      <c r="Q30" s="15" t="e">
        <f>SUMPRODUCT(E33:H36,E39:H42)</f>
        <v>#REF!</v>
      </c>
    </row>
    <row r="31" spans="2:17">
      <c r="P31" s="16">
        <f>SUM(E31:N31)</f>
        <v>0</v>
      </c>
      <c r="Q31" s="16">
        <f>SUM(Q22:Q28)</f>
        <v>80</v>
      </c>
    </row>
    <row r="32" spans="2:17">
      <c r="C32" s="1">
        <f>C23</f>
        <v>18</v>
      </c>
      <c r="D32" s="1">
        <f>E23</f>
        <v>0</v>
      </c>
      <c r="E32" s="1">
        <f>G23</f>
        <v>0</v>
      </c>
      <c r="F32" s="1">
        <f>I23</f>
        <v>0</v>
      </c>
      <c r="P32" s="16">
        <f>SUM(E32:N32)</f>
        <v>0</v>
      </c>
      <c r="Q32" s="16">
        <f>SUM(Q23:Q29)</f>
        <v>62</v>
      </c>
    </row>
    <row r="33" spans="2:15">
      <c r="B33" t="s">
        <v>29</v>
      </c>
      <c r="C33" s="1">
        <f>C25</f>
        <v>3</v>
      </c>
      <c r="D33" s="1">
        <f>E25</f>
        <v>20</v>
      </c>
      <c r="E33" s="1">
        <f>G25</f>
        <v>0</v>
      </c>
      <c r="F33" s="1">
        <f>I25</f>
        <v>0</v>
      </c>
    </row>
    <row r="34" spans="2:15">
      <c r="C34" s="1">
        <f>C27</f>
        <v>0</v>
      </c>
      <c r="D34" s="1">
        <f>E27</f>
        <v>1</v>
      </c>
      <c r="E34" s="1">
        <f>G27</f>
        <v>9</v>
      </c>
      <c r="F34" s="1">
        <f>I27</f>
        <v>7</v>
      </c>
    </row>
    <row r="35" spans="2:15">
      <c r="C35" s="1" t="e">
        <f>#REF!</f>
        <v>#REF!</v>
      </c>
      <c r="D35" s="1" t="e">
        <f>#REF!</f>
        <v>#REF!</v>
      </c>
      <c r="E35" s="1" t="e">
        <f>#REF!</f>
        <v>#REF!</v>
      </c>
      <c r="F35" s="1" t="e">
        <f>#REF!</f>
        <v>#REF!</v>
      </c>
    </row>
    <row r="38" spans="2:15">
      <c r="C38" s="2">
        <f>D22</f>
        <v>8</v>
      </c>
      <c r="D38" s="2">
        <f>F22</f>
        <v>1</v>
      </c>
      <c r="E38" s="2">
        <f>H22</f>
        <v>19</v>
      </c>
      <c r="F38" s="2">
        <f>J22</f>
        <v>1</v>
      </c>
    </row>
    <row r="39" spans="2:15">
      <c r="B39" t="s">
        <v>28</v>
      </c>
      <c r="C39" s="2">
        <f>D24</f>
        <v>7</v>
      </c>
      <c r="D39" s="2">
        <f>F24</f>
        <v>3</v>
      </c>
      <c r="E39" s="2">
        <f>H24</f>
        <v>5</v>
      </c>
      <c r="F39" s="2">
        <f>J24</f>
        <v>2</v>
      </c>
    </row>
    <row r="40" spans="2:15">
      <c r="C40" s="2">
        <f>D26</f>
        <v>5</v>
      </c>
      <c r="D40" s="2">
        <f>F26</f>
        <v>3</v>
      </c>
      <c r="E40" s="2">
        <f>H26</f>
        <v>2</v>
      </c>
      <c r="F40" s="2">
        <f>J26</f>
        <v>4</v>
      </c>
    </row>
    <row r="41" spans="2:15">
      <c r="C41" s="2" t="e">
        <f>#REF!</f>
        <v>#REF!</v>
      </c>
      <c r="D41" s="2" t="e">
        <f>#REF!</f>
        <v>#REF!</v>
      </c>
      <c r="E41" s="2" t="e">
        <f>#REF!</f>
        <v>#REF!</v>
      </c>
      <c r="F41" s="2" t="e">
        <f>#REF!</f>
        <v>#REF!</v>
      </c>
    </row>
    <row r="43" spans="2:15">
      <c r="O43" t="s">
        <v>402</v>
      </c>
    </row>
    <row r="44" spans="2:15">
      <c r="C44" t="s">
        <v>17</v>
      </c>
      <c r="E44" t="s">
        <v>18</v>
      </c>
      <c r="G44" t="s">
        <v>19</v>
      </c>
      <c r="I44" t="s">
        <v>20</v>
      </c>
      <c r="K44" t="s">
        <v>21</v>
      </c>
      <c r="N44" t="s">
        <v>54</v>
      </c>
    </row>
    <row r="45" spans="2:15">
      <c r="B45" t="s">
        <v>22</v>
      </c>
      <c r="C45" s="11"/>
      <c r="D45" s="12">
        <v>25</v>
      </c>
      <c r="E45" s="11"/>
      <c r="F45" s="12">
        <v>18</v>
      </c>
      <c r="G45" s="11"/>
      <c r="H45" s="12">
        <v>10</v>
      </c>
      <c r="I45" s="11"/>
      <c r="J45" s="12">
        <v>15</v>
      </c>
      <c r="K45" s="11"/>
      <c r="L45" s="12">
        <v>7</v>
      </c>
    </row>
    <row r="46" spans="2:15">
      <c r="C46" s="245">
        <v>7</v>
      </c>
      <c r="D46" s="14"/>
      <c r="E46" s="245">
        <v>8</v>
      </c>
      <c r="F46" s="14"/>
      <c r="G46" s="245">
        <v>1</v>
      </c>
      <c r="H46" s="14"/>
      <c r="I46" s="13">
        <v>0</v>
      </c>
      <c r="J46" s="14"/>
      <c r="K46" s="13">
        <v>0</v>
      </c>
      <c r="L46" s="14"/>
      <c r="M46" s="89"/>
      <c r="N46">
        <f>O46-(SUM(C46,E46,G46,I46,K46))</f>
        <v>0</v>
      </c>
      <c r="O46">
        <v>16</v>
      </c>
    </row>
    <row r="47" spans="2:15">
      <c r="B47" t="s">
        <v>23</v>
      </c>
      <c r="C47" s="11"/>
      <c r="D47" s="12">
        <v>13</v>
      </c>
      <c r="E47" s="11"/>
      <c r="F47" s="12">
        <v>5</v>
      </c>
      <c r="G47" s="11"/>
      <c r="H47" s="12">
        <v>11</v>
      </c>
      <c r="I47" s="11"/>
      <c r="J47" s="12">
        <v>23</v>
      </c>
      <c r="K47" s="11"/>
      <c r="L47" s="12">
        <v>10</v>
      </c>
    </row>
    <row r="48" spans="2:15">
      <c r="C48" s="13">
        <v>0</v>
      </c>
      <c r="D48" s="14"/>
      <c r="E48" s="13">
        <v>0</v>
      </c>
      <c r="F48" s="14"/>
      <c r="G48" s="245">
        <v>3</v>
      </c>
      <c r="H48" s="14"/>
      <c r="I48" s="245">
        <v>9</v>
      </c>
      <c r="J48" s="14"/>
      <c r="K48" s="13">
        <v>0</v>
      </c>
      <c r="L48" s="14"/>
      <c r="M48" s="89"/>
      <c r="N48">
        <f>O48-(SUM(C48,E48,G48,I48,K48))</f>
        <v>0</v>
      </c>
      <c r="O48">
        <v>12</v>
      </c>
    </row>
    <row r="49" spans="2:15">
      <c r="B49" t="s">
        <v>24</v>
      </c>
      <c r="C49" s="11"/>
      <c r="D49" s="12">
        <v>1</v>
      </c>
      <c r="E49" s="11"/>
      <c r="F49" s="12">
        <v>25</v>
      </c>
      <c r="G49" s="11"/>
      <c r="H49" s="12">
        <v>14</v>
      </c>
      <c r="I49" s="11"/>
      <c r="J49" s="12">
        <v>16</v>
      </c>
      <c r="K49" s="11"/>
      <c r="L49" s="12">
        <v>16</v>
      </c>
    </row>
    <row r="50" spans="2:15">
      <c r="C50" s="13">
        <v>0</v>
      </c>
      <c r="D50" s="14"/>
      <c r="E50" s="13">
        <v>0</v>
      </c>
      <c r="F50" s="14"/>
      <c r="G50" s="13">
        <v>0</v>
      </c>
      <c r="H50" s="14"/>
      <c r="I50" s="245">
        <v>2</v>
      </c>
      <c r="J50" s="14"/>
      <c r="K50" s="245">
        <v>12</v>
      </c>
      <c r="L50" s="14"/>
      <c r="M50" s="89"/>
      <c r="N50">
        <f>O50-(SUM(C50,E50,G50,I50,K50))</f>
        <v>0</v>
      </c>
      <c r="O50">
        <v>14</v>
      </c>
    </row>
    <row r="51" spans="2:15">
      <c r="B51" t="s">
        <v>25</v>
      </c>
      <c r="C51" s="11"/>
      <c r="D51" s="12"/>
      <c r="E51" s="11"/>
      <c r="F51" s="12"/>
      <c r="G51" s="11"/>
      <c r="H51" s="12"/>
      <c r="I51" s="11"/>
      <c r="J51" s="12"/>
      <c r="K51" s="11"/>
      <c r="L51" s="12"/>
      <c r="M51" s="89"/>
    </row>
    <row r="52" spans="2:15">
      <c r="C52" s="13"/>
      <c r="D52" s="14"/>
      <c r="E52" s="13"/>
      <c r="F52" s="14"/>
      <c r="G52" s="13"/>
      <c r="H52" s="14"/>
      <c r="I52" s="13"/>
      <c r="J52" s="14"/>
      <c r="K52" s="245">
        <v>18</v>
      </c>
      <c r="L52" s="14"/>
      <c r="M52" s="89"/>
      <c r="N52">
        <f>O52-(SUM(C52,E52,G52,I52,K52))</f>
        <v>0</v>
      </c>
      <c r="O52">
        <v>18</v>
      </c>
    </row>
    <row r="53" spans="2:15">
      <c r="D53" s="80"/>
      <c r="F53" s="80"/>
      <c r="H53" s="80"/>
      <c r="J53" s="80"/>
      <c r="K53" s="80"/>
      <c r="L53" s="80"/>
      <c r="N53">
        <f>SUM(N46:N52)</f>
        <v>0</v>
      </c>
    </row>
    <row r="54" spans="2:15">
      <c r="C54">
        <f>SUM(C45:C50)-C55</f>
        <v>0</v>
      </c>
      <c r="E54">
        <f>SUM(E45:E50)-E55</f>
        <v>0</v>
      </c>
      <c r="G54">
        <f>SUM(G45:G50)-G55</f>
        <v>0</v>
      </c>
      <c r="I54">
        <f>SUM(I45:I50)-I55</f>
        <v>0</v>
      </c>
      <c r="K54">
        <f>SUM(K45:K50)-K55</f>
        <v>-18</v>
      </c>
      <c r="M54">
        <f>SUM(C54:J54)</f>
        <v>0</v>
      </c>
      <c r="N54" s="15">
        <f>C46*D45+E46*F45+G46*H45+I46*J45+C48*D47+E48*F47+G48*H47+I48*J47+C50*D49+E50*F49+G50*H49+I50*J49+K46*L45+K48*L47+K50*L49+K52*L51</f>
        <v>793</v>
      </c>
      <c r="O54" s="15">
        <f>SUMPRODUCT(C57:G60,C63:G66)</f>
        <v>793</v>
      </c>
    </row>
    <row r="55" spans="2:15">
      <c r="C55">
        <v>7</v>
      </c>
      <c r="E55">
        <v>8</v>
      </c>
      <c r="G55">
        <v>4</v>
      </c>
      <c r="I55">
        <v>11</v>
      </c>
      <c r="K55">
        <v>30</v>
      </c>
      <c r="N55" s="16">
        <f>SUM(C55:L55)</f>
        <v>60</v>
      </c>
      <c r="O55" s="16">
        <f>SUM(O46:O53)</f>
        <v>60</v>
      </c>
    </row>
    <row r="57" spans="2:15">
      <c r="C57" s="1">
        <f>C46</f>
        <v>7</v>
      </c>
      <c r="D57" s="1">
        <f>E46</f>
        <v>8</v>
      </c>
      <c r="E57" s="1">
        <f>G46</f>
        <v>1</v>
      </c>
      <c r="F57" s="1">
        <f>I46</f>
        <v>0</v>
      </c>
      <c r="G57" s="1">
        <f>K46</f>
        <v>0</v>
      </c>
    </row>
    <row r="58" spans="2:15">
      <c r="B58" t="s">
        <v>29</v>
      </c>
      <c r="C58" s="1">
        <f>C48</f>
        <v>0</v>
      </c>
      <c r="D58" s="1">
        <f>E48</f>
        <v>0</v>
      </c>
      <c r="E58" s="1">
        <f>G48</f>
        <v>3</v>
      </c>
      <c r="F58" s="1">
        <f>I48</f>
        <v>9</v>
      </c>
      <c r="G58" s="1">
        <f>J48</f>
        <v>0</v>
      </c>
    </row>
    <row r="59" spans="2:15">
      <c r="C59" s="1">
        <f>C50</f>
        <v>0</v>
      </c>
      <c r="D59" s="1">
        <f>E50</f>
        <v>0</v>
      </c>
      <c r="E59" s="1">
        <f>G50</f>
        <v>0</v>
      </c>
      <c r="F59" s="1">
        <f>I50</f>
        <v>2</v>
      </c>
      <c r="G59" s="1">
        <f>K50</f>
        <v>12</v>
      </c>
      <c r="M59" s="246" t="s">
        <v>403</v>
      </c>
    </row>
    <row r="60" spans="2:15">
      <c r="C60" s="1">
        <f>C52</f>
        <v>0</v>
      </c>
      <c r="D60" s="1">
        <f>E52</f>
        <v>0</v>
      </c>
      <c r="E60" s="1">
        <f>G52</f>
        <v>0</v>
      </c>
      <c r="F60" s="1">
        <f>I52</f>
        <v>0</v>
      </c>
      <c r="G60" s="1">
        <f>K52</f>
        <v>18</v>
      </c>
      <c r="M60">
        <v>793</v>
      </c>
    </row>
    <row r="63" spans="2:15">
      <c r="C63" s="2">
        <f>D45</f>
        <v>25</v>
      </c>
      <c r="D63" s="2">
        <f>F45</f>
        <v>18</v>
      </c>
      <c r="E63" s="2">
        <f>H45</f>
        <v>10</v>
      </c>
      <c r="F63" s="2">
        <f>J45</f>
        <v>15</v>
      </c>
      <c r="G63" s="2">
        <f>L45</f>
        <v>7</v>
      </c>
    </row>
    <row r="64" spans="2:15">
      <c r="B64" t="s">
        <v>28</v>
      </c>
      <c r="C64" s="2">
        <f>D47</f>
        <v>13</v>
      </c>
      <c r="D64" s="2">
        <f>F47</f>
        <v>5</v>
      </c>
      <c r="E64" s="2">
        <f>H47</f>
        <v>11</v>
      </c>
      <c r="F64" s="2">
        <f>J47</f>
        <v>23</v>
      </c>
      <c r="G64" s="2">
        <f>L47</f>
        <v>10</v>
      </c>
    </row>
    <row r="65" spans="3:7">
      <c r="C65" s="2">
        <f>D49</f>
        <v>1</v>
      </c>
      <c r="D65" s="2">
        <f>F49</f>
        <v>25</v>
      </c>
      <c r="E65" s="2">
        <f>H49</f>
        <v>14</v>
      </c>
      <c r="F65" s="2">
        <f>J49</f>
        <v>16</v>
      </c>
      <c r="G65" s="2">
        <f>L49</f>
        <v>16</v>
      </c>
    </row>
    <row r="66" spans="3:7">
      <c r="C66" s="2">
        <f>D51</f>
        <v>0</v>
      </c>
      <c r="D66" s="2">
        <f>F51</f>
        <v>0</v>
      </c>
      <c r="E66" s="2">
        <f>H51</f>
        <v>0</v>
      </c>
      <c r="F66" s="2">
        <f>J51</f>
        <v>0</v>
      </c>
      <c r="G66" s="2">
        <f>L51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Решение задач (черновик)</vt:lpstr>
      <vt:lpstr>Пр1</vt:lpstr>
      <vt:lpstr>Пр2</vt:lpstr>
      <vt:lpstr>Пр3</vt:lpstr>
      <vt:lpstr>Пр4</vt:lpstr>
      <vt:lpstr>Пр5</vt:lpstr>
      <vt:lpstr>Пр6</vt:lpstr>
      <vt:lpstr>Пр7</vt:lpstr>
      <vt:lpstr>Пр8</vt:lpstr>
      <vt:lpstr>Пр9</vt:lpstr>
      <vt:lpstr>Пр10</vt:lpstr>
      <vt:lpstr>Пр11</vt:lpstr>
      <vt:lpstr>Пр12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Гусев</dc:creator>
  <cp:lastModifiedBy>Osipyan Lucy</cp:lastModifiedBy>
  <dcterms:created xsi:type="dcterms:W3CDTF">2015-06-05T18:19:34Z</dcterms:created>
  <dcterms:modified xsi:type="dcterms:W3CDTF">2024-04-07T21:46:46Z</dcterms:modified>
</cp:coreProperties>
</file>