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ACES\contra_analysis\"/>
    </mc:Choice>
  </mc:AlternateContent>
  <xr:revisionPtr revIDLastSave="0" documentId="13_ncr:1_{46AD4563-6BEB-4477-BC56-B62EA7E53367}" xr6:coauthVersionLast="47" xr6:coauthVersionMax="47" xr10:uidLastSave="{00000000-0000-0000-0000-000000000000}"/>
  <bookViews>
    <workbookView xWindow="1110" yWindow="120" windowWidth="15465" windowHeight="15120" activeTab="1" xr2:uid="{17CFB7B9-3BA9-45B4-964D-8FEC39BC2CDB}"/>
  </bookViews>
  <sheets>
    <sheet name="Chol Null" sheetId="2" r:id="rId1"/>
    <sheet name="Chol Crit" sheetId="6" r:id="rId2"/>
    <sheet name="Plaque Null" sheetId="7" r:id="rId3"/>
    <sheet name="Plaque Crit" sheetId="8" r:id="rId4"/>
    <sheet name="Sheet1" sheetId="1" r:id="rId5"/>
    <sheet name="Chol_Null_Horz" sheetId="10" r:id="rId6"/>
    <sheet name="Plaque_Null_Horz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" i="2" l="1"/>
  <c r="S27" i="2" s="1"/>
  <c r="R26" i="2"/>
  <c r="R27" i="2" s="1"/>
  <c r="G17" i="2"/>
  <c r="C17" i="2"/>
  <c r="G16" i="2"/>
  <c r="C16" i="2"/>
  <c r="G15" i="2"/>
  <c r="C15" i="2"/>
  <c r="G14" i="2"/>
  <c r="C14" i="2"/>
  <c r="G7" i="2"/>
  <c r="C7" i="2"/>
  <c r="H4" i="7"/>
  <c r="H5" i="7"/>
  <c r="H6" i="7"/>
  <c r="H7" i="7"/>
  <c r="H9" i="7"/>
  <c r="H10" i="7"/>
  <c r="H8" i="7"/>
  <c r="H11" i="7"/>
  <c r="O11" i="7"/>
  <c r="K11" i="7"/>
  <c r="H3" i="7"/>
  <c r="K44" i="7" l="1"/>
  <c r="A6" i="8"/>
  <c r="H5" i="8"/>
  <c r="D5" i="8"/>
  <c r="A5" i="8"/>
  <c r="A10" i="8"/>
  <c r="H9" i="8"/>
  <c r="D9" i="8"/>
  <c r="A9" i="8"/>
  <c r="H11" i="8"/>
  <c r="D11" i="8"/>
  <c r="A11" i="8"/>
  <c r="A8" i="8"/>
  <c r="A7" i="8"/>
  <c r="H4" i="8"/>
  <c r="D4" i="8"/>
  <c r="A4" i="8"/>
  <c r="I3" i="8"/>
  <c r="H3" i="8"/>
  <c r="D3" i="8"/>
  <c r="A3" i="8"/>
  <c r="G3" i="2"/>
  <c r="H7" i="6"/>
  <c r="D7" i="6"/>
  <c r="A7" i="6"/>
  <c r="A29" i="8"/>
  <c r="H5" i="6"/>
  <c r="D5" i="6"/>
  <c r="A5" i="6"/>
  <c r="G9" i="2"/>
  <c r="C9" i="2"/>
  <c r="C3" i="2"/>
  <c r="A24" i="8"/>
  <c r="D32" i="7"/>
  <c r="C32" i="7"/>
  <c r="B32" i="7" s="1"/>
  <c r="A28" i="8"/>
  <c r="K20" i="7"/>
  <c r="A22" i="8"/>
  <c r="H22" i="8"/>
  <c r="D22" i="8"/>
  <c r="A26" i="8"/>
  <c r="A34" i="8"/>
  <c r="D30" i="7"/>
  <c r="C30" i="7"/>
  <c r="B30" i="7" s="1"/>
  <c r="A31" i="8"/>
  <c r="A35" i="8"/>
  <c r="H35" i="8"/>
  <c r="D35" i="8"/>
  <c r="D35" i="7"/>
  <c r="O35" i="7"/>
  <c r="K35" i="7"/>
  <c r="A37" i="8"/>
  <c r="H37" i="8"/>
  <c r="D37" i="8"/>
  <c r="D41" i="7"/>
  <c r="O41" i="7"/>
  <c r="K41" i="7"/>
  <c r="A32" i="8"/>
  <c r="H32" i="8"/>
  <c r="D32" i="8"/>
  <c r="O20" i="7"/>
  <c r="O28" i="7"/>
  <c r="K28" i="7"/>
  <c r="D28" i="7"/>
  <c r="A36" i="8"/>
  <c r="D44" i="7"/>
  <c r="O44" i="7"/>
  <c r="D40" i="7"/>
  <c r="O40" i="7"/>
  <c r="K40" i="7"/>
  <c r="D21" i="7"/>
  <c r="C21" i="7"/>
  <c r="B21" i="7" s="1"/>
  <c r="I21" i="8"/>
  <c r="H21" i="8" s="1"/>
  <c r="D21" i="8"/>
  <c r="H23" i="8"/>
  <c r="D23" i="8"/>
  <c r="O22" i="7"/>
  <c r="K22" i="7"/>
  <c r="O29" i="7"/>
  <c r="K29" i="7"/>
  <c r="A23" i="8"/>
  <c r="A21" i="8"/>
  <c r="D22" i="7"/>
  <c r="D29" i="7"/>
  <c r="D26" i="7"/>
  <c r="O26" i="7"/>
  <c r="K26" i="7"/>
  <c r="D23" i="7"/>
  <c r="O23" i="7"/>
  <c r="K23" i="7"/>
  <c r="D43" i="7"/>
  <c r="K43" i="7"/>
  <c r="O43" i="7"/>
  <c r="A25" i="8"/>
  <c r="D25" i="8"/>
  <c r="H25" i="8"/>
  <c r="A27" i="8"/>
  <c r="H27" i="8"/>
  <c r="D27" i="8"/>
  <c r="A33" i="8"/>
  <c r="A30" i="8"/>
  <c r="H30" i="8"/>
  <c r="D30" i="8"/>
  <c r="D42" i="7"/>
  <c r="C42" i="7"/>
  <c r="B42" i="7" s="1"/>
  <c r="D25" i="7"/>
  <c r="O25" i="7"/>
  <c r="K25" i="7"/>
  <c r="D33" i="7"/>
  <c r="O33" i="7"/>
  <c r="K33" i="7"/>
  <c r="D36" i="7"/>
  <c r="C36" i="7"/>
  <c r="B36" i="7" s="1"/>
  <c r="D38" i="7"/>
  <c r="C38" i="7"/>
  <c r="B38" i="7" s="1"/>
  <c r="D31" i="7"/>
  <c r="C31" i="7"/>
  <c r="B31" i="7" s="1"/>
  <c r="O34" i="7"/>
  <c r="N34" i="7"/>
  <c r="K34" i="7"/>
  <c r="J34" i="7"/>
  <c r="C37" i="7"/>
  <c r="B37" i="7" s="1"/>
  <c r="D37" i="7"/>
  <c r="D24" i="7"/>
  <c r="C24" i="7"/>
  <c r="B24" i="7" s="1"/>
  <c r="D27" i="7"/>
  <c r="O27" i="7"/>
  <c r="K27" i="7"/>
  <c r="H6" i="6"/>
  <c r="D6" i="6"/>
  <c r="A6" i="6"/>
  <c r="H8" i="6"/>
  <c r="D8" i="6"/>
  <c r="A8" i="6"/>
  <c r="G5" i="2"/>
  <c r="C5" i="2"/>
  <c r="G10" i="2"/>
  <c r="C10" i="2"/>
  <c r="C35" i="7" l="1"/>
  <c r="B35" i="7" s="1"/>
  <c r="C23" i="7"/>
  <c r="B23" i="7" s="1"/>
  <c r="C33" i="7"/>
  <c r="B33" i="7" s="1"/>
  <c r="C22" i="7"/>
  <c r="B22" i="7" s="1"/>
  <c r="C25" i="7"/>
  <c r="B25" i="7" s="1"/>
  <c r="C41" i="7"/>
  <c r="B41" i="7" s="1"/>
  <c r="C40" i="7"/>
  <c r="B40" i="7" s="1"/>
  <c r="C28" i="7"/>
  <c r="B28" i="7" s="1"/>
  <c r="C29" i="7"/>
  <c r="B29" i="7" s="1"/>
  <c r="C27" i="7"/>
  <c r="B27" i="7" s="1"/>
  <c r="C43" i="7"/>
  <c r="B43" i="7" s="1"/>
  <c r="C44" i="7"/>
  <c r="B44" i="7" s="1"/>
  <c r="C26" i="7"/>
  <c r="B26" i="7" s="1"/>
  <c r="C34" i="7"/>
  <c r="B34" i="7" s="1"/>
  <c r="D34" i="7"/>
  <c r="C26" i="1"/>
  <c r="C22" i="1"/>
</calcChain>
</file>

<file path=xl/sharedStrings.xml><?xml version="1.0" encoding="utf-8"?>
<sst xmlns="http://schemas.openxmlformats.org/spreadsheetml/2006/main" count="1166" uniqueCount="394">
  <si>
    <t>Measure</t>
  </si>
  <si>
    <t>Reference</t>
  </si>
  <si>
    <t>Species</t>
  </si>
  <si>
    <t>Model</t>
  </si>
  <si>
    <t>Plaque Area</t>
  </si>
  <si>
    <t>Drug</t>
  </si>
  <si>
    <t>Mouse</t>
  </si>
  <si>
    <t>Cyclodextrin</t>
  </si>
  <si>
    <t>Name</t>
  </si>
  <si>
    <t>Type</t>
  </si>
  <si>
    <t>Intervention</t>
  </si>
  <si>
    <t>Result</t>
  </si>
  <si>
    <t>Nucleii/ plaque area</t>
  </si>
  <si>
    <t>CD68/ plaque area</t>
  </si>
  <si>
    <t>1A</t>
  </si>
  <si>
    <t>1E</t>
  </si>
  <si>
    <t>1F</t>
  </si>
  <si>
    <t>∅</t>
  </si>
  <si>
    <t>+</t>
  </si>
  <si>
    <t>1B</t>
  </si>
  <si>
    <t>1C</t>
  </si>
  <si>
    <t>IH</t>
  </si>
  <si>
    <t>1I</t>
  </si>
  <si>
    <t>1G</t>
  </si>
  <si>
    <t>1J</t>
  </si>
  <si>
    <t>Fig.</t>
  </si>
  <si>
    <t>Plaque area</t>
  </si>
  <si>
    <t>Chol. crystal/ plaque area</t>
  </si>
  <si>
    <r>
      <t>Il-1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concentration</t>
    </r>
  </si>
  <si>
    <r>
      <t>TNF-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concentration</t>
    </r>
  </si>
  <si>
    <t>Aortic ROS</t>
  </si>
  <si>
    <t>IL-6</t>
  </si>
  <si>
    <t>Data</t>
  </si>
  <si>
    <t>sem1</t>
  </si>
  <si>
    <t>sem2</t>
  </si>
  <si>
    <t>10.1126/scitranslmed.aad6100</t>
  </si>
  <si>
    <r>
      <t>rX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DM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</si>
  <si>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</si>
  <si>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2</t>
    </r>
  </si>
  <si>
    <t>n1</t>
  </si>
  <si>
    <t>n2</t>
  </si>
  <si>
    <t>10.1126/scitranslmed.abe1433</t>
  </si>
  <si>
    <t>Plaque volume</t>
  </si>
  <si>
    <t>mTORi-NB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</si>
  <si>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8 wks </t>
    </r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</si>
  <si>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12 wks </t>
    </r>
  </si>
  <si>
    <t>1D</t>
  </si>
  <si>
    <t>Units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</si>
  <si>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</si>
  <si>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%</t>
  </si>
  <si>
    <t>Unloaded NB</t>
  </si>
  <si>
    <r>
      <t>rδ</t>
    </r>
    <r>
      <rPr>
        <vertAlign val="subscript"/>
        <sz val="11"/>
        <color theme="1"/>
        <rFont val="Calibri"/>
        <family val="2"/>
      </rPr>
      <t>M</t>
    </r>
  </si>
  <si>
    <t>4D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</si>
  <si>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BMT Psap</t>
    </r>
    <r>
      <rPr>
        <vertAlign val="superscript"/>
        <sz val="11"/>
        <color theme="1"/>
        <rFont val="Calibri"/>
        <family val="2"/>
        <scheme val="minor"/>
      </rPr>
      <t>-/-</t>
    </r>
  </si>
  <si>
    <t>Genetic Model</t>
  </si>
  <si>
    <r>
      <t>Psap</t>
    </r>
    <r>
      <rPr>
        <vertAlign val="superscript"/>
        <sz val="11"/>
        <color theme="1"/>
        <rFont val="Calibri"/>
        <family val="2"/>
        <scheme val="minor"/>
      </rPr>
      <t>-/-</t>
    </r>
  </si>
  <si>
    <t>Collagen</t>
  </si>
  <si>
    <t>4F</t>
  </si>
  <si>
    <t>Count</t>
  </si>
  <si>
    <t>4H</t>
  </si>
  <si>
    <t>Macrophages per Aorta</t>
  </si>
  <si>
    <t xml:space="preserve"> 10.1126/scisignal.aad5578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</si>
  <si>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</si>
  <si>
    <r>
      <t>Reln</t>
    </r>
    <r>
      <rPr>
        <vertAlign val="superscript"/>
        <sz val="11"/>
        <color theme="1"/>
        <rFont val="Calibri"/>
        <family val="2"/>
        <scheme val="minor"/>
      </rPr>
      <t>-/-</t>
    </r>
  </si>
  <si>
    <t>Body Weight</t>
  </si>
  <si>
    <t>g</t>
  </si>
  <si>
    <t>Ad-Cre Reln-/-</t>
  </si>
  <si>
    <t>S2B</t>
  </si>
  <si>
    <t>Cholesterol</t>
  </si>
  <si>
    <t>mg/dL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</si>
  <si>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</si>
  <si>
    <r>
      <t>Ad-Cre Reln</t>
    </r>
    <r>
      <rPr>
        <vertAlign val="superscript"/>
        <sz val="11"/>
        <color theme="1"/>
        <rFont val="Calibri"/>
        <family val="2"/>
        <scheme val="minor"/>
      </rPr>
      <t>-/-</t>
    </r>
  </si>
  <si>
    <t>Triglyceride</t>
  </si>
  <si>
    <t>2A</t>
  </si>
  <si>
    <t>2B</t>
  </si>
  <si>
    <t>a-Actin Area</t>
  </si>
  <si>
    <t>ApoE-/-</t>
  </si>
  <si>
    <t>EC-TFEB</t>
  </si>
  <si>
    <t>Aortic Lesian Area</t>
  </si>
  <si>
    <t>7F</t>
  </si>
  <si>
    <t>10.1126/scisignal.aah4214</t>
  </si>
  <si>
    <t>Collagen Compsotion</t>
  </si>
  <si>
    <t>4-PBA Neutrophils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</si>
  <si>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4 wks</t>
    </r>
  </si>
  <si>
    <t>10.1126/sciadv.aav2309</t>
  </si>
  <si>
    <t>Biologic</t>
  </si>
  <si>
    <t>Cell Transplant</t>
  </si>
  <si>
    <t>10.1126/scitranslmed.aax0481</t>
  </si>
  <si>
    <t>a-CD42b</t>
  </si>
  <si>
    <t>Lesion Area</t>
  </si>
  <si>
    <t>4B</t>
  </si>
  <si>
    <t>5B</t>
  </si>
  <si>
    <t>Necrotic Area</t>
  </si>
  <si>
    <t>Atheroma Area</t>
  </si>
  <si>
    <t>Endothelial Area</t>
  </si>
  <si>
    <t>Lipid Deposition</t>
  </si>
  <si>
    <t>5B-1</t>
  </si>
  <si>
    <t>5B-2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</si>
  <si>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6 wks</t>
    </r>
  </si>
  <si>
    <t>Nec-1s</t>
  </si>
  <si>
    <t>5D</t>
  </si>
  <si>
    <t>5E</t>
  </si>
  <si>
    <t>10.1126/sciadv.1600224</t>
  </si>
  <si>
    <t>Macrophage Lesion Area</t>
  </si>
  <si>
    <t>5F</t>
  </si>
  <si>
    <t>Serum IL-1B</t>
  </si>
  <si>
    <t>5H</t>
  </si>
  <si>
    <t>Lesion Area Aortic Root</t>
  </si>
  <si>
    <t>Lesion Area Aortic Arch</t>
  </si>
  <si>
    <r>
      <t>mm</t>
    </r>
    <r>
      <rPr>
        <vertAlign val="superscript"/>
        <sz val="11"/>
        <color theme="1"/>
        <rFont val="Calibri"/>
        <family val="2"/>
      </rPr>
      <t>2</t>
    </r>
  </si>
  <si>
    <t>7A</t>
  </si>
  <si>
    <t>7B</t>
  </si>
  <si>
    <t>7D</t>
  </si>
  <si>
    <t>7E</t>
  </si>
  <si>
    <t>7G</t>
  </si>
  <si>
    <t>7H</t>
  </si>
  <si>
    <t>7I</t>
  </si>
  <si>
    <t>7M</t>
  </si>
  <si>
    <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</si>
  <si>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Genetic</t>
  </si>
  <si>
    <t>10.1126/scisignal.aad5614</t>
  </si>
  <si>
    <r>
      <t>BMT from p62</t>
    </r>
    <r>
      <rPr>
        <vertAlign val="superscript"/>
        <sz val="11"/>
        <color theme="1"/>
        <rFont val="Calibri"/>
        <family val="2"/>
        <scheme val="minor"/>
      </rPr>
      <t>-/-</t>
    </r>
  </si>
  <si>
    <t>Cell Death Aortic Root</t>
  </si>
  <si>
    <t>Necrotic Area Aortic Root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</si>
  <si>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-/-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</si>
  <si>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7J</t>
  </si>
  <si>
    <t>IL-1B Aortic Lysate</t>
  </si>
  <si>
    <t>pg/ml</t>
  </si>
  <si>
    <t>Poor Null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</si>
  <si>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+/+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</si>
  <si>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TUNEL Area</t>
  </si>
  <si>
    <t>Necrotic Core Area</t>
  </si>
  <si>
    <r>
      <t>m</t>
    </r>
    <r>
      <rPr>
        <sz val="11"/>
        <color theme="1"/>
        <rFont val="Calibri"/>
        <family val="2"/>
      </rPr>
      <t>ΦAT65-</t>
    </r>
    <r>
      <rPr>
        <vertAlign val="superscript"/>
        <sz val="11"/>
        <color theme="1"/>
        <rFont val="Calibri"/>
        <family val="2"/>
      </rPr>
      <t>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</si>
  <si>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10.1126/scitranslmed.aaf9087</t>
  </si>
  <si>
    <t xml:space="preserve">Lesian Area </t>
  </si>
  <si>
    <t>PAO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</si>
  <si>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3</t>
    </r>
  </si>
  <si>
    <t>5C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</si>
  <si>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12 wks</t>
    </r>
  </si>
  <si>
    <t>Total Cholesterol</t>
  </si>
  <si>
    <t>6A</t>
  </si>
  <si>
    <t>6B</t>
  </si>
  <si>
    <t>6E</t>
  </si>
  <si>
    <t>Necrotic Area (TUNEL)</t>
  </si>
  <si>
    <t>SMC Area</t>
  </si>
  <si>
    <t>Bad</t>
  </si>
  <si>
    <t>Good</t>
  </si>
  <si>
    <t>ST1</t>
  </si>
  <si>
    <t>6D</t>
  </si>
  <si>
    <t>vLDL</t>
  </si>
  <si>
    <t>mh/dL</t>
  </si>
  <si>
    <t>Necrotic Lesion Area</t>
  </si>
  <si>
    <t>Necrotic  Lesion Area</t>
  </si>
  <si>
    <t>Smooth Muscle  Lesion Area</t>
  </si>
  <si>
    <t>Macrophage Lesion Area (Mac-3)</t>
  </si>
  <si>
    <t>Macrophage Lesion Area (MOMA-2)</t>
  </si>
  <si>
    <t>Cells</t>
  </si>
  <si>
    <t>BAECs</t>
  </si>
  <si>
    <t>SF4</t>
  </si>
  <si>
    <t>TNAa</t>
  </si>
  <si>
    <t>Luciferase activity</t>
  </si>
  <si>
    <t>Total Cholersterol</t>
  </si>
  <si>
    <t>SF6</t>
  </si>
  <si>
    <t>LDL-C</t>
  </si>
  <si>
    <r>
      <t>rδ</t>
    </r>
    <r>
      <rPr>
        <vertAlign val="subscript"/>
        <sz val="11"/>
        <color theme="1"/>
        <rFont val="Calibri"/>
        <family val="2"/>
      </rPr>
      <t>L</t>
    </r>
  </si>
  <si>
    <t>mg/dl</t>
  </si>
  <si>
    <t>2F</t>
  </si>
  <si>
    <t>SF2B</t>
  </si>
  <si>
    <t>Group 1</t>
  </si>
  <si>
    <t>Group 2</t>
  </si>
  <si>
    <t>pCMV5</t>
  </si>
  <si>
    <t>PCMV-E3</t>
  </si>
  <si>
    <t>PMID, Loc</t>
  </si>
  <si>
    <t>11790777, T1</t>
  </si>
  <si>
    <t>10712412, T1</t>
  </si>
  <si>
    <t>11110410, F3</t>
  </si>
  <si>
    <t>11015467, T1</t>
  </si>
  <si>
    <t>26980442, SF2B</t>
  </si>
  <si>
    <t>27683551, F5E</t>
  </si>
  <si>
    <t>31366894, F1A</t>
  </si>
  <si>
    <t>9614153, T2</t>
  </si>
  <si>
    <t>mmol/L</t>
  </si>
  <si>
    <t>32472014, T2</t>
  </si>
  <si>
    <t>32472014, F3A</t>
  </si>
  <si>
    <t>29615096, T1</t>
  </si>
  <si>
    <t>MC</t>
  </si>
  <si>
    <t>rx̅DM</t>
  </si>
  <si>
    <t>x̅1</t>
  </si>
  <si>
    <t>s1</t>
  </si>
  <si>
    <t>x̅2</t>
  </si>
  <si>
    <t>s2</t>
  </si>
  <si>
    <t>αDM</t>
  </si>
  <si>
    <t>0.05/6</t>
  </si>
  <si>
    <t>Angptl3 siRNA</t>
  </si>
  <si>
    <t>32808882, F1D</t>
  </si>
  <si>
    <t>Luciferase siSRNA</t>
  </si>
  <si>
    <t>0.05/4</t>
  </si>
  <si>
    <t>9614153, F1A</t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</si>
  <si>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1</t>
    </r>
  </si>
  <si>
    <r>
      <t>s</t>
    </r>
    <r>
      <rPr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</si>
  <si>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</si>
  <si>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2</t>
    </r>
  </si>
  <si>
    <r>
      <t>s</t>
    </r>
    <r>
      <rPr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</si>
  <si>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vertAlign val="sub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</si>
  <si>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Ad-Gal-Reln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</si>
  <si>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Ad-Cre-Reln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</si>
  <si>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</si>
  <si>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</si>
  <si>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</si>
  <si>
    <t>WTD -IF</t>
  </si>
  <si>
    <t>WTD +IF</t>
  </si>
  <si>
    <t> WTD +Saline</t>
  </si>
  <si>
    <t>WTD +PCSK9-mAb1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</si>
  <si>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+Palm-E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</si>
  <si>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</si>
  <si>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</si>
  <si>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</si>
  <si>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IFD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</si>
  <si>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</si>
  <si>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PAO</t>
    </r>
  </si>
  <si>
    <t>9614153, F2A</t>
  </si>
  <si>
    <t>WT WTD -IF</t>
  </si>
  <si>
    <t>WT WTD +IF</t>
  </si>
  <si>
    <t>9614153, F2B</t>
  </si>
  <si>
    <t>21475195, 3D</t>
  </si>
  <si>
    <t>21475195, 5F</t>
  </si>
  <si>
    <t>27683551, F5C</t>
  </si>
  <si>
    <t>28143903, F7F</t>
  </si>
  <si>
    <t>27053774, 2B</t>
  </si>
  <si>
    <t>Baseline</t>
  </si>
  <si>
    <t>Control</t>
  </si>
  <si>
    <t>HuB</t>
  </si>
  <si>
    <t>HuB VLDLr-/-</t>
  </si>
  <si>
    <t>11790777, F7</t>
  </si>
  <si>
    <t>10521366, F2</t>
  </si>
  <si>
    <t>10521366, F3</t>
  </si>
  <si>
    <t>Chow ♂</t>
  </si>
  <si>
    <t>Sunflower II ♂</t>
  </si>
  <si>
    <t>Chow ♀</t>
  </si>
  <si>
    <t>Olive ♀</t>
  </si>
  <si>
    <t>Sunflower II ♀</t>
  </si>
  <si>
    <t>32472014, F3B</t>
  </si>
  <si>
    <r>
      <rPr>
        <sz val="8"/>
        <color theme="1"/>
        <rFont val="Calibri"/>
        <family val="2"/>
      </rPr>
      <t>µ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2</t>
    </r>
  </si>
  <si>
    <r>
      <t>mm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</si>
  <si>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</si>
  <si>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+IF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</si>
  <si>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</si>
  <si>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</si>
  <si>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</si>
  <si>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♂</t>
    </r>
  </si>
  <si>
    <t>21475195, 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</si>
  <si>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</si>
  <si>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♀</t>
    </r>
  </si>
  <si>
    <t>21475195, 5e</t>
  </si>
  <si>
    <t>ARKO Sham</t>
  </si>
  <si>
    <t>ARKO Orx P</t>
  </si>
  <si>
    <t>20861231, F1B</t>
  </si>
  <si>
    <t>20861231, F1A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</si>
  <si>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P2Y</t>
    </r>
    <r>
      <rPr>
        <vertAlign val="subscript"/>
        <sz val="8"/>
        <color theme="1"/>
        <rFont val="Calibri"/>
        <family val="2"/>
        <scheme val="minor"/>
      </rPr>
      <t>1</t>
    </r>
    <r>
      <rPr>
        <vertAlign val="superscript"/>
        <sz val="8"/>
        <color theme="1"/>
        <rFont val="Calibri"/>
        <family val="2"/>
        <scheme val="minor"/>
      </rPr>
      <t>–/–</t>
    </r>
  </si>
  <si>
    <t>18663083, F1A</t>
  </si>
  <si>
    <t>18663083, F2B</t>
  </si>
  <si>
    <t>18663083, F1B</t>
  </si>
  <si>
    <t>Vehicle</t>
  </si>
  <si>
    <t>PF-'2999</t>
  </si>
  <si>
    <t>30889221, F2B</t>
  </si>
  <si>
    <t>30400958, F3C</t>
  </si>
  <si>
    <t>30400958, F3D</t>
  </si>
  <si>
    <t>Saline</t>
  </si>
  <si>
    <t>LDE-etoposide</t>
  </si>
  <si>
    <t>22072867, T3</t>
  </si>
  <si>
    <t>Progression Cotrol</t>
  </si>
  <si>
    <t>BMY22089</t>
  </si>
  <si>
    <t>7840808, T4</t>
  </si>
  <si>
    <t>Atorvastatin</t>
  </si>
  <si>
    <t>Sp</t>
  </si>
  <si>
    <t>24188322, F1</t>
  </si>
  <si>
    <t>Probucol</t>
  </si>
  <si>
    <t>Atorvastin</t>
  </si>
  <si>
    <t>0.05/12</t>
  </si>
  <si>
    <t>ms</t>
  </si>
  <si>
    <t>rb</t>
  </si>
  <si>
    <t>mc</t>
  </si>
  <si>
    <t>8040256, T1</t>
  </si>
  <si>
    <t>mk</t>
  </si>
  <si>
    <t>3795393, T3</t>
  </si>
  <si>
    <t>Prox. Aorta +Stenosis</t>
  </si>
  <si>
    <t>Distal Aorta +Stenosis</t>
  </si>
  <si>
    <t>pg</t>
  </si>
  <si>
    <t>30305304, F5A</t>
  </si>
  <si>
    <t>16825595, F3B</t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</si>
  <si>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♂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</si>
  <si>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</si>
  <si>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</si>
  <si>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+/+</t>
    </r>
  </si>
  <si>
    <t>10571535, T2</t>
  </si>
  <si>
    <t>SC-69000</t>
  </si>
  <si>
    <t>SC-64258</t>
  </si>
  <si>
    <t>Placebo</t>
  </si>
  <si>
    <t>150 mg Atorvastatin</t>
  </si>
  <si>
    <t>22716983, ST9</t>
  </si>
  <si>
    <t>hu</t>
  </si>
  <si>
    <r>
      <t>ApoE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</si>
  <si>
    <t>7863332, T1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</si>
  <si>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EC-TFEB</t>
    </r>
  </si>
  <si>
    <t>Alfp-cre</t>
  </si>
  <si>
    <r>
      <t>Alfp-creTRβ</t>
    </r>
    <r>
      <rPr>
        <vertAlign val="superscript"/>
        <sz val="8"/>
        <color theme="1"/>
        <rFont val="Calibri"/>
        <family val="2"/>
        <scheme val="minor"/>
      </rPr>
      <t>fl/fl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</si>
  <si>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</si>
  <si>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t>µm2</t>
  </si>
  <si>
    <t>Positive Results for Plaque Area</t>
  </si>
  <si>
    <t>Null Results for Plaque Area</t>
  </si>
  <si>
    <t>0.05/7</t>
  </si>
  <si>
    <t>0.05/1</t>
  </si>
  <si>
    <t>Progression Control</t>
  </si>
  <si>
    <t>0.05/3</t>
  </si>
  <si>
    <t>0.05/2</t>
  </si>
  <si>
    <r>
      <t>rx̅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</si>
  <si>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</si>
  <si>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rδ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</si>
  <si>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</si>
  <si>
    <t>Positive Results for Total Plasma Cholesterol</t>
  </si>
  <si>
    <t>BF</t>
  </si>
  <si>
    <t>CD</t>
  </si>
  <si>
    <r>
      <t>mm</t>
    </r>
    <r>
      <rPr>
        <vertAlign val="superscript"/>
        <sz val="7"/>
        <color theme="1"/>
        <rFont val="Calibri"/>
        <family val="2"/>
        <scheme val="minor"/>
      </rPr>
      <t>2</t>
    </r>
  </si>
  <si>
    <r>
      <rPr>
        <sz val="7"/>
        <color theme="1"/>
        <rFont val="Calibri"/>
        <family val="2"/>
      </rPr>
      <t>µ</t>
    </r>
    <r>
      <rPr>
        <sz val="7"/>
        <color theme="1"/>
        <rFont val="Calibri"/>
        <family val="2"/>
        <scheme val="minor"/>
      </rPr>
      <t>m</t>
    </r>
    <r>
      <rPr>
        <vertAlign val="super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</si>
  <si>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</si>
  <si>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P2Y</t>
    </r>
    <r>
      <rPr>
        <vertAlign val="subscript"/>
        <sz val="7"/>
        <color theme="1"/>
        <rFont val="Calibri"/>
        <family val="2"/>
        <scheme val="minor"/>
      </rPr>
      <t>1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</si>
  <si>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</si>
  <si>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+IF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</si>
  <si>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</si>
  <si>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+IF</t>
    </r>
  </si>
  <si>
    <r>
      <t>rδ</t>
    </r>
    <r>
      <rPr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</si>
  <si>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</si>
  <si>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</si>
  <si>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1</t>
    </r>
  </si>
  <si>
    <r>
      <t>s</t>
    </r>
    <r>
      <rPr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</si>
  <si>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</si>
  <si>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2</t>
    </r>
  </si>
  <si>
    <r>
      <t>s</t>
    </r>
    <r>
      <rPr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</si>
  <si>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vertAlign val="sub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</si>
  <si>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</si>
  <si>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</si>
  <si>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+0.5% choline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</si>
  <si>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+1% choline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</si>
  <si>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</si>
  <si>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</si>
  <si>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</si>
  <si>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</si>
  <si>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-Abx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</si>
  <si>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</si>
  <si>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 BM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</si>
  <si>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-Abx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</si>
  <si>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♂</t>
    </r>
  </si>
  <si>
    <t>21475195, F5E</t>
  </si>
  <si>
    <t>24797634, F1C</t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</si>
  <si>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</si>
  <si>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</si>
  <si>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</si>
  <si>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Times New Roman"/>
        <family val="1"/>
      </rPr>
      <t>♂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</si>
  <si>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</si>
  <si>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N</t>
    </r>
  </si>
  <si>
    <t>LNA-Control</t>
  </si>
  <si>
    <t>27137489, F1C</t>
  </si>
  <si>
    <r>
      <t>ApoE</t>
    </r>
    <r>
      <rPr>
        <vertAlign val="superscript"/>
        <sz val="8"/>
        <color rgb="FF000000"/>
        <rFont val="Calibri"/>
        <family val="2"/>
      </rPr>
      <t>–/–</t>
    </r>
  </si>
  <si>
    <r>
      <t>ApoE</t>
    </r>
    <r>
      <rPr>
        <vertAlign val="superscript"/>
        <sz val="8"/>
        <color rgb="FF000000"/>
        <rFont val="Calibri"/>
        <family val="2"/>
      </rPr>
      <t>–/–</t>
    </r>
    <r>
      <rPr>
        <sz val="8"/>
        <color rgb="FF000000"/>
        <rFont val="Calibri"/>
        <family val="2"/>
      </rPr>
      <t>.Yaa</t>
    </r>
  </si>
  <si>
    <t>33110193, F1A</t>
  </si>
  <si>
    <r>
      <t>mm</t>
    </r>
    <r>
      <rPr>
        <vertAlign val="superscript"/>
        <sz val="8"/>
        <color rgb="FF000000"/>
        <rFont val="Calibri"/>
        <family val="2"/>
      </rPr>
      <t>2</t>
    </r>
  </si>
  <si>
    <r>
      <t>µm</t>
    </r>
    <r>
      <rPr>
        <vertAlign val="superscript"/>
        <sz val="8"/>
        <color rgb="FF000000"/>
        <rFont val="Calibri"/>
        <family val="2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</si>
  <si>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</si>
  <si>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</si>
  <si>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+Abx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</si>
  <si>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-Abx</t>
    </r>
  </si>
  <si>
    <t>Prox. -Sten.</t>
  </si>
  <si>
    <t>Prox. +Sten.</t>
  </si>
  <si>
    <t>ü</t>
  </si>
  <si>
    <t>16825595, F2B</t>
  </si>
  <si>
    <t>Group A</t>
  </si>
  <si>
    <t>Group B</t>
  </si>
  <si>
    <t>AE</t>
  </si>
  <si>
    <r>
      <t>x</t>
    </r>
    <r>
      <rPr>
        <b/>
        <sz val="8"/>
        <color theme="1"/>
        <rFont val="Calibri"/>
        <family val="2"/>
      </rPr>
      <t>̅</t>
    </r>
  </si>
  <si>
    <t>Group X</t>
  </si>
  <si>
    <t>m</t>
  </si>
  <si>
    <r>
      <t>y</t>
    </r>
    <r>
      <rPr>
        <b/>
        <sz val="8"/>
        <color theme="1"/>
        <rFont val="Calibri"/>
        <family val="2"/>
      </rPr>
      <t>̅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</si>
  <si>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</si>
  <si>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X</t>
    </r>
  </si>
  <si>
    <t>n</t>
  </si>
  <si>
    <t>Group Y</t>
  </si>
  <si>
    <r>
      <t>rx̅</t>
    </r>
    <r>
      <rPr>
        <b/>
        <vertAlign val="subscript"/>
        <sz val="9"/>
        <color theme="1"/>
        <rFont val="Calibri"/>
        <family val="2"/>
        <scheme val="minor"/>
      </rPr>
      <t>DM</t>
    </r>
  </si>
  <si>
    <r>
      <t>P</t>
    </r>
    <r>
      <rPr>
        <b/>
        <vertAlign val="subscript"/>
        <sz val="9"/>
        <color theme="1"/>
        <rFont val="Calibri"/>
        <family val="2"/>
      </rPr>
      <t>δ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</si>
  <si>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</si>
  <si>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N</t>
    </r>
  </si>
  <si>
    <r>
      <t>δ</t>
    </r>
    <r>
      <rPr>
        <b/>
        <vertAlign val="subscript"/>
        <sz val="9"/>
        <color theme="1"/>
        <rFont val="Calibri"/>
        <family val="2"/>
        <scheme val="minor"/>
      </rPr>
      <t>M</t>
    </r>
  </si>
  <si>
    <r>
      <t>rδ</t>
    </r>
    <r>
      <rPr>
        <b/>
        <vertAlign val="subscript"/>
        <sz val="9"/>
        <color theme="1"/>
        <rFont val="Calibri"/>
        <family val="2"/>
        <scheme val="minor"/>
      </rPr>
      <t>M</t>
    </r>
  </si>
  <si>
    <t>Effect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</si>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</sst>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E+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4D5156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2A2A2A"/>
      <name val="Source Sans Pro"/>
      <family val="2"/>
    </font>
    <font>
      <sz val="11"/>
      <color rgb="FF2A2A2A"/>
      <name val="Times New Roman"/>
      <family val="1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7"/>
      <color theme="1"/>
      <name val="Calibri"/>
      <family val="2"/>
    </font>
    <font>
      <vertAlign val="subscript"/>
      <sz val="7"/>
      <color theme="1"/>
      <name val="Calibri"/>
      <family val="2"/>
      <scheme val="minor"/>
    </font>
    <font>
      <sz val="7"/>
      <color rgb="FF2A2A2A"/>
      <name val="Source Sans Pro"/>
      <family val="2"/>
    </font>
    <font>
      <vertAlign val="subscript"/>
      <sz val="7"/>
      <color theme="1"/>
      <name val="Calibri"/>
      <family val="2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sz val="8"/>
      <color theme="1"/>
      <name val="Wingdings"/>
      <charset val="2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  <xf numFmtId="0" fontId="0" fillId="0" borderId="0" xfId="0" applyFill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9" fontId="12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center" vertical="center" readingOrder="1"/>
    </xf>
    <xf numFmtId="1" fontId="1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/>
    <xf numFmtId="2" fontId="1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0" fontId="22" fillId="0" borderId="0" xfId="0" applyFont="1"/>
    <xf numFmtId="0" fontId="15" fillId="0" borderId="0" xfId="0" applyFont="1" applyAlignment="1">
      <alignment horizontal="left"/>
    </xf>
    <xf numFmtId="9" fontId="12" fillId="2" borderId="0" xfId="1" applyFont="1" applyFill="1" applyAlignment="1">
      <alignment horizontal="center"/>
    </xf>
    <xf numFmtId="9" fontId="12" fillId="3" borderId="0" xfId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/>
    <xf numFmtId="9" fontId="26" fillId="0" borderId="0" xfId="1" applyFont="1" applyAlignment="1">
      <alignment horizontal="center"/>
    </xf>
    <xf numFmtId="165" fontId="26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9" fontId="26" fillId="2" borderId="0" xfId="1" applyFont="1" applyFill="1" applyAlignment="1">
      <alignment horizont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center"/>
    </xf>
    <xf numFmtId="2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0" fontId="26" fillId="3" borderId="0" xfId="0" applyFont="1" applyFill="1"/>
    <xf numFmtId="0" fontId="26" fillId="0" borderId="0" xfId="0" applyFont="1" applyAlignment="1"/>
    <xf numFmtId="0" fontId="26" fillId="0" borderId="0" xfId="0" applyFont="1" applyBorder="1"/>
    <xf numFmtId="0" fontId="26" fillId="0" borderId="0" xfId="0" applyFont="1" applyBorder="1" applyAlignment="1"/>
    <xf numFmtId="0" fontId="26" fillId="0" borderId="1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9" fontId="26" fillId="0" borderId="0" xfId="1" applyFont="1" applyBorder="1" applyAlignment="1">
      <alignment horizontal="center"/>
    </xf>
    <xf numFmtId="0" fontId="32" fillId="0" borderId="0" xfId="0" applyFont="1" applyBorder="1" applyAlignment="1">
      <alignment horizontal="left" vertical="center" readingOrder="1"/>
    </xf>
    <xf numFmtId="0" fontId="32" fillId="0" borderId="0" xfId="0" applyFont="1" applyBorder="1" applyAlignment="1">
      <alignment horizontal="center" vertical="center" readingOrder="1"/>
    </xf>
    <xf numFmtId="1" fontId="26" fillId="0" borderId="0" xfId="0" applyNumberFormat="1" applyFont="1" applyBorder="1" applyAlignment="1">
      <alignment horizontal="center"/>
    </xf>
    <xf numFmtId="0" fontId="32" fillId="0" borderId="0" xfId="0" applyFont="1" applyBorder="1" applyAlignment="1">
      <alignment horizontal="left"/>
    </xf>
    <xf numFmtId="0" fontId="26" fillId="0" borderId="0" xfId="1" applyNumberFormat="1" applyFont="1" applyBorder="1" applyAlignment="1">
      <alignment horizontal="center"/>
    </xf>
    <xf numFmtId="0" fontId="26" fillId="2" borderId="0" xfId="0" applyFont="1" applyFill="1"/>
    <xf numFmtId="164" fontId="26" fillId="2" borderId="0" xfId="0" applyNumberFormat="1" applyFont="1" applyFill="1" applyAlignment="1">
      <alignment horizontal="center"/>
    </xf>
    <xf numFmtId="3" fontId="26" fillId="0" borderId="0" xfId="0" applyNumberFormat="1" applyFont="1" applyAlignment="1">
      <alignment horizontal="center"/>
    </xf>
    <xf numFmtId="1" fontId="26" fillId="2" borderId="0" xfId="0" applyNumberFormat="1" applyFont="1" applyFill="1" applyAlignment="1">
      <alignment horizontal="center"/>
    </xf>
    <xf numFmtId="0" fontId="33" fillId="0" borderId="2" xfId="0" applyFont="1" applyBorder="1" applyAlignment="1">
      <alignment horizontal="left" wrapText="1" readingOrder="1"/>
    </xf>
    <xf numFmtId="0" fontId="33" fillId="0" borderId="2" xfId="0" applyFont="1" applyBorder="1" applyAlignment="1">
      <alignment horizontal="center" wrapText="1" readingOrder="1"/>
    </xf>
    <xf numFmtId="0" fontId="33" fillId="4" borderId="0" xfId="0" applyFont="1" applyFill="1" applyAlignment="1">
      <alignment horizontal="left" wrapText="1" readingOrder="1"/>
    </xf>
    <xf numFmtId="0" fontId="33" fillId="4" borderId="0" xfId="0" applyFont="1" applyFill="1" applyAlignment="1">
      <alignment horizontal="center" wrapText="1" readingOrder="1"/>
    </xf>
    <xf numFmtId="1" fontId="12" fillId="3" borderId="0" xfId="0" applyNumberFormat="1" applyFont="1" applyFill="1" applyAlignment="1">
      <alignment horizontal="center"/>
    </xf>
    <xf numFmtId="164" fontId="12" fillId="3" borderId="0" xfId="0" applyNumberFormat="1" applyFont="1" applyFill="1" applyAlignment="1">
      <alignment horizontal="center"/>
    </xf>
    <xf numFmtId="2" fontId="12" fillId="0" borderId="0" xfId="1" applyNumberFormat="1" applyFont="1" applyAlignment="1">
      <alignment horizontal="center"/>
    </xf>
    <xf numFmtId="2" fontId="12" fillId="2" borderId="0" xfId="1" applyNumberFormat="1" applyFont="1" applyFill="1" applyAlignment="1">
      <alignment horizontal="center"/>
    </xf>
    <xf numFmtId="2" fontId="12" fillId="3" borderId="0" xfId="1" applyNumberFormat="1" applyFont="1" applyFill="1" applyAlignment="1">
      <alignment horizontal="center"/>
    </xf>
    <xf numFmtId="0" fontId="35" fillId="0" borderId="0" xfId="0" applyFont="1" applyAlignment="1">
      <alignment horizontal="center"/>
    </xf>
    <xf numFmtId="0" fontId="33" fillId="3" borderId="0" xfId="0" applyFont="1" applyFill="1" applyAlignment="1">
      <alignment horizontal="left" wrapText="1" readingOrder="1"/>
    </xf>
    <xf numFmtId="0" fontId="33" fillId="3" borderId="0" xfId="0" applyFont="1" applyFill="1" applyAlignment="1">
      <alignment horizontal="center" wrapText="1" readingOrder="1"/>
    </xf>
    <xf numFmtId="0" fontId="35" fillId="3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33" fillId="2" borderId="0" xfId="0" applyFont="1" applyFill="1" applyAlignment="1">
      <alignment horizontal="left" wrapText="1" readingOrder="1"/>
    </xf>
    <xf numFmtId="0" fontId="33" fillId="2" borderId="0" xfId="0" applyFont="1" applyFill="1" applyAlignment="1">
      <alignment horizontal="center" wrapText="1" readingOrder="1"/>
    </xf>
    <xf numFmtId="0" fontId="35" fillId="2" borderId="0" xfId="0" applyFont="1" applyFill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3" borderId="0" xfId="0" applyFont="1" applyFill="1" applyBorder="1"/>
    <xf numFmtId="0" fontId="26" fillId="3" borderId="0" xfId="0" applyFont="1" applyFill="1" applyBorder="1" applyAlignment="1"/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left" vertical="center"/>
    </xf>
    <xf numFmtId="2" fontId="12" fillId="2" borderId="0" xfId="0" applyNumberFormat="1" applyFont="1" applyFill="1" applyAlignment="1">
      <alignment horizontal="center"/>
    </xf>
    <xf numFmtId="0" fontId="13" fillId="2" borderId="0" xfId="0" applyFont="1" applyFill="1" applyAlignment="1"/>
    <xf numFmtId="2" fontId="12" fillId="3" borderId="0" xfId="0" applyNumberFormat="1" applyFont="1" applyFill="1" applyAlignment="1">
      <alignment horizontal="center"/>
    </xf>
    <xf numFmtId="9" fontId="15" fillId="0" borderId="3" xfId="1" applyFont="1" applyBorder="1" applyAlignment="1">
      <alignment horizontal="center"/>
    </xf>
    <xf numFmtId="0" fontId="36" fillId="3" borderId="4" xfId="0" applyFont="1" applyFill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166" fontId="15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58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36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E39AD-91B7-4BB9-B79E-2A3E73EAEC45}"/>
            </a:ext>
          </a:extLst>
        </xdr:cNvPr>
        <xdr:cNvSpPr txBox="1"/>
      </xdr:nvSpPr>
      <xdr:spPr>
        <a:xfrm>
          <a:off x="8162925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6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AC5E1-DAB6-4404-9A47-C031D7821444}"/>
            </a:ext>
          </a:extLst>
        </xdr:cNvPr>
        <xdr:cNvSpPr txBox="1"/>
      </xdr:nvSpPr>
      <xdr:spPr>
        <a:xfrm>
          <a:off x="8734425" y="612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9</xdr:row>
      <xdr:rowOff>85725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8B701D-E21D-4F65-8107-708EB5708B03}"/>
            </a:ext>
          </a:extLst>
        </xdr:cNvPr>
        <xdr:cNvSpPr txBox="1"/>
      </xdr:nvSpPr>
      <xdr:spPr>
        <a:xfrm>
          <a:off x="8734425" y="615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37</xdr:row>
      <xdr:rowOff>85725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EE88C4-4635-4A7D-9779-F0D3456BFD1B}"/>
            </a:ext>
          </a:extLst>
        </xdr:cNvPr>
        <xdr:cNvSpPr txBox="1"/>
      </xdr:nvSpPr>
      <xdr:spPr>
        <a:xfrm>
          <a:off x="8734425" y="6181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7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71C85-AF77-441F-855C-F676AC124256}"/>
            </a:ext>
          </a:extLst>
        </xdr:cNvPr>
        <xdr:cNvSpPr txBox="1"/>
      </xdr:nvSpPr>
      <xdr:spPr>
        <a:xfrm>
          <a:off x="888682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CD-E304-4017-B7AF-97A0978AC45D}">
  <dimension ref="A1:AC37"/>
  <sheetViews>
    <sheetView topLeftCell="A19" zoomScale="160" zoomScaleNormal="160" workbookViewId="0">
      <selection activeCell="A37" sqref="A37:XFD37"/>
    </sheetView>
  </sheetViews>
  <sheetFormatPr defaultColWidth="9.140625" defaultRowHeight="11.25" x14ac:dyDescent="0.2"/>
  <cols>
    <col min="1" max="1" width="14" style="15" customWidth="1"/>
    <col min="2" max="2" width="4.5703125" style="15" customWidth="1"/>
    <col min="3" max="3" width="4.140625" style="15" customWidth="1"/>
    <col min="4" max="4" width="3.28515625" style="15" customWidth="1"/>
    <col min="5" max="5" width="14.140625" style="15" customWidth="1"/>
    <col min="6" max="6" width="4.28515625" style="15" customWidth="1"/>
    <col min="7" max="7" width="4" style="15" customWidth="1"/>
    <col min="8" max="8" width="2.7109375" style="15" customWidth="1"/>
    <col min="9" max="9" width="7" style="15" customWidth="1"/>
    <col min="10" max="10" width="6.7109375" style="15" customWidth="1"/>
    <col min="11" max="11" width="3.140625" style="15" customWidth="1"/>
    <col min="12" max="12" width="12.140625" style="17" customWidth="1"/>
    <col min="13" max="13" width="5.7109375" style="14" customWidth="1"/>
    <col min="14" max="14" width="2.7109375" style="14" customWidth="1"/>
    <col min="15" max="15" width="4.42578125" style="14" customWidth="1"/>
    <col min="16" max="16" width="4.14062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29" ht="12" customHeight="1" x14ac:dyDescent="0.2"/>
    <row r="2" spans="1:29" s="40" customFormat="1" ht="12" customHeight="1" x14ac:dyDescent="0.25">
      <c r="A2" s="103" t="s">
        <v>379</v>
      </c>
      <c r="B2" s="104" t="s">
        <v>378</v>
      </c>
      <c r="C2" s="104" t="s">
        <v>383</v>
      </c>
      <c r="D2" s="104" t="s">
        <v>380</v>
      </c>
      <c r="E2" s="103" t="s">
        <v>385</v>
      </c>
      <c r="F2" s="104" t="s">
        <v>381</v>
      </c>
      <c r="G2" s="104" t="s">
        <v>382</v>
      </c>
      <c r="H2" s="104" t="s">
        <v>384</v>
      </c>
      <c r="I2" s="104" t="s">
        <v>47</v>
      </c>
      <c r="J2" s="104" t="s">
        <v>316</v>
      </c>
      <c r="K2" s="102" t="s">
        <v>274</v>
      </c>
      <c r="L2" s="105" t="s">
        <v>172</v>
      </c>
      <c r="M2" s="102" t="s">
        <v>392</v>
      </c>
    </row>
    <row r="3" spans="1:29" ht="12" customHeight="1" x14ac:dyDescent="0.25">
      <c r="A3" s="14" t="s">
        <v>304</v>
      </c>
      <c r="B3" s="15">
        <v>3.45</v>
      </c>
      <c r="C3" s="34">
        <f>(3.55-B3)*SQRT(D3)</f>
        <v>0.24494897427831691</v>
      </c>
      <c r="D3" s="15">
        <v>6</v>
      </c>
      <c r="E3" s="14" t="s">
        <v>305</v>
      </c>
      <c r="F3" s="15">
        <v>3.26</v>
      </c>
      <c r="G3" s="34">
        <f>(3.35-F3)*SQRT(H3)</f>
        <v>0.22045407685048674</v>
      </c>
      <c r="H3" s="15">
        <v>6</v>
      </c>
      <c r="I3" s="15" t="s">
        <v>181</v>
      </c>
      <c r="J3" s="15">
        <v>0.05</v>
      </c>
      <c r="K3" s="15" t="s">
        <v>279</v>
      </c>
      <c r="L3" s="17" t="s">
        <v>353</v>
      </c>
      <c r="M3" s="15">
        <v>0</v>
      </c>
      <c r="R3" s="41"/>
    </row>
    <row r="4" spans="1:29" s="40" customFormat="1" ht="12" customHeight="1" x14ac:dyDescent="0.2">
      <c r="A4" s="40" t="s">
        <v>354</v>
      </c>
      <c r="B4" s="37">
        <v>1251</v>
      </c>
      <c r="C4" s="92">
        <v>161.1</v>
      </c>
      <c r="D4" s="37">
        <v>10</v>
      </c>
      <c r="E4" s="40" t="s">
        <v>306</v>
      </c>
      <c r="F4" s="37">
        <v>1179</v>
      </c>
      <c r="G4" s="92">
        <v>143.1</v>
      </c>
      <c r="H4" s="37">
        <v>5</v>
      </c>
      <c r="I4" s="37" t="s">
        <v>165</v>
      </c>
      <c r="J4" s="37">
        <v>0.05</v>
      </c>
      <c r="K4" s="37" t="s">
        <v>279</v>
      </c>
      <c r="L4" s="38" t="s">
        <v>184</v>
      </c>
      <c r="M4" s="37">
        <v>0</v>
      </c>
    </row>
    <row r="5" spans="1:29" ht="12" customHeight="1" x14ac:dyDescent="0.2">
      <c r="A5" s="14" t="s">
        <v>356</v>
      </c>
      <c r="B5" s="15">
        <v>2.29</v>
      </c>
      <c r="C5" s="34">
        <f>0.2*SQRT(D5)</f>
        <v>0.52915026221291817</v>
      </c>
      <c r="D5" s="15">
        <v>7</v>
      </c>
      <c r="E5" s="14" t="s">
        <v>355</v>
      </c>
      <c r="F5" s="15">
        <v>2.2999999999999998</v>
      </c>
      <c r="G5" s="34">
        <f>0.13 * SQRT(H5)</f>
        <v>0.31843366656181316</v>
      </c>
      <c r="H5" s="15">
        <v>6</v>
      </c>
      <c r="I5" s="15" t="s">
        <v>181</v>
      </c>
      <c r="J5" s="15">
        <v>0.05</v>
      </c>
      <c r="K5" s="15" t="s">
        <v>279</v>
      </c>
      <c r="L5" s="17" t="s">
        <v>182</v>
      </c>
      <c r="M5" s="15">
        <v>0</v>
      </c>
    </row>
    <row r="6" spans="1:29" s="40" customFormat="1" ht="12" customHeight="1" x14ac:dyDescent="0.2">
      <c r="A6" s="107" t="s">
        <v>214</v>
      </c>
      <c r="B6" s="37">
        <v>141</v>
      </c>
      <c r="C6" s="92">
        <v>34</v>
      </c>
      <c r="D6" s="37">
        <v>8</v>
      </c>
      <c r="E6" s="107" t="s">
        <v>215</v>
      </c>
      <c r="F6" s="37">
        <v>151</v>
      </c>
      <c r="G6" s="92">
        <v>24</v>
      </c>
      <c r="H6" s="37">
        <v>13</v>
      </c>
      <c r="I6" s="37" t="s">
        <v>165</v>
      </c>
      <c r="J6" s="37">
        <v>0.05</v>
      </c>
      <c r="K6" s="37" t="s">
        <v>279</v>
      </c>
      <c r="L6" s="38" t="s">
        <v>173</v>
      </c>
      <c r="M6" s="37">
        <v>0</v>
      </c>
    </row>
    <row r="7" spans="1:29" ht="12" customHeight="1" x14ac:dyDescent="0.2">
      <c r="A7" s="33" t="s">
        <v>216</v>
      </c>
      <c r="B7" s="28">
        <v>105.1</v>
      </c>
      <c r="C7" s="28">
        <f>7.2 * SQRT(D7)</f>
        <v>27.885480092693403</v>
      </c>
      <c r="D7" s="15">
        <v>15</v>
      </c>
      <c r="E7" s="17" t="s">
        <v>217</v>
      </c>
      <c r="F7" s="15">
        <v>93.4</v>
      </c>
      <c r="G7" s="28">
        <f>7.6 * SQRT(H7)</f>
        <v>29.434673431176368</v>
      </c>
      <c r="H7" s="15">
        <v>15</v>
      </c>
      <c r="I7" s="29" t="s">
        <v>181</v>
      </c>
      <c r="J7" s="15" t="s">
        <v>313</v>
      </c>
      <c r="K7" s="15" t="s">
        <v>279</v>
      </c>
      <c r="L7" s="17" t="s">
        <v>180</v>
      </c>
      <c r="M7" s="15">
        <v>0</v>
      </c>
    </row>
    <row r="8" spans="1:29" s="40" customFormat="1" ht="12" customHeight="1" x14ac:dyDescent="0.2">
      <c r="A8" s="40" t="s">
        <v>354</v>
      </c>
      <c r="B8" s="37">
        <v>2518</v>
      </c>
      <c r="C8" s="37">
        <v>257</v>
      </c>
      <c r="D8" s="37">
        <v>8</v>
      </c>
      <c r="E8" s="40" t="s">
        <v>357</v>
      </c>
      <c r="F8" s="37">
        <v>2876</v>
      </c>
      <c r="G8" s="37">
        <v>506</v>
      </c>
      <c r="H8" s="37">
        <v>6</v>
      </c>
      <c r="I8" s="37" t="s">
        <v>165</v>
      </c>
      <c r="J8" s="37">
        <v>0.05</v>
      </c>
      <c r="K8" s="37" t="s">
        <v>279</v>
      </c>
      <c r="L8" s="38" t="s">
        <v>184</v>
      </c>
      <c r="M8" s="37">
        <v>0</v>
      </c>
    </row>
    <row r="9" spans="1:29" ht="12" customHeight="1" x14ac:dyDescent="0.2">
      <c r="A9" s="14" t="s">
        <v>262</v>
      </c>
      <c r="B9" s="15">
        <v>1335</v>
      </c>
      <c r="C9" s="28">
        <f>(1430-B9)*SQRT(D9)</f>
        <v>268.70057685088807</v>
      </c>
      <c r="D9" s="15">
        <v>8</v>
      </c>
      <c r="E9" s="14" t="s">
        <v>276</v>
      </c>
      <c r="F9" s="15">
        <v>1303</v>
      </c>
      <c r="G9" s="28">
        <f>-(1170-F9)*SQRT(H9)</f>
        <v>376.18080759124331</v>
      </c>
      <c r="H9" s="15">
        <v>8</v>
      </c>
      <c r="I9" s="15" t="s">
        <v>69</v>
      </c>
      <c r="J9" s="15" t="s">
        <v>278</v>
      </c>
      <c r="K9" s="15" t="s">
        <v>280</v>
      </c>
      <c r="L9" s="17" t="s">
        <v>275</v>
      </c>
      <c r="M9" s="15">
        <v>0</v>
      </c>
    </row>
    <row r="10" spans="1:29" s="40" customFormat="1" ht="12" customHeight="1" x14ac:dyDescent="0.2">
      <c r="A10" s="38" t="s">
        <v>218</v>
      </c>
      <c r="B10" s="37">
        <v>568</v>
      </c>
      <c r="C10" s="92">
        <f>(601-B10)*SQRT(D10)</f>
        <v>80.833161511844864</v>
      </c>
      <c r="D10" s="37">
        <v>6</v>
      </c>
      <c r="E10" s="38" t="s">
        <v>219</v>
      </c>
      <c r="F10" s="37">
        <v>742</v>
      </c>
      <c r="G10" s="37">
        <f>(870-F10)*SQRT(H10)</f>
        <v>256</v>
      </c>
      <c r="H10" s="37">
        <v>4</v>
      </c>
      <c r="I10" s="37" t="s">
        <v>69</v>
      </c>
      <c r="J10" s="37">
        <v>0.05</v>
      </c>
      <c r="K10" s="37" t="s">
        <v>279</v>
      </c>
      <c r="L10" s="38" t="s">
        <v>178</v>
      </c>
      <c r="M10" s="37">
        <v>0</v>
      </c>
    </row>
    <row r="11" spans="1:29" ht="12" customHeight="1" x14ac:dyDescent="0.2">
      <c r="A11" s="17" t="s">
        <v>230</v>
      </c>
      <c r="B11" s="15">
        <v>11.2</v>
      </c>
      <c r="C11" s="15">
        <v>8.7799999999999994</v>
      </c>
      <c r="D11" s="15">
        <v>8</v>
      </c>
      <c r="E11" s="17" t="s">
        <v>276</v>
      </c>
      <c r="F11" s="15">
        <v>15.3</v>
      </c>
      <c r="G11" s="15">
        <v>6.55</v>
      </c>
      <c r="H11" s="15">
        <v>8</v>
      </c>
      <c r="I11" s="15" t="s">
        <v>69</v>
      </c>
      <c r="J11" s="15">
        <v>0.05</v>
      </c>
      <c r="K11" s="15" t="s">
        <v>281</v>
      </c>
      <c r="L11" s="17" t="s">
        <v>282</v>
      </c>
      <c r="M11" s="15">
        <v>0</v>
      </c>
    </row>
    <row r="12" spans="1:29" ht="12.75" x14ac:dyDescent="0.2">
      <c r="A12" s="20" t="s">
        <v>206</v>
      </c>
      <c r="B12" s="15">
        <v>2503</v>
      </c>
      <c r="C12" s="15">
        <v>266</v>
      </c>
      <c r="D12" s="15">
        <v>11</v>
      </c>
      <c r="E12" s="20" t="s">
        <v>207</v>
      </c>
      <c r="F12" s="15">
        <v>1984</v>
      </c>
      <c r="G12" s="15">
        <v>252</v>
      </c>
      <c r="H12" s="15">
        <v>13</v>
      </c>
      <c r="I12" s="15" t="s">
        <v>165</v>
      </c>
      <c r="J12" s="15">
        <v>0.05</v>
      </c>
      <c r="K12" s="15" t="s">
        <v>279</v>
      </c>
      <c r="L12" s="17" t="s">
        <v>174</v>
      </c>
      <c r="M12" s="15">
        <v>-1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2.75" x14ac:dyDescent="0.2">
      <c r="A13" s="26" t="s">
        <v>204</v>
      </c>
      <c r="B13" s="27">
        <v>2087</v>
      </c>
      <c r="C13" s="28">
        <v>530.59871843041617</v>
      </c>
      <c r="D13" s="15">
        <v>15</v>
      </c>
      <c r="E13" s="26" t="s">
        <v>205</v>
      </c>
      <c r="F13" s="27">
        <v>1487</v>
      </c>
      <c r="G13" s="15">
        <v>364</v>
      </c>
      <c r="H13" s="15">
        <v>16</v>
      </c>
      <c r="I13" s="15" t="s">
        <v>165</v>
      </c>
      <c r="J13" s="15">
        <v>0.05</v>
      </c>
      <c r="K13" s="15" t="s">
        <v>279</v>
      </c>
      <c r="L13" s="20" t="s">
        <v>177</v>
      </c>
      <c r="M13" s="15">
        <v>-1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2" x14ac:dyDescent="0.2">
      <c r="A14" s="18" t="s">
        <v>262</v>
      </c>
      <c r="B14" s="15">
        <v>1335</v>
      </c>
      <c r="C14" s="28">
        <f>(1430-B14)*SQRT(D14)</f>
        <v>268.70057685088807</v>
      </c>
      <c r="D14" s="15">
        <v>8</v>
      </c>
      <c r="E14" s="14" t="s">
        <v>277</v>
      </c>
      <c r="F14" s="15">
        <v>934</v>
      </c>
      <c r="G14" s="15">
        <f>(F14-852)*SQRT(H14)</f>
        <v>231.93102422918761</v>
      </c>
      <c r="H14" s="15">
        <v>8</v>
      </c>
      <c r="I14" s="29" t="s">
        <v>69</v>
      </c>
      <c r="J14" s="15" t="s">
        <v>278</v>
      </c>
      <c r="K14" s="15" t="s">
        <v>280</v>
      </c>
      <c r="L14" s="17" t="s">
        <v>275</v>
      </c>
      <c r="M14" s="15">
        <v>-1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">
      <c r="A15" s="14" t="s">
        <v>209</v>
      </c>
      <c r="B15" s="15">
        <v>4.78</v>
      </c>
      <c r="C15" s="15">
        <f>(5.05-4.78)*SQRT(D15)</f>
        <v>1.2074767078498845</v>
      </c>
      <c r="D15" s="15">
        <v>20</v>
      </c>
      <c r="E15" s="14" t="s">
        <v>210</v>
      </c>
      <c r="F15" s="15">
        <v>3.3</v>
      </c>
      <c r="G15" s="34">
        <f>(3.45-F15)*SQRT(H15)</f>
        <v>0.67082039324993858</v>
      </c>
      <c r="H15" s="15">
        <v>20</v>
      </c>
      <c r="I15" s="29" t="s">
        <v>181</v>
      </c>
      <c r="J15" s="15" t="s">
        <v>196</v>
      </c>
      <c r="K15" s="15" t="s">
        <v>279</v>
      </c>
      <c r="L15" s="14" t="s">
        <v>197</v>
      </c>
      <c r="M15" s="15">
        <v>-1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">
      <c r="A16" s="17" t="s">
        <v>297</v>
      </c>
      <c r="B16" s="15">
        <v>202</v>
      </c>
      <c r="C16" s="15">
        <f>12.59*SQRT(D16)</f>
        <v>28.152095836722353</v>
      </c>
      <c r="D16" s="15">
        <v>5</v>
      </c>
      <c r="E16" s="17" t="s">
        <v>298</v>
      </c>
      <c r="F16" s="15">
        <v>135.19999999999999</v>
      </c>
      <c r="G16" s="15">
        <f>28.72*SQRT(H16)</f>
        <v>64.219872313793957</v>
      </c>
      <c r="H16" s="15">
        <v>5</v>
      </c>
      <c r="I16" s="29" t="s">
        <v>69</v>
      </c>
      <c r="J16" s="15" t="s">
        <v>192</v>
      </c>
      <c r="K16" s="15" t="s">
        <v>300</v>
      </c>
      <c r="L16" s="17" t="s">
        <v>299</v>
      </c>
      <c r="M16" s="15">
        <v>-1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">
      <c r="A17" s="14" t="s">
        <v>195</v>
      </c>
      <c r="B17" s="15">
        <v>238</v>
      </c>
      <c r="C17" s="15">
        <f>(245-B17)*SQRT(D17)</f>
        <v>15.652475842498529</v>
      </c>
      <c r="D17" s="15">
        <v>5</v>
      </c>
      <c r="E17" s="14" t="s">
        <v>193</v>
      </c>
      <c r="F17" s="15">
        <v>153</v>
      </c>
      <c r="G17" s="30">
        <f>(163-F17)*SQRT(H17)</f>
        <v>22.360679774997898</v>
      </c>
      <c r="H17" s="15">
        <v>5</v>
      </c>
      <c r="I17" s="29" t="s">
        <v>69</v>
      </c>
      <c r="J17" s="15" t="s">
        <v>192</v>
      </c>
      <c r="K17" s="15" t="s">
        <v>279</v>
      </c>
      <c r="L17" s="14" t="s">
        <v>194</v>
      </c>
      <c r="M17" s="15">
        <v>-1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">
      <c r="A18" s="14" t="s">
        <v>211</v>
      </c>
      <c r="B18" s="15">
        <v>463</v>
      </c>
      <c r="C18" s="15">
        <v>103</v>
      </c>
      <c r="D18" s="15">
        <v>12</v>
      </c>
      <c r="E18" s="14" t="s">
        <v>212</v>
      </c>
      <c r="F18" s="15">
        <v>254</v>
      </c>
      <c r="G18" s="15">
        <v>108</v>
      </c>
      <c r="H18" s="15">
        <v>10</v>
      </c>
      <c r="I18" s="15" t="s">
        <v>165</v>
      </c>
      <c r="J18" s="15">
        <v>0.05</v>
      </c>
      <c r="K18" s="15" t="s">
        <v>279</v>
      </c>
      <c r="L18" s="14" t="s">
        <v>179</v>
      </c>
      <c r="M18" s="15">
        <v>-1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">
      <c r="A19" s="17" t="s">
        <v>170</v>
      </c>
      <c r="B19" s="15">
        <v>642</v>
      </c>
      <c r="C19" s="15">
        <v>63</v>
      </c>
      <c r="D19" s="15">
        <v>9</v>
      </c>
      <c r="E19" s="17" t="s">
        <v>171</v>
      </c>
      <c r="F19" s="15">
        <v>283</v>
      </c>
      <c r="G19" s="15">
        <v>69</v>
      </c>
      <c r="H19" s="15">
        <v>10</v>
      </c>
      <c r="I19" s="15" t="s">
        <v>165</v>
      </c>
      <c r="J19" s="15">
        <v>0.05</v>
      </c>
      <c r="K19" s="15" t="s">
        <v>279</v>
      </c>
      <c r="L19" s="17" t="s">
        <v>175</v>
      </c>
      <c r="M19" s="15">
        <v>-1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2.75" x14ac:dyDescent="0.2">
      <c r="A20" s="17" t="s">
        <v>208</v>
      </c>
      <c r="B20" s="15">
        <v>300</v>
      </c>
      <c r="C20" s="15">
        <v>97</v>
      </c>
      <c r="D20" s="15">
        <v>13</v>
      </c>
      <c r="E20" s="17" t="s">
        <v>213</v>
      </c>
      <c r="F20" s="15">
        <v>126</v>
      </c>
      <c r="G20" s="15">
        <v>41</v>
      </c>
      <c r="H20" s="15">
        <v>14</v>
      </c>
      <c r="I20" s="15" t="s">
        <v>165</v>
      </c>
      <c r="J20" s="15">
        <v>0.05</v>
      </c>
      <c r="K20" s="15" t="s">
        <v>279</v>
      </c>
      <c r="L20" s="17" t="s">
        <v>176</v>
      </c>
      <c r="M20" s="15">
        <v>-1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">
      <c r="A21" s="33"/>
      <c r="C21" s="28"/>
      <c r="E21" s="17"/>
      <c r="G21" s="30"/>
      <c r="M21" s="88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">
      <c r="A22" s="33"/>
      <c r="C22" s="28"/>
      <c r="E22" s="17"/>
      <c r="G22" s="30"/>
      <c r="M22" s="88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">
      <c r="A23" s="33"/>
      <c r="C23" s="28"/>
      <c r="E23" s="17"/>
      <c r="G23" s="30"/>
      <c r="M23" s="88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">
      <c r="A24" s="33"/>
      <c r="C24" s="28"/>
      <c r="E24" s="17"/>
      <c r="G24" s="30"/>
      <c r="M24" s="88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">
      <c r="A25" s="33"/>
      <c r="B25" s="28"/>
      <c r="C25" s="28"/>
      <c r="E25" s="17"/>
      <c r="G25" s="28"/>
      <c r="I25" s="29"/>
      <c r="M25" s="88"/>
      <c r="N25" s="23"/>
      <c r="O25" s="23"/>
      <c r="P25" s="23"/>
      <c r="Q25" s="23" t="s">
        <v>384</v>
      </c>
      <c r="R25" s="23">
        <v>6</v>
      </c>
      <c r="S25" s="23">
        <v>5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">
      <c r="A26" s="33"/>
      <c r="B26" s="28"/>
      <c r="C26" s="28"/>
      <c r="E26" s="17"/>
      <c r="G26" s="28"/>
      <c r="I26" s="29"/>
      <c r="M26" s="88"/>
      <c r="N26" s="23"/>
      <c r="O26" s="23"/>
      <c r="P26" s="23"/>
      <c r="Q26" s="23" t="s">
        <v>393</v>
      </c>
      <c r="R26" s="23">
        <f>1058.60349127182 - 968.827930174563</f>
        <v>89.775561097257082</v>
      </c>
      <c r="S26" s="23">
        <f>1002.49376558603 - 965.087281795511</f>
        <v>37.406483790519019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2">
      <c r="N27" s="23"/>
      <c r="O27" s="23"/>
      <c r="P27" s="23"/>
      <c r="Q27" s="23"/>
      <c r="R27" s="23">
        <f>R26*SQRT(R25)</f>
        <v>219.90431606033573</v>
      </c>
      <c r="S27" s="23">
        <f>S26*SQRT(S25)</f>
        <v>83.643440554844531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2">
      <c r="A28" s="33"/>
      <c r="E28" s="33"/>
      <c r="M28" s="33"/>
      <c r="N28" s="31"/>
      <c r="O28" s="31"/>
      <c r="P28" s="31"/>
      <c r="Q28" s="31"/>
      <c r="R28" s="31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75" x14ac:dyDescent="0.25">
      <c r="A29" s="25" t="s">
        <v>168</v>
      </c>
      <c r="B29" s="21" t="s">
        <v>198</v>
      </c>
      <c r="C29" s="21" t="s">
        <v>199</v>
      </c>
      <c r="D29" s="21" t="s">
        <v>200</v>
      </c>
      <c r="E29" s="25" t="s">
        <v>169</v>
      </c>
      <c r="F29" s="21" t="s">
        <v>201</v>
      </c>
      <c r="G29" s="21" t="s">
        <v>202</v>
      </c>
      <c r="H29" s="21" t="s">
        <v>203</v>
      </c>
      <c r="I29" s="21" t="s">
        <v>47</v>
      </c>
      <c r="J29" s="21" t="s">
        <v>185</v>
      </c>
      <c r="K29" s="21" t="s">
        <v>274</v>
      </c>
      <c r="L29" s="25" t="s">
        <v>172</v>
      </c>
      <c r="N29" s="23"/>
      <c r="O29" s="22"/>
      <c r="P29" s="22"/>
      <c r="Q29" s="22"/>
      <c r="R29" s="75"/>
      <c r="S29" s="75"/>
      <c r="T29" s="75"/>
      <c r="U29" s="75"/>
      <c r="V29" s="75"/>
      <c r="W29" s="22"/>
      <c r="X29" s="22"/>
      <c r="Y29" s="22"/>
      <c r="Z29" s="22"/>
      <c r="AA29" s="22"/>
      <c r="AB29" s="24"/>
      <c r="AC29" s="23"/>
    </row>
    <row r="32" spans="1:29" x14ac:dyDescent="0.2">
      <c r="O32" s="16"/>
      <c r="P32" s="15"/>
      <c r="Q32" s="15"/>
      <c r="S32" s="15"/>
      <c r="T32" s="15"/>
      <c r="U32" s="15"/>
      <c r="W32" s="15"/>
      <c r="X32" s="15"/>
      <c r="Y32" s="17"/>
      <c r="Z32" s="17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</sheetData>
  <conditionalFormatting sqref="A12:L18">
    <cfRule type="expression" dxfId="586" priority="7">
      <formula>MOD(ROW(),2)=0</formula>
    </cfRule>
    <cfRule type="expression" dxfId="585" priority="8">
      <formula>"MOD(ROW(),2)=0"</formula>
    </cfRule>
  </conditionalFormatting>
  <conditionalFormatting sqref="D19:K19 A20:L20">
    <cfRule type="expression" dxfId="584" priority="5">
      <formula>MOD(ROW(),2)=0</formula>
    </cfRule>
    <cfRule type="expression" dxfId="583" priority="6">
      <formula>"MOD(ROW(),2)=0"</formula>
    </cfRule>
  </conditionalFormatting>
  <conditionalFormatting sqref="A19:C19">
    <cfRule type="expression" dxfId="582" priority="3">
      <formula>MOD(ROW(),2)=0</formula>
    </cfRule>
    <cfRule type="expression" dxfId="581" priority="4">
      <formula>"MOD(ROW(),2)=0"</formula>
    </cfRule>
  </conditionalFormatting>
  <conditionalFormatting sqref="L19">
    <cfRule type="expression" dxfId="580" priority="1">
      <formula>MOD(ROW(),2)=0</formula>
    </cfRule>
    <cfRule type="expression" dxfId="579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6EB-EFC0-49AE-9709-D9D6BDFCCEF6}">
  <dimension ref="A1:S31"/>
  <sheetViews>
    <sheetView showGridLines="0" tabSelected="1" zoomScale="145" zoomScaleNormal="145" workbookViewId="0">
      <selection activeCell="F24" sqref="F24"/>
    </sheetView>
  </sheetViews>
  <sheetFormatPr defaultColWidth="9.140625" defaultRowHeight="12" x14ac:dyDescent="0.2"/>
  <cols>
    <col min="1" max="1" width="5.42578125" style="15" customWidth="1"/>
    <col min="2" max="2" width="14.7109375" style="15" customWidth="1"/>
    <col min="3" max="4" width="4.42578125" style="15" customWidth="1"/>
    <col min="5" max="5" width="3.85546875" style="15" customWidth="1"/>
    <col min="6" max="6" width="15.140625" style="15" customWidth="1"/>
    <col min="7" max="7" width="5.42578125" style="15" customWidth="1"/>
    <col min="8" max="8" width="4.140625" style="15" customWidth="1"/>
    <col min="9" max="9" width="3.5703125" style="15" customWidth="1"/>
    <col min="10" max="10" width="5.7109375" style="15" customWidth="1"/>
    <col min="11" max="11" width="6.28515625" style="15" customWidth="1"/>
    <col min="12" max="12" width="2.7109375" style="15" customWidth="1"/>
    <col min="13" max="13" width="10.28515625" style="17" customWidth="1"/>
    <col min="14" max="14" width="6.85546875" style="18" customWidth="1"/>
    <col min="15" max="15" width="2.7109375" style="18" customWidth="1"/>
    <col min="16" max="16" width="4.42578125" style="18" customWidth="1"/>
    <col min="17" max="17" width="4.140625" style="18" customWidth="1"/>
    <col min="18" max="18" width="5.7109375" style="18" customWidth="1"/>
    <col min="19" max="19" width="18.28515625" style="18" customWidth="1"/>
    <col min="20" max="20" width="5.140625" style="14" customWidth="1"/>
    <col min="21" max="22" width="4.7109375" style="14" customWidth="1"/>
    <col min="23" max="23" width="17.42578125" style="14" customWidth="1"/>
    <col min="24" max="24" width="5.28515625" style="14" customWidth="1"/>
    <col min="25" max="25" width="4.42578125" style="14" customWidth="1"/>
    <col min="26" max="26" width="4.28515625" style="14" customWidth="1"/>
    <col min="27" max="27" width="6.140625" style="14" customWidth="1"/>
    <col min="28" max="28" width="7.5703125" style="14" customWidth="1"/>
    <col min="29" max="29" width="11.85546875" style="14" customWidth="1"/>
    <col min="30" max="30" width="3.85546875" style="14" customWidth="1"/>
    <col min="31" max="16384" width="9.140625" style="14"/>
  </cols>
  <sheetData>
    <row r="1" spans="1:19" ht="12" customHeight="1" x14ac:dyDescent="0.2">
      <c r="A1" s="42" t="s">
        <v>319</v>
      </c>
    </row>
    <row r="2" spans="1:19" s="99" customFormat="1" ht="12" customHeight="1" x14ac:dyDescent="0.25">
      <c r="A2" s="96" t="s">
        <v>315</v>
      </c>
      <c r="B2" s="97" t="s">
        <v>375</v>
      </c>
      <c r="C2" s="104" t="s">
        <v>378</v>
      </c>
      <c r="D2" s="104" t="s">
        <v>383</v>
      </c>
      <c r="E2" s="104" t="s">
        <v>380</v>
      </c>
      <c r="F2" s="97" t="s">
        <v>376</v>
      </c>
      <c r="G2" s="104" t="s">
        <v>381</v>
      </c>
      <c r="H2" s="104" t="s">
        <v>382</v>
      </c>
      <c r="I2" s="104" t="s">
        <v>384</v>
      </c>
      <c r="J2" s="96" t="s">
        <v>47</v>
      </c>
      <c r="K2" s="96" t="s">
        <v>316</v>
      </c>
      <c r="L2" s="96" t="s">
        <v>274</v>
      </c>
      <c r="M2" s="97" t="s">
        <v>172</v>
      </c>
      <c r="N2" s="98"/>
      <c r="O2" s="98"/>
      <c r="P2" s="98"/>
      <c r="Q2" s="98"/>
      <c r="R2" s="98"/>
      <c r="S2" s="98"/>
    </row>
    <row r="3" spans="1:19" ht="12" customHeight="1" x14ac:dyDescent="0.2">
      <c r="A3" s="16">
        <v>-0.20735117858569715</v>
      </c>
      <c r="B3" s="20" t="s">
        <v>206</v>
      </c>
      <c r="C3" s="15">
        <v>2503</v>
      </c>
      <c r="D3" s="15">
        <v>266</v>
      </c>
      <c r="E3" s="15">
        <v>11</v>
      </c>
      <c r="F3" s="20" t="s">
        <v>207</v>
      </c>
      <c r="G3" s="15">
        <v>1984</v>
      </c>
      <c r="H3" s="15">
        <v>252</v>
      </c>
      <c r="I3" s="15">
        <v>13</v>
      </c>
      <c r="J3" s="15" t="s">
        <v>165</v>
      </c>
      <c r="K3" s="15">
        <v>0.05</v>
      </c>
      <c r="L3" s="15" t="s">
        <v>279</v>
      </c>
      <c r="M3" s="17" t="s">
        <v>174</v>
      </c>
    </row>
    <row r="4" spans="1:19" ht="12" customHeight="1" x14ac:dyDescent="0.2">
      <c r="A4" s="16">
        <v>-0.28749401054144708</v>
      </c>
      <c r="B4" s="26" t="s">
        <v>204</v>
      </c>
      <c r="C4" s="27">
        <v>2087</v>
      </c>
      <c r="D4" s="28">
        <v>530.59871843041617</v>
      </c>
      <c r="E4" s="15">
        <v>15</v>
      </c>
      <c r="F4" s="26" t="s">
        <v>205</v>
      </c>
      <c r="G4" s="27">
        <v>1487</v>
      </c>
      <c r="H4" s="15">
        <v>364</v>
      </c>
      <c r="I4" s="15">
        <v>16</v>
      </c>
      <c r="J4" s="15" t="s">
        <v>165</v>
      </c>
      <c r="K4" s="15">
        <v>0.05</v>
      </c>
      <c r="L4" s="15" t="s">
        <v>279</v>
      </c>
      <c r="M4" s="20" t="s">
        <v>177</v>
      </c>
    </row>
    <row r="5" spans="1:19" ht="12" customHeight="1" x14ac:dyDescent="0.2">
      <c r="A5" s="16">
        <f>(G5-C5)/C5</f>
        <v>-0.30037453183520602</v>
      </c>
      <c r="B5" s="18" t="s">
        <v>262</v>
      </c>
      <c r="C5" s="15">
        <v>1335</v>
      </c>
      <c r="D5" s="28">
        <f>(1430-C5)*SQRT(E5)</f>
        <v>268.70057685088807</v>
      </c>
      <c r="E5" s="15">
        <v>8</v>
      </c>
      <c r="F5" s="14" t="s">
        <v>277</v>
      </c>
      <c r="G5" s="15">
        <v>934</v>
      </c>
      <c r="H5" s="15">
        <f>(G5-852)*SQRT(I5)</f>
        <v>231.93102422918761</v>
      </c>
      <c r="I5" s="15">
        <v>8</v>
      </c>
      <c r="J5" s="29" t="s">
        <v>69</v>
      </c>
      <c r="K5" s="15" t="s">
        <v>278</v>
      </c>
      <c r="L5" s="15" t="s">
        <v>280</v>
      </c>
      <c r="M5" s="17" t="s">
        <v>275</v>
      </c>
    </row>
    <row r="6" spans="1:19" ht="12" customHeight="1" x14ac:dyDescent="0.2">
      <c r="A6" s="16">
        <f>(G6-C6)/C6</f>
        <v>-0.30962343096234318</v>
      </c>
      <c r="B6" s="14" t="s">
        <v>209</v>
      </c>
      <c r="C6" s="15">
        <v>4.78</v>
      </c>
      <c r="D6" s="15">
        <f>(5.05-4.78)*SQRT(E6)</f>
        <v>1.2074767078498845</v>
      </c>
      <c r="E6" s="15">
        <v>20</v>
      </c>
      <c r="F6" s="14" t="s">
        <v>210</v>
      </c>
      <c r="G6" s="15">
        <v>3.3</v>
      </c>
      <c r="H6" s="34">
        <f>(3.45-G6)*SQRT(I6)</f>
        <v>0.67082039324993858</v>
      </c>
      <c r="I6" s="15">
        <v>20</v>
      </c>
      <c r="J6" s="29" t="s">
        <v>181</v>
      </c>
      <c r="K6" s="15" t="s">
        <v>196</v>
      </c>
      <c r="L6" s="15" t="s">
        <v>279</v>
      </c>
      <c r="M6" s="14" t="s">
        <v>197</v>
      </c>
    </row>
    <row r="7" spans="1:19" ht="12" customHeight="1" x14ac:dyDescent="0.2">
      <c r="A7" s="16">
        <f>(G7-C7)/C7</f>
        <v>-0.33069306930693076</v>
      </c>
      <c r="B7" s="17" t="s">
        <v>297</v>
      </c>
      <c r="C7" s="15">
        <v>202</v>
      </c>
      <c r="D7" s="15">
        <f>12.59*SQRT(E7)</f>
        <v>28.152095836722353</v>
      </c>
      <c r="E7" s="15">
        <v>5</v>
      </c>
      <c r="F7" s="17" t="s">
        <v>298</v>
      </c>
      <c r="G7" s="15">
        <v>135.19999999999999</v>
      </c>
      <c r="H7" s="15">
        <f>28.72*SQRT(I7)</f>
        <v>64.219872313793957</v>
      </c>
      <c r="I7" s="15">
        <v>5</v>
      </c>
      <c r="J7" s="29" t="s">
        <v>69</v>
      </c>
      <c r="K7" s="15" t="s">
        <v>192</v>
      </c>
      <c r="L7" s="15" t="s">
        <v>300</v>
      </c>
      <c r="M7" s="17" t="s">
        <v>299</v>
      </c>
    </row>
    <row r="8" spans="1:19" ht="12" customHeight="1" x14ac:dyDescent="0.2">
      <c r="A8" s="16">
        <f>(G8-C8)/C8</f>
        <v>-0.35714285714285715</v>
      </c>
      <c r="B8" s="14" t="s">
        <v>195</v>
      </c>
      <c r="C8" s="15">
        <v>238</v>
      </c>
      <c r="D8" s="15">
        <f>(245-C8)*SQRT(E8)</f>
        <v>15.652475842498529</v>
      </c>
      <c r="E8" s="15">
        <v>5</v>
      </c>
      <c r="F8" s="14" t="s">
        <v>193</v>
      </c>
      <c r="G8" s="15">
        <v>153</v>
      </c>
      <c r="H8" s="30">
        <f>(163-G8)*SQRT(I8)</f>
        <v>22.360679774997898</v>
      </c>
      <c r="I8" s="15">
        <v>5</v>
      </c>
      <c r="J8" s="29" t="s">
        <v>69</v>
      </c>
      <c r="K8" s="15" t="s">
        <v>192</v>
      </c>
      <c r="L8" s="15" t="s">
        <v>279</v>
      </c>
      <c r="M8" s="14" t="s">
        <v>194</v>
      </c>
    </row>
    <row r="9" spans="1:19" ht="12" customHeight="1" x14ac:dyDescent="0.2">
      <c r="A9" s="16">
        <v>-0.45140388768898487</v>
      </c>
      <c r="B9" s="14" t="s">
        <v>211</v>
      </c>
      <c r="C9" s="15">
        <v>463</v>
      </c>
      <c r="D9" s="15">
        <v>103</v>
      </c>
      <c r="E9" s="15">
        <v>12</v>
      </c>
      <c r="F9" s="14" t="s">
        <v>212</v>
      </c>
      <c r="G9" s="15">
        <v>254</v>
      </c>
      <c r="H9" s="15">
        <v>108</v>
      </c>
      <c r="I9" s="15">
        <v>10</v>
      </c>
      <c r="J9" s="15" t="s">
        <v>165</v>
      </c>
      <c r="K9" s="15">
        <v>0.05</v>
      </c>
      <c r="L9" s="15" t="s">
        <v>279</v>
      </c>
      <c r="M9" s="14" t="s">
        <v>179</v>
      </c>
    </row>
    <row r="10" spans="1:19" ht="12" customHeight="1" x14ac:dyDescent="0.2">
      <c r="A10" s="16">
        <v>-0.55919003115264798</v>
      </c>
      <c r="B10" s="17" t="s">
        <v>170</v>
      </c>
      <c r="C10" s="15">
        <v>642</v>
      </c>
      <c r="D10" s="15">
        <v>63</v>
      </c>
      <c r="E10" s="15">
        <v>9</v>
      </c>
      <c r="F10" s="17" t="s">
        <v>171</v>
      </c>
      <c r="G10" s="15">
        <v>283</v>
      </c>
      <c r="H10" s="15">
        <v>69</v>
      </c>
      <c r="I10" s="15">
        <v>10</v>
      </c>
      <c r="J10" s="15" t="s">
        <v>165</v>
      </c>
      <c r="K10" s="15">
        <v>0.05</v>
      </c>
      <c r="L10" s="15" t="s">
        <v>279</v>
      </c>
      <c r="M10" s="17" t="s">
        <v>175</v>
      </c>
    </row>
    <row r="11" spans="1:19" ht="12" customHeight="1" x14ac:dyDescent="0.2">
      <c r="A11" s="16">
        <v>-0.57999999999999996</v>
      </c>
      <c r="B11" s="17" t="s">
        <v>208</v>
      </c>
      <c r="C11" s="15">
        <v>300</v>
      </c>
      <c r="D11" s="15">
        <v>97</v>
      </c>
      <c r="E11" s="15">
        <v>13</v>
      </c>
      <c r="F11" s="17" t="s">
        <v>213</v>
      </c>
      <c r="G11" s="15">
        <v>126</v>
      </c>
      <c r="H11" s="15">
        <v>41</v>
      </c>
      <c r="I11" s="15">
        <v>14</v>
      </c>
      <c r="J11" s="15" t="s">
        <v>165</v>
      </c>
      <c r="K11" s="15">
        <v>0.05</v>
      </c>
      <c r="L11" s="15" t="s">
        <v>279</v>
      </c>
      <c r="M11" s="17" t="s">
        <v>176</v>
      </c>
    </row>
    <row r="12" spans="1:19" x14ac:dyDescent="0.2">
      <c r="A12" s="16"/>
      <c r="B12" s="17"/>
      <c r="F12" s="17"/>
      <c r="J12" s="29"/>
    </row>
    <row r="13" spans="1:19" x14ac:dyDescent="0.2">
      <c r="A13" s="16"/>
      <c r="K13" s="17"/>
    </row>
    <row r="14" spans="1:19" x14ac:dyDescent="0.2">
      <c r="A14" s="22"/>
      <c r="B14" s="24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4"/>
    </row>
    <row r="15" spans="1:19" x14ac:dyDescent="0.2">
      <c r="A15" s="22"/>
      <c r="B15" s="22"/>
      <c r="C15" s="22"/>
      <c r="D15" s="22"/>
      <c r="E15" s="22"/>
      <c r="G15" s="22"/>
      <c r="H15" s="22"/>
      <c r="I15" s="22"/>
      <c r="J15" s="22"/>
      <c r="K15" s="22"/>
      <c r="L15" s="22"/>
      <c r="M15" s="24"/>
    </row>
    <row r="16" spans="1:19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9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</row>
    <row r="18" spans="1:19" x14ac:dyDescent="0.2">
      <c r="A18" s="16"/>
    </row>
    <row r="19" spans="1:19" x14ac:dyDescent="0.2">
      <c r="A19" s="16"/>
      <c r="B19" s="20"/>
      <c r="C19" s="32"/>
      <c r="E19" s="32"/>
      <c r="F19" s="19"/>
      <c r="G19" s="32"/>
    </row>
    <row r="20" spans="1:19" x14ac:dyDescent="0.2">
      <c r="B20" s="14"/>
      <c r="F20" s="14"/>
    </row>
    <row r="22" spans="1:19" x14ac:dyDescent="0.2">
      <c r="P22" s="14"/>
      <c r="Q22" s="14"/>
      <c r="R22" s="14"/>
      <c r="S22" s="14"/>
    </row>
    <row r="23" spans="1:19" ht="12.75" customHeight="1" x14ac:dyDescent="0.2"/>
    <row r="24" spans="1:19" ht="12.75" customHeight="1" x14ac:dyDescent="0.2"/>
    <row r="25" spans="1:19" ht="12.75" customHeight="1" x14ac:dyDescent="0.2"/>
    <row r="26" spans="1:19" ht="12.75" customHeight="1" x14ac:dyDescent="0.2"/>
    <row r="27" spans="1:19" ht="12.75" customHeight="1" x14ac:dyDescent="0.2"/>
    <row r="28" spans="1:19" ht="12.75" customHeight="1" x14ac:dyDescent="0.2"/>
    <row r="30" spans="1:19" x14ac:dyDescent="0.2">
      <c r="A30" s="16"/>
    </row>
    <row r="31" spans="1:19" x14ac:dyDescent="0.2">
      <c r="A31" s="16"/>
    </row>
  </sheetData>
  <sortState xmlns:xlrd2="http://schemas.microsoft.com/office/spreadsheetml/2017/richdata2" ref="A3:M11">
    <sortCondition descending="1" ref="A3:A11"/>
  </sortState>
  <conditionalFormatting sqref="Q7:XFD7 N7:O7 Q13:XFD13 N2:XFD6 AB22:XFD22 A13:O13 A18:I18 K18:M18 A15:E15 B1:XFD1 N8:XFD12 A14:XFD14 A19:XFD21 A23:XFD1048576 A22:O22 G15:XFD15 A3:M9 A16:XFD16 A2 J2:M2 N17:XFD18">
    <cfRule type="expression" dxfId="578" priority="39">
      <formula>MOD(ROW(),2)=0</formula>
    </cfRule>
    <cfRule type="expression" dxfId="577" priority="40">
      <formula>"MOD(ROW(),2)=0"</formula>
    </cfRule>
  </conditionalFormatting>
  <conditionalFormatting sqref="J18">
    <cfRule type="expression" dxfId="576" priority="11">
      <formula>MOD(ROW(),2)=0</formula>
    </cfRule>
    <cfRule type="expression" dxfId="575" priority="12">
      <formula>"MOD(ROW(),2)=0"</formula>
    </cfRule>
  </conditionalFormatting>
  <conditionalFormatting sqref="A10 E10:L10 A11:M12">
    <cfRule type="expression" dxfId="574" priority="7">
      <formula>MOD(ROW(),2)=0</formula>
    </cfRule>
    <cfRule type="expression" dxfId="573" priority="8">
      <formula>"MOD(ROW(),2)=0"</formula>
    </cfRule>
  </conditionalFormatting>
  <conditionalFormatting sqref="B10:D10">
    <cfRule type="expression" dxfId="572" priority="5">
      <formula>MOD(ROW(),2)=0</formula>
    </cfRule>
    <cfRule type="expression" dxfId="571" priority="6">
      <formula>"MOD(ROW(),2)=0"</formula>
    </cfRule>
  </conditionalFormatting>
  <conditionalFormatting sqref="M10">
    <cfRule type="expression" dxfId="570" priority="3">
      <formula>MOD(ROW(),2)=0</formula>
    </cfRule>
    <cfRule type="expression" dxfId="569" priority="4">
      <formula>"MOD(ROW(),2)=0"</formula>
    </cfRule>
  </conditionalFormatting>
  <conditionalFormatting sqref="B2:I2">
    <cfRule type="expression" dxfId="568" priority="1">
      <formula>MOD(ROW(),2)=0</formula>
    </cfRule>
    <cfRule type="expression" dxfId="567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AB6-1E3C-4258-9C8D-D9DBE685A34B}">
  <dimension ref="A1:AK44"/>
  <sheetViews>
    <sheetView showGridLines="0" zoomScale="160" zoomScaleNormal="160" workbookViewId="0">
      <selection activeCell="B2" sqref="B2:U2"/>
    </sheetView>
  </sheetViews>
  <sheetFormatPr defaultColWidth="9.140625" defaultRowHeight="9" x14ac:dyDescent="0.15"/>
  <cols>
    <col min="1" max="1" width="1.5703125" style="51" customWidth="1"/>
    <col min="2" max="2" width="4.7109375" style="50" customWidth="1"/>
    <col min="3" max="3" width="6.42578125" style="50" customWidth="1"/>
    <col min="4" max="4" width="3.7109375" style="50" customWidth="1"/>
    <col min="5" max="5" width="3.42578125" style="50" customWidth="1"/>
    <col min="6" max="6" width="4.28515625" style="50" customWidth="1"/>
    <col min="7" max="7" width="3.42578125" style="50" customWidth="1"/>
    <col min="8" max="8" width="4" style="50" customWidth="1"/>
    <col min="9" max="9" width="10.85546875" style="49" customWidth="1"/>
    <col min="10" max="10" width="5.85546875" style="50" customWidth="1"/>
    <col min="11" max="11" width="5.7109375" style="50" customWidth="1"/>
    <col min="12" max="12" width="2.42578125" style="50" customWidth="1"/>
    <col min="13" max="13" width="11.140625" style="49" customWidth="1"/>
    <col min="14" max="14" width="6.140625" style="50" customWidth="1"/>
    <col min="15" max="15" width="5.140625" style="50" customWidth="1"/>
    <col min="16" max="16" width="2.7109375" style="50" customWidth="1"/>
    <col min="17" max="17" width="4.42578125" style="50" customWidth="1"/>
    <col min="18" max="18" width="5" style="50" customWidth="1"/>
    <col min="19" max="19" width="2.5703125" style="50" customWidth="1"/>
    <col min="20" max="20" width="10.7109375" style="49" customWidth="1"/>
    <col min="21" max="21" width="2.28515625" style="51" customWidth="1"/>
    <col min="22" max="25" width="4.85546875" style="51" customWidth="1"/>
    <col min="26" max="26" width="10.28515625" style="51" customWidth="1"/>
    <col min="27" max="27" width="5.140625" style="51" customWidth="1"/>
    <col min="28" max="29" width="4.7109375" style="51" customWidth="1"/>
    <col min="30" max="30" width="17.42578125" style="51" customWidth="1"/>
    <col min="31" max="31" width="5.28515625" style="51" customWidth="1"/>
    <col min="32" max="32" width="4.42578125" style="51" customWidth="1"/>
    <col min="33" max="33" width="4.28515625" style="51" customWidth="1"/>
    <col min="34" max="34" width="6.140625" style="51" customWidth="1"/>
    <col min="35" max="35" width="7.5703125" style="51" customWidth="1"/>
    <col min="36" max="36" width="11.85546875" style="51" customWidth="1"/>
    <col min="37" max="37" width="3.85546875" style="51" customWidth="1"/>
    <col min="38" max="16384" width="9.140625" style="51"/>
  </cols>
  <sheetData>
    <row r="1" spans="1:37" ht="12" customHeight="1" x14ac:dyDescent="0.2">
      <c r="B1" s="17" t="s">
        <v>309</v>
      </c>
      <c r="C1" s="15"/>
      <c r="D1" s="15"/>
      <c r="E1" s="15"/>
      <c r="F1" s="15"/>
      <c r="G1" s="15"/>
      <c r="H1" s="15"/>
      <c r="I1" s="17"/>
      <c r="J1" s="15"/>
      <c r="K1" s="15"/>
      <c r="L1" s="15"/>
      <c r="M1" s="17"/>
      <c r="N1" s="15"/>
      <c r="O1" s="15"/>
      <c r="P1" s="15"/>
      <c r="Q1" s="15"/>
      <c r="R1" s="15"/>
      <c r="S1" s="15"/>
      <c r="T1" s="17"/>
    </row>
    <row r="2" spans="1:37" s="62" customFormat="1" ht="12" customHeight="1" x14ac:dyDescent="0.25">
      <c r="A2" s="101"/>
      <c r="B2" s="102" t="s">
        <v>317</v>
      </c>
      <c r="C2" s="102" t="s">
        <v>318</v>
      </c>
      <c r="D2" s="102" t="s">
        <v>321</v>
      </c>
      <c r="E2" s="102" t="s">
        <v>359</v>
      </c>
      <c r="F2" s="102" t="s">
        <v>358</v>
      </c>
      <c r="G2" s="102" t="s">
        <v>320</v>
      </c>
      <c r="H2" s="102" t="s">
        <v>315</v>
      </c>
      <c r="I2" s="103" t="s">
        <v>379</v>
      </c>
      <c r="J2" s="104" t="s">
        <v>378</v>
      </c>
      <c r="K2" s="104" t="s">
        <v>383</v>
      </c>
      <c r="L2" s="104" t="s">
        <v>380</v>
      </c>
      <c r="M2" s="103" t="s">
        <v>385</v>
      </c>
      <c r="N2" s="104" t="s">
        <v>381</v>
      </c>
      <c r="O2" s="104" t="s">
        <v>382</v>
      </c>
      <c r="P2" s="104" t="s">
        <v>384</v>
      </c>
      <c r="Q2" s="104" t="s">
        <v>47</v>
      </c>
      <c r="R2" s="104" t="s">
        <v>316</v>
      </c>
      <c r="S2" s="102" t="s">
        <v>274</v>
      </c>
      <c r="T2" s="105" t="s">
        <v>172</v>
      </c>
      <c r="U2" s="102" t="s">
        <v>377</v>
      </c>
    </row>
    <row r="3" spans="1:37" ht="12" customHeight="1" x14ac:dyDescent="0.2">
      <c r="A3" s="100">
        <v>1</v>
      </c>
      <c r="B3" s="16">
        <v>0.151741535279967</v>
      </c>
      <c r="C3" s="34">
        <v>7.1268826017500304</v>
      </c>
      <c r="D3" s="85">
        <v>0.61999379158845302</v>
      </c>
      <c r="E3" s="15">
        <v>0.152269870685557</v>
      </c>
      <c r="F3" s="15">
        <v>1</v>
      </c>
      <c r="G3" s="15">
        <v>0.75065005931402995</v>
      </c>
      <c r="H3" s="16">
        <f t="shared" ref="H3:H11" si="0">(N3-J3)/J3</f>
        <v>5.5214723926380431E-2</v>
      </c>
      <c r="I3" s="79" t="s">
        <v>267</v>
      </c>
      <c r="J3" s="80">
        <v>48.9</v>
      </c>
      <c r="K3" s="80">
        <v>3.3</v>
      </c>
      <c r="L3" s="80">
        <v>9</v>
      </c>
      <c r="M3" s="79" t="s">
        <v>360</v>
      </c>
      <c r="N3" s="80">
        <v>51.6</v>
      </c>
      <c r="O3" s="80">
        <v>5.2</v>
      </c>
      <c r="P3" s="80">
        <v>13</v>
      </c>
      <c r="Q3" s="80" t="s">
        <v>49</v>
      </c>
      <c r="R3" s="80" t="s">
        <v>313</v>
      </c>
      <c r="S3" s="80" t="s">
        <v>279</v>
      </c>
      <c r="T3" s="79" t="s">
        <v>361</v>
      </c>
      <c r="U3" s="88" t="s">
        <v>373</v>
      </c>
      <c r="V3" s="88"/>
      <c r="Z3" s="36"/>
    </row>
    <row r="4" spans="1:37" s="75" customFormat="1" ht="12" customHeight="1" x14ac:dyDescent="0.2">
      <c r="A4" s="100">
        <v>2</v>
      </c>
      <c r="B4" s="43">
        <v>0.23369253545264301</v>
      </c>
      <c r="C4" s="37">
        <v>158840.570149281</v>
      </c>
      <c r="D4" s="86">
        <v>3.5713564070074102E-2</v>
      </c>
      <c r="E4" s="37">
        <v>0.94420461601463701</v>
      </c>
      <c r="F4" s="37">
        <v>0.52799925897395805</v>
      </c>
      <c r="G4" s="37">
        <v>0.42833084817045303</v>
      </c>
      <c r="H4" s="16">
        <f t="shared" si="0"/>
        <v>7.1802543006731492E-3</v>
      </c>
      <c r="I4" s="81" t="s">
        <v>362</v>
      </c>
      <c r="J4" s="82">
        <v>668500</v>
      </c>
      <c r="K4" s="82">
        <v>106700</v>
      </c>
      <c r="L4" s="82">
        <v>8</v>
      </c>
      <c r="M4" s="81" t="s">
        <v>363</v>
      </c>
      <c r="N4" s="82">
        <v>673300</v>
      </c>
      <c r="O4" s="82">
        <v>157300</v>
      </c>
      <c r="P4" s="82">
        <v>8</v>
      </c>
      <c r="Q4" s="82" t="s">
        <v>307</v>
      </c>
      <c r="R4" s="82">
        <v>0.05</v>
      </c>
      <c r="S4" s="82" t="s">
        <v>279</v>
      </c>
      <c r="T4" s="81" t="s">
        <v>364</v>
      </c>
      <c r="U4" s="15"/>
      <c r="V4" s="15"/>
      <c r="Z4" s="37"/>
    </row>
    <row r="5" spans="1:37" s="61" customFormat="1" ht="12" customHeight="1" x14ac:dyDescent="0.2">
      <c r="A5" s="100">
        <v>3</v>
      </c>
      <c r="B5" s="44">
        <v>0.31705000209038497</v>
      </c>
      <c r="C5" s="83">
        <v>115266.14071585301</v>
      </c>
      <c r="D5" s="87">
        <v>5.0486469068246699E-2</v>
      </c>
      <c r="E5" s="46">
        <v>0.89255209995396501</v>
      </c>
      <c r="F5" s="46">
        <v>0.55332797401924605</v>
      </c>
      <c r="G5" s="46">
        <v>0.35124519657054598</v>
      </c>
      <c r="H5" s="16">
        <f t="shared" si="0"/>
        <v>-1.9669504201611735E-2</v>
      </c>
      <c r="I5" s="45" t="s">
        <v>262</v>
      </c>
      <c r="J5" s="46">
        <v>365693</v>
      </c>
      <c r="K5" s="46">
        <v>125513</v>
      </c>
      <c r="L5" s="46">
        <v>14</v>
      </c>
      <c r="M5" s="45" t="s">
        <v>263</v>
      </c>
      <c r="N5" s="46">
        <v>358500</v>
      </c>
      <c r="O5" s="46">
        <v>157620</v>
      </c>
      <c r="P5" s="46">
        <v>15</v>
      </c>
      <c r="Q5" s="46" t="s">
        <v>242</v>
      </c>
      <c r="R5" s="46" t="s">
        <v>311</v>
      </c>
      <c r="S5" s="46" t="s">
        <v>279</v>
      </c>
      <c r="T5" s="45" t="s">
        <v>264</v>
      </c>
      <c r="U5" s="88" t="s">
        <v>373</v>
      </c>
      <c r="Z5" s="83"/>
    </row>
    <row r="6" spans="1:37" ht="12" customHeight="1" x14ac:dyDescent="0.2">
      <c r="A6" s="100">
        <v>4</v>
      </c>
      <c r="B6" s="16">
        <v>0.31147168170758899</v>
      </c>
      <c r="C6" s="28">
        <v>127.23067180345799</v>
      </c>
      <c r="D6" s="85">
        <v>0.91323124927187205</v>
      </c>
      <c r="E6" s="15">
        <v>8.20683916746308E-2</v>
      </c>
      <c r="F6" s="15">
        <v>0.95737296396212801</v>
      </c>
      <c r="G6" s="15">
        <v>1.2343254517573801</v>
      </c>
      <c r="H6" s="16">
        <f t="shared" si="0"/>
        <v>-0.18055555555555555</v>
      </c>
      <c r="I6" s="17" t="s">
        <v>244</v>
      </c>
      <c r="J6" s="35">
        <v>360</v>
      </c>
      <c r="K6" s="28">
        <v>94</v>
      </c>
      <c r="L6" s="15">
        <v>9</v>
      </c>
      <c r="M6" s="17" t="s">
        <v>245</v>
      </c>
      <c r="N6" s="15">
        <v>295</v>
      </c>
      <c r="O6" s="30">
        <v>36</v>
      </c>
      <c r="P6" s="15">
        <v>8</v>
      </c>
      <c r="Q6" s="15" t="s">
        <v>243</v>
      </c>
      <c r="R6" s="15" t="s">
        <v>311</v>
      </c>
      <c r="S6" s="15" t="s">
        <v>279</v>
      </c>
      <c r="T6" s="17" t="s">
        <v>220</v>
      </c>
      <c r="U6" s="88" t="s">
        <v>373</v>
      </c>
      <c r="Z6" s="28"/>
    </row>
    <row r="7" spans="1:37" s="61" customFormat="1" ht="12" customHeight="1" x14ac:dyDescent="0.2">
      <c r="A7" s="100">
        <v>5</v>
      </c>
      <c r="B7" s="44">
        <v>0.63589532555631401</v>
      </c>
      <c r="C7" s="84">
        <v>16.177375293757699</v>
      </c>
      <c r="D7" s="87">
        <v>0.39130715079531098</v>
      </c>
      <c r="E7" s="46">
        <v>0.47329322505174598</v>
      </c>
      <c r="F7" s="46">
        <v>1</v>
      </c>
      <c r="G7" s="46">
        <v>0.53185997443182498</v>
      </c>
      <c r="H7" s="16">
        <f t="shared" si="0"/>
        <v>-0.16017316017316027</v>
      </c>
      <c r="I7" s="47" t="s">
        <v>367</v>
      </c>
      <c r="J7" s="46">
        <v>23.1</v>
      </c>
      <c r="K7" s="46">
        <v>11.3</v>
      </c>
      <c r="L7" s="46">
        <v>7</v>
      </c>
      <c r="M7" s="47" t="s">
        <v>368</v>
      </c>
      <c r="N7" s="46">
        <v>19.399999999999999</v>
      </c>
      <c r="O7" s="84">
        <v>7.15</v>
      </c>
      <c r="P7" s="46">
        <v>8</v>
      </c>
      <c r="Q7" s="46" t="s">
        <v>49</v>
      </c>
      <c r="R7" s="46" t="s">
        <v>314</v>
      </c>
      <c r="S7" s="46" t="s">
        <v>279</v>
      </c>
      <c r="T7" s="45" t="s">
        <v>374</v>
      </c>
      <c r="U7" s="88" t="s">
        <v>373</v>
      </c>
      <c r="Z7" s="84"/>
    </row>
    <row r="8" spans="1:37" s="75" customFormat="1" ht="12" customHeight="1" x14ac:dyDescent="0.2">
      <c r="A8" s="100">
        <v>6</v>
      </c>
      <c r="B8" s="43">
        <v>1.0533902045265899</v>
      </c>
      <c r="C8" s="92">
        <v>34.608572305934999</v>
      </c>
      <c r="D8" s="86">
        <v>0.12847995194645101</v>
      </c>
      <c r="E8" s="37">
        <v>0.744524617045352</v>
      </c>
      <c r="F8" s="37">
        <v>0.63465869131768005</v>
      </c>
      <c r="G8" s="37">
        <v>0.37030064190211498</v>
      </c>
      <c r="H8" s="43">
        <f>(N8-J8)/J8</f>
        <v>0.1388888888888889</v>
      </c>
      <c r="I8" s="93" t="s">
        <v>371</v>
      </c>
      <c r="J8" s="94">
        <v>36</v>
      </c>
      <c r="K8" s="94">
        <v>23</v>
      </c>
      <c r="L8" s="94">
        <v>15</v>
      </c>
      <c r="M8" s="93" t="s">
        <v>372</v>
      </c>
      <c r="N8" s="94">
        <v>41</v>
      </c>
      <c r="O8" s="94">
        <v>50</v>
      </c>
      <c r="P8" s="94">
        <v>13</v>
      </c>
      <c r="Q8" s="94" t="s">
        <v>49</v>
      </c>
      <c r="R8" s="94">
        <v>0.05</v>
      </c>
      <c r="S8" s="94" t="s">
        <v>283</v>
      </c>
      <c r="T8" s="93" t="s">
        <v>284</v>
      </c>
      <c r="U8" s="95" t="s">
        <v>373</v>
      </c>
      <c r="Z8" s="106"/>
    </row>
    <row r="9" spans="1:37" s="61" customFormat="1" ht="12" customHeight="1" x14ac:dyDescent="0.2">
      <c r="A9" s="100">
        <v>7</v>
      </c>
      <c r="B9" s="44">
        <v>1.13273873352656</v>
      </c>
      <c r="C9" s="108">
        <v>0.71020712681328102</v>
      </c>
      <c r="D9" s="87">
        <v>0.25180073430266697</v>
      </c>
      <c r="E9" s="46">
        <v>0.62356527119917304</v>
      </c>
      <c r="F9" s="46">
        <v>1</v>
      </c>
      <c r="G9" s="46">
        <v>0.46608805098768102</v>
      </c>
      <c r="H9" s="44">
        <f>(N9-J9)/J9</f>
        <v>-0.13464235624123419</v>
      </c>
      <c r="I9" s="89" t="s">
        <v>230</v>
      </c>
      <c r="J9" s="90">
        <v>0.71299999999999997</v>
      </c>
      <c r="K9" s="90">
        <v>0.29699999999999999</v>
      </c>
      <c r="L9" s="90">
        <v>8</v>
      </c>
      <c r="M9" s="89" t="s">
        <v>271</v>
      </c>
      <c r="N9" s="90">
        <v>0.61699999999999999</v>
      </c>
      <c r="O9" s="90">
        <v>0.45</v>
      </c>
      <c r="P9" s="90">
        <v>8</v>
      </c>
      <c r="Q9" s="90" t="s">
        <v>365</v>
      </c>
      <c r="R9" s="90" t="s">
        <v>310</v>
      </c>
      <c r="S9" s="90" t="s">
        <v>280</v>
      </c>
      <c r="T9" s="89" t="s">
        <v>272</v>
      </c>
      <c r="U9" s="91" t="s">
        <v>373</v>
      </c>
      <c r="X9" s="83"/>
      <c r="Z9" s="84"/>
    </row>
    <row r="10" spans="1:37" s="75" customFormat="1" ht="12" customHeight="1" x14ac:dyDescent="0.2">
      <c r="A10" s="100">
        <v>8</v>
      </c>
      <c r="B10" s="43">
        <v>3.80465684953018</v>
      </c>
      <c r="C10" s="83">
        <v>749292.30353048595</v>
      </c>
      <c r="D10" s="86">
        <v>3.9523876652813497E-2</v>
      </c>
      <c r="E10" s="37">
        <v>0.96246605138118502</v>
      </c>
      <c r="F10" s="37">
        <v>1</v>
      </c>
      <c r="G10" s="37">
        <v>0.54470925070932796</v>
      </c>
      <c r="H10" s="43">
        <f t="shared" si="0"/>
        <v>1.8032205992361904E-2</v>
      </c>
      <c r="I10" s="93" t="s">
        <v>262</v>
      </c>
      <c r="J10" s="94">
        <v>304788</v>
      </c>
      <c r="K10" s="94">
        <v>113425</v>
      </c>
      <c r="L10" s="94">
        <v>4</v>
      </c>
      <c r="M10" s="93" t="s">
        <v>296</v>
      </c>
      <c r="N10" s="94">
        <v>310284</v>
      </c>
      <c r="O10" s="94">
        <v>160647</v>
      </c>
      <c r="P10" s="94">
        <v>3</v>
      </c>
      <c r="Q10" s="94" t="s">
        <v>366</v>
      </c>
      <c r="R10" s="94" t="s">
        <v>313</v>
      </c>
      <c r="S10" s="94" t="s">
        <v>287</v>
      </c>
      <c r="T10" s="93" t="s">
        <v>294</v>
      </c>
      <c r="U10" s="95" t="s">
        <v>373</v>
      </c>
      <c r="Z10" s="92"/>
    </row>
    <row r="11" spans="1:37" s="61" customFormat="1" ht="12" customHeight="1" x14ac:dyDescent="0.2">
      <c r="A11" s="100">
        <v>9</v>
      </c>
      <c r="B11" s="44">
        <v>4.8920217179999002</v>
      </c>
      <c r="C11" s="83">
        <v>17727.333292926902</v>
      </c>
      <c r="D11" s="87">
        <v>0.57883864704215804</v>
      </c>
      <c r="E11" s="46">
        <v>8.4891062144469995E-2</v>
      </c>
      <c r="F11" s="46">
        <v>1</v>
      </c>
      <c r="G11" s="46">
        <v>1.0841311155647999</v>
      </c>
      <c r="H11" s="16">
        <f t="shared" si="0"/>
        <v>0.72719967858577739</v>
      </c>
      <c r="I11" s="45" t="s">
        <v>370</v>
      </c>
      <c r="J11" s="46">
        <v>9956</v>
      </c>
      <c r="K11" s="83">
        <f>(12545-J11)*SQRT(L11)</f>
        <v>11578.359987493912</v>
      </c>
      <c r="L11" s="46">
        <v>20</v>
      </c>
      <c r="M11" s="45" t="s">
        <v>369</v>
      </c>
      <c r="N11" s="46">
        <v>17196</v>
      </c>
      <c r="O11" s="83">
        <f>(20348-N11)*SQRT(P11)</f>
        <v>13372.803445799986</v>
      </c>
      <c r="P11" s="46">
        <v>18</v>
      </c>
      <c r="Q11" s="46" t="s">
        <v>242</v>
      </c>
      <c r="R11" s="46" t="s">
        <v>192</v>
      </c>
      <c r="S11" s="46" t="s">
        <v>279</v>
      </c>
      <c r="T11" s="45" t="s">
        <v>352</v>
      </c>
      <c r="U11" s="88" t="s">
        <v>373</v>
      </c>
      <c r="Z11" s="83"/>
    </row>
    <row r="12" spans="1:37" s="75" customFormat="1" x14ac:dyDescent="0.15">
      <c r="B12" s="55"/>
      <c r="C12" s="78"/>
      <c r="D12" s="55"/>
      <c r="E12" s="57"/>
      <c r="F12" s="57"/>
      <c r="G12" s="57"/>
      <c r="H12" s="55"/>
      <c r="I12" s="56"/>
      <c r="J12" s="57"/>
      <c r="K12" s="78"/>
      <c r="L12" s="57"/>
      <c r="M12" s="56"/>
      <c r="N12" s="57"/>
      <c r="O12" s="78"/>
      <c r="P12" s="57"/>
      <c r="Q12" s="57"/>
      <c r="R12" s="57"/>
      <c r="S12" s="57"/>
      <c r="T12" s="56"/>
    </row>
    <row r="15" spans="1:37" ht="14.25" customHeight="1" x14ac:dyDescent="0.15"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spans="1:37" x14ac:dyDescent="0.15">
      <c r="E16" s="66"/>
      <c r="F16" s="66"/>
      <c r="G16" s="66"/>
      <c r="H16" s="66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spans="2:37" x14ac:dyDescent="0.15">
      <c r="E17" s="66"/>
      <c r="F17" s="66"/>
      <c r="G17" s="66"/>
      <c r="H17" s="66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spans="2:37" x14ac:dyDescent="0.15">
      <c r="E18" s="66"/>
      <c r="F18" s="66"/>
      <c r="G18" s="66"/>
      <c r="H18" s="66"/>
      <c r="U18" s="62"/>
      <c r="V18" s="64"/>
      <c r="W18" s="64"/>
      <c r="X18" s="64"/>
      <c r="Y18" s="64"/>
      <c r="Z18" s="64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spans="2:37" ht="12" customHeight="1" x14ac:dyDescent="0.15">
      <c r="B19" s="65" t="s">
        <v>330</v>
      </c>
      <c r="C19" s="65" t="s">
        <v>331</v>
      </c>
      <c r="D19" s="65" t="s">
        <v>332</v>
      </c>
      <c r="E19" s="66"/>
      <c r="F19" s="66"/>
      <c r="G19" s="66"/>
      <c r="H19" s="66"/>
      <c r="I19" s="68" t="s">
        <v>168</v>
      </c>
      <c r="J19" s="65" t="s">
        <v>333</v>
      </c>
      <c r="K19" s="65" t="s">
        <v>334</v>
      </c>
      <c r="L19" s="65" t="s">
        <v>335</v>
      </c>
      <c r="M19" s="68" t="s">
        <v>169</v>
      </c>
      <c r="N19" s="65" t="s">
        <v>336</v>
      </c>
      <c r="O19" s="65" t="s">
        <v>337</v>
      </c>
      <c r="P19" s="65" t="s">
        <v>338</v>
      </c>
      <c r="Q19" s="65" t="s">
        <v>47</v>
      </c>
      <c r="R19" s="65" t="s">
        <v>185</v>
      </c>
      <c r="S19" s="65" t="s">
        <v>274</v>
      </c>
      <c r="T19" s="68" t="s">
        <v>172</v>
      </c>
      <c r="V19" s="63"/>
      <c r="W19" s="66"/>
      <c r="X19" s="66"/>
      <c r="Y19" s="66"/>
      <c r="Z19" s="67"/>
      <c r="AA19" s="66"/>
      <c r="AB19" s="66"/>
      <c r="AC19" s="66"/>
      <c r="AD19" s="67"/>
      <c r="AE19" s="66"/>
      <c r="AF19" s="66"/>
      <c r="AG19" s="66"/>
      <c r="AH19" s="66"/>
      <c r="AI19" s="66"/>
      <c r="AJ19" s="67"/>
      <c r="AK19" s="63"/>
    </row>
    <row r="20" spans="2:37" ht="12" customHeight="1" x14ac:dyDescent="0.15">
      <c r="B20" s="52">
        <v>0.22021648333308816</v>
      </c>
      <c r="C20" s="58">
        <v>0.15701435261649185</v>
      </c>
      <c r="D20" s="50">
        <v>-1.542776998597477E-2</v>
      </c>
      <c r="E20" s="66"/>
      <c r="F20" s="66"/>
      <c r="G20" s="66"/>
      <c r="H20" s="69"/>
      <c r="I20" s="49" t="s">
        <v>312</v>
      </c>
      <c r="J20" s="50">
        <v>0.71299999999999997</v>
      </c>
      <c r="K20" s="53">
        <f>0.105*SQRT(L20)</f>
        <v>0.29698484809834996</v>
      </c>
      <c r="L20" s="50">
        <v>8</v>
      </c>
      <c r="M20" s="49" t="s">
        <v>271</v>
      </c>
      <c r="N20" s="50">
        <v>0.61699999999999999</v>
      </c>
      <c r="O20" s="53">
        <f>0.159*SQRT(P20)</f>
        <v>0.44971991283464424</v>
      </c>
      <c r="P20" s="50">
        <v>8</v>
      </c>
      <c r="Q20" s="50" t="s">
        <v>322</v>
      </c>
      <c r="R20" s="50">
        <v>7</v>
      </c>
      <c r="S20" s="50" t="s">
        <v>280</v>
      </c>
      <c r="T20" s="49" t="s">
        <v>272</v>
      </c>
      <c r="V20" s="66"/>
      <c r="W20" s="66"/>
      <c r="X20" s="66"/>
      <c r="Y20" s="69"/>
      <c r="Z20" s="70"/>
      <c r="AA20" s="71"/>
      <c r="AB20" s="72"/>
      <c r="AC20" s="66"/>
      <c r="AD20" s="70"/>
      <c r="AE20" s="71"/>
      <c r="AF20" s="66"/>
      <c r="AG20" s="66"/>
      <c r="AH20" s="66"/>
      <c r="AI20" s="66"/>
      <c r="AJ20" s="73"/>
      <c r="AK20" s="63"/>
    </row>
    <row r="21" spans="2:37" ht="12" customHeight="1" x14ac:dyDescent="0.15">
      <c r="B21" s="52">
        <f t="shared" ref="B21:B38" si="1">C21/J21</f>
        <v>0.30233492648200283</v>
      </c>
      <c r="C21" s="54">
        <f t="shared" ref="C21:C38" si="2">ABS(N21-J21) + ABS(_xlfn.NORM.S.INV(1-(0.05/R21)/2))*SQRT(K21^2/L21+O21^2/P21)</f>
        <v>110561.76626998305</v>
      </c>
      <c r="D21" s="52">
        <f t="shared" ref="D21:D38" si="3">-(J21-N21)/J21</f>
        <v>-1.9669504201611735E-2</v>
      </c>
      <c r="E21" s="66"/>
      <c r="F21" s="66"/>
      <c r="G21" s="66"/>
      <c r="H21" s="69"/>
      <c r="I21" s="49" t="s">
        <v>262</v>
      </c>
      <c r="J21" s="50">
        <v>365693</v>
      </c>
      <c r="K21" s="50">
        <v>125513</v>
      </c>
      <c r="L21" s="50">
        <v>14</v>
      </c>
      <c r="M21" s="49" t="s">
        <v>263</v>
      </c>
      <c r="N21" s="50">
        <v>358500</v>
      </c>
      <c r="O21" s="50">
        <v>157620</v>
      </c>
      <c r="P21" s="50">
        <v>15</v>
      </c>
      <c r="Q21" s="50" t="s">
        <v>323</v>
      </c>
      <c r="R21" s="50">
        <v>1</v>
      </c>
      <c r="S21" s="50" t="s">
        <v>279</v>
      </c>
      <c r="T21" s="49" t="s">
        <v>264</v>
      </c>
      <c r="V21" s="66"/>
      <c r="W21" s="66"/>
      <c r="X21" s="66"/>
      <c r="Y21" s="69"/>
      <c r="Z21" s="67"/>
      <c r="AA21" s="66"/>
      <c r="AB21" s="66"/>
      <c r="AC21" s="66"/>
      <c r="AD21" s="67"/>
      <c r="AE21" s="66"/>
      <c r="AF21" s="66"/>
      <c r="AG21" s="66"/>
      <c r="AH21" s="66"/>
      <c r="AI21" s="66"/>
      <c r="AJ21" s="67"/>
      <c r="AK21" s="63"/>
    </row>
    <row r="22" spans="2:37" ht="12" customHeight="1" x14ac:dyDescent="0.15">
      <c r="B22" s="52">
        <f t="shared" si="1"/>
        <v>0.33187378676985985</v>
      </c>
      <c r="C22" s="58">
        <f t="shared" si="2"/>
        <v>8.5955310773393698</v>
      </c>
      <c r="D22" s="52">
        <f t="shared" si="3"/>
        <v>-0.1274131274131273</v>
      </c>
      <c r="E22" s="66"/>
      <c r="F22" s="66"/>
      <c r="G22" s="66"/>
      <c r="H22" s="69"/>
      <c r="I22" s="49" t="s">
        <v>324</v>
      </c>
      <c r="J22" s="50">
        <v>25.9</v>
      </c>
      <c r="K22" s="50">
        <f>1.7*SQRT(L22)</f>
        <v>6.8</v>
      </c>
      <c r="L22" s="50">
        <v>16</v>
      </c>
      <c r="M22" s="49" t="s">
        <v>325</v>
      </c>
      <c r="N22" s="50">
        <v>22.6</v>
      </c>
      <c r="O22" s="59">
        <f>2.1*SQRT(P22)</f>
        <v>8.1332650270355753</v>
      </c>
      <c r="P22" s="50">
        <v>15</v>
      </c>
      <c r="Q22" s="50" t="s">
        <v>49</v>
      </c>
      <c r="R22" s="50">
        <v>1</v>
      </c>
      <c r="S22" s="50" t="s">
        <v>279</v>
      </c>
      <c r="T22" s="49" t="s">
        <v>260</v>
      </c>
      <c r="V22" s="66"/>
      <c r="W22" s="66"/>
      <c r="X22" s="66"/>
      <c r="Y22" s="69"/>
      <c r="Z22" s="67"/>
      <c r="AA22" s="66"/>
      <c r="AB22" s="66"/>
      <c r="AC22" s="66"/>
      <c r="AD22" s="67"/>
      <c r="AE22" s="66"/>
      <c r="AF22" s="66"/>
      <c r="AG22" s="66"/>
      <c r="AH22" s="66"/>
      <c r="AI22" s="66"/>
      <c r="AJ22" s="67"/>
      <c r="AK22" s="63"/>
    </row>
    <row r="23" spans="2:37" ht="12" customHeight="1" x14ac:dyDescent="0.15">
      <c r="B23" s="52">
        <f t="shared" si="1"/>
        <v>0.3351756133312177</v>
      </c>
      <c r="C23" s="54">
        <f t="shared" si="2"/>
        <v>8.7145659466116605</v>
      </c>
      <c r="D23" s="52">
        <f t="shared" si="3"/>
        <v>4.2307692307692366E-2</v>
      </c>
      <c r="E23" s="66"/>
      <c r="F23" s="66"/>
      <c r="G23" s="74"/>
      <c r="H23" s="69"/>
      <c r="I23" s="49" t="s">
        <v>254</v>
      </c>
      <c r="J23" s="50">
        <v>26</v>
      </c>
      <c r="K23" s="59">
        <f>(28.3-J23)*SQRT(L23)</f>
        <v>6.5053823869162395</v>
      </c>
      <c r="L23" s="50">
        <v>8</v>
      </c>
      <c r="M23" s="49" t="s">
        <v>255</v>
      </c>
      <c r="N23" s="50">
        <v>27.1</v>
      </c>
      <c r="O23" s="59">
        <f>(28.3-N23)*SQRT(P23)</f>
        <v>3.3941125496954263</v>
      </c>
      <c r="P23" s="50">
        <v>8</v>
      </c>
      <c r="Q23" s="50" t="s">
        <v>49</v>
      </c>
      <c r="R23" s="50">
        <v>15</v>
      </c>
      <c r="S23" s="50" t="s">
        <v>279</v>
      </c>
      <c r="T23" s="49" t="s">
        <v>256</v>
      </c>
      <c r="V23" s="66"/>
      <c r="W23" s="66"/>
      <c r="X23" s="74"/>
      <c r="Y23" s="69"/>
      <c r="Z23" s="67"/>
      <c r="AA23" s="66"/>
      <c r="AB23" s="66"/>
      <c r="AC23" s="66"/>
      <c r="AD23" s="67"/>
      <c r="AE23" s="66"/>
      <c r="AF23" s="66"/>
      <c r="AG23" s="66"/>
      <c r="AH23" s="66"/>
      <c r="AI23" s="66"/>
      <c r="AJ23" s="67"/>
      <c r="AK23" s="63"/>
    </row>
    <row r="24" spans="2:37" ht="12" customHeight="1" x14ac:dyDescent="0.15">
      <c r="B24" s="52">
        <f t="shared" si="1"/>
        <v>0.36468210626768915</v>
      </c>
      <c r="C24" s="59">
        <f t="shared" si="2"/>
        <v>131.28555825636809</v>
      </c>
      <c r="D24" s="52">
        <f t="shared" si="3"/>
        <v>-0.18055555555555555</v>
      </c>
      <c r="I24" s="49" t="s">
        <v>326</v>
      </c>
      <c r="J24" s="60">
        <v>360</v>
      </c>
      <c r="K24" s="54">
        <v>94</v>
      </c>
      <c r="L24" s="50">
        <v>9</v>
      </c>
      <c r="M24" s="49" t="s">
        <v>327</v>
      </c>
      <c r="N24" s="50">
        <v>295</v>
      </c>
      <c r="O24" s="59">
        <v>36</v>
      </c>
      <c r="P24" s="50">
        <v>8</v>
      </c>
      <c r="Q24" s="50" t="s">
        <v>322</v>
      </c>
      <c r="R24" s="50">
        <v>1</v>
      </c>
      <c r="S24" s="50" t="s">
        <v>279</v>
      </c>
      <c r="T24" s="49" t="s">
        <v>220</v>
      </c>
    </row>
    <row r="25" spans="2:37" ht="12" customHeight="1" x14ac:dyDescent="0.15">
      <c r="B25" s="52">
        <f t="shared" si="1"/>
        <v>0.38375612642394952</v>
      </c>
      <c r="C25" s="54">
        <f t="shared" si="2"/>
        <v>127779.27741538247</v>
      </c>
      <c r="D25" s="52">
        <f t="shared" si="3"/>
        <v>4.5589692765113973E-2</v>
      </c>
      <c r="I25" s="49" t="s">
        <v>339</v>
      </c>
      <c r="J25" s="50">
        <v>332970</v>
      </c>
      <c r="K25" s="54">
        <f>(357910-J25)*SQRT(L25)</f>
        <v>70540.972491169989</v>
      </c>
      <c r="L25" s="50">
        <v>8</v>
      </c>
      <c r="M25" s="49" t="s">
        <v>340</v>
      </c>
      <c r="N25" s="50">
        <v>348150</v>
      </c>
      <c r="O25" s="50">
        <f>(378520-N25)*SQRT(P25)</f>
        <v>74391.003488325106</v>
      </c>
      <c r="P25" s="50">
        <v>6</v>
      </c>
      <c r="Q25" s="50" t="s">
        <v>323</v>
      </c>
      <c r="R25" s="50">
        <v>12</v>
      </c>
      <c r="S25" s="50" t="s">
        <v>279</v>
      </c>
      <c r="T25" s="49" t="s">
        <v>183</v>
      </c>
    </row>
    <row r="26" spans="2:37" s="50" customFormat="1" ht="12" customHeight="1" x14ac:dyDescent="0.15">
      <c r="B26" s="52">
        <f t="shared" si="1"/>
        <v>0.43866397912473509</v>
      </c>
      <c r="C26" s="54">
        <f t="shared" si="2"/>
        <v>147.87362736294821</v>
      </c>
      <c r="D26" s="52">
        <f t="shared" si="3"/>
        <v>1.0382675763868287E-2</v>
      </c>
      <c r="I26" s="49" t="s">
        <v>254</v>
      </c>
      <c r="J26" s="50">
        <v>337.1</v>
      </c>
      <c r="K26" s="59">
        <f>(379.1-J26)*SQRT(L26)</f>
        <v>118.79393923933999</v>
      </c>
      <c r="L26" s="50">
        <v>8</v>
      </c>
      <c r="M26" s="49" t="s">
        <v>255</v>
      </c>
      <c r="N26" s="50">
        <v>340.6</v>
      </c>
      <c r="O26" s="59">
        <f>(366.2-340.6)*SQRT(P26)</f>
        <v>72.40773439350238</v>
      </c>
      <c r="P26" s="50">
        <v>8</v>
      </c>
      <c r="Q26" s="50" t="s">
        <v>323</v>
      </c>
      <c r="R26" s="50">
        <v>15</v>
      </c>
      <c r="S26" s="50" t="s">
        <v>279</v>
      </c>
      <c r="T26" s="49" t="s">
        <v>257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</row>
    <row r="27" spans="2:37" s="50" customFormat="1" ht="12" customHeight="1" x14ac:dyDescent="0.15">
      <c r="B27" s="52">
        <f t="shared" si="1"/>
        <v>0.54447029123354107</v>
      </c>
      <c r="C27" s="54">
        <f t="shared" si="2"/>
        <v>65064.199802408162</v>
      </c>
      <c r="D27" s="52">
        <f t="shared" si="3"/>
        <v>-7.364016736401674E-2</v>
      </c>
      <c r="I27" s="49" t="s">
        <v>341</v>
      </c>
      <c r="J27" s="50">
        <v>119500</v>
      </c>
      <c r="K27" s="50">
        <f>(135500-J27)*SQRT(L27)</f>
        <v>50596.442562694072</v>
      </c>
      <c r="L27" s="50">
        <v>10</v>
      </c>
      <c r="M27" s="49" t="s">
        <v>342</v>
      </c>
      <c r="N27" s="50">
        <v>110700</v>
      </c>
      <c r="O27" s="50">
        <f>(124800-N27)*SQRT(P27)</f>
        <v>66134.862213510365</v>
      </c>
      <c r="P27" s="50">
        <v>22</v>
      </c>
      <c r="Q27" s="50" t="s">
        <v>323</v>
      </c>
      <c r="R27" s="50">
        <v>6</v>
      </c>
      <c r="S27" s="50" t="s">
        <v>279</v>
      </c>
      <c r="T27" s="49" t="s">
        <v>224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spans="2:37" s="50" customFormat="1" ht="12" customHeight="1" x14ac:dyDescent="0.15">
      <c r="B28" s="52">
        <f t="shared" si="1"/>
        <v>0.59465772165882236</v>
      </c>
      <c r="C28" s="58">
        <f t="shared" si="2"/>
        <v>0.42399095554274036</v>
      </c>
      <c r="D28" s="52">
        <f t="shared" si="3"/>
        <v>-1.542776998597477E-2</v>
      </c>
      <c r="I28" s="49" t="s">
        <v>312</v>
      </c>
      <c r="J28" s="50">
        <v>0.71299999999999997</v>
      </c>
      <c r="K28" s="53">
        <f>0.105*SQRT(L28)</f>
        <v>0.29698484809834996</v>
      </c>
      <c r="L28" s="50">
        <v>8</v>
      </c>
      <c r="M28" s="49" t="s">
        <v>271</v>
      </c>
      <c r="N28" s="50">
        <v>0.70199999999999996</v>
      </c>
      <c r="O28" s="53">
        <f>0.112*SQRT(P28)</f>
        <v>0.31678383797157333</v>
      </c>
      <c r="P28" s="50">
        <v>8</v>
      </c>
      <c r="Q28" s="50" t="s">
        <v>322</v>
      </c>
      <c r="R28" s="50">
        <v>7</v>
      </c>
      <c r="S28" s="50" t="s">
        <v>280</v>
      </c>
      <c r="T28" s="49" t="s">
        <v>272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</row>
    <row r="29" spans="2:37" ht="12" customHeight="1" x14ac:dyDescent="0.15">
      <c r="B29" s="52">
        <f t="shared" si="1"/>
        <v>0.62604580322464665</v>
      </c>
      <c r="C29" s="58">
        <f t="shared" si="2"/>
        <v>5.5718076486993548E-2</v>
      </c>
      <c r="D29" s="52">
        <f t="shared" si="3"/>
        <v>-0.3146067415730337</v>
      </c>
      <c r="I29" s="49" t="s">
        <v>324</v>
      </c>
      <c r="J29" s="50">
        <v>8.8999999999999996E-2</v>
      </c>
      <c r="K29" s="53">
        <f>0.01*SQRT(L29)</f>
        <v>3.7416573867739417E-2</v>
      </c>
      <c r="L29" s="50">
        <v>14</v>
      </c>
      <c r="M29" s="49" t="s">
        <v>325</v>
      </c>
      <c r="N29" s="50">
        <v>6.0999999999999999E-2</v>
      </c>
      <c r="O29" s="53">
        <f>0.01*SQRT(P29)</f>
        <v>3.7416573867739417E-2</v>
      </c>
      <c r="P29" s="50">
        <v>14</v>
      </c>
      <c r="Q29" s="50" t="s">
        <v>322</v>
      </c>
      <c r="R29" s="50">
        <v>1</v>
      </c>
      <c r="S29" s="50" t="s">
        <v>279</v>
      </c>
      <c r="T29" s="49" t="s">
        <v>261</v>
      </c>
    </row>
    <row r="30" spans="2:37" ht="12" customHeight="1" x14ac:dyDescent="0.15">
      <c r="B30" s="52">
        <f t="shared" si="1"/>
        <v>0.64173877726018158</v>
      </c>
      <c r="C30" s="58">
        <f t="shared" si="2"/>
        <v>14.824165754710195</v>
      </c>
      <c r="D30" s="52">
        <f t="shared" si="3"/>
        <v>-0.16017316017316027</v>
      </c>
      <c r="I30" s="75" t="s">
        <v>343</v>
      </c>
      <c r="J30" s="57">
        <v>23.1</v>
      </c>
      <c r="K30" s="57">
        <v>11.3</v>
      </c>
      <c r="L30" s="57">
        <v>7</v>
      </c>
      <c r="M30" s="75" t="s">
        <v>344</v>
      </c>
      <c r="N30" s="57">
        <v>19.399999999999999</v>
      </c>
      <c r="O30" s="76">
        <v>7.15</v>
      </c>
      <c r="P30" s="57">
        <v>8</v>
      </c>
      <c r="Q30" s="57" t="s">
        <v>49</v>
      </c>
      <c r="R30" s="57">
        <v>2</v>
      </c>
      <c r="S30" s="57" t="s">
        <v>279</v>
      </c>
      <c r="T30" s="56" t="s">
        <v>289</v>
      </c>
    </row>
    <row r="31" spans="2:37" ht="12" customHeight="1" x14ac:dyDescent="0.15">
      <c r="B31" s="52">
        <f t="shared" si="1"/>
        <v>0.72845716036649566</v>
      </c>
      <c r="C31" s="54">
        <f t="shared" si="2"/>
        <v>47087.470846090277</v>
      </c>
      <c r="D31" s="52">
        <f t="shared" si="3"/>
        <v>-0.16615099009900991</v>
      </c>
      <c r="I31" s="49" t="s">
        <v>238</v>
      </c>
      <c r="J31" s="50">
        <v>64640</v>
      </c>
      <c r="K31" s="50">
        <v>34390</v>
      </c>
      <c r="L31" s="50">
        <v>9</v>
      </c>
      <c r="M31" s="49" t="s">
        <v>239</v>
      </c>
      <c r="N31" s="50">
        <v>53900</v>
      </c>
      <c r="O31" s="50">
        <v>10830</v>
      </c>
      <c r="P31" s="50">
        <v>10</v>
      </c>
      <c r="Q31" s="50" t="s">
        <v>323</v>
      </c>
      <c r="R31" s="50">
        <v>21</v>
      </c>
      <c r="S31" s="50" t="s">
        <v>279</v>
      </c>
      <c r="T31" s="49" t="s">
        <v>235</v>
      </c>
    </row>
    <row r="32" spans="2:37" ht="12" customHeight="1" x14ac:dyDescent="0.15">
      <c r="B32" s="52">
        <f t="shared" si="1"/>
        <v>0.87193649776221871</v>
      </c>
      <c r="C32" s="54">
        <f t="shared" si="2"/>
        <v>265755.7812799511</v>
      </c>
      <c r="D32" s="52">
        <f t="shared" si="3"/>
        <v>1.8032205992361904E-2</v>
      </c>
      <c r="I32" s="49" t="s">
        <v>262</v>
      </c>
      <c r="J32" s="50">
        <v>304788</v>
      </c>
      <c r="K32" s="50">
        <v>113425</v>
      </c>
      <c r="L32" s="50">
        <v>4</v>
      </c>
      <c r="M32" s="49" t="s">
        <v>296</v>
      </c>
      <c r="N32" s="50">
        <v>310284</v>
      </c>
      <c r="O32" s="50">
        <v>160647</v>
      </c>
      <c r="P32" s="50">
        <v>3</v>
      </c>
      <c r="Q32" s="50" t="s">
        <v>323</v>
      </c>
      <c r="R32" s="50">
        <v>3</v>
      </c>
      <c r="S32" s="50" t="s">
        <v>287</v>
      </c>
      <c r="T32" s="62" t="s">
        <v>294</v>
      </c>
    </row>
    <row r="33" spans="2:20" ht="12" customHeight="1" x14ac:dyDescent="0.15">
      <c r="B33" s="52">
        <f t="shared" si="1"/>
        <v>0.90104148622149904</v>
      </c>
      <c r="C33" s="54">
        <f t="shared" si="2"/>
        <v>202294.53605041257</v>
      </c>
      <c r="D33" s="52">
        <f t="shared" si="3"/>
        <v>-0.22222385539474743</v>
      </c>
      <c r="I33" s="49" t="s">
        <v>345</v>
      </c>
      <c r="J33" s="50">
        <v>224511.9</v>
      </c>
      <c r="K33" s="54">
        <f>(258134.5-J33)*SQRT(L33)</f>
        <v>82358.213825701692</v>
      </c>
      <c r="L33" s="50">
        <v>6</v>
      </c>
      <c r="M33" s="49" t="s">
        <v>346</v>
      </c>
      <c r="N33" s="50">
        <v>174620</v>
      </c>
      <c r="O33" s="54">
        <f>(215835-N33)*SQRT(P33)</f>
        <v>109044.6402855271</v>
      </c>
      <c r="P33" s="50">
        <v>7</v>
      </c>
      <c r="Q33" s="50" t="s">
        <v>323</v>
      </c>
      <c r="R33" s="50">
        <v>12</v>
      </c>
      <c r="S33" s="50" t="s">
        <v>279</v>
      </c>
      <c r="T33" s="49" t="s">
        <v>183</v>
      </c>
    </row>
    <row r="34" spans="2:20" ht="12" customHeight="1" x14ac:dyDescent="0.15">
      <c r="B34" s="52">
        <f t="shared" si="1"/>
        <v>0.93271875715240415</v>
      </c>
      <c r="C34" s="54">
        <f t="shared" si="2"/>
        <v>60253.631712045302</v>
      </c>
      <c r="D34" s="52">
        <f t="shared" si="3"/>
        <v>-0.16563467492260053</v>
      </c>
      <c r="I34" s="49" t="s">
        <v>236</v>
      </c>
      <c r="J34" s="50">
        <f>64.6*1000</f>
        <v>64599.999999999993</v>
      </c>
      <c r="K34" s="50">
        <f>34.4*1000</f>
        <v>34400</v>
      </c>
      <c r="L34" s="50">
        <v>9</v>
      </c>
      <c r="M34" s="49" t="s">
        <v>237</v>
      </c>
      <c r="N34" s="50">
        <f>53.9*1000</f>
        <v>53900</v>
      </c>
      <c r="O34" s="50">
        <f>34.8*1000</f>
        <v>34800</v>
      </c>
      <c r="P34" s="50">
        <v>9</v>
      </c>
      <c r="Q34" s="50" t="s">
        <v>323</v>
      </c>
      <c r="R34" s="50">
        <v>21</v>
      </c>
      <c r="S34" s="50" t="s">
        <v>279</v>
      </c>
      <c r="T34" s="49" t="s">
        <v>234</v>
      </c>
    </row>
    <row r="35" spans="2:20" ht="12" customHeight="1" x14ac:dyDescent="0.15">
      <c r="B35" s="52">
        <f t="shared" si="1"/>
        <v>0.96814672232900045</v>
      </c>
      <c r="C35" s="58">
        <f t="shared" si="2"/>
        <v>34.853282003844015</v>
      </c>
      <c r="D35" s="52">
        <f t="shared" si="3"/>
        <v>0.1388888888888889</v>
      </c>
      <c r="I35" s="49" t="s">
        <v>285</v>
      </c>
      <c r="J35" s="50">
        <v>36</v>
      </c>
      <c r="K35" s="54">
        <f>6*SQRT(L35)</f>
        <v>23.237900077244504</v>
      </c>
      <c r="L35" s="50">
        <v>15</v>
      </c>
      <c r="M35" s="49" t="s">
        <v>285</v>
      </c>
      <c r="N35" s="50">
        <v>41</v>
      </c>
      <c r="O35" s="54">
        <f>14*SQRT(P35)</f>
        <v>50.47771785649585</v>
      </c>
      <c r="P35" s="50">
        <v>13</v>
      </c>
      <c r="Q35" s="50" t="s">
        <v>49</v>
      </c>
      <c r="R35" s="50">
        <v>1</v>
      </c>
      <c r="S35" s="50" t="s">
        <v>283</v>
      </c>
      <c r="T35" s="51" t="s">
        <v>284</v>
      </c>
    </row>
    <row r="36" spans="2:20" ht="12" customHeight="1" x14ac:dyDescent="0.15">
      <c r="B36" s="52">
        <f t="shared" si="1"/>
        <v>1.0072498831657288</v>
      </c>
      <c r="C36" s="54">
        <f t="shared" si="2"/>
        <v>391.71947956315188</v>
      </c>
      <c r="D36" s="52">
        <f t="shared" si="3"/>
        <v>-0.25739264592440209</v>
      </c>
      <c r="I36" s="49" t="s">
        <v>328</v>
      </c>
      <c r="J36" s="50">
        <v>388.9</v>
      </c>
      <c r="K36" s="50">
        <v>347.3</v>
      </c>
      <c r="L36" s="50">
        <v>6</v>
      </c>
      <c r="M36" s="49" t="s">
        <v>329</v>
      </c>
      <c r="N36" s="50">
        <v>288.8</v>
      </c>
      <c r="O36" s="50">
        <v>110.5</v>
      </c>
      <c r="P36" s="50">
        <v>6</v>
      </c>
      <c r="Q36" s="50" t="s">
        <v>322</v>
      </c>
      <c r="R36" s="50">
        <v>1</v>
      </c>
      <c r="S36" s="50" t="s">
        <v>279</v>
      </c>
      <c r="T36" s="49" t="s">
        <v>220</v>
      </c>
    </row>
    <row r="37" spans="2:20" ht="12" customHeight="1" x14ac:dyDescent="0.15">
      <c r="B37" s="52">
        <f t="shared" si="1"/>
        <v>1.0221261204613394</v>
      </c>
      <c r="C37" s="54">
        <f t="shared" si="2"/>
        <v>38503.49095777866</v>
      </c>
      <c r="D37" s="52">
        <f t="shared" si="3"/>
        <v>-0.2808601008760287</v>
      </c>
      <c r="I37" s="49" t="s">
        <v>231</v>
      </c>
      <c r="J37" s="77">
        <v>37670</v>
      </c>
      <c r="K37" s="54">
        <v>29510</v>
      </c>
      <c r="L37" s="50">
        <v>9</v>
      </c>
      <c r="M37" s="49" t="s">
        <v>232</v>
      </c>
      <c r="N37" s="50">
        <v>27090</v>
      </c>
      <c r="O37" s="54">
        <v>29150</v>
      </c>
      <c r="P37" s="50">
        <v>8</v>
      </c>
      <c r="Q37" s="50" t="s">
        <v>323</v>
      </c>
      <c r="R37" s="50">
        <v>1</v>
      </c>
      <c r="S37" s="50" t="s">
        <v>279</v>
      </c>
      <c r="T37" s="49" t="s">
        <v>233</v>
      </c>
    </row>
    <row r="38" spans="2:20" ht="12" customHeight="1" x14ac:dyDescent="0.15">
      <c r="B38" s="52">
        <f t="shared" si="1"/>
        <v>1.0559803904811791</v>
      </c>
      <c r="C38" s="54">
        <f t="shared" si="2"/>
        <v>68258.572440703414</v>
      </c>
      <c r="D38" s="52">
        <f t="shared" si="3"/>
        <v>-0.45730198019801982</v>
      </c>
      <c r="I38" s="49" t="s">
        <v>238</v>
      </c>
      <c r="J38" s="50">
        <v>64640</v>
      </c>
      <c r="K38" s="50">
        <v>34390</v>
      </c>
      <c r="L38" s="50">
        <v>9</v>
      </c>
      <c r="M38" s="49" t="s">
        <v>240</v>
      </c>
      <c r="N38" s="50">
        <v>35080</v>
      </c>
      <c r="O38" s="50">
        <v>18420</v>
      </c>
      <c r="P38" s="50">
        <v>11</v>
      </c>
      <c r="Q38" s="50" t="s">
        <v>323</v>
      </c>
      <c r="R38" s="50">
        <v>21</v>
      </c>
      <c r="S38" s="50" t="s">
        <v>279</v>
      </c>
      <c r="T38" s="49" t="s">
        <v>235</v>
      </c>
    </row>
    <row r="39" spans="2:20" ht="12" customHeight="1" x14ac:dyDescent="0.15">
      <c r="B39" s="52">
        <v>1.0644902360012614</v>
      </c>
      <c r="C39" s="50">
        <v>26665.480411831599</v>
      </c>
      <c r="D39" s="50">
        <v>0.36167664670658684</v>
      </c>
      <c r="I39" s="49" t="s">
        <v>347</v>
      </c>
      <c r="J39" s="50">
        <v>25050</v>
      </c>
      <c r="K39" s="50">
        <v>22192.377069615592</v>
      </c>
      <c r="L39" s="50">
        <v>24</v>
      </c>
      <c r="M39" s="49" t="s">
        <v>348</v>
      </c>
      <c r="N39" s="50">
        <v>34110</v>
      </c>
      <c r="O39" s="50">
        <v>22454.620905283617</v>
      </c>
      <c r="P39" s="50">
        <v>21</v>
      </c>
      <c r="Q39" s="50" t="s">
        <v>307</v>
      </c>
      <c r="R39" s="50">
        <v>6</v>
      </c>
      <c r="S39" s="50" t="s">
        <v>279</v>
      </c>
      <c r="T39" s="49" t="s">
        <v>225</v>
      </c>
    </row>
    <row r="40" spans="2:20" ht="12" customHeight="1" x14ac:dyDescent="0.15">
      <c r="B40" s="52">
        <f>C40/J40</f>
        <v>1.1601979569426732</v>
      </c>
      <c r="C40" s="59">
        <f>ABS(N40-J40) + ABS(_xlfn.NORM.S.INV(1-(0.05/R40)/2))*SQRT(K40^2/L40+O40^2/P40)</f>
        <v>24.654206585031805</v>
      </c>
      <c r="D40" s="52">
        <f>-(J40-N40)/J40</f>
        <v>-0.34211764705882353</v>
      </c>
      <c r="I40" s="49" t="s">
        <v>324</v>
      </c>
      <c r="J40" s="50">
        <v>21.25</v>
      </c>
      <c r="K40" s="59">
        <f>(28.63-J40)*SQRT(L40)</f>
        <v>18.07723430173985</v>
      </c>
      <c r="L40" s="50">
        <v>6</v>
      </c>
      <c r="M40" s="49" t="s">
        <v>349</v>
      </c>
      <c r="N40" s="50">
        <v>13.98</v>
      </c>
      <c r="O40" s="59">
        <f>(18.9-N40)*SQRT(P40)</f>
        <v>12.05148953449323</v>
      </c>
      <c r="P40" s="50">
        <v>6</v>
      </c>
      <c r="Q40" s="50" t="s">
        <v>49</v>
      </c>
      <c r="R40" s="50">
        <v>1</v>
      </c>
      <c r="S40" s="50" t="s">
        <v>279</v>
      </c>
      <c r="T40" s="49" t="s">
        <v>265</v>
      </c>
    </row>
    <row r="41" spans="2:20" ht="12" customHeight="1" x14ac:dyDescent="0.15">
      <c r="B41" s="52">
        <f>C41/J41</f>
        <v>1.3730702180767695</v>
      </c>
      <c r="C41" s="58">
        <f>ABS(N41-J41) + ABS(_xlfn.NORM.S.INV(1-(0.05/R41)/2))*SQRT(K41^2/L41+O41^2/P41)</f>
        <v>0.23754114772728113</v>
      </c>
      <c r="D41" s="52">
        <f>-(J41-N41)/J41</f>
        <v>-0.51445086705202303</v>
      </c>
      <c r="I41" s="49" t="s">
        <v>262</v>
      </c>
      <c r="J41" s="50">
        <v>0.17299999999999999</v>
      </c>
      <c r="K41" s="53">
        <f>(0.226-J41)*SQRT(L41)</f>
        <v>0.14990663761154813</v>
      </c>
      <c r="L41" s="50">
        <v>8</v>
      </c>
      <c r="M41" s="49" t="s">
        <v>273</v>
      </c>
      <c r="N41" s="50">
        <v>8.4000000000000005E-2</v>
      </c>
      <c r="O41" s="58">
        <f>(0.103-N41)*SQRT(P41)</f>
        <v>5.3740115370177588E-2</v>
      </c>
      <c r="P41" s="50">
        <v>8</v>
      </c>
      <c r="Q41" s="50" t="s">
        <v>322</v>
      </c>
      <c r="R41" s="50">
        <v>6</v>
      </c>
      <c r="S41" s="50" t="s">
        <v>280</v>
      </c>
      <c r="T41" s="49" t="s">
        <v>275</v>
      </c>
    </row>
    <row r="42" spans="2:20" ht="12" customHeight="1" x14ac:dyDescent="0.15">
      <c r="B42" s="52">
        <f>C42/J42</f>
        <v>1.407364705439331</v>
      </c>
      <c r="C42" s="59">
        <f>ABS(N42-J42) + ABS(_xlfn.NORM.S.INV(1-(0.05/R42)/2))*SQRT(K42^2/L42+O42^2/P42)</f>
        <v>83.175254091464467</v>
      </c>
      <c r="D42" s="52">
        <f>-(J42-N42)/J42</f>
        <v>-8.1218274111675204E-2</v>
      </c>
      <c r="I42" s="49" t="s">
        <v>229</v>
      </c>
      <c r="J42" s="50">
        <v>59.1</v>
      </c>
      <c r="K42" s="54">
        <v>63.8</v>
      </c>
      <c r="L42" s="50">
        <v>6</v>
      </c>
      <c r="M42" s="49" t="s">
        <v>230</v>
      </c>
      <c r="N42" s="50">
        <v>54.3</v>
      </c>
      <c r="O42" s="50">
        <v>56.1</v>
      </c>
      <c r="P42" s="50">
        <v>8</v>
      </c>
      <c r="Q42" s="50" t="s">
        <v>49</v>
      </c>
      <c r="R42" s="50">
        <v>3</v>
      </c>
      <c r="S42" s="50" t="s">
        <v>279</v>
      </c>
      <c r="T42" s="49" t="s">
        <v>228</v>
      </c>
    </row>
    <row r="43" spans="2:20" ht="12" customHeight="1" x14ac:dyDescent="0.15">
      <c r="B43" s="52">
        <f>C43/J43</f>
        <v>1.8080937690781533</v>
      </c>
      <c r="C43" s="54">
        <f>ABS(N43-J43) + ABS(_xlfn.NORM.S.INV(1-(0.05/R43)/2))*SQRT(K43^2/L43+O43^2/P43)</f>
        <v>18001.381564942094</v>
      </c>
      <c r="D43" s="52">
        <f>-(J43-N43)/J43</f>
        <v>0.72719967858577739</v>
      </c>
      <c r="I43" s="49" t="s">
        <v>350</v>
      </c>
      <c r="J43" s="50">
        <v>9956</v>
      </c>
      <c r="K43" s="54">
        <f>(12545-J43)*SQRT(L43)</f>
        <v>11578.359987493912</v>
      </c>
      <c r="L43" s="50">
        <v>20</v>
      </c>
      <c r="M43" s="49" t="s">
        <v>351</v>
      </c>
      <c r="N43" s="50">
        <v>17196</v>
      </c>
      <c r="O43" s="54">
        <f>(20348-N43)*SQRT(P43)</f>
        <v>13372.803445799986</v>
      </c>
      <c r="P43" s="50">
        <v>18</v>
      </c>
      <c r="Q43" s="50" t="s">
        <v>323</v>
      </c>
      <c r="R43" s="50">
        <v>6</v>
      </c>
      <c r="S43" s="50" t="s">
        <v>279</v>
      </c>
      <c r="T43" s="49" t="s">
        <v>253</v>
      </c>
    </row>
    <row r="44" spans="2:20" ht="12" customHeight="1" x14ac:dyDescent="0.15">
      <c r="B44" s="52">
        <f>C44/J44</f>
        <v>0.91051281258890382</v>
      </c>
      <c r="C44" s="59">
        <f>ABS(N44-J44) + ABS(_xlfn.NORM.S.INV(1-(0.05/R44)/2))*SQRT(K44^2/L44+O44^2/P44)</f>
        <v>10.052061450981498</v>
      </c>
      <c r="D44" s="52">
        <f>-(J44-N44)/J44</f>
        <v>-0.30706521739130427</v>
      </c>
      <c r="I44" s="49" t="s">
        <v>324</v>
      </c>
      <c r="J44" s="50">
        <v>11.04</v>
      </c>
      <c r="K44" s="50">
        <f>(15-J44)</f>
        <v>3.9600000000000009</v>
      </c>
      <c r="L44" s="50">
        <v>6</v>
      </c>
      <c r="M44" s="49" t="s">
        <v>349</v>
      </c>
      <c r="N44" s="50">
        <v>7.65</v>
      </c>
      <c r="O44" s="59">
        <f>(10.64-N44)*SQRT(P44)</f>
        <v>7.3239743309217022</v>
      </c>
      <c r="P44" s="50">
        <v>6</v>
      </c>
      <c r="Q44" s="50" t="s">
        <v>49</v>
      </c>
      <c r="R44" s="50">
        <v>1</v>
      </c>
      <c r="S44" s="50" t="s">
        <v>279</v>
      </c>
      <c r="T44" s="49" t="s">
        <v>266</v>
      </c>
    </row>
  </sheetData>
  <conditionalFormatting sqref="I23:P26 R23:R26 I27:R27 I28:P28 J29:P29 J31:L31 N31:P31 I32:I33 I33:P33 J35:L35 N35:R35 I36:P36 J37:L38 R28 K32:R32 I22:R22 R31 R36 N37:R38 R33:R34 V39:XFD39 L40:P40 I41:P41 R40 I42:R42 T36:T38 T21:T22 T28:T34 U41:XFD1048576 U21:XFD38 T40:XFD40 T19:XFD20 J43:L43 N43:S43 R44 L44:P44 C12 V8:V11 Y3:Y6 Y8:Y11 V5:X6 W7 I40:J40 I19:R20 C1:D1 I1:XFD1 I45:T1048576 I16:XFD18 I39:T39 T5 E3 I6:P7 R6:R7 I11:T11 E5:E7 Q2:T2 V2:XFD2 W4:X4 V14:XFD15 I12:AC13 AI8:XFD13 B45:D1048576 B16:D19 B39:D40 B3:C3 H11:H12 E11:E12 E11:G11 E16:H1048576 AA8:AC11 AA3:XFD7 W8:X10 H3:H7 F7 E10:H10 E8:H8 B10:C11 B5:C8 B13:H13 B9:H9">
    <cfRule type="expression" dxfId="566" priority="521">
      <formula>MOD(ROW(),2)=0</formula>
    </cfRule>
  </conditionalFormatting>
  <conditionalFormatting sqref="Q21 S5:S7 S11 B20:D22 B5:D6 B3:D3 B2:H2">
    <cfRule type="expression" dxfId="565" priority="515">
      <formula>MOD(ROW(),2)=0</formula>
    </cfRule>
    <cfRule type="expression" dxfId="564" priority="516">
      <formula>"MOD(ROW(),2)=0"</formula>
    </cfRule>
  </conditionalFormatting>
  <conditionalFormatting sqref="D23">
    <cfRule type="expression" dxfId="563" priority="507">
      <formula>MOD(ROW(),2)=0</formula>
    </cfRule>
    <cfRule type="expression" dxfId="562" priority="508">
      <formula>"MOD(ROW(),2)=0"</formula>
    </cfRule>
  </conditionalFormatting>
  <conditionalFormatting sqref="Q23">
    <cfRule type="expression" dxfId="561" priority="505">
      <formula>MOD(ROW(),2)=0</formula>
    </cfRule>
    <cfRule type="expression" dxfId="560" priority="506">
      <formula>"MOD(ROW(),2)=0"</formula>
    </cfRule>
  </conditionalFormatting>
  <conditionalFormatting sqref="C23">
    <cfRule type="expression" dxfId="559" priority="503">
      <formula>MOD(ROW(),2)=0</formula>
    </cfRule>
    <cfRule type="expression" dxfId="558" priority="504">
      <formula>"MOD(ROW(),2)=0"</formula>
    </cfRule>
  </conditionalFormatting>
  <conditionalFormatting sqref="B23">
    <cfRule type="expression" dxfId="557" priority="501">
      <formula>MOD(ROW(),2)=0</formula>
    </cfRule>
    <cfRule type="expression" dxfId="556" priority="502">
      <formula>"MOD(ROW(),2)=0"</formula>
    </cfRule>
  </conditionalFormatting>
  <conditionalFormatting sqref="T24">
    <cfRule type="expression" dxfId="555" priority="499">
      <formula>MOD(ROW(),2)=0</formula>
    </cfRule>
    <cfRule type="expression" dxfId="554" priority="500">
      <formula>"MOD(ROW(),2)=0"</formula>
    </cfRule>
  </conditionalFormatting>
  <conditionalFormatting sqref="T25">
    <cfRule type="expression" dxfId="553" priority="497">
      <formula>MOD(ROW(),2)=0</formula>
    </cfRule>
    <cfRule type="expression" dxfId="552" priority="498">
      <formula>"MOD(ROW(),2)=0"</formula>
    </cfRule>
  </conditionalFormatting>
  <conditionalFormatting sqref="D24">
    <cfRule type="expression" dxfId="551" priority="495">
      <formula>MOD(ROW(),2)=0</formula>
    </cfRule>
    <cfRule type="expression" dxfId="550" priority="496">
      <formula>"MOD(ROW(),2)=0"</formula>
    </cfRule>
  </conditionalFormatting>
  <conditionalFormatting sqref="C24">
    <cfRule type="expression" dxfId="549" priority="493">
      <formula>MOD(ROW(),2)=0</formula>
    </cfRule>
    <cfRule type="expression" dxfId="548" priority="494">
      <formula>"MOD(ROW(),2)=0"</formula>
    </cfRule>
  </conditionalFormatting>
  <conditionalFormatting sqref="B24">
    <cfRule type="expression" dxfId="547" priority="491">
      <formula>MOD(ROW(),2)=0</formula>
    </cfRule>
    <cfRule type="expression" dxfId="546" priority="492">
      <formula>"MOD(ROW(),2)=0"</formula>
    </cfRule>
  </conditionalFormatting>
  <conditionalFormatting sqref="Q24">
    <cfRule type="expression" dxfId="545" priority="489">
      <formula>MOD(ROW(),2)=0</formula>
    </cfRule>
    <cfRule type="expression" dxfId="544" priority="490">
      <formula>"MOD(ROW(),2)=0"</formula>
    </cfRule>
  </conditionalFormatting>
  <conditionalFormatting sqref="D25">
    <cfRule type="expression" dxfId="543" priority="487">
      <formula>MOD(ROW(),2)=0</formula>
    </cfRule>
    <cfRule type="expression" dxfId="542" priority="488">
      <formula>"MOD(ROW(),2)=0"</formula>
    </cfRule>
  </conditionalFormatting>
  <conditionalFormatting sqref="C25">
    <cfRule type="expression" dxfId="541" priority="485">
      <formula>MOD(ROW(),2)=0</formula>
    </cfRule>
    <cfRule type="expression" dxfId="540" priority="486">
      <formula>"MOD(ROW(),2)=0"</formula>
    </cfRule>
  </conditionalFormatting>
  <conditionalFormatting sqref="B25">
    <cfRule type="expression" dxfId="539" priority="483">
      <formula>MOD(ROW(),2)=0</formula>
    </cfRule>
    <cfRule type="expression" dxfId="538" priority="484">
      <formula>"MOD(ROW(),2)=0"</formula>
    </cfRule>
  </conditionalFormatting>
  <conditionalFormatting sqref="Q26">
    <cfRule type="expression" dxfId="537" priority="481">
      <formula>MOD(ROW(),2)=0</formula>
    </cfRule>
    <cfRule type="expression" dxfId="536" priority="482">
      <formula>"MOD(ROW(),2)=0"</formula>
    </cfRule>
  </conditionalFormatting>
  <conditionalFormatting sqref="Q25">
    <cfRule type="expression" dxfId="535" priority="479">
      <formula>MOD(ROW(),2)=0</formula>
    </cfRule>
    <cfRule type="expression" dxfId="534" priority="480">
      <formula>"MOD(ROW(),2)=0"</formula>
    </cfRule>
  </conditionalFormatting>
  <conditionalFormatting sqref="D26">
    <cfRule type="expression" dxfId="533" priority="477">
      <formula>MOD(ROW(),2)=0</formula>
    </cfRule>
    <cfRule type="expression" dxfId="532" priority="478">
      <formula>"MOD(ROW(),2)=0"</formula>
    </cfRule>
  </conditionalFormatting>
  <conditionalFormatting sqref="C26">
    <cfRule type="expression" dxfId="531" priority="475">
      <formula>MOD(ROW(),2)=0</formula>
    </cfRule>
    <cfRule type="expression" dxfId="530" priority="476">
      <formula>"MOD(ROW(),2)=0"</formula>
    </cfRule>
  </conditionalFormatting>
  <conditionalFormatting sqref="B26">
    <cfRule type="expression" dxfId="529" priority="473">
      <formula>MOD(ROW(),2)=0</formula>
    </cfRule>
    <cfRule type="expression" dxfId="528" priority="474">
      <formula>"MOD(ROW(),2)=0"</formula>
    </cfRule>
  </conditionalFormatting>
  <conditionalFormatting sqref="T26">
    <cfRule type="expression" dxfId="527" priority="471">
      <formula>MOD(ROW(),2)=0</formula>
    </cfRule>
    <cfRule type="expression" dxfId="526" priority="472">
      <formula>"MOD(ROW(),2)=0"</formula>
    </cfRule>
  </conditionalFormatting>
  <conditionalFormatting sqref="T27">
    <cfRule type="expression" dxfId="525" priority="469">
      <formula>MOD(ROW(),2)=0</formula>
    </cfRule>
    <cfRule type="expression" dxfId="524" priority="470">
      <formula>"MOD(ROW(),2)=0"</formula>
    </cfRule>
  </conditionalFormatting>
  <conditionalFormatting sqref="D27">
    <cfRule type="expression" dxfId="523" priority="467">
      <formula>MOD(ROW(),2)=0</formula>
    </cfRule>
    <cfRule type="expression" dxfId="522" priority="468">
      <formula>"MOD(ROW(),2)=0"</formula>
    </cfRule>
  </conditionalFormatting>
  <conditionalFormatting sqref="C27">
    <cfRule type="expression" dxfId="521" priority="465">
      <formula>MOD(ROW(),2)=0</formula>
    </cfRule>
    <cfRule type="expression" dxfId="520" priority="466">
      <formula>"MOD(ROW(),2)=0"</formula>
    </cfRule>
  </conditionalFormatting>
  <conditionalFormatting sqref="B27">
    <cfRule type="expression" dxfId="519" priority="463">
      <formula>MOD(ROW(),2)=0</formula>
    </cfRule>
    <cfRule type="expression" dxfId="518" priority="464">
      <formula>"MOD(ROW(),2)=0"</formula>
    </cfRule>
  </conditionalFormatting>
  <conditionalFormatting sqref="Q28">
    <cfRule type="expression" dxfId="517" priority="461">
      <formula>MOD(ROW(),2)=0</formula>
    </cfRule>
    <cfRule type="expression" dxfId="516" priority="462">
      <formula>"MOD(ROW(),2)=0"</formula>
    </cfRule>
  </conditionalFormatting>
  <conditionalFormatting sqref="D28">
    <cfRule type="expression" dxfId="515" priority="459">
      <formula>MOD(ROW(),2)=0</formula>
    </cfRule>
    <cfRule type="expression" dxfId="514" priority="460">
      <formula>"MOD(ROW(),2)=0"</formula>
    </cfRule>
  </conditionalFormatting>
  <conditionalFormatting sqref="C28">
    <cfRule type="expression" dxfId="513" priority="457">
      <formula>MOD(ROW(),2)=0</formula>
    </cfRule>
    <cfRule type="expression" dxfId="512" priority="458">
      <formula>"MOD(ROW(),2)=0"</formula>
    </cfRule>
  </conditionalFormatting>
  <conditionalFormatting sqref="B28">
    <cfRule type="expression" dxfId="511" priority="455">
      <formula>MOD(ROW(),2)=0</formula>
    </cfRule>
    <cfRule type="expression" dxfId="510" priority="456">
      <formula>"MOD(ROW(),2)=0"</formula>
    </cfRule>
  </conditionalFormatting>
  <conditionalFormatting sqref="I29">
    <cfRule type="expression" dxfId="509" priority="453">
      <formula>MOD(ROW(),2)=0</formula>
    </cfRule>
    <cfRule type="expression" dxfId="508" priority="454">
      <formula>"MOD(ROW(),2)=0"</formula>
    </cfRule>
  </conditionalFormatting>
  <conditionalFormatting sqref="Q29">
    <cfRule type="expression" dxfId="507" priority="451">
      <formula>MOD(ROW(),2)=0</formula>
    </cfRule>
    <cfRule type="expression" dxfId="506" priority="452">
      <formula>"MOD(ROW(),2)=0"</formula>
    </cfRule>
  </conditionalFormatting>
  <conditionalFormatting sqref="R29">
    <cfRule type="expression" dxfId="505" priority="447">
      <formula>MOD(ROW(),2)=0</formula>
    </cfRule>
    <cfRule type="expression" dxfId="504" priority="448">
      <formula>"MOD(ROW(),2)=0"</formula>
    </cfRule>
  </conditionalFormatting>
  <conditionalFormatting sqref="D29">
    <cfRule type="expression" dxfId="503" priority="445">
      <formula>MOD(ROW(),2)=0</formula>
    </cfRule>
    <cfRule type="expression" dxfId="502" priority="446">
      <formula>"MOD(ROW(),2)=0"</formula>
    </cfRule>
  </conditionalFormatting>
  <conditionalFormatting sqref="C29">
    <cfRule type="expression" dxfId="501" priority="443">
      <formula>MOD(ROW(),2)=0</formula>
    </cfRule>
    <cfRule type="expression" dxfId="500" priority="444">
      <formula>"MOD(ROW(),2)=0"</formula>
    </cfRule>
  </conditionalFormatting>
  <conditionalFormatting sqref="B29">
    <cfRule type="expression" dxfId="499" priority="441">
      <formula>MOD(ROW(),2)=0</formula>
    </cfRule>
    <cfRule type="expression" dxfId="498" priority="442">
      <formula>"MOD(ROW(),2)=0"</formula>
    </cfRule>
  </conditionalFormatting>
  <conditionalFormatting sqref="J32">
    <cfRule type="expression" dxfId="497" priority="437">
      <formula>MOD(ROW(),2)=0</formula>
    </cfRule>
    <cfRule type="expression" dxfId="496" priority="438">
      <formula>"MOD(ROW(),2)=0"</formula>
    </cfRule>
  </conditionalFormatting>
  <conditionalFormatting sqref="I30">
    <cfRule type="expression" dxfId="495" priority="435">
      <formula>MOD(ROW(),2)=0</formula>
    </cfRule>
    <cfRule type="expression" dxfId="494" priority="436">
      <formula>"MOD(ROW(),2)=0"</formula>
    </cfRule>
  </conditionalFormatting>
  <conditionalFormatting sqref="I30">
    <cfRule type="expression" dxfId="493" priority="433">
      <formula>MOD(ROW(),2)=0</formula>
    </cfRule>
    <cfRule type="expression" dxfId="492" priority="434">
      <formula>"MOD(ROW(),2)=0"</formula>
    </cfRule>
  </conditionalFormatting>
  <conditionalFormatting sqref="M30">
    <cfRule type="expression" dxfId="491" priority="431">
      <formula>MOD(ROW(),2)=0</formula>
    </cfRule>
    <cfRule type="expression" dxfId="490" priority="432">
      <formula>"MOD(ROW(),2)=0"</formula>
    </cfRule>
  </conditionalFormatting>
  <conditionalFormatting sqref="M30">
    <cfRule type="expression" dxfId="489" priority="429">
      <formula>MOD(ROW(),2)=0</formula>
    </cfRule>
    <cfRule type="expression" dxfId="488" priority="430">
      <formula>"MOD(ROW(),2)=0"</formula>
    </cfRule>
  </conditionalFormatting>
  <conditionalFormatting sqref="Q30">
    <cfRule type="expression" dxfId="487" priority="427">
      <formula>MOD(ROW(),2)=0</formula>
    </cfRule>
    <cfRule type="expression" dxfId="486" priority="428">
      <formula>"MOD(ROW(),2)=0"</formula>
    </cfRule>
  </conditionalFormatting>
  <conditionalFormatting sqref="Q30">
    <cfRule type="expression" dxfId="485" priority="425">
      <formula>MOD(ROW(),2)=0</formula>
    </cfRule>
    <cfRule type="expression" dxfId="484" priority="426">
      <formula>"MOD(ROW(),2)=0"</formula>
    </cfRule>
  </conditionalFormatting>
  <conditionalFormatting sqref="D30">
    <cfRule type="expression" dxfId="483" priority="423">
      <formula>MOD(ROW(),2)=0</formula>
    </cfRule>
    <cfRule type="expression" dxfId="482" priority="424">
      <formula>"MOD(ROW(),2)=0"</formula>
    </cfRule>
  </conditionalFormatting>
  <conditionalFormatting sqref="C30">
    <cfRule type="expression" dxfId="481" priority="421">
      <formula>MOD(ROW(),2)=0</formula>
    </cfRule>
    <cfRule type="expression" dxfId="480" priority="422">
      <formula>"MOD(ROW(),2)=0"</formula>
    </cfRule>
  </conditionalFormatting>
  <conditionalFormatting sqref="B30">
    <cfRule type="expression" dxfId="479" priority="419">
      <formula>MOD(ROW(),2)=0</formula>
    </cfRule>
    <cfRule type="expression" dxfId="478" priority="420">
      <formula>"MOD(ROW(),2)=0"</formula>
    </cfRule>
  </conditionalFormatting>
  <conditionalFormatting sqref="I31">
    <cfRule type="expression" dxfId="477" priority="417">
      <formula>MOD(ROW(),2)=0</formula>
    </cfRule>
    <cfRule type="expression" dxfId="476" priority="418">
      <formula>"MOD(ROW(),2)=0"</formula>
    </cfRule>
  </conditionalFormatting>
  <conditionalFormatting sqref="I31">
    <cfRule type="expression" dxfId="475" priority="415">
      <formula>MOD(ROW(),2)=0</formula>
    </cfRule>
    <cfRule type="expression" dxfId="474" priority="416">
      <formula>"MOD(ROW(),2)=0"</formula>
    </cfRule>
  </conditionalFormatting>
  <conditionalFormatting sqref="M31">
    <cfRule type="expression" dxfId="473" priority="413">
      <formula>MOD(ROW(),2)=0</formula>
    </cfRule>
    <cfRule type="expression" dxfId="472" priority="414">
      <formula>"MOD(ROW(),2)=0"</formula>
    </cfRule>
  </conditionalFormatting>
  <conditionalFormatting sqref="M31">
    <cfRule type="expression" dxfId="471" priority="411">
      <formula>MOD(ROW(),2)=0</formula>
    </cfRule>
    <cfRule type="expression" dxfId="470" priority="412">
      <formula>"MOD(ROW(),2)=0"</formula>
    </cfRule>
  </conditionalFormatting>
  <conditionalFormatting sqref="Q31">
    <cfRule type="expression" dxfId="469" priority="409">
      <formula>MOD(ROW(),2)=0</formula>
    </cfRule>
    <cfRule type="expression" dxfId="468" priority="410">
      <formula>"MOD(ROW(),2)=0"</formula>
    </cfRule>
  </conditionalFormatting>
  <conditionalFormatting sqref="Q31">
    <cfRule type="expression" dxfId="467" priority="407">
      <formula>MOD(ROW(),2)=0</formula>
    </cfRule>
    <cfRule type="expression" dxfId="466" priority="408">
      <formula>"MOD(ROW(),2)=0"</formula>
    </cfRule>
  </conditionalFormatting>
  <conditionalFormatting sqref="D31">
    <cfRule type="expression" dxfId="465" priority="405">
      <formula>MOD(ROW(),2)=0</formula>
    </cfRule>
    <cfRule type="expression" dxfId="464" priority="406">
      <formula>"MOD(ROW(),2)=0"</formula>
    </cfRule>
  </conditionalFormatting>
  <conditionalFormatting sqref="C31">
    <cfRule type="expression" dxfId="463" priority="403">
      <formula>MOD(ROW(),2)=0</formula>
    </cfRule>
    <cfRule type="expression" dxfId="462" priority="404">
      <formula>"MOD(ROW(),2)=0"</formula>
    </cfRule>
  </conditionalFormatting>
  <conditionalFormatting sqref="B31">
    <cfRule type="expression" dxfId="461" priority="401">
      <formula>MOD(ROW(),2)=0</formula>
    </cfRule>
    <cfRule type="expression" dxfId="460" priority="402">
      <formula>"MOD(ROW(),2)=0"</formula>
    </cfRule>
  </conditionalFormatting>
  <conditionalFormatting sqref="D32">
    <cfRule type="expression" dxfId="459" priority="399">
      <formula>MOD(ROW(),2)=0</formula>
    </cfRule>
    <cfRule type="expression" dxfId="458" priority="400">
      <formula>"MOD(ROW(),2)=0"</formula>
    </cfRule>
  </conditionalFormatting>
  <conditionalFormatting sqref="C32">
    <cfRule type="expression" dxfId="457" priority="397">
      <formula>MOD(ROW(),2)=0</formula>
    </cfRule>
    <cfRule type="expression" dxfId="456" priority="398">
      <formula>"MOD(ROW(),2)=0"</formula>
    </cfRule>
  </conditionalFormatting>
  <conditionalFormatting sqref="B32">
    <cfRule type="expression" dxfId="455" priority="395">
      <formula>MOD(ROW(),2)=0</formula>
    </cfRule>
    <cfRule type="expression" dxfId="454" priority="396">
      <formula>"MOD(ROW(),2)=0"</formula>
    </cfRule>
  </conditionalFormatting>
  <conditionalFormatting sqref="Q33">
    <cfRule type="expression" dxfId="453" priority="393">
      <formula>MOD(ROW(),2)=0</formula>
    </cfRule>
    <cfRule type="expression" dxfId="452" priority="394">
      <formula>"MOD(ROW(),2)=0"</formula>
    </cfRule>
  </conditionalFormatting>
  <conditionalFormatting sqref="Q33">
    <cfRule type="expression" dxfId="451" priority="391">
      <formula>MOD(ROW(),2)=0</formula>
    </cfRule>
    <cfRule type="expression" dxfId="450" priority="392">
      <formula>"MOD(ROW(),2)=0"</formula>
    </cfRule>
  </conditionalFormatting>
  <conditionalFormatting sqref="D33">
    <cfRule type="expression" dxfId="449" priority="389">
      <formula>MOD(ROW(),2)=0</formula>
    </cfRule>
    <cfRule type="expression" dxfId="448" priority="390">
      <formula>"MOD(ROW(),2)=0"</formula>
    </cfRule>
  </conditionalFormatting>
  <conditionalFormatting sqref="C33">
    <cfRule type="expression" dxfId="447" priority="387">
      <formula>MOD(ROW(),2)=0</formula>
    </cfRule>
    <cfRule type="expression" dxfId="446" priority="388">
      <formula>"MOD(ROW(),2)=0"</formula>
    </cfRule>
  </conditionalFormatting>
  <conditionalFormatting sqref="B33">
    <cfRule type="expression" dxfId="445" priority="385">
      <formula>MOD(ROW(),2)=0</formula>
    </cfRule>
    <cfRule type="expression" dxfId="444" priority="386">
      <formula>"MOD(ROW(),2)=0"</formula>
    </cfRule>
  </conditionalFormatting>
  <conditionalFormatting sqref="J34:L34 N34:P34">
    <cfRule type="expression" dxfId="443" priority="375">
      <formula>MOD(ROW(),2)=0</formula>
    </cfRule>
    <cfRule type="expression" dxfId="442" priority="376">
      <formula>"MOD(ROW(),2)=0"</formula>
    </cfRule>
  </conditionalFormatting>
  <conditionalFormatting sqref="I34">
    <cfRule type="expression" dxfId="441" priority="373">
      <formula>MOD(ROW(),2)=0</formula>
    </cfRule>
    <cfRule type="expression" dxfId="440" priority="374">
      <formula>"MOD(ROW(),2)=0"</formula>
    </cfRule>
  </conditionalFormatting>
  <conditionalFormatting sqref="I34">
    <cfRule type="expression" dxfId="439" priority="371">
      <formula>MOD(ROW(),2)=0</formula>
    </cfRule>
    <cfRule type="expression" dxfId="438" priority="372">
      <formula>"MOD(ROW(),2)=0"</formula>
    </cfRule>
  </conditionalFormatting>
  <conditionalFormatting sqref="M34">
    <cfRule type="expression" dxfId="437" priority="367">
      <formula>MOD(ROW(),2)=0</formula>
    </cfRule>
    <cfRule type="expression" dxfId="436" priority="368">
      <formula>"MOD(ROW(),2)=0"</formula>
    </cfRule>
  </conditionalFormatting>
  <conditionalFormatting sqref="M34">
    <cfRule type="expression" dxfId="435" priority="369">
      <formula>MOD(ROW(),2)=0</formula>
    </cfRule>
    <cfRule type="expression" dxfId="434" priority="370">
      <formula>"MOD(ROW(),2)=0"</formula>
    </cfRule>
  </conditionalFormatting>
  <conditionalFormatting sqref="Q34">
    <cfRule type="expression" dxfId="433" priority="365">
      <formula>MOD(ROW(),2)=0</formula>
    </cfRule>
    <cfRule type="expression" dxfId="432" priority="366">
      <formula>"MOD(ROW(),2)=0"</formula>
    </cfRule>
  </conditionalFormatting>
  <conditionalFormatting sqref="D34">
    <cfRule type="expression" dxfId="431" priority="363">
      <formula>MOD(ROW(),2)=0</formula>
    </cfRule>
    <cfRule type="expression" dxfId="430" priority="364">
      <formula>"MOD(ROW(),2)=0"</formula>
    </cfRule>
  </conditionalFormatting>
  <conditionalFormatting sqref="C34">
    <cfRule type="expression" dxfId="429" priority="361">
      <formula>MOD(ROW(),2)=0</formula>
    </cfRule>
    <cfRule type="expression" dxfId="428" priority="362">
      <formula>"MOD(ROW(),2)=0"</formula>
    </cfRule>
  </conditionalFormatting>
  <conditionalFormatting sqref="B34">
    <cfRule type="expression" dxfId="427" priority="359">
      <formula>MOD(ROW(),2)=0</formula>
    </cfRule>
    <cfRule type="expression" dxfId="426" priority="360">
      <formula>"MOD(ROW(),2)=0"</formula>
    </cfRule>
  </conditionalFormatting>
  <conditionalFormatting sqref="T35">
    <cfRule type="expression" dxfId="425" priority="357">
      <formula>MOD(ROW(),2)=0</formula>
    </cfRule>
    <cfRule type="expression" dxfId="424" priority="358">
      <formula>"MOD(ROW(),2)=0"</formula>
    </cfRule>
  </conditionalFormatting>
  <conditionalFormatting sqref="I35">
    <cfRule type="expression" dxfId="423" priority="355">
      <formula>MOD(ROW(),2)=0</formula>
    </cfRule>
    <cfRule type="expression" dxfId="422" priority="356">
      <formula>"MOD(ROW(),2)=0"</formula>
    </cfRule>
  </conditionalFormatting>
  <conditionalFormatting sqref="I35">
    <cfRule type="expression" dxfId="421" priority="353">
      <formula>MOD(ROW(),2)=0</formula>
    </cfRule>
    <cfRule type="expression" dxfId="420" priority="354">
      <formula>"MOD(ROW(),2)=0"</formula>
    </cfRule>
  </conditionalFormatting>
  <conditionalFormatting sqref="M35">
    <cfRule type="expression" dxfId="419" priority="349">
      <formula>MOD(ROW(),2)=0</formula>
    </cfRule>
    <cfRule type="expression" dxfId="418" priority="350">
      <formula>"MOD(ROW(),2)=0"</formula>
    </cfRule>
  </conditionalFormatting>
  <conditionalFormatting sqref="M35">
    <cfRule type="expression" dxfId="417" priority="351">
      <formula>MOD(ROW(),2)=0</formula>
    </cfRule>
    <cfRule type="expression" dxfId="416" priority="352">
      <formula>"MOD(ROW(),2)=0"</formula>
    </cfRule>
  </conditionalFormatting>
  <conditionalFormatting sqref="D35">
    <cfRule type="expression" dxfId="415" priority="347">
      <formula>MOD(ROW(),2)=0</formula>
    </cfRule>
    <cfRule type="expression" dxfId="414" priority="348">
      <formula>"MOD(ROW(),2)=0"</formula>
    </cfRule>
  </conditionalFormatting>
  <conditionalFormatting sqref="C35">
    <cfRule type="expression" dxfId="413" priority="345">
      <formula>MOD(ROW(),2)=0</formula>
    </cfRule>
    <cfRule type="expression" dxfId="412" priority="346">
      <formula>"MOD(ROW(),2)=0"</formula>
    </cfRule>
  </conditionalFormatting>
  <conditionalFormatting sqref="B35">
    <cfRule type="expression" dxfId="411" priority="343">
      <formula>MOD(ROW(),2)=0</formula>
    </cfRule>
    <cfRule type="expression" dxfId="410" priority="344">
      <formula>"MOD(ROW(),2)=0"</formula>
    </cfRule>
  </conditionalFormatting>
  <conditionalFormatting sqref="Q36">
    <cfRule type="expression" dxfId="409" priority="341">
      <formula>MOD(ROW(),2)=0</formula>
    </cfRule>
    <cfRule type="expression" dxfId="408" priority="342">
      <formula>"MOD(ROW(),2)=0"</formula>
    </cfRule>
  </conditionalFormatting>
  <conditionalFormatting sqref="Q36">
    <cfRule type="expression" dxfId="407" priority="339">
      <formula>MOD(ROW(),2)=0</formula>
    </cfRule>
    <cfRule type="expression" dxfId="406" priority="340">
      <formula>"MOD(ROW(),2)=0"</formula>
    </cfRule>
  </conditionalFormatting>
  <conditionalFormatting sqref="D36">
    <cfRule type="expression" dxfId="405" priority="337">
      <formula>MOD(ROW(),2)=0</formula>
    </cfRule>
    <cfRule type="expression" dxfId="404" priority="338">
      <formula>"MOD(ROW(),2)=0"</formula>
    </cfRule>
  </conditionalFormatting>
  <conditionalFormatting sqref="C36">
    <cfRule type="expression" dxfId="403" priority="335">
      <formula>MOD(ROW(),2)=0</formula>
    </cfRule>
    <cfRule type="expression" dxfId="402" priority="336">
      <formula>"MOD(ROW(),2)=0"</formula>
    </cfRule>
  </conditionalFormatting>
  <conditionalFormatting sqref="B36">
    <cfRule type="expression" dxfId="401" priority="333">
      <formula>MOD(ROW(),2)=0</formula>
    </cfRule>
    <cfRule type="expression" dxfId="400" priority="334">
      <formula>"MOD(ROW(),2)=0"</formula>
    </cfRule>
  </conditionalFormatting>
  <conditionalFormatting sqref="I37">
    <cfRule type="expression" dxfId="399" priority="331">
      <formula>MOD(ROW(),2)=0</formula>
    </cfRule>
    <cfRule type="expression" dxfId="398" priority="332">
      <formula>"MOD(ROW(),2)=0"</formula>
    </cfRule>
  </conditionalFormatting>
  <conditionalFormatting sqref="I37">
    <cfRule type="expression" dxfId="397" priority="329">
      <formula>MOD(ROW(),2)=0</formula>
    </cfRule>
    <cfRule type="expression" dxfId="396" priority="330">
      <formula>"MOD(ROW(),2)=0"</formula>
    </cfRule>
  </conditionalFormatting>
  <conditionalFormatting sqref="M37">
    <cfRule type="expression" dxfId="395" priority="327">
      <formula>MOD(ROW(),2)=0</formula>
    </cfRule>
    <cfRule type="expression" dxfId="394" priority="328">
      <formula>"MOD(ROW(),2)=0"</formula>
    </cfRule>
  </conditionalFormatting>
  <conditionalFormatting sqref="M37">
    <cfRule type="expression" dxfId="393" priority="325">
      <formula>MOD(ROW(),2)=0</formula>
    </cfRule>
    <cfRule type="expression" dxfId="392" priority="326">
      <formula>"MOD(ROW(),2)=0"</formula>
    </cfRule>
  </conditionalFormatting>
  <conditionalFormatting sqref="I38">
    <cfRule type="expression" dxfId="391" priority="323">
      <formula>MOD(ROW(),2)=0</formula>
    </cfRule>
    <cfRule type="expression" dxfId="390" priority="324">
      <formula>"MOD(ROW(),2)=0"</formula>
    </cfRule>
  </conditionalFormatting>
  <conditionalFormatting sqref="I38">
    <cfRule type="expression" dxfId="389" priority="321">
      <formula>MOD(ROW(),2)=0</formula>
    </cfRule>
    <cfRule type="expression" dxfId="388" priority="322">
      <formula>"MOD(ROW(),2)=0"</formula>
    </cfRule>
  </conditionalFormatting>
  <conditionalFormatting sqref="M38">
    <cfRule type="expression" dxfId="387" priority="319">
      <formula>MOD(ROW(),2)=0</formula>
    </cfRule>
    <cfRule type="expression" dxfId="386" priority="320">
      <formula>"MOD(ROW(),2)=0"</formula>
    </cfRule>
  </conditionalFormatting>
  <conditionalFormatting sqref="M38">
    <cfRule type="expression" dxfId="385" priority="317">
      <formula>MOD(ROW(),2)=0</formula>
    </cfRule>
    <cfRule type="expression" dxfId="384" priority="318">
      <formula>"MOD(ROW(),2)=0"</formula>
    </cfRule>
  </conditionalFormatting>
  <conditionalFormatting sqref="D37">
    <cfRule type="expression" dxfId="383" priority="315">
      <formula>MOD(ROW(),2)=0</formula>
    </cfRule>
    <cfRule type="expression" dxfId="382" priority="316">
      <formula>"MOD(ROW(),2)=0"</formula>
    </cfRule>
  </conditionalFormatting>
  <conditionalFormatting sqref="C37">
    <cfRule type="expression" dxfId="381" priority="313">
      <formula>MOD(ROW(),2)=0</formula>
    </cfRule>
    <cfRule type="expression" dxfId="380" priority="314">
      <formula>"MOD(ROW(),2)=0"</formula>
    </cfRule>
  </conditionalFormatting>
  <conditionalFormatting sqref="B37">
    <cfRule type="expression" dxfId="379" priority="311">
      <formula>MOD(ROW(),2)=0</formula>
    </cfRule>
    <cfRule type="expression" dxfId="378" priority="312">
      <formula>"MOD(ROW(),2)=0"</formula>
    </cfRule>
  </conditionalFormatting>
  <conditionalFormatting sqref="D38">
    <cfRule type="expression" dxfId="377" priority="309">
      <formula>MOD(ROW(),2)=0</formula>
    </cfRule>
    <cfRule type="expression" dxfId="376" priority="310">
      <formula>"MOD(ROW(),2)=0"</formula>
    </cfRule>
  </conditionalFormatting>
  <conditionalFormatting sqref="C38">
    <cfRule type="expression" dxfId="375" priority="307">
      <formula>MOD(ROW(),2)=0</formula>
    </cfRule>
    <cfRule type="expression" dxfId="374" priority="308">
      <formula>"MOD(ROW(),2)=0"</formula>
    </cfRule>
  </conditionalFormatting>
  <conditionalFormatting sqref="B38">
    <cfRule type="expression" dxfId="373" priority="305">
      <formula>MOD(ROW(),2)=0</formula>
    </cfRule>
    <cfRule type="expression" dxfId="372" priority="306">
      <formula>"MOD(ROW(),2)=0"</formula>
    </cfRule>
  </conditionalFormatting>
  <conditionalFormatting sqref="T41">
    <cfRule type="expression" dxfId="371" priority="295">
      <formula>MOD(ROW(),2)=0</formula>
    </cfRule>
    <cfRule type="expression" dxfId="370" priority="296">
      <formula>"MOD(ROW(),2)=0"</formula>
    </cfRule>
  </conditionalFormatting>
  <conditionalFormatting sqref="Q40">
    <cfRule type="expression" dxfId="369" priority="293">
      <formula>MOD(ROW(),2)=0</formula>
    </cfRule>
    <cfRule type="expression" dxfId="368" priority="294">
      <formula>"MOD(ROW(),2)=0"</formula>
    </cfRule>
  </conditionalFormatting>
  <conditionalFormatting sqref="Q41">
    <cfRule type="expression" dxfId="367" priority="291">
      <formula>MOD(ROW(),2)=0</formula>
    </cfRule>
    <cfRule type="expression" dxfId="366" priority="292">
      <formula>"MOD(ROW(),2)=0"</formula>
    </cfRule>
  </conditionalFormatting>
  <conditionalFormatting sqref="D41">
    <cfRule type="expression" dxfId="365" priority="289">
      <formula>MOD(ROW(),2)=0</formula>
    </cfRule>
    <cfRule type="expression" dxfId="364" priority="290">
      <formula>"MOD(ROW(),2)=0"</formula>
    </cfRule>
  </conditionalFormatting>
  <conditionalFormatting sqref="C41">
    <cfRule type="expression" dxfId="363" priority="287">
      <formula>MOD(ROW(),2)=0</formula>
    </cfRule>
    <cfRule type="expression" dxfId="362" priority="288">
      <formula>"MOD(ROW(),2)=0"</formula>
    </cfRule>
  </conditionalFormatting>
  <conditionalFormatting sqref="B41">
    <cfRule type="expression" dxfId="361" priority="285">
      <formula>MOD(ROW(),2)=0</formula>
    </cfRule>
    <cfRule type="expression" dxfId="360" priority="286">
      <formula>"MOD(ROW(),2)=0"</formula>
    </cfRule>
  </conditionalFormatting>
  <conditionalFormatting sqref="D42">
    <cfRule type="expression" dxfId="359" priority="281">
      <formula>MOD(ROW(),2)=0</formula>
    </cfRule>
    <cfRule type="expression" dxfId="358" priority="282">
      <formula>"MOD(ROW(),2)=0"</formula>
    </cfRule>
  </conditionalFormatting>
  <conditionalFormatting sqref="C42">
    <cfRule type="expression" dxfId="357" priority="279">
      <formula>MOD(ROW(),2)=0</formula>
    </cfRule>
    <cfRule type="expression" dxfId="356" priority="280">
      <formula>"MOD(ROW(),2)=0"</formula>
    </cfRule>
  </conditionalFormatting>
  <conditionalFormatting sqref="B42">
    <cfRule type="expression" dxfId="355" priority="277">
      <formula>MOD(ROW(),2)=0</formula>
    </cfRule>
    <cfRule type="expression" dxfId="354" priority="278">
      <formula>"MOD(ROW(),2)=0"</formula>
    </cfRule>
  </conditionalFormatting>
  <conditionalFormatting sqref="T42">
    <cfRule type="expression" dxfId="353" priority="275">
      <formula>MOD(ROW(),2)=0</formula>
    </cfRule>
    <cfRule type="expression" dxfId="352" priority="276">
      <formula>"MOD(ROW(),2)=0"</formula>
    </cfRule>
  </conditionalFormatting>
  <conditionalFormatting sqref="S42 S40 S19:S38">
    <cfRule type="expression" dxfId="351" priority="273">
      <formula>MOD(ROW(),2)=0</formula>
    </cfRule>
    <cfRule type="expression" dxfId="350" priority="274">
      <formula>"MOD(ROW(),2)=0"</formula>
    </cfRule>
  </conditionalFormatting>
  <conditionalFormatting sqref="T43">
    <cfRule type="expression" dxfId="349" priority="271">
      <formula>MOD(ROW(),2)=0</formula>
    </cfRule>
    <cfRule type="expression" dxfId="348" priority="272">
      <formula>"MOD(ROW(),2)=0"</formula>
    </cfRule>
  </conditionalFormatting>
  <conditionalFormatting sqref="I43">
    <cfRule type="expression" dxfId="347" priority="269">
      <formula>MOD(ROW(),2)=0</formula>
    </cfRule>
    <cfRule type="expression" dxfId="346" priority="270">
      <formula>"MOD(ROW(),2)=0"</formula>
    </cfRule>
  </conditionalFormatting>
  <conditionalFormatting sqref="B43">
    <cfRule type="expression" dxfId="345" priority="259">
      <formula>MOD(ROW(),2)=0</formula>
    </cfRule>
    <cfRule type="expression" dxfId="344" priority="260">
      <formula>"MOD(ROW(),2)=0"</formula>
    </cfRule>
  </conditionalFormatting>
  <conditionalFormatting sqref="M43">
    <cfRule type="expression" dxfId="343" priority="265">
      <formula>MOD(ROW(),2)=0</formula>
    </cfRule>
    <cfRule type="expression" dxfId="342" priority="266">
      <formula>"MOD(ROW(),2)=0"</formula>
    </cfRule>
  </conditionalFormatting>
  <conditionalFormatting sqref="D43">
    <cfRule type="expression" dxfId="341" priority="263">
      <formula>MOD(ROW(),2)=0</formula>
    </cfRule>
    <cfRule type="expression" dxfId="340" priority="264">
      <formula>"MOD(ROW(),2)=0"</formula>
    </cfRule>
  </conditionalFormatting>
  <conditionalFormatting sqref="C43">
    <cfRule type="expression" dxfId="339" priority="261">
      <formula>MOD(ROW(),2)=0</formula>
    </cfRule>
    <cfRule type="expression" dxfId="338" priority="262">
      <formula>"MOD(ROW(),2)=0"</formula>
    </cfRule>
  </conditionalFormatting>
  <conditionalFormatting sqref="K40">
    <cfRule type="expression" dxfId="337" priority="257">
      <formula>MOD(ROW(),2)=0</formula>
    </cfRule>
    <cfRule type="expression" dxfId="336" priority="258">
      <formula>"MOD(ROW(),2)=0"</formula>
    </cfRule>
  </conditionalFormatting>
  <conditionalFormatting sqref="S44:T44">
    <cfRule type="expression" dxfId="335" priority="255">
      <formula>MOD(ROW(),2)=0</formula>
    </cfRule>
    <cfRule type="expression" dxfId="334" priority="256">
      <formula>"MOD(ROW(),2)=0"</formula>
    </cfRule>
  </conditionalFormatting>
  <conditionalFormatting sqref="Q44">
    <cfRule type="expression" dxfId="333" priority="253">
      <formula>MOD(ROW(),2)=0</formula>
    </cfRule>
    <cfRule type="expression" dxfId="332" priority="254">
      <formula>"MOD(ROW(),2)=0"</formula>
    </cfRule>
  </conditionalFormatting>
  <conditionalFormatting sqref="Q44">
    <cfRule type="expression" dxfId="331" priority="251">
      <formula>MOD(ROW(),2)=0</formula>
    </cfRule>
    <cfRule type="expression" dxfId="330" priority="252">
      <formula>"MOD(ROW(),2)=0"</formula>
    </cfRule>
  </conditionalFormatting>
  <conditionalFormatting sqref="I44:J44">
    <cfRule type="expression" dxfId="329" priority="249">
      <formula>MOD(ROW(),2)=0</formula>
    </cfRule>
    <cfRule type="expression" dxfId="328" priority="250">
      <formula>"MOD(ROW(),2)=0"</formula>
    </cfRule>
  </conditionalFormatting>
  <conditionalFormatting sqref="B44">
    <cfRule type="expression" dxfId="327" priority="243">
      <formula>MOD(ROW(),2)=0</formula>
    </cfRule>
    <cfRule type="expression" dxfId="326" priority="244">
      <formula>"MOD(ROW(),2)=0"</formula>
    </cfRule>
  </conditionalFormatting>
  <conditionalFormatting sqref="D44">
    <cfRule type="expression" dxfId="325" priority="247">
      <formula>MOD(ROW(),2)=0</formula>
    </cfRule>
    <cfRule type="expression" dxfId="324" priority="248">
      <formula>"MOD(ROW(),2)=0"</formula>
    </cfRule>
  </conditionalFormatting>
  <conditionalFormatting sqref="C44">
    <cfRule type="expression" dxfId="323" priority="245">
      <formula>MOD(ROW(),2)=0</formula>
    </cfRule>
    <cfRule type="expression" dxfId="322" priority="246">
      <formula>"MOD(ROW(),2)=0"</formula>
    </cfRule>
  </conditionalFormatting>
  <conditionalFormatting sqref="B12">
    <cfRule type="expression" dxfId="321" priority="241">
      <formula>MOD(ROW(),2)=0</formula>
    </cfRule>
  </conditionalFormatting>
  <conditionalFormatting sqref="Q5">
    <cfRule type="expression" dxfId="320" priority="238">
      <formula>MOD(ROW(),2)=0</formula>
    </cfRule>
    <cfRule type="expression" dxfId="319" priority="239">
      <formula>"MOD(ROW(),2)=0"</formula>
    </cfRule>
  </conditionalFormatting>
  <conditionalFormatting sqref="B1">
    <cfRule type="expression" dxfId="318" priority="148">
      <formula>MOD(ROW(),2)=0</formula>
    </cfRule>
    <cfRule type="expression" dxfId="317" priority="149">
      <formula>"MOD(ROW(),2)=0"</formula>
    </cfRule>
  </conditionalFormatting>
  <conditionalFormatting sqref="I6:R6 T6">
    <cfRule type="expression" dxfId="316" priority="230">
      <formula>MOD(ROW(),2)=0</formula>
    </cfRule>
  </conditionalFormatting>
  <conditionalFormatting sqref="T7">
    <cfRule type="expression" dxfId="315" priority="218">
      <formula>MOD(ROW(),2)=0</formula>
    </cfRule>
    <cfRule type="expression" dxfId="314" priority="219">
      <formula>"MOD(ROW(),2)=0"</formula>
    </cfRule>
  </conditionalFormatting>
  <conditionalFormatting sqref="D7">
    <cfRule type="expression" dxfId="313" priority="216">
      <formula>MOD(ROW(),2)=0</formula>
    </cfRule>
    <cfRule type="expression" dxfId="312" priority="217">
      <formula>"MOD(ROW(),2)=0"</formula>
    </cfRule>
  </conditionalFormatting>
  <conditionalFormatting sqref="Q7">
    <cfRule type="expression" dxfId="311" priority="210">
      <formula>MOD(ROW(),2)=0</formula>
    </cfRule>
    <cfRule type="expression" dxfId="310" priority="211">
      <formula>"MOD(ROW(),2)=0"</formula>
    </cfRule>
  </conditionalFormatting>
  <conditionalFormatting sqref="J12:L12 N12:S12">
    <cfRule type="expression" dxfId="309" priority="207">
      <formula>MOD(ROW(),2)=0</formula>
    </cfRule>
  </conditionalFormatting>
  <conditionalFormatting sqref="T12">
    <cfRule type="expression" dxfId="308" priority="205">
      <formula>MOD(ROW(),2)=0</formula>
    </cfRule>
    <cfRule type="expression" dxfId="307" priority="206">
      <formula>"MOD(ROW(),2)=0"</formula>
    </cfRule>
  </conditionalFormatting>
  <conditionalFormatting sqref="I12">
    <cfRule type="expression" dxfId="306" priority="203">
      <formula>MOD(ROW(),2)=0</formula>
    </cfRule>
    <cfRule type="expression" dxfId="305" priority="204">
      <formula>"MOD(ROW(),2)=0"</formula>
    </cfRule>
  </conditionalFormatting>
  <conditionalFormatting sqref="M12">
    <cfRule type="expression" dxfId="304" priority="201">
      <formula>MOD(ROW(),2)=0</formula>
    </cfRule>
    <cfRule type="expression" dxfId="303" priority="202">
      <formula>"MOD(ROW(),2)=0"</formula>
    </cfRule>
  </conditionalFormatting>
  <conditionalFormatting sqref="D12">
    <cfRule type="expression" dxfId="302" priority="199">
      <formula>MOD(ROW(),2)=0</formula>
    </cfRule>
    <cfRule type="expression" dxfId="301" priority="200">
      <formula>"MOD(ROW(),2)=0"</formula>
    </cfRule>
  </conditionalFormatting>
  <conditionalFormatting sqref="I11:P11 R11 T11">
    <cfRule type="expression" dxfId="300" priority="180">
      <formula>MOD(ROW(),2)=0</formula>
    </cfRule>
  </conditionalFormatting>
  <conditionalFormatting sqref="D8">
    <cfRule type="expression" dxfId="299" priority="168">
      <formula>MOD(ROW(),2)=0</formula>
    </cfRule>
    <cfRule type="expression" dxfId="298" priority="169">
      <formula>"MOD(ROW(),2)=0"</formula>
    </cfRule>
  </conditionalFormatting>
  <conditionalFormatting sqref="Q11">
    <cfRule type="expression" dxfId="297" priority="162">
      <formula>MOD(ROW(),2)=0</formula>
    </cfRule>
    <cfRule type="expression" dxfId="296" priority="163">
      <formula>"MOD(ROW(),2)=0"</formula>
    </cfRule>
  </conditionalFormatting>
  <conditionalFormatting sqref="Q11">
    <cfRule type="expression" dxfId="295" priority="160">
      <formula>MOD(ROW(),2)=0</formula>
    </cfRule>
    <cfRule type="expression" dxfId="294" priority="161">
      <formula>"MOD(ROW(),2)=0"</formula>
    </cfRule>
  </conditionalFormatting>
  <conditionalFormatting sqref="D11">
    <cfRule type="expression" dxfId="293" priority="158">
      <formula>MOD(ROW(),2)=0</formula>
    </cfRule>
    <cfRule type="expression" dxfId="292" priority="159">
      <formula>"MOD(ROW(),2)=0"</formula>
    </cfRule>
  </conditionalFormatting>
  <conditionalFormatting sqref="B1">
    <cfRule type="expression" dxfId="291" priority="150">
      <formula>MOD(ROW(),2)=0</formula>
    </cfRule>
    <cfRule type="expression" dxfId="290" priority="151">
      <formula>"MOD(ROW(),2)=0"</formula>
    </cfRule>
  </conditionalFormatting>
  <conditionalFormatting sqref="D10">
    <cfRule type="expression" dxfId="289" priority="142">
      <formula>MOD(ROW(),2)=0</formula>
    </cfRule>
    <cfRule type="expression" dxfId="288" priority="143">
      <formula>"MOD(ROW(),2)=0"</formula>
    </cfRule>
  </conditionalFormatting>
  <conditionalFormatting sqref="C10">
    <cfRule type="expression" dxfId="287" priority="140">
      <formula>MOD(ROW(),2)=0</formula>
    </cfRule>
    <cfRule type="expression" dxfId="286" priority="141">
      <formula>"MOD(ROW(),2)=0"</formula>
    </cfRule>
  </conditionalFormatting>
  <conditionalFormatting sqref="B10">
    <cfRule type="expression" dxfId="285" priority="138">
      <formula>MOD(ROW(),2)=0</formula>
    </cfRule>
    <cfRule type="expression" dxfId="284" priority="139">
      <formula>"MOD(ROW(),2)=0"</formula>
    </cfRule>
  </conditionalFormatting>
  <conditionalFormatting sqref="K44">
    <cfRule type="expression" dxfId="283" priority="133">
      <formula>MOD(ROW(),2)=0</formula>
    </cfRule>
  </conditionalFormatting>
  <conditionalFormatting sqref="D9">
    <cfRule type="expression" dxfId="282" priority="107">
      <formula>MOD(ROW(),2)=0</formula>
    </cfRule>
    <cfRule type="expression" dxfId="281" priority="108">
      <formula>"MOD(ROW(),2)=0"</formula>
    </cfRule>
  </conditionalFormatting>
  <conditionalFormatting sqref="E1:H1 F5:G7">
    <cfRule type="expression" dxfId="280" priority="100">
      <formula>MOD(ROW(),2)=0</formula>
    </cfRule>
  </conditionalFormatting>
  <conditionalFormatting sqref="B11">
    <cfRule type="expression" dxfId="279" priority="97">
      <formula>MOD(ROW(),2)=0</formula>
    </cfRule>
  </conditionalFormatting>
  <conditionalFormatting sqref="T6">
    <cfRule type="expression" dxfId="278" priority="95">
      <formula>MOD(ROW(),2)=0</formula>
    </cfRule>
    <cfRule type="expression" dxfId="277" priority="96">
      <formula>"MOD(ROW(),2)=0"</formula>
    </cfRule>
  </conditionalFormatting>
  <conditionalFormatting sqref="D6">
    <cfRule type="expression" dxfId="276" priority="93">
      <formula>MOD(ROW(),2)=0</formula>
    </cfRule>
    <cfRule type="expression" dxfId="275" priority="94">
      <formula>"MOD(ROW(),2)=0"</formula>
    </cfRule>
  </conditionalFormatting>
  <conditionalFormatting sqref="Q6">
    <cfRule type="expression" dxfId="274" priority="91">
      <formula>MOD(ROW(),2)=0</formula>
    </cfRule>
    <cfRule type="expression" dxfId="273" priority="92">
      <formula>"MOD(ROW(),2)=0"</formula>
    </cfRule>
  </conditionalFormatting>
  <conditionalFormatting sqref="J11:L11 N11:S11">
    <cfRule type="expression" dxfId="272" priority="90">
      <formula>MOD(ROW(),2)=0</formula>
    </cfRule>
  </conditionalFormatting>
  <conditionalFormatting sqref="T11">
    <cfRule type="expression" dxfId="271" priority="88">
      <formula>MOD(ROW(),2)=0</formula>
    </cfRule>
    <cfRule type="expression" dxfId="270" priority="89">
      <formula>"MOD(ROW(),2)=0"</formula>
    </cfRule>
  </conditionalFormatting>
  <conditionalFormatting sqref="I11">
    <cfRule type="expression" dxfId="269" priority="86">
      <formula>MOD(ROW(),2)=0</formula>
    </cfRule>
    <cfRule type="expression" dxfId="268" priority="87">
      <formula>"MOD(ROW(),2)=0"</formula>
    </cfRule>
  </conditionalFormatting>
  <conditionalFormatting sqref="M11">
    <cfRule type="expression" dxfId="267" priority="84">
      <formula>MOD(ROW(),2)=0</formula>
    </cfRule>
    <cfRule type="expression" dxfId="266" priority="85">
      <formula>"MOD(ROW(),2)=0"</formula>
    </cfRule>
  </conditionalFormatting>
  <conditionalFormatting sqref="D11">
    <cfRule type="expression" dxfId="265" priority="82">
      <formula>MOD(ROW(),2)=0</formula>
    </cfRule>
    <cfRule type="expression" dxfId="264" priority="83">
      <formula>"MOD(ROW(),2)=0"</formula>
    </cfRule>
  </conditionalFormatting>
  <conditionalFormatting sqref="D10">
    <cfRule type="expression" dxfId="263" priority="70">
      <formula>MOD(ROW(),2)=0</formula>
    </cfRule>
    <cfRule type="expression" dxfId="262" priority="71">
      <formula>"MOD(ROW(),2)=0"</formula>
    </cfRule>
  </conditionalFormatting>
  <conditionalFormatting sqref="D8">
    <cfRule type="expression" dxfId="261" priority="64">
      <formula>MOD(ROW(),2)=0</formula>
    </cfRule>
    <cfRule type="expression" dxfId="260" priority="65">
      <formula>"MOD(ROW(),2)=0"</formula>
    </cfRule>
  </conditionalFormatting>
  <conditionalFormatting sqref="D9">
    <cfRule type="expression" dxfId="259" priority="59">
      <formula>MOD(ROW(),2)=0</formula>
    </cfRule>
    <cfRule type="expression" dxfId="258" priority="60">
      <formula>"MOD(ROW(),2)=0"</formula>
    </cfRule>
  </conditionalFormatting>
  <conditionalFormatting sqref="C9">
    <cfRule type="expression" dxfId="257" priority="57">
      <formula>MOD(ROW(),2)=0</formula>
    </cfRule>
    <cfRule type="expression" dxfId="256" priority="58">
      <formula>"MOD(ROW(),2)=0"</formula>
    </cfRule>
  </conditionalFormatting>
  <conditionalFormatting sqref="B9">
    <cfRule type="expression" dxfId="255" priority="55">
      <formula>MOD(ROW(),2)=0</formula>
    </cfRule>
    <cfRule type="expression" dxfId="254" priority="56">
      <formula>"MOD(ROW(),2)=0"</formula>
    </cfRule>
  </conditionalFormatting>
  <conditionalFormatting sqref="Q7">
    <cfRule type="expression" dxfId="253" priority="40">
      <formula>MOD(ROW(),2)=0</formula>
    </cfRule>
    <cfRule type="expression" dxfId="252" priority="41">
      <formula>"MOD(ROW(),2)=0"</formula>
    </cfRule>
  </conditionalFormatting>
  <conditionalFormatting sqref="D7">
    <cfRule type="expression" dxfId="251" priority="38">
      <formula>MOD(ROW(),2)=0</formula>
    </cfRule>
    <cfRule type="expression" dxfId="250" priority="39">
      <formula>"MOD(ROW(),2)=0"</formula>
    </cfRule>
  </conditionalFormatting>
  <conditionalFormatting sqref="S7">
    <cfRule type="expression" dxfId="249" priority="36">
      <formula>MOD(ROW(),2)=0</formula>
    </cfRule>
    <cfRule type="expression" dxfId="248" priority="37">
      <formula>"MOD(ROW(),2)=0"</formula>
    </cfRule>
  </conditionalFormatting>
  <conditionalFormatting sqref="T7">
    <cfRule type="expression" dxfId="247" priority="52">
      <formula>MOD(ROW(),2)=0</formula>
    </cfRule>
  </conditionalFormatting>
  <conditionalFormatting sqref="I7">
    <cfRule type="expression" dxfId="246" priority="50">
      <formula>MOD(ROW(),2)=0</formula>
    </cfRule>
    <cfRule type="expression" dxfId="245" priority="51">
      <formula>"MOD(ROW(),2)=0"</formula>
    </cfRule>
  </conditionalFormatting>
  <conditionalFormatting sqref="I7">
    <cfRule type="expression" dxfId="244" priority="48">
      <formula>MOD(ROW(),2)=0</formula>
    </cfRule>
    <cfRule type="expression" dxfId="243" priority="49">
      <formula>"MOD(ROW(),2)=0"</formula>
    </cfRule>
  </conditionalFormatting>
  <conditionalFormatting sqref="M7">
    <cfRule type="expression" dxfId="242" priority="46">
      <formula>MOD(ROW(),2)=0</formula>
    </cfRule>
    <cfRule type="expression" dxfId="241" priority="47">
      <formula>"MOD(ROW(),2)=0"</formula>
    </cfRule>
  </conditionalFormatting>
  <conditionalFormatting sqref="M7">
    <cfRule type="expression" dxfId="240" priority="44">
      <formula>MOD(ROW(),2)=0</formula>
    </cfRule>
    <cfRule type="expression" dxfId="239" priority="45">
      <formula>"MOD(ROW(),2)=0"</formula>
    </cfRule>
  </conditionalFormatting>
  <conditionalFormatting sqref="Q7">
    <cfRule type="expression" dxfId="238" priority="42">
      <formula>MOD(ROW(),2)=0</formula>
    </cfRule>
    <cfRule type="expression" dxfId="237" priority="43">
      <formula>"MOD(ROW(),2)=0"</formula>
    </cfRule>
  </conditionalFormatting>
  <conditionalFormatting sqref="U2">
    <cfRule type="expression" dxfId="236" priority="34">
      <formula>MOD(ROW(),2)=0</formula>
    </cfRule>
    <cfRule type="expression" dxfId="235" priority="35">
      <formula>"MOD(ROW(),2)=0"</formula>
    </cfRule>
  </conditionalFormatting>
  <conditionalFormatting sqref="V3">
    <cfRule type="expression" dxfId="234" priority="32">
      <formula>MOD(ROW(),2)=0</formula>
    </cfRule>
    <cfRule type="expression" dxfId="233" priority="33">
      <formula>"MOD(ROW(),2)=0"</formula>
    </cfRule>
  </conditionalFormatting>
  <conditionalFormatting sqref="V4">
    <cfRule type="expression" dxfId="232" priority="30">
      <formula>MOD(ROW(),2)=0</formula>
    </cfRule>
    <cfRule type="expression" dxfId="231" priority="31">
      <formula>"MOD(ROW(),2)=0"</formula>
    </cfRule>
  </conditionalFormatting>
  <conditionalFormatting sqref="U5">
    <cfRule type="expression" dxfId="230" priority="28">
      <formula>MOD(ROW(),2)=0</formula>
    </cfRule>
    <cfRule type="expression" dxfId="229" priority="29">
      <formula>"MOD(ROW(),2)=0"</formula>
    </cfRule>
  </conditionalFormatting>
  <conditionalFormatting sqref="U3">
    <cfRule type="expression" dxfId="228" priority="26">
      <formula>MOD(ROW(),2)=0</formula>
    </cfRule>
    <cfRule type="expression" dxfId="227" priority="27">
      <formula>"MOD(ROW(),2)=0"</formula>
    </cfRule>
  </conditionalFormatting>
  <conditionalFormatting sqref="U6">
    <cfRule type="expression" dxfId="226" priority="24">
      <formula>MOD(ROW(),2)=0</formula>
    </cfRule>
    <cfRule type="expression" dxfId="225" priority="25">
      <formula>"MOD(ROW(),2)=0"</formula>
    </cfRule>
  </conditionalFormatting>
  <conditionalFormatting sqref="U4">
    <cfRule type="expression" dxfId="224" priority="22">
      <formula>MOD(ROW(),2)=0</formula>
    </cfRule>
    <cfRule type="expression" dxfId="223" priority="23">
      <formula>"MOD(ROW(),2)=0"</formula>
    </cfRule>
  </conditionalFormatting>
  <conditionalFormatting sqref="U7">
    <cfRule type="expression" dxfId="222" priority="20">
      <formula>MOD(ROW(),2)=0</formula>
    </cfRule>
    <cfRule type="expression" dxfId="221" priority="21">
      <formula>"MOD(ROW(),2)=0"</formula>
    </cfRule>
  </conditionalFormatting>
  <conditionalFormatting sqref="U9">
    <cfRule type="expression" dxfId="220" priority="18">
      <formula>MOD(ROW(),2)=0</formula>
    </cfRule>
    <cfRule type="expression" dxfId="219" priority="19">
      <formula>"MOD(ROW(),2)=0"</formula>
    </cfRule>
  </conditionalFormatting>
  <conditionalFormatting sqref="U10">
    <cfRule type="expression" dxfId="218" priority="16">
      <formula>MOD(ROW(),2)=0</formula>
    </cfRule>
    <cfRule type="expression" dxfId="217" priority="17">
      <formula>"MOD(ROW(),2)=0"</formula>
    </cfRule>
  </conditionalFormatting>
  <conditionalFormatting sqref="U8">
    <cfRule type="expression" dxfId="216" priority="14">
      <formula>MOD(ROW(),2)=0</formula>
    </cfRule>
    <cfRule type="expression" dxfId="215" priority="15">
      <formula>"MOD(ROW(),2)=0"</formula>
    </cfRule>
  </conditionalFormatting>
  <conditionalFormatting sqref="U11">
    <cfRule type="expression" dxfId="214" priority="12">
      <formula>MOD(ROW(),2)=0</formula>
    </cfRule>
    <cfRule type="expression" dxfId="213" priority="13">
      <formula>"MOD(ROW(),2)=0"</formula>
    </cfRule>
  </conditionalFormatting>
  <conditionalFormatting sqref="I2:P2">
    <cfRule type="expression" dxfId="212" priority="10">
      <formula>MOD(ROW(),2)=0</formula>
    </cfRule>
    <cfRule type="expression" dxfId="211" priority="11">
      <formula>"MOD(ROW(),2)=0"</formula>
    </cfRule>
  </conditionalFormatting>
  <conditionalFormatting sqref="Z3 Z5:Z11">
    <cfRule type="expression" dxfId="210" priority="9">
      <formula>MOD(ROW(),2)=0</formula>
    </cfRule>
  </conditionalFormatting>
  <conditionalFormatting sqref="Z5:Z6 Z3">
    <cfRule type="expression" dxfId="209" priority="7">
      <formula>MOD(ROW(),2)=0</formula>
    </cfRule>
    <cfRule type="expression" dxfId="208" priority="8">
      <formula>"MOD(ROW(),2)=0"</formula>
    </cfRule>
  </conditionalFormatting>
  <conditionalFormatting sqref="Z10">
    <cfRule type="expression" dxfId="207" priority="5">
      <formula>MOD(ROW(),2)=0</formula>
    </cfRule>
    <cfRule type="expression" dxfId="206" priority="6">
      <formula>"MOD(ROW(),2)=0"</formula>
    </cfRule>
  </conditionalFormatting>
  <conditionalFormatting sqref="Z8">
    <cfRule type="expression" dxfId="205" priority="3">
      <formula>MOD(ROW(),2)=0</formula>
    </cfRule>
    <cfRule type="expression" dxfId="204" priority="4">
      <formula>"MOD(ROW(),2)=0"</formula>
    </cfRule>
  </conditionalFormatting>
  <conditionalFormatting sqref="X9">
    <cfRule type="expression" dxfId="203" priority="1">
      <formula>MOD(ROW(),2)=0</formula>
    </cfRule>
    <cfRule type="expression" dxfId="202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335-144A-41B4-9F3B-21F68DE79361}">
  <dimension ref="A1:O44"/>
  <sheetViews>
    <sheetView showGridLines="0" zoomScale="145" zoomScaleNormal="145" workbookViewId="0">
      <selection activeCell="G2" sqref="G2:I2"/>
    </sheetView>
  </sheetViews>
  <sheetFormatPr defaultColWidth="9.140625" defaultRowHeight="11.25" x14ac:dyDescent="0.2"/>
  <cols>
    <col min="1" max="1" width="5.28515625" style="15" customWidth="1"/>
    <col min="2" max="2" width="16" style="15" customWidth="1"/>
    <col min="3" max="3" width="6.140625" style="15" customWidth="1"/>
    <col min="4" max="4" width="5.5703125" style="15" customWidth="1"/>
    <col min="5" max="5" width="3.28515625" style="15" customWidth="1"/>
    <col min="6" max="6" width="15.5703125" style="15" customWidth="1"/>
    <col min="7" max="7" width="5.85546875" style="15" customWidth="1"/>
    <col min="8" max="8" width="5" style="15" customWidth="1"/>
    <col min="9" max="9" width="3.140625" style="15" customWidth="1"/>
    <col min="10" max="10" width="5.7109375" style="15" customWidth="1"/>
    <col min="11" max="11" width="6.28515625" style="15" customWidth="1"/>
    <col min="12" max="12" width="2.5703125" style="15" customWidth="1"/>
    <col min="13" max="13" width="10.28515625" style="17" customWidth="1"/>
    <col min="14" max="14" width="5" style="14" customWidth="1"/>
    <col min="15" max="15" width="4.42578125" style="14" customWidth="1"/>
    <col min="16" max="16" width="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15" ht="12" customHeight="1" x14ac:dyDescent="0.2">
      <c r="A1" s="42" t="s">
        <v>308</v>
      </c>
    </row>
    <row r="2" spans="1:15" s="99" customFormat="1" ht="12" customHeight="1" x14ac:dyDescent="0.25">
      <c r="A2" s="96" t="s">
        <v>315</v>
      </c>
      <c r="B2" s="97" t="s">
        <v>375</v>
      </c>
      <c r="C2" s="104" t="s">
        <v>378</v>
      </c>
      <c r="D2" s="104" t="s">
        <v>383</v>
      </c>
      <c r="E2" s="104" t="s">
        <v>380</v>
      </c>
      <c r="F2" s="97" t="s">
        <v>376</v>
      </c>
      <c r="G2" s="104" t="s">
        <v>381</v>
      </c>
      <c r="H2" s="104" t="s">
        <v>382</v>
      </c>
      <c r="I2" s="104" t="s">
        <v>384</v>
      </c>
      <c r="J2" s="96" t="s">
        <v>47</v>
      </c>
      <c r="K2" s="96" t="s">
        <v>316</v>
      </c>
      <c r="L2" s="96" t="s">
        <v>274</v>
      </c>
      <c r="M2" s="97" t="s">
        <v>172</v>
      </c>
    </row>
    <row r="3" spans="1:15" ht="12" customHeight="1" x14ac:dyDescent="0.25">
      <c r="A3" s="16">
        <f t="shared" ref="A3:A11" si="0">(G3-C3)/C3</f>
        <v>-0.24074074074074084</v>
      </c>
      <c r="B3" s="17" t="s">
        <v>218</v>
      </c>
      <c r="C3" s="15">
        <v>0.54</v>
      </c>
      <c r="D3" s="15">
        <f>0.03*SQRT(E3)</f>
        <v>0.12</v>
      </c>
      <c r="E3" s="15">
        <v>16</v>
      </c>
      <c r="F3" s="17" t="s">
        <v>258</v>
      </c>
      <c r="G3" s="15">
        <v>0.41</v>
      </c>
      <c r="H3" s="15">
        <f>0.03*SQRT(I3)</f>
        <v>0.1161895003862225</v>
      </c>
      <c r="I3" s="15">
        <f>15</f>
        <v>15</v>
      </c>
      <c r="J3" s="15" t="s">
        <v>243</v>
      </c>
      <c r="K3" s="15">
        <v>0.05</v>
      </c>
      <c r="L3" s="15" t="s">
        <v>279</v>
      </c>
      <c r="M3" s="14" t="s">
        <v>260</v>
      </c>
    </row>
    <row r="4" spans="1:15" ht="12" customHeight="1" x14ac:dyDescent="0.2">
      <c r="A4" s="16">
        <f t="shared" si="0"/>
        <v>-0.28444444444444444</v>
      </c>
      <c r="B4" s="17" t="s">
        <v>218</v>
      </c>
      <c r="C4" s="15">
        <v>225000</v>
      </c>
      <c r="D4" s="28">
        <f>(248000-C4)*SQRT(E4)</f>
        <v>72732.386183872732</v>
      </c>
      <c r="E4" s="15">
        <v>10</v>
      </c>
      <c r="F4" s="17" t="s">
        <v>219</v>
      </c>
      <c r="G4" s="15">
        <v>161000</v>
      </c>
      <c r="H4" s="15">
        <f>(176000-G4)*SQRT(I4)</f>
        <v>47434.164902525692</v>
      </c>
      <c r="I4" s="15">
        <v>10</v>
      </c>
      <c r="J4" s="15" t="s">
        <v>242</v>
      </c>
      <c r="K4" s="15">
        <v>0.05</v>
      </c>
      <c r="L4" s="15" t="s">
        <v>279</v>
      </c>
      <c r="M4" s="17" t="s">
        <v>226</v>
      </c>
    </row>
    <row r="5" spans="1:15" ht="12" customHeight="1" x14ac:dyDescent="0.25">
      <c r="A5" s="16">
        <f t="shared" si="0"/>
        <v>-0.41509433962264147</v>
      </c>
      <c r="B5" s="17" t="s">
        <v>218</v>
      </c>
      <c r="C5" s="15">
        <v>21.2</v>
      </c>
      <c r="D5" s="15">
        <f>3.3*SQRT(E5)</f>
        <v>8.0833161511844871</v>
      </c>
      <c r="E5" s="15">
        <v>6</v>
      </c>
      <c r="F5" s="17" t="s">
        <v>258</v>
      </c>
      <c r="G5" s="15">
        <v>12.4</v>
      </c>
      <c r="H5" s="15">
        <f>1.2*SQRT(I5)</f>
        <v>2.9393876913398134</v>
      </c>
      <c r="I5" s="15">
        <v>6</v>
      </c>
      <c r="J5" s="15" t="s">
        <v>49</v>
      </c>
      <c r="K5" s="15">
        <v>0.05</v>
      </c>
      <c r="L5" s="15" t="s">
        <v>279</v>
      </c>
      <c r="M5" s="17" t="s">
        <v>259</v>
      </c>
    </row>
    <row r="6" spans="1:15" ht="12" customHeight="1" x14ac:dyDescent="0.2">
      <c r="A6" s="16">
        <f t="shared" si="0"/>
        <v>-0.46708074534161492</v>
      </c>
      <c r="B6" s="17" t="s">
        <v>218</v>
      </c>
      <c r="C6" s="15">
        <v>16.100000000000001</v>
      </c>
      <c r="D6" s="15">
        <v>7.7</v>
      </c>
      <c r="E6" s="15">
        <v>10</v>
      </c>
      <c r="F6" s="17" t="s">
        <v>303</v>
      </c>
      <c r="G6" s="15">
        <v>8.58</v>
      </c>
      <c r="H6" s="15">
        <v>3.3</v>
      </c>
      <c r="I6" s="15">
        <v>12</v>
      </c>
      <c r="J6" s="15" t="s">
        <v>49</v>
      </c>
      <c r="K6" s="15">
        <v>0.05</v>
      </c>
      <c r="L6" s="15" t="s">
        <v>279</v>
      </c>
      <c r="M6" s="17" t="s">
        <v>227</v>
      </c>
    </row>
    <row r="7" spans="1:15" ht="12" customHeight="1" x14ac:dyDescent="0.2">
      <c r="A7" s="16">
        <f t="shared" si="0"/>
        <v>-0.5085797341102668</v>
      </c>
      <c r="B7" s="17" t="s">
        <v>262</v>
      </c>
      <c r="C7" s="15">
        <v>304788</v>
      </c>
      <c r="D7" s="15">
        <v>113425</v>
      </c>
      <c r="E7" s="15">
        <v>4</v>
      </c>
      <c r="F7" s="17" t="s">
        <v>295</v>
      </c>
      <c r="G7" s="15">
        <v>149779</v>
      </c>
      <c r="H7" s="15">
        <v>34576</v>
      </c>
      <c r="I7" s="15">
        <v>7</v>
      </c>
      <c r="J7" s="15" t="s">
        <v>242</v>
      </c>
      <c r="K7" s="15" t="s">
        <v>313</v>
      </c>
      <c r="L7" s="15" t="s">
        <v>287</v>
      </c>
      <c r="M7" s="17" t="s">
        <v>294</v>
      </c>
    </row>
    <row r="8" spans="1:15" ht="12" customHeight="1" x14ac:dyDescent="0.2">
      <c r="A8" s="16">
        <f t="shared" si="0"/>
        <v>-0.52164502164502169</v>
      </c>
      <c r="B8" s="17" t="s">
        <v>208</v>
      </c>
      <c r="C8" s="15">
        <v>46.2</v>
      </c>
      <c r="D8" s="15">
        <v>10.6</v>
      </c>
      <c r="E8" s="15">
        <v>3</v>
      </c>
      <c r="F8" s="17" t="s">
        <v>301</v>
      </c>
      <c r="G8" s="15">
        <v>22.1</v>
      </c>
      <c r="H8" s="15">
        <v>8</v>
      </c>
      <c r="I8" s="15">
        <v>3</v>
      </c>
      <c r="J8" s="29" t="s">
        <v>49</v>
      </c>
      <c r="K8" s="15">
        <v>0.05</v>
      </c>
      <c r="L8" s="15" t="s">
        <v>287</v>
      </c>
      <c r="M8" s="14" t="s">
        <v>288</v>
      </c>
    </row>
    <row r="9" spans="1:15" ht="12" customHeight="1" x14ac:dyDescent="0.2">
      <c r="A9" s="44">
        <f t="shared" si="0"/>
        <v>-0.69004207573632537</v>
      </c>
      <c r="B9" s="45" t="s">
        <v>270</v>
      </c>
      <c r="C9" s="46">
        <v>0.71299999999999997</v>
      </c>
      <c r="D9" s="48">
        <f>0.105*SQRT(E9)</f>
        <v>0.29698484809834996</v>
      </c>
      <c r="E9" s="46">
        <v>8</v>
      </c>
      <c r="F9" s="45" t="s">
        <v>273</v>
      </c>
      <c r="G9" s="46">
        <v>0.221</v>
      </c>
      <c r="H9" s="48">
        <f>0.052*SQRT(I9)</f>
        <v>0.14707821048680189</v>
      </c>
      <c r="I9" s="46">
        <v>8</v>
      </c>
      <c r="J9" s="46" t="s">
        <v>243</v>
      </c>
      <c r="K9" s="46" t="s">
        <v>310</v>
      </c>
      <c r="L9" s="46" t="s">
        <v>280</v>
      </c>
      <c r="M9" s="45" t="s">
        <v>272</v>
      </c>
      <c r="N9" s="47"/>
      <c r="O9" s="47"/>
    </row>
    <row r="10" spans="1:15" ht="12" customHeight="1" x14ac:dyDescent="0.2">
      <c r="A10" s="16">
        <f t="shared" si="0"/>
        <v>-0.72793719545208446</v>
      </c>
      <c r="B10" s="17" t="s">
        <v>244</v>
      </c>
      <c r="C10" s="34">
        <v>7.3879999999999999</v>
      </c>
      <c r="D10" s="30">
        <v>6.74</v>
      </c>
      <c r="E10" s="15">
        <v>13</v>
      </c>
      <c r="F10" s="17" t="s">
        <v>245</v>
      </c>
      <c r="G10" s="15">
        <v>2.0099999999999998</v>
      </c>
      <c r="H10" s="30">
        <v>3.41</v>
      </c>
      <c r="I10" s="15">
        <v>15</v>
      </c>
      <c r="J10" s="15" t="s">
        <v>49</v>
      </c>
      <c r="K10" s="15">
        <v>0.05</v>
      </c>
      <c r="L10" s="15" t="s">
        <v>279</v>
      </c>
      <c r="M10" s="17" t="s">
        <v>223</v>
      </c>
    </row>
    <row r="11" spans="1:15" ht="12" customHeight="1" x14ac:dyDescent="0.2">
      <c r="A11" s="16">
        <f t="shared" si="0"/>
        <v>-0.91329479768786115</v>
      </c>
      <c r="B11" s="14" t="s">
        <v>262</v>
      </c>
      <c r="C11" s="15">
        <v>0.17299999999999999</v>
      </c>
      <c r="D11" s="36">
        <f>(0.226-C11)*SQRT(E11)</f>
        <v>0.14990663761154813</v>
      </c>
      <c r="E11" s="15">
        <v>8</v>
      </c>
      <c r="F11" s="14" t="s">
        <v>276</v>
      </c>
      <c r="G11" s="15">
        <v>1.4999999999999999E-2</v>
      </c>
      <c r="H11" s="15">
        <f>(0.024-G11)*SQRT(I11)</f>
        <v>2.5455844122715714E-2</v>
      </c>
      <c r="I11" s="15">
        <v>8</v>
      </c>
      <c r="J11" s="15" t="s">
        <v>243</v>
      </c>
      <c r="K11" s="15" t="s">
        <v>192</v>
      </c>
      <c r="L11" s="15" t="s">
        <v>280</v>
      </c>
      <c r="M11" s="17" t="s">
        <v>275</v>
      </c>
    </row>
    <row r="12" spans="1:15" ht="12" customHeight="1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8"/>
      <c r="N12" s="40"/>
    </row>
    <row r="13" spans="1:15" x14ac:dyDescent="0.2">
      <c r="A13" s="16"/>
      <c r="B13" s="19"/>
      <c r="D13" s="30"/>
      <c r="F13" s="19"/>
      <c r="H13" s="30"/>
    </row>
    <row r="15" spans="1:15" x14ac:dyDescent="0.2">
      <c r="A15" s="16"/>
    </row>
    <row r="16" spans="1:15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24"/>
    </row>
    <row r="18" spans="1:13" x14ac:dyDescent="0.2">
      <c r="A18" s="22"/>
      <c r="B18" s="24"/>
      <c r="C18" s="22"/>
      <c r="D18" s="22"/>
      <c r="E18" s="22"/>
      <c r="F18" s="24"/>
      <c r="G18" s="22"/>
      <c r="H18" s="22"/>
      <c r="I18" s="22"/>
      <c r="J18" s="22"/>
      <c r="K18" s="22"/>
      <c r="L18" s="22"/>
      <c r="M18" s="24"/>
    </row>
    <row r="19" spans="1:13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x14ac:dyDescent="0.2">
      <c r="A20" s="21" t="s">
        <v>186</v>
      </c>
      <c r="B20" s="25" t="s">
        <v>168</v>
      </c>
      <c r="C20" s="21" t="s">
        <v>187</v>
      </c>
      <c r="D20" s="21" t="s">
        <v>188</v>
      </c>
      <c r="E20" s="21" t="s">
        <v>39</v>
      </c>
      <c r="F20" s="25" t="s">
        <v>169</v>
      </c>
      <c r="G20" s="21" t="s">
        <v>189</v>
      </c>
      <c r="H20" s="21" t="s">
        <v>190</v>
      </c>
      <c r="I20" s="21" t="s">
        <v>40</v>
      </c>
      <c r="J20" s="21" t="s">
        <v>47</v>
      </c>
      <c r="K20" s="21" t="s">
        <v>191</v>
      </c>
      <c r="L20" s="21" t="s">
        <v>274</v>
      </c>
      <c r="M20" s="25" t="s">
        <v>172</v>
      </c>
    </row>
    <row r="21" spans="1:13" ht="13.5" x14ac:dyDescent="0.25">
      <c r="A21" s="16">
        <f t="shared" ref="A21:A37" si="1">(G21-C21)/C21</f>
        <v>-0.24074074074074084</v>
      </c>
      <c r="B21" s="17" t="s">
        <v>218</v>
      </c>
      <c r="C21" s="15">
        <v>0.54</v>
      </c>
      <c r="D21" s="15">
        <f>0.03*SQRT(E21)</f>
        <v>0.12</v>
      </c>
      <c r="E21" s="15">
        <v>16</v>
      </c>
      <c r="F21" s="17" t="s">
        <v>258</v>
      </c>
      <c r="G21" s="15">
        <v>0.41</v>
      </c>
      <c r="H21" s="15">
        <f>0.03*SQRT(I21)</f>
        <v>0.1161895003862225</v>
      </c>
      <c r="I21" s="15">
        <f>15</f>
        <v>15</v>
      </c>
      <c r="J21" s="15" t="s">
        <v>243</v>
      </c>
      <c r="K21" s="15">
        <v>1</v>
      </c>
      <c r="L21" s="15" t="s">
        <v>279</v>
      </c>
      <c r="M21" s="14" t="s">
        <v>260</v>
      </c>
    </row>
    <row r="22" spans="1:13" ht="12.75" x14ac:dyDescent="0.2">
      <c r="A22" s="16">
        <f t="shared" si="1"/>
        <v>-0.28444444444444444</v>
      </c>
      <c r="B22" s="17" t="s">
        <v>218</v>
      </c>
      <c r="C22" s="15">
        <v>225000</v>
      </c>
      <c r="D22" s="28">
        <f>(248000-C22)*SQRT(E22)</f>
        <v>72732.386183872732</v>
      </c>
      <c r="E22" s="15">
        <v>10</v>
      </c>
      <c r="F22" s="17" t="s">
        <v>219</v>
      </c>
      <c r="G22" s="15">
        <v>161000</v>
      </c>
      <c r="H22" s="15">
        <f>(176000-G22)*SQRT(I22)</f>
        <v>47434.164902525692</v>
      </c>
      <c r="I22" s="15">
        <v>10</v>
      </c>
      <c r="J22" s="15" t="s">
        <v>242</v>
      </c>
      <c r="K22" s="15">
        <v>1</v>
      </c>
      <c r="L22" s="15" t="s">
        <v>279</v>
      </c>
      <c r="M22" s="17" t="s">
        <v>226</v>
      </c>
    </row>
    <row r="23" spans="1:13" ht="13.5" x14ac:dyDescent="0.25">
      <c r="A23" s="16">
        <f t="shared" si="1"/>
        <v>-0.41509433962264147</v>
      </c>
      <c r="B23" s="17" t="s">
        <v>218</v>
      </c>
      <c r="C23" s="15">
        <v>21.2</v>
      </c>
      <c r="D23" s="15">
        <f>3.3*SQRT(E23)</f>
        <v>8.0833161511844871</v>
      </c>
      <c r="E23" s="15">
        <v>6</v>
      </c>
      <c r="F23" s="17" t="s">
        <v>258</v>
      </c>
      <c r="G23" s="15">
        <v>12.4</v>
      </c>
      <c r="H23" s="15">
        <f>1.2*SQRT(I23)</f>
        <v>2.9393876913398134</v>
      </c>
      <c r="I23" s="15">
        <v>6</v>
      </c>
      <c r="J23" s="15" t="s">
        <v>49</v>
      </c>
      <c r="K23" s="15">
        <v>1</v>
      </c>
      <c r="L23" s="15" t="s">
        <v>279</v>
      </c>
      <c r="M23" s="17" t="s">
        <v>259</v>
      </c>
    </row>
    <row r="24" spans="1:13" ht="12.75" x14ac:dyDescent="0.2">
      <c r="A24" s="16">
        <f t="shared" si="1"/>
        <v>-0.46708074534161492</v>
      </c>
      <c r="B24" s="17" t="s">
        <v>218</v>
      </c>
      <c r="C24" s="15">
        <v>16.100000000000001</v>
      </c>
      <c r="D24" s="15">
        <v>7.7</v>
      </c>
      <c r="E24" s="15">
        <v>10</v>
      </c>
      <c r="F24" s="17" t="s">
        <v>303</v>
      </c>
      <c r="G24" s="15">
        <v>8.58</v>
      </c>
      <c r="H24" s="15">
        <v>3.3</v>
      </c>
      <c r="I24" s="15">
        <v>12</v>
      </c>
      <c r="J24" s="15" t="s">
        <v>49</v>
      </c>
      <c r="K24" s="15">
        <v>1</v>
      </c>
      <c r="L24" s="15" t="s">
        <v>279</v>
      </c>
      <c r="M24" s="17" t="s">
        <v>227</v>
      </c>
    </row>
    <row r="25" spans="1:13" ht="12.75" x14ac:dyDescent="0.2">
      <c r="A25" s="16">
        <f t="shared" si="1"/>
        <v>-0.47830138445154419</v>
      </c>
      <c r="B25" s="17" t="s">
        <v>251</v>
      </c>
      <c r="C25" s="15">
        <v>75120</v>
      </c>
      <c r="D25" s="28">
        <f>(89820-C25)*SQRT(E25)</f>
        <v>53001.603749320639</v>
      </c>
      <c r="E25" s="15">
        <v>13</v>
      </c>
      <c r="F25" s="17" t="s">
        <v>252</v>
      </c>
      <c r="G25" s="15">
        <v>39190</v>
      </c>
      <c r="H25" s="15">
        <f>(45180-G25)*SQRT(I25)</f>
        <v>21597.252140029294</v>
      </c>
      <c r="I25" s="15">
        <v>13</v>
      </c>
      <c r="J25" s="15" t="s">
        <v>242</v>
      </c>
      <c r="K25" s="15">
        <v>6</v>
      </c>
      <c r="L25" s="15" t="s">
        <v>279</v>
      </c>
      <c r="M25" s="17" t="s">
        <v>225</v>
      </c>
    </row>
    <row r="26" spans="1:13" ht="12.75" x14ac:dyDescent="0.2">
      <c r="A26" s="16">
        <f t="shared" si="1"/>
        <v>-0.48387096774193544</v>
      </c>
      <c r="B26" s="17" t="s">
        <v>221</v>
      </c>
      <c r="C26" s="35">
        <v>3.1</v>
      </c>
      <c r="D26" s="28">
        <v>1</v>
      </c>
      <c r="E26" s="15">
        <v>16</v>
      </c>
      <c r="F26" s="17" t="s">
        <v>222</v>
      </c>
      <c r="G26" s="15">
        <v>1.6</v>
      </c>
      <c r="H26" s="30">
        <v>1</v>
      </c>
      <c r="I26" s="15">
        <v>20</v>
      </c>
      <c r="J26" s="15" t="s">
        <v>243</v>
      </c>
      <c r="K26" s="15">
        <v>1</v>
      </c>
      <c r="L26" s="15" t="s">
        <v>279</v>
      </c>
      <c r="M26" s="17" t="s">
        <v>223</v>
      </c>
    </row>
    <row r="27" spans="1:13" ht="12.75" x14ac:dyDescent="0.2">
      <c r="A27" s="16">
        <f t="shared" si="1"/>
        <v>-0.48577190230786466</v>
      </c>
      <c r="B27" s="17" t="s">
        <v>248</v>
      </c>
      <c r="C27" s="15">
        <v>44630</v>
      </c>
      <c r="D27" s="15">
        <f>(52020-C27)*SQRT(E27)</f>
        <v>26645.023925678881</v>
      </c>
      <c r="E27" s="15">
        <v>13</v>
      </c>
      <c r="F27" s="17" t="s">
        <v>249</v>
      </c>
      <c r="G27" s="15">
        <v>22950</v>
      </c>
      <c r="H27" s="15">
        <f>(25560-G27)*SQRT(I27)</f>
        <v>8656.3907028275935</v>
      </c>
      <c r="I27" s="15">
        <v>11</v>
      </c>
      <c r="J27" s="15" t="s">
        <v>242</v>
      </c>
      <c r="K27" s="15">
        <v>6</v>
      </c>
      <c r="L27" s="15" t="s">
        <v>279</v>
      </c>
      <c r="M27" s="17" t="s">
        <v>250</v>
      </c>
    </row>
    <row r="28" spans="1:13" ht="12.75" x14ac:dyDescent="0.2">
      <c r="A28" s="16">
        <f t="shared" si="1"/>
        <v>-0.5085797341102668</v>
      </c>
      <c r="B28" s="17" t="s">
        <v>262</v>
      </c>
      <c r="C28" s="15">
        <v>304788</v>
      </c>
      <c r="D28" s="15">
        <v>113425</v>
      </c>
      <c r="E28" s="15">
        <v>4</v>
      </c>
      <c r="F28" s="17" t="s">
        <v>295</v>
      </c>
      <c r="G28" s="15">
        <v>149779</v>
      </c>
      <c r="H28" s="15">
        <v>34576</v>
      </c>
      <c r="I28" s="15">
        <v>7</v>
      </c>
      <c r="J28" s="15" t="s">
        <v>242</v>
      </c>
      <c r="K28" s="15">
        <v>3</v>
      </c>
      <c r="L28" s="15" t="s">
        <v>287</v>
      </c>
      <c r="M28" s="17" t="s">
        <v>294</v>
      </c>
    </row>
    <row r="29" spans="1:13" ht="12.75" x14ac:dyDescent="0.2">
      <c r="A29" s="16">
        <f t="shared" si="1"/>
        <v>-0.52164502164502169</v>
      </c>
      <c r="B29" s="17" t="s">
        <v>208</v>
      </c>
      <c r="C29" s="15">
        <v>46.2</v>
      </c>
      <c r="D29" s="15">
        <v>10.6</v>
      </c>
      <c r="E29" s="15">
        <v>3</v>
      </c>
      <c r="F29" s="17" t="s">
        <v>301</v>
      </c>
      <c r="G29" s="15">
        <v>22.1</v>
      </c>
      <c r="H29" s="15">
        <v>8</v>
      </c>
      <c r="I29" s="15">
        <v>3</v>
      </c>
      <c r="J29" s="29" t="s">
        <v>49</v>
      </c>
      <c r="K29" s="15">
        <v>0.05</v>
      </c>
      <c r="L29" s="33" t="s">
        <v>287</v>
      </c>
      <c r="M29" s="14" t="s">
        <v>288</v>
      </c>
    </row>
    <row r="30" spans="1:13" ht="12.75" x14ac:dyDescent="0.2">
      <c r="A30" s="16">
        <f t="shared" si="1"/>
        <v>-0.55223880597014929</v>
      </c>
      <c r="B30" s="17" t="s">
        <v>246</v>
      </c>
      <c r="C30" s="15">
        <v>2.68</v>
      </c>
      <c r="D30" s="15">
        <f>(3.15-C30)*SQRT(E30)</f>
        <v>1.151260179108093</v>
      </c>
      <c r="E30" s="15">
        <v>6</v>
      </c>
      <c r="F30" s="17" t="s">
        <v>247</v>
      </c>
      <c r="G30" s="15">
        <v>1.2</v>
      </c>
      <c r="H30" s="15">
        <f>(1.56-G30)*SQRT(I30)</f>
        <v>0.8049844718999245</v>
      </c>
      <c r="I30" s="15">
        <v>5</v>
      </c>
      <c r="J30" s="15" t="s">
        <v>49</v>
      </c>
      <c r="K30" s="15">
        <v>1</v>
      </c>
      <c r="L30" s="15" t="s">
        <v>279</v>
      </c>
      <c r="M30" s="17" t="s">
        <v>241</v>
      </c>
    </row>
    <row r="31" spans="1:13" ht="12.75" x14ac:dyDescent="0.2">
      <c r="A31" s="16">
        <f t="shared" si="1"/>
        <v>-0.6587264150943396</v>
      </c>
      <c r="B31" s="14" t="s">
        <v>291</v>
      </c>
      <c r="C31" s="15">
        <v>42.4</v>
      </c>
      <c r="D31" s="15">
        <v>19.8</v>
      </c>
      <c r="E31" s="15">
        <v>13</v>
      </c>
      <c r="F31" s="14" t="s">
        <v>290</v>
      </c>
      <c r="G31" s="15">
        <v>14.47</v>
      </c>
      <c r="H31" s="15">
        <v>10.199999999999999</v>
      </c>
      <c r="I31" s="15">
        <v>13</v>
      </c>
      <c r="J31" s="15" t="s">
        <v>49</v>
      </c>
      <c r="K31" s="15">
        <v>2</v>
      </c>
      <c r="L31" s="15" t="s">
        <v>279</v>
      </c>
      <c r="M31" s="17" t="s">
        <v>289</v>
      </c>
    </row>
    <row r="32" spans="1:13" s="40" customFormat="1" ht="12.75" x14ac:dyDescent="0.2">
      <c r="A32" s="43">
        <f t="shared" si="1"/>
        <v>-0.69004207573632537</v>
      </c>
      <c r="B32" s="38" t="s">
        <v>270</v>
      </c>
      <c r="C32" s="37">
        <v>0.71299999999999997</v>
      </c>
      <c r="D32" s="39">
        <f>0.105*SQRT(E32)</f>
        <v>0.29698484809834996</v>
      </c>
      <c r="E32" s="37">
        <v>8</v>
      </c>
      <c r="F32" s="38" t="s">
        <v>273</v>
      </c>
      <c r="G32" s="37">
        <v>0.221</v>
      </c>
      <c r="H32" s="39">
        <f>0.052*SQRT(I32)</f>
        <v>0.14707821048680189</v>
      </c>
      <c r="I32" s="37">
        <v>8</v>
      </c>
      <c r="J32" s="37" t="s">
        <v>243</v>
      </c>
      <c r="K32" s="37">
        <v>7</v>
      </c>
      <c r="L32" s="37" t="s">
        <v>280</v>
      </c>
      <c r="M32" s="38" t="s">
        <v>272</v>
      </c>
    </row>
    <row r="33" spans="1:13" ht="12.75" x14ac:dyDescent="0.2">
      <c r="A33" s="16">
        <f t="shared" si="1"/>
        <v>-0.72793719545208446</v>
      </c>
      <c r="B33" s="17" t="s">
        <v>244</v>
      </c>
      <c r="C33" s="34">
        <v>7.3879999999999999</v>
      </c>
      <c r="D33" s="30">
        <v>6.74</v>
      </c>
      <c r="E33" s="15">
        <v>13</v>
      </c>
      <c r="F33" s="17" t="s">
        <v>245</v>
      </c>
      <c r="G33" s="15">
        <v>2.0099999999999998</v>
      </c>
      <c r="H33" s="30">
        <v>3.41</v>
      </c>
      <c r="I33" s="15">
        <v>15</v>
      </c>
      <c r="J33" s="15" t="s">
        <v>49</v>
      </c>
      <c r="K33" s="15">
        <v>1</v>
      </c>
      <c r="L33" s="15" t="s">
        <v>279</v>
      </c>
      <c r="M33" s="17" t="s">
        <v>223</v>
      </c>
    </row>
    <row r="34" spans="1:13" ht="12.75" x14ac:dyDescent="0.2">
      <c r="A34" s="16">
        <f t="shared" si="1"/>
        <v>-0.73305084745762716</v>
      </c>
      <c r="B34" s="17" t="s">
        <v>292</v>
      </c>
      <c r="C34" s="15">
        <v>472</v>
      </c>
      <c r="D34" s="15">
        <v>118</v>
      </c>
      <c r="E34" s="15">
        <v>6</v>
      </c>
      <c r="F34" s="17" t="s">
        <v>293</v>
      </c>
      <c r="G34" s="15">
        <v>126</v>
      </c>
      <c r="H34" s="15">
        <v>43</v>
      </c>
      <c r="I34" s="15">
        <v>6</v>
      </c>
      <c r="J34" s="14"/>
      <c r="K34" s="15">
        <v>0.05</v>
      </c>
      <c r="L34" s="15" t="s">
        <v>279</v>
      </c>
      <c r="M34" s="17" t="s">
        <v>302</v>
      </c>
    </row>
    <row r="35" spans="1:13" x14ac:dyDescent="0.2">
      <c r="A35" s="16">
        <f t="shared" si="1"/>
        <v>-0.82051282051282048</v>
      </c>
      <c r="B35" s="17" t="s">
        <v>286</v>
      </c>
      <c r="C35" s="15">
        <v>39</v>
      </c>
      <c r="D35" s="28">
        <f>12*SQRT(E35)</f>
        <v>46.475800154489008</v>
      </c>
      <c r="E35" s="15">
        <v>15</v>
      </c>
      <c r="F35" s="17" t="s">
        <v>286</v>
      </c>
      <c r="G35" s="15">
        <v>7</v>
      </c>
      <c r="H35" s="28">
        <f>3*SQRT(I35)</f>
        <v>10.816653826391967</v>
      </c>
      <c r="I35" s="15">
        <v>13</v>
      </c>
      <c r="J35" s="15" t="s">
        <v>49</v>
      </c>
      <c r="K35" s="15">
        <v>1</v>
      </c>
      <c r="L35" s="15" t="s">
        <v>283</v>
      </c>
      <c r="M35" s="14" t="s">
        <v>284</v>
      </c>
    </row>
    <row r="36" spans="1:13" ht="12.75" customHeight="1" x14ac:dyDescent="0.2">
      <c r="A36" s="16">
        <f t="shared" si="1"/>
        <v>-0.91176470588235303</v>
      </c>
      <c r="B36" s="17" t="s">
        <v>267</v>
      </c>
      <c r="C36" s="15">
        <v>0.68</v>
      </c>
      <c r="D36" s="15">
        <v>0.17</v>
      </c>
      <c r="E36" s="15">
        <v>9</v>
      </c>
      <c r="F36" s="17" t="s">
        <v>268</v>
      </c>
      <c r="G36" s="15">
        <v>0.06</v>
      </c>
      <c r="H36" s="15">
        <v>0.06</v>
      </c>
      <c r="I36" s="15">
        <v>9</v>
      </c>
      <c r="J36" s="15" t="s">
        <v>49</v>
      </c>
      <c r="K36" s="15">
        <v>1</v>
      </c>
      <c r="L36" s="15" t="s">
        <v>279</v>
      </c>
      <c r="M36" s="17" t="s">
        <v>269</v>
      </c>
    </row>
    <row r="37" spans="1:13" ht="12.75" customHeight="1" x14ac:dyDescent="0.2">
      <c r="A37" s="16">
        <f t="shared" si="1"/>
        <v>-0.91329479768786115</v>
      </c>
      <c r="B37" s="14" t="s">
        <v>262</v>
      </c>
      <c r="C37" s="15">
        <v>0.17299999999999999</v>
      </c>
      <c r="D37" s="36">
        <f>(0.226-C37)*SQRT(E37)</f>
        <v>0.14990663761154813</v>
      </c>
      <c r="E37" s="15">
        <v>8</v>
      </c>
      <c r="F37" s="14" t="s">
        <v>276</v>
      </c>
      <c r="G37" s="15">
        <v>1.4999999999999999E-2</v>
      </c>
      <c r="H37" s="15">
        <f>(0.024-G37)*SQRT(I37)</f>
        <v>2.5455844122715714E-2</v>
      </c>
      <c r="I37" s="15">
        <v>8</v>
      </c>
      <c r="J37" s="15" t="s">
        <v>243</v>
      </c>
      <c r="K37" s="15">
        <v>6</v>
      </c>
      <c r="L37" s="15" t="s">
        <v>280</v>
      </c>
      <c r="M37" s="17" t="s">
        <v>275</v>
      </c>
    </row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3" spans="1:13" x14ac:dyDescent="0.2">
      <c r="A43" s="16"/>
    </row>
    <row r="44" spans="1:13" x14ac:dyDescent="0.2">
      <c r="A44" s="16"/>
    </row>
  </sheetData>
  <sortState xmlns:xlrd2="http://schemas.microsoft.com/office/spreadsheetml/2017/richdata2" ref="A21:M37">
    <sortCondition descending="1" ref="A21:A37"/>
  </sortState>
  <conditionalFormatting sqref="P9:XFD9 P15:XFD15 AA35:XFD35 A31:I31 K31:M31 A20:M20 A17:E17 A2 G27:K27 H26:K26 C26:E27 K29:M29 C29:E29 G29:I29 B33 K33:L33 E33:I33 A24:K24 L24:L28 G35:I35 C35:E35 K35:L35 A25:A31 B36:I36 N9 A15:N15 N2:XFD8 N10:XFD12 N19:XFD31 C22:E23 G22:L23 A21:A23 A1:XFD1 A13:XFD14 A16:XFD16 A38:XFD1048576 A18:XFD18 G17:XFD17 N33:XFD34 N35 K36:XFD36 N37:XFD37 J2:M2">
    <cfRule type="expression" dxfId="201" priority="242">
      <formula>MOD(ROW(),2)=0</formula>
    </cfRule>
  </conditionalFormatting>
  <conditionalFormatting sqref="A1">
    <cfRule type="expression" dxfId="200" priority="232">
      <formula>MOD(ROW(),2)=0</formula>
    </cfRule>
    <cfRule type="expression" dxfId="199" priority="233">
      <formula>"MOD(ROW(),2)=0"</formula>
    </cfRule>
  </conditionalFormatting>
  <conditionalFormatting sqref="B21 D21:K21 M21">
    <cfRule type="expression" dxfId="198" priority="230">
      <formula>MOD(ROW(),2)=0</formula>
    </cfRule>
    <cfRule type="expression" dxfId="197" priority="231">
      <formula>"MOD(ROW(),2)=0"</formula>
    </cfRule>
  </conditionalFormatting>
  <conditionalFormatting sqref="M22">
    <cfRule type="expression" dxfId="196" priority="228">
      <formula>MOD(ROW(),2)=0</formula>
    </cfRule>
    <cfRule type="expression" dxfId="195" priority="229">
      <formula>"MOD(ROW(),2)=0"</formula>
    </cfRule>
  </conditionalFormatting>
  <conditionalFormatting sqref="M23">
    <cfRule type="expression" dxfId="194" priority="226">
      <formula>MOD(ROW(),2)=0</formula>
    </cfRule>
    <cfRule type="expression" dxfId="193" priority="227">
      <formula>"MOD(ROW(),2)=0"</formula>
    </cfRule>
  </conditionalFormatting>
  <conditionalFormatting sqref="M24">
    <cfRule type="expression" dxfId="192" priority="224">
      <formula>MOD(ROW(),2)=0</formula>
    </cfRule>
    <cfRule type="expression" dxfId="191" priority="225">
      <formula>"MOD(ROW(),2)=0"</formula>
    </cfRule>
  </conditionalFormatting>
  <conditionalFormatting sqref="M26">
    <cfRule type="expression" dxfId="190" priority="220">
      <formula>MOD(ROW(),2)=0</formula>
    </cfRule>
    <cfRule type="expression" dxfId="189" priority="221">
      <formula>"MOD(ROW(),2)=0"</formula>
    </cfRule>
  </conditionalFormatting>
  <conditionalFormatting sqref="M27">
    <cfRule type="expression" dxfId="188" priority="218">
      <formula>MOD(ROW(),2)=0</formula>
    </cfRule>
    <cfRule type="expression" dxfId="187" priority="219">
      <formula>"MOD(ROW(),2)=0"</formula>
    </cfRule>
  </conditionalFormatting>
  <conditionalFormatting sqref="G26">
    <cfRule type="expression" dxfId="186" priority="206">
      <formula>MOD(ROW(),2)=0</formula>
    </cfRule>
    <cfRule type="expression" dxfId="185" priority="207">
      <formula>"MOD(ROW(),2)=0"</formula>
    </cfRule>
  </conditionalFormatting>
  <conditionalFormatting sqref="B27">
    <cfRule type="expression" dxfId="184" priority="214">
      <formula>MOD(ROW(),2)=0</formula>
    </cfRule>
    <cfRule type="expression" dxfId="183" priority="215">
      <formula>"MOD(ROW(),2)=0"</formula>
    </cfRule>
  </conditionalFormatting>
  <conditionalFormatting sqref="F27">
    <cfRule type="expression" dxfId="182" priority="212">
      <formula>MOD(ROW(),2)=0</formula>
    </cfRule>
    <cfRule type="expression" dxfId="181" priority="213">
      <formula>"MOD(ROW(),2)=0"</formula>
    </cfRule>
  </conditionalFormatting>
  <conditionalFormatting sqref="J31">
    <cfRule type="expression" dxfId="180" priority="210">
      <formula>MOD(ROW(),2)=0</formula>
    </cfRule>
    <cfRule type="expression" dxfId="179" priority="211">
      <formula>"MOD(ROW(),2)=0"</formula>
    </cfRule>
  </conditionalFormatting>
  <conditionalFormatting sqref="B26">
    <cfRule type="expression" dxfId="178" priority="204">
      <formula>MOD(ROW(),2)=0</formula>
    </cfRule>
    <cfRule type="expression" dxfId="177" priority="205">
      <formula>"MOD(ROW(),2)=0"</formula>
    </cfRule>
  </conditionalFormatting>
  <conditionalFormatting sqref="F26">
    <cfRule type="expression" dxfId="176" priority="202">
      <formula>MOD(ROW(),2)=0</formula>
    </cfRule>
    <cfRule type="expression" dxfId="175" priority="203">
      <formula>"MOD(ROW(),2)=0"</formula>
    </cfRule>
  </conditionalFormatting>
  <conditionalFormatting sqref="J24">
    <cfRule type="expression" dxfId="174" priority="200">
      <formula>MOD(ROW(),2)=0</formula>
    </cfRule>
    <cfRule type="expression" dxfId="173" priority="201">
      <formula>"MOD(ROW(),2)=0"</formula>
    </cfRule>
  </conditionalFormatting>
  <conditionalFormatting sqref="B24">
    <cfRule type="expression" dxfId="172" priority="198">
      <formula>MOD(ROW(),2)=0</formula>
    </cfRule>
    <cfRule type="expression" dxfId="171" priority="199">
      <formula>"MOD(ROW(),2)=0"</formula>
    </cfRule>
  </conditionalFormatting>
  <conditionalFormatting sqref="F24">
    <cfRule type="expression" dxfId="170" priority="196">
      <formula>MOD(ROW(),2)=0</formula>
    </cfRule>
    <cfRule type="expression" dxfId="169" priority="197">
      <formula>"MOD(ROW(),2)=0"</formula>
    </cfRule>
  </conditionalFormatting>
  <conditionalFormatting sqref="M25">
    <cfRule type="expression" dxfId="168" priority="194">
      <formula>MOD(ROW(),2)=0</formula>
    </cfRule>
    <cfRule type="expression" dxfId="167" priority="195">
      <formula>"MOD(ROW(),2)=0"</formula>
    </cfRule>
  </conditionalFormatting>
  <conditionalFormatting sqref="B25">
    <cfRule type="expression" dxfId="166" priority="192">
      <formula>MOD(ROW(),2)=0</formula>
    </cfRule>
    <cfRule type="expression" dxfId="165" priority="193">
      <formula>"MOD(ROW(),2)=0"</formula>
    </cfRule>
  </conditionalFormatting>
  <conditionalFormatting sqref="B25">
    <cfRule type="expression" dxfId="164" priority="190">
      <formula>MOD(ROW(),2)=0</formula>
    </cfRule>
    <cfRule type="expression" dxfId="163" priority="191">
      <formula>"MOD(ROW(),2)=0"</formula>
    </cfRule>
  </conditionalFormatting>
  <conditionalFormatting sqref="F25">
    <cfRule type="expression" dxfId="162" priority="188">
      <formula>MOD(ROW(),2)=0</formula>
    </cfRule>
    <cfRule type="expression" dxfId="161" priority="189">
      <formula>"MOD(ROW(),2)=0"</formula>
    </cfRule>
  </conditionalFormatting>
  <conditionalFormatting sqref="F25">
    <cfRule type="expression" dxfId="160" priority="186">
      <formula>MOD(ROW(),2)=0</formula>
    </cfRule>
    <cfRule type="expression" dxfId="159" priority="187">
      <formula>"MOD(ROW(),2)=0"</formula>
    </cfRule>
  </conditionalFormatting>
  <conditionalFormatting sqref="J25">
    <cfRule type="expression" dxfId="158" priority="184">
      <formula>MOD(ROW(),2)=0</formula>
    </cfRule>
    <cfRule type="expression" dxfId="157" priority="185">
      <formula>"MOD(ROW(),2)=0"</formula>
    </cfRule>
  </conditionalFormatting>
  <conditionalFormatting sqref="J25">
    <cfRule type="expression" dxfId="156" priority="182">
      <formula>MOD(ROW(),2)=0</formula>
    </cfRule>
    <cfRule type="expression" dxfId="155" priority="183">
      <formula>"MOD(ROW(),2)=0"</formula>
    </cfRule>
  </conditionalFormatting>
  <conditionalFormatting sqref="F28">
    <cfRule type="expression" dxfId="154" priority="170">
      <formula>MOD(ROW(),2)=0</formula>
    </cfRule>
    <cfRule type="expression" dxfId="153" priority="171">
      <formula>"MOD(ROW(),2)=0"</formula>
    </cfRule>
  </conditionalFormatting>
  <conditionalFormatting sqref="C28:E28 G28:K28 M28">
    <cfRule type="expression" dxfId="152" priority="178">
      <formula>MOD(ROW(),2)=0</formula>
    </cfRule>
    <cfRule type="expression" dxfId="151" priority="179">
      <formula>"MOD(ROW(),2)=0"</formula>
    </cfRule>
  </conditionalFormatting>
  <conditionalFormatting sqref="B28">
    <cfRule type="expression" dxfId="150" priority="176">
      <formula>MOD(ROW(),2)=0</formula>
    </cfRule>
    <cfRule type="expression" dxfId="149" priority="177">
      <formula>"MOD(ROW(),2)=0"</formula>
    </cfRule>
  </conditionalFormatting>
  <conditionalFormatting sqref="B28">
    <cfRule type="expression" dxfId="148" priority="174">
      <formula>MOD(ROW(),2)=0</formula>
    </cfRule>
    <cfRule type="expression" dxfId="147" priority="175">
      <formula>"MOD(ROW(),2)=0"</formula>
    </cfRule>
  </conditionalFormatting>
  <conditionalFormatting sqref="F28">
    <cfRule type="expression" dxfId="146" priority="172">
      <formula>MOD(ROW(),2)=0</formula>
    </cfRule>
    <cfRule type="expression" dxfId="145" priority="173">
      <formula>"MOD(ROW(),2)=0"</formula>
    </cfRule>
  </conditionalFormatting>
  <conditionalFormatting sqref="J29">
    <cfRule type="expression" dxfId="144" priority="168">
      <formula>MOD(ROW(),2)=0</formula>
    </cfRule>
    <cfRule type="expression" dxfId="143" priority="169">
      <formula>"MOD(ROW(),2)=0"</formula>
    </cfRule>
  </conditionalFormatting>
  <conditionalFormatting sqref="B29">
    <cfRule type="expression" dxfId="142" priority="166">
      <formula>MOD(ROW(),2)=0</formula>
    </cfRule>
    <cfRule type="expression" dxfId="141" priority="167">
      <formula>"MOD(ROW(),2)=0"</formula>
    </cfRule>
  </conditionalFormatting>
  <conditionalFormatting sqref="B29">
    <cfRule type="expression" dxfId="140" priority="164">
      <formula>MOD(ROW(),2)=0</formula>
    </cfRule>
    <cfRule type="expression" dxfId="139" priority="165">
      <formula>"MOD(ROW(),2)=0"</formula>
    </cfRule>
  </conditionalFormatting>
  <conditionalFormatting sqref="F29">
    <cfRule type="expression" dxfId="138" priority="160">
      <formula>MOD(ROW(),2)=0</formula>
    </cfRule>
    <cfRule type="expression" dxfId="137" priority="161">
      <formula>"MOD(ROW(),2)=0"</formula>
    </cfRule>
  </conditionalFormatting>
  <conditionalFormatting sqref="F29">
    <cfRule type="expression" dxfId="136" priority="162">
      <formula>MOD(ROW(),2)=0</formula>
    </cfRule>
    <cfRule type="expression" dxfId="135" priority="163">
      <formula>"MOD(ROW(),2)=0"</formula>
    </cfRule>
  </conditionalFormatting>
  <conditionalFormatting sqref="B30:M30">
    <cfRule type="expression" dxfId="134" priority="158">
      <formula>MOD(ROW(),2)=0</formula>
    </cfRule>
    <cfRule type="expression" dxfId="133" priority="159">
      <formula>"MOD(ROW(),2)=0"</formula>
    </cfRule>
  </conditionalFormatting>
  <conditionalFormatting sqref="P32:XFD32">
    <cfRule type="expression" dxfId="132" priority="156">
      <formula>MOD(ROW(),2)=0</formula>
    </cfRule>
    <cfRule type="expression" dxfId="131" priority="157">
      <formula>"MOD(ROW(),2)=0"</formula>
    </cfRule>
  </conditionalFormatting>
  <conditionalFormatting sqref="J32">
    <cfRule type="expression" dxfId="130" priority="154">
      <formula>MOD(ROW(),2)=0</formula>
    </cfRule>
    <cfRule type="expression" dxfId="129" priority="155">
      <formula>"MOD(ROW(),2)=0"</formula>
    </cfRule>
  </conditionalFormatting>
  <conditionalFormatting sqref="A32">
    <cfRule type="expression" dxfId="128" priority="146">
      <formula>MOD(ROW(),2)=0</formula>
    </cfRule>
    <cfRule type="expression" dxfId="127" priority="147">
      <formula>"MOD(ROW(),2)=0"</formula>
    </cfRule>
  </conditionalFormatting>
  <conditionalFormatting sqref="M33">
    <cfRule type="expression" dxfId="126" priority="144">
      <formula>MOD(ROW(),2)=0</formula>
    </cfRule>
    <cfRule type="expression" dxfId="125" priority="145">
      <formula>"MOD(ROW(),2)=0"</formula>
    </cfRule>
  </conditionalFormatting>
  <conditionalFormatting sqref="J33">
    <cfRule type="expression" dxfId="124" priority="142">
      <formula>MOD(ROW(),2)=0</formula>
    </cfRule>
    <cfRule type="expression" dxfId="123" priority="143">
      <formula>"MOD(ROW(),2)=0"</formula>
    </cfRule>
  </conditionalFormatting>
  <conditionalFormatting sqref="C33:D33">
    <cfRule type="expression" dxfId="122" priority="140">
      <formula>MOD(ROW(),2)=0</formula>
    </cfRule>
    <cfRule type="expression" dxfId="121" priority="141">
      <formula>"MOD(ROW(),2)=0"</formula>
    </cfRule>
  </conditionalFormatting>
  <conditionalFormatting sqref="A33:A34">
    <cfRule type="expression" dxfId="120" priority="138">
      <formula>MOD(ROW(),2)=0</formula>
    </cfRule>
    <cfRule type="expression" dxfId="119" priority="139">
      <formula>"MOD(ROW(),2)=0"</formula>
    </cfRule>
  </conditionalFormatting>
  <conditionalFormatting sqref="L34">
    <cfRule type="expression" dxfId="118" priority="130">
      <formula>MOD(ROW(),2)=0</formula>
    </cfRule>
    <cfRule type="expression" dxfId="117" priority="131">
      <formula>"MOD(ROW(),2)=0"</formula>
    </cfRule>
  </conditionalFormatting>
  <conditionalFormatting sqref="B34:K34">
    <cfRule type="expression" dxfId="116" priority="134">
      <formula>MOD(ROW(),2)=0</formula>
    </cfRule>
    <cfRule type="expression" dxfId="115" priority="135">
      <formula>"MOD(ROW(),2)=0"</formula>
    </cfRule>
  </conditionalFormatting>
  <conditionalFormatting sqref="M34">
    <cfRule type="expression" dxfId="114" priority="132">
      <formula>MOD(ROW(),2)=0</formula>
    </cfRule>
    <cfRule type="expression" dxfId="113" priority="133">
      <formula>"MOD(ROW(),2)=0"</formula>
    </cfRule>
  </conditionalFormatting>
  <conditionalFormatting sqref="L21">
    <cfRule type="expression" dxfId="112" priority="128">
      <formula>MOD(ROW(),2)=0</formula>
    </cfRule>
    <cfRule type="expression" dxfId="111" priority="129">
      <formula>"MOD(ROW(),2)=0"</formula>
    </cfRule>
  </conditionalFormatting>
  <conditionalFormatting sqref="M35">
    <cfRule type="expression" dxfId="110" priority="126">
      <formula>MOD(ROW(),2)=0</formula>
    </cfRule>
    <cfRule type="expression" dxfId="109" priority="127">
      <formula>"MOD(ROW(),2)=0"</formula>
    </cfRule>
  </conditionalFormatting>
  <conditionalFormatting sqref="F35">
    <cfRule type="expression" dxfId="108" priority="124">
      <formula>MOD(ROW(),2)=0</formula>
    </cfRule>
    <cfRule type="expression" dxfId="107" priority="125">
      <formula>"MOD(ROW(),2)=0"</formula>
    </cfRule>
  </conditionalFormatting>
  <conditionalFormatting sqref="B35">
    <cfRule type="expression" dxfId="106" priority="122">
      <formula>MOD(ROW(),2)=0</formula>
    </cfRule>
    <cfRule type="expression" dxfId="105" priority="123">
      <formula>"MOD(ROW(),2)=0"</formula>
    </cfRule>
  </conditionalFormatting>
  <conditionalFormatting sqref="J35">
    <cfRule type="expression" dxfId="104" priority="120">
      <formula>MOD(ROW(),2)=0</formula>
    </cfRule>
    <cfRule type="expression" dxfId="103" priority="121">
      <formula>"MOD(ROW(),2)=0"</formula>
    </cfRule>
  </conditionalFormatting>
  <conditionalFormatting sqref="A35:A36">
    <cfRule type="expression" dxfId="102" priority="118">
      <formula>MOD(ROW(),2)=0</formula>
    </cfRule>
    <cfRule type="expression" dxfId="101" priority="119">
      <formula>"MOD(ROW(),2)=0"</formula>
    </cfRule>
  </conditionalFormatting>
  <conditionalFormatting sqref="J22">
    <cfRule type="expression" dxfId="100" priority="116">
      <formula>MOD(ROW(),2)=0</formula>
    </cfRule>
    <cfRule type="expression" dxfId="99" priority="117">
      <formula>"MOD(ROW(),2)=0"</formula>
    </cfRule>
  </conditionalFormatting>
  <conditionalFormatting sqref="F22">
    <cfRule type="expression" dxfId="98" priority="114">
      <formula>MOD(ROW(),2)=0</formula>
    </cfRule>
    <cfRule type="expression" dxfId="97" priority="115">
      <formula>"MOD(ROW(),2)=0"</formula>
    </cfRule>
  </conditionalFormatting>
  <conditionalFormatting sqref="B22">
    <cfRule type="expression" dxfId="96" priority="112">
      <formula>MOD(ROW(),2)=0</formula>
    </cfRule>
    <cfRule type="expression" dxfId="95" priority="113">
      <formula>"MOD(ROW(),2)=0"</formula>
    </cfRule>
  </conditionalFormatting>
  <conditionalFormatting sqref="J36">
    <cfRule type="expression" dxfId="94" priority="106">
      <formula>MOD(ROW(),2)=0</formula>
    </cfRule>
    <cfRule type="expression" dxfId="93" priority="107">
      <formula>"MOD(ROW(),2)=0"</formula>
    </cfRule>
  </conditionalFormatting>
  <conditionalFormatting sqref="J36">
    <cfRule type="expression" dxfId="92" priority="108">
      <formula>MOD(ROW(),2)=0</formula>
    </cfRule>
    <cfRule type="expression" dxfId="91" priority="109">
      <formula>"MOD(ROW(),2)=0"</formula>
    </cfRule>
  </conditionalFormatting>
  <conditionalFormatting sqref="B23">
    <cfRule type="expression" dxfId="90" priority="104">
      <formula>MOD(ROW(),2)=0</formula>
    </cfRule>
    <cfRule type="expression" dxfId="89" priority="105">
      <formula>"MOD(ROW(),2)=0"</formula>
    </cfRule>
  </conditionalFormatting>
  <conditionalFormatting sqref="B23">
    <cfRule type="expression" dxfId="88" priority="102">
      <formula>MOD(ROW(),2)=0</formula>
    </cfRule>
    <cfRule type="expression" dxfId="87" priority="103">
      <formula>"MOD(ROW(),2)=0"</formula>
    </cfRule>
  </conditionalFormatting>
  <conditionalFormatting sqref="F23">
    <cfRule type="expression" dxfId="86" priority="100">
      <formula>MOD(ROW(),2)=0</formula>
    </cfRule>
    <cfRule type="expression" dxfId="85" priority="101">
      <formula>"MOD(ROW(),2)=0"</formula>
    </cfRule>
  </conditionalFormatting>
  <conditionalFormatting sqref="F23">
    <cfRule type="expression" dxfId="84" priority="98">
      <formula>MOD(ROW(),2)=0</formula>
    </cfRule>
    <cfRule type="expression" dxfId="83" priority="99">
      <formula>"MOD(ROW(),2)=0"</formula>
    </cfRule>
  </conditionalFormatting>
  <conditionalFormatting sqref="A37:M37">
    <cfRule type="expression" dxfId="82" priority="96">
      <formula>MOD(ROW(),2)=0</formula>
    </cfRule>
    <cfRule type="expression" dxfId="81" priority="97">
      <formula>"MOD(ROW(),2)=0"</formula>
    </cfRule>
  </conditionalFormatting>
  <conditionalFormatting sqref="C4:E4 G4:J4 A3:A4 L4">
    <cfRule type="expression" dxfId="80" priority="94">
      <formula>MOD(ROW(),2)=0</formula>
    </cfRule>
    <cfRule type="expression" dxfId="79" priority="95">
      <formula>"MOD(ROW(),2)=0"</formula>
    </cfRule>
  </conditionalFormatting>
  <conditionalFormatting sqref="B3 D3:K3 M3">
    <cfRule type="expression" dxfId="78" priority="92">
      <formula>MOD(ROW(),2)=0</formula>
    </cfRule>
    <cfRule type="expression" dxfId="77" priority="93">
      <formula>"MOD(ROW(),2)=0"</formula>
    </cfRule>
  </conditionalFormatting>
  <conditionalFormatting sqref="M4">
    <cfRule type="expression" dxfId="76" priority="90">
      <formula>MOD(ROW(),2)=0</formula>
    </cfRule>
    <cfRule type="expression" dxfId="75" priority="91">
      <formula>"MOD(ROW(),2)=0"</formula>
    </cfRule>
  </conditionalFormatting>
  <conditionalFormatting sqref="L3">
    <cfRule type="expression" dxfId="74" priority="88">
      <formula>MOD(ROW(),2)=0</formula>
    </cfRule>
    <cfRule type="expression" dxfId="73" priority="89">
      <formula>"MOD(ROW(),2)=0"</formula>
    </cfRule>
  </conditionalFormatting>
  <conditionalFormatting sqref="J4">
    <cfRule type="expression" dxfId="72" priority="86">
      <formula>MOD(ROW(),2)=0</formula>
    </cfRule>
    <cfRule type="expression" dxfId="71" priority="87">
      <formula>"MOD(ROW(),2)=0"</formula>
    </cfRule>
  </conditionalFormatting>
  <conditionalFormatting sqref="F4">
    <cfRule type="expression" dxfId="70" priority="84">
      <formula>MOD(ROW(),2)=0</formula>
    </cfRule>
    <cfRule type="expression" dxfId="69" priority="85">
      <formula>"MOD(ROW(),2)=0"</formula>
    </cfRule>
  </conditionalFormatting>
  <conditionalFormatting sqref="B4">
    <cfRule type="expression" dxfId="68" priority="82">
      <formula>MOD(ROW(),2)=0</formula>
    </cfRule>
    <cfRule type="expression" dxfId="67" priority="83">
      <formula>"MOD(ROW(),2)=0"</formula>
    </cfRule>
  </conditionalFormatting>
  <conditionalFormatting sqref="K8:M8 C8:E8 G8:I8 L7 A7:A8">
    <cfRule type="expression" dxfId="66" priority="80">
      <formula>MOD(ROW(),2)=0</formula>
    </cfRule>
    <cfRule type="expression" dxfId="65" priority="81">
      <formula>"MOD(ROW(),2)=0"</formula>
    </cfRule>
  </conditionalFormatting>
  <conditionalFormatting sqref="F7">
    <cfRule type="expression" dxfId="64" priority="70">
      <formula>MOD(ROW(),2)=0</formula>
    </cfRule>
    <cfRule type="expression" dxfId="63" priority="71">
      <formula>"MOD(ROW(),2)=0"</formula>
    </cfRule>
  </conditionalFormatting>
  <conditionalFormatting sqref="C7:E7 G7:K7 M7">
    <cfRule type="expression" dxfId="62" priority="78">
      <formula>MOD(ROW(),2)=0</formula>
    </cfRule>
    <cfRule type="expression" dxfId="61" priority="79">
      <formula>"MOD(ROW(),2)=0"</formula>
    </cfRule>
  </conditionalFormatting>
  <conditionalFormatting sqref="B7">
    <cfRule type="expression" dxfId="60" priority="76">
      <formula>MOD(ROW(),2)=0</formula>
    </cfRule>
    <cfRule type="expression" dxfId="59" priority="77">
      <formula>"MOD(ROW(),2)=0"</formula>
    </cfRule>
  </conditionalFormatting>
  <conditionalFormatting sqref="B7">
    <cfRule type="expression" dxfId="58" priority="74">
      <formula>MOD(ROW(),2)=0</formula>
    </cfRule>
    <cfRule type="expression" dxfId="57" priority="75">
      <formula>"MOD(ROW(),2)=0"</formula>
    </cfRule>
  </conditionalFormatting>
  <conditionalFormatting sqref="F7">
    <cfRule type="expression" dxfId="56" priority="72">
      <formula>MOD(ROW(),2)=0</formula>
    </cfRule>
    <cfRule type="expression" dxfId="55" priority="73">
      <formula>"MOD(ROW(),2)=0"</formula>
    </cfRule>
  </conditionalFormatting>
  <conditionalFormatting sqref="J8">
    <cfRule type="expression" dxfId="54" priority="68">
      <formula>MOD(ROW(),2)=0</formula>
    </cfRule>
    <cfRule type="expression" dxfId="53" priority="69">
      <formula>"MOD(ROW(),2)=0"</formula>
    </cfRule>
  </conditionalFormatting>
  <conditionalFormatting sqref="B8">
    <cfRule type="expression" dxfId="52" priority="66">
      <formula>MOD(ROW(),2)=0</formula>
    </cfRule>
    <cfRule type="expression" dxfId="51" priority="67">
      <formula>"MOD(ROW(),2)=0"</formula>
    </cfRule>
  </conditionalFormatting>
  <conditionalFormatting sqref="B8">
    <cfRule type="expression" dxfId="50" priority="64">
      <formula>MOD(ROW(),2)=0</formula>
    </cfRule>
    <cfRule type="expression" dxfId="49" priority="65">
      <formula>"MOD(ROW(),2)=0"</formula>
    </cfRule>
  </conditionalFormatting>
  <conditionalFormatting sqref="F8">
    <cfRule type="expression" dxfId="48" priority="60">
      <formula>MOD(ROW(),2)=0</formula>
    </cfRule>
    <cfRule type="expression" dxfId="47" priority="61">
      <formula>"MOD(ROW(),2)=0"</formula>
    </cfRule>
  </conditionalFormatting>
  <conditionalFormatting sqref="F8">
    <cfRule type="expression" dxfId="46" priority="62">
      <formula>MOD(ROW(),2)=0</formula>
    </cfRule>
    <cfRule type="expression" dxfId="45" priority="63">
      <formula>"MOD(ROW(),2)=0"</formula>
    </cfRule>
  </conditionalFormatting>
  <conditionalFormatting sqref="A11:M11">
    <cfRule type="expression" dxfId="44" priority="58">
      <formula>MOD(ROW(),2)=0</formula>
    </cfRule>
    <cfRule type="expression" dxfId="43" priority="59">
      <formula>"MOD(ROW(),2)=0"</formula>
    </cfRule>
  </conditionalFormatting>
  <conditionalFormatting sqref="J9">
    <cfRule type="expression" dxfId="42" priority="44">
      <formula>MOD(ROW(),2)=0</formula>
    </cfRule>
    <cfRule type="expression" dxfId="41" priority="45">
      <formula>"MOD(ROW(),2)=0"</formula>
    </cfRule>
  </conditionalFormatting>
  <conditionalFormatting sqref="A9">
    <cfRule type="expression" dxfId="40" priority="42">
      <formula>MOD(ROW(),2)=0</formula>
    </cfRule>
    <cfRule type="expression" dxfId="39" priority="43">
      <formula>"MOD(ROW(),2)=0"</formula>
    </cfRule>
  </conditionalFormatting>
  <conditionalFormatting sqref="B10 L10 E10:I10">
    <cfRule type="expression" dxfId="38" priority="41">
      <formula>MOD(ROW(),2)=0</formula>
    </cfRule>
  </conditionalFormatting>
  <conditionalFormatting sqref="M10">
    <cfRule type="expression" dxfId="37" priority="39">
      <formula>MOD(ROW(),2)=0</formula>
    </cfRule>
    <cfRule type="expression" dxfId="36" priority="40">
      <formula>"MOD(ROW(),2)=0"</formula>
    </cfRule>
  </conditionalFormatting>
  <conditionalFormatting sqref="J10">
    <cfRule type="expression" dxfId="35" priority="37">
      <formula>MOD(ROW(),2)=0</formula>
    </cfRule>
    <cfRule type="expression" dxfId="34" priority="38">
      <formula>"MOD(ROW(),2)=0"</formula>
    </cfRule>
  </conditionalFormatting>
  <conditionalFormatting sqref="C10:D10">
    <cfRule type="expression" dxfId="33" priority="35">
      <formula>MOD(ROW(),2)=0</formula>
    </cfRule>
    <cfRule type="expression" dxfId="32" priority="36">
      <formula>"MOD(ROW(),2)=0"</formula>
    </cfRule>
  </conditionalFormatting>
  <conditionalFormatting sqref="A10">
    <cfRule type="expression" dxfId="31" priority="33">
      <formula>MOD(ROW(),2)=0</formula>
    </cfRule>
    <cfRule type="expression" dxfId="30" priority="34">
      <formula>"MOD(ROW(),2)=0"</formula>
    </cfRule>
  </conditionalFormatting>
  <conditionalFormatting sqref="C5:E5 G5:J5 A5 L5">
    <cfRule type="expression" dxfId="29" priority="32">
      <formula>MOD(ROW(),2)=0</formula>
    </cfRule>
  </conditionalFormatting>
  <conditionalFormatting sqref="M5">
    <cfRule type="expression" dxfId="28" priority="30">
      <formula>MOD(ROW(),2)=0</formula>
    </cfRule>
    <cfRule type="expression" dxfId="27" priority="31">
      <formula>"MOD(ROW(),2)=0"</formula>
    </cfRule>
  </conditionalFormatting>
  <conditionalFormatting sqref="B5">
    <cfRule type="expression" dxfId="26" priority="28">
      <formula>MOD(ROW(),2)=0</formula>
    </cfRule>
    <cfRule type="expression" dxfId="25" priority="29">
      <formula>"MOD(ROW(),2)=0"</formula>
    </cfRule>
  </conditionalFormatting>
  <conditionalFormatting sqref="B5">
    <cfRule type="expression" dxfId="24" priority="26">
      <formula>MOD(ROW(),2)=0</formula>
    </cfRule>
    <cfRule type="expression" dxfId="23" priority="27">
      <formula>"MOD(ROW(),2)=0"</formula>
    </cfRule>
  </conditionalFormatting>
  <conditionalFormatting sqref="F5">
    <cfRule type="expression" dxfId="22" priority="24">
      <formula>MOD(ROW(),2)=0</formula>
    </cfRule>
    <cfRule type="expression" dxfId="21" priority="25">
      <formula>"MOD(ROW(),2)=0"</formula>
    </cfRule>
  </conditionalFormatting>
  <conditionalFormatting sqref="F5">
    <cfRule type="expression" dxfId="20" priority="22">
      <formula>MOD(ROW(),2)=0</formula>
    </cfRule>
    <cfRule type="expression" dxfId="19" priority="23">
      <formula>"MOD(ROW(),2)=0"</formula>
    </cfRule>
  </conditionalFormatting>
  <conditionalFormatting sqref="A6:J6 L6">
    <cfRule type="expression" dxfId="18" priority="21">
      <formula>MOD(ROW(),2)=0</formula>
    </cfRule>
  </conditionalFormatting>
  <conditionalFormatting sqref="M6">
    <cfRule type="expression" dxfId="17" priority="19">
      <formula>MOD(ROW(),2)=0</formula>
    </cfRule>
    <cfRule type="expression" dxfId="16" priority="20">
      <formula>"MOD(ROW(),2)=0"</formula>
    </cfRule>
  </conditionalFormatting>
  <conditionalFormatting sqref="J6">
    <cfRule type="expression" dxfId="15" priority="17">
      <formula>MOD(ROW(),2)=0</formula>
    </cfRule>
    <cfRule type="expression" dxfId="14" priority="18">
      <formula>"MOD(ROW(),2)=0"</formula>
    </cfRule>
  </conditionalFormatting>
  <conditionalFormatting sqref="B6">
    <cfRule type="expression" dxfId="13" priority="15">
      <formula>MOD(ROW(),2)=0</formula>
    </cfRule>
    <cfRule type="expression" dxfId="12" priority="16">
      <formula>"MOD(ROW(),2)=0"</formula>
    </cfRule>
  </conditionalFormatting>
  <conditionalFormatting sqref="F6">
    <cfRule type="expression" dxfId="11" priority="13">
      <formula>MOD(ROW(),2)=0</formula>
    </cfRule>
    <cfRule type="expression" dxfId="10" priority="14">
      <formula>"MOD(ROW(),2)=0"</formula>
    </cfRule>
  </conditionalFormatting>
  <conditionalFormatting sqref="K4">
    <cfRule type="expression" dxfId="9" priority="11">
      <formula>MOD(ROW(),2)=0</formula>
    </cfRule>
    <cfRule type="expression" dxfId="8" priority="12">
      <formula>"MOD(ROW(),2)=0"</formula>
    </cfRule>
  </conditionalFormatting>
  <conditionalFormatting sqref="K5">
    <cfRule type="expression" dxfId="7" priority="9">
      <formula>MOD(ROW(),2)=0</formula>
    </cfRule>
    <cfRule type="expression" dxfId="6" priority="10">
      <formula>"MOD(ROW(),2)=0"</formula>
    </cfRule>
  </conditionalFormatting>
  <conditionalFormatting sqref="K6">
    <cfRule type="expression" dxfId="5" priority="7">
      <formula>MOD(ROW(),2)=0</formula>
    </cfRule>
    <cfRule type="expression" dxfId="4" priority="8">
      <formula>"MOD(ROW(),2)=0"</formula>
    </cfRule>
  </conditionalFormatting>
  <conditionalFormatting sqref="K10">
    <cfRule type="expression" dxfId="3" priority="5">
      <formula>MOD(ROW(),2)=0</formula>
    </cfRule>
    <cfRule type="expression" dxfId="2" priority="6">
      <formula>"MOD(ROW(),2)=0"</formula>
    </cfRule>
  </conditionalFormatting>
  <conditionalFormatting sqref="B2:I2">
    <cfRule type="expression" dxfId="1" priority="1">
      <formula>MOD(ROW(),2)=0</formula>
    </cfRule>
    <cfRule type="expression" dxfId="0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15-D30F-479E-B29C-3933DF4300A0}">
  <dimension ref="B2:V80"/>
  <sheetViews>
    <sheetView workbookViewId="0">
      <selection activeCell="D84" sqref="D84"/>
    </sheetView>
  </sheetViews>
  <sheetFormatPr defaultRowHeight="15" x14ac:dyDescent="0.25"/>
  <cols>
    <col min="2" max="2" width="7.42578125" style="2" customWidth="1"/>
    <col min="3" max="3" width="15.28515625" style="7" customWidth="1"/>
    <col min="4" max="5" width="5" customWidth="1"/>
    <col min="6" max="6" width="24.28515625" customWidth="1"/>
    <col min="7" max="7" width="8.5703125" customWidth="1"/>
    <col min="8" max="8" width="21.28515625" customWidth="1"/>
    <col min="9" max="9" width="16.28515625" customWidth="1"/>
    <col min="10" max="10" width="17.140625" customWidth="1"/>
    <col min="11" max="11" width="16.85546875" customWidth="1"/>
    <col min="12" max="12" width="6.42578125" customWidth="1"/>
    <col min="13" max="13" width="28" customWidth="1"/>
  </cols>
  <sheetData>
    <row r="2" spans="2:21" x14ac:dyDescent="0.25">
      <c r="B2" s="116" t="s">
        <v>11</v>
      </c>
      <c r="C2" s="116"/>
      <c r="D2" s="116"/>
      <c r="E2" s="116"/>
      <c r="F2" s="116"/>
      <c r="H2" s="115" t="s">
        <v>10</v>
      </c>
      <c r="I2" s="115"/>
      <c r="J2" s="115" t="s">
        <v>3</v>
      </c>
      <c r="K2" s="115"/>
      <c r="L2" s="2"/>
      <c r="N2" s="115" t="s">
        <v>32</v>
      </c>
      <c r="O2" s="115"/>
      <c r="P2" s="115"/>
      <c r="Q2" s="115"/>
      <c r="R2" s="115"/>
      <c r="S2" s="115"/>
      <c r="T2" s="115"/>
    </row>
    <row r="3" spans="2:21" ht="18" x14ac:dyDescent="0.35">
      <c r="B3" s="6" t="s">
        <v>9</v>
      </c>
      <c r="C3" s="7" t="s">
        <v>36</v>
      </c>
      <c r="D3" s="1" t="s">
        <v>51</v>
      </c>
      <c r="E3" s="1" t="s">
        <v>164</v>
      </c>
      <c r="F3" t="s">
        <v>0</v>
      </c>
      <c r="G3" s="6" t="s">
        <v>47</v>
      </c>
      <c r="H3" t="s">
        <v>8</v>
      </c>
      <c r="I3" t="s">
        <v>9</v>
      </c>
      <c r="J3" t="s">
        <v>2</v>
      </c>
      <c r="K3" t="s">
        <v>3</v>
      </c>
      <c r="L3" t="s">
        <v>25</v>
      </c>
      <c r="M3" t="s">
        <v>1</v>
      </c>
      <c r="N3" t="s">
        <v>37</v>
      </c>
      <c r="P3" t="s">
        <v>33</v>
      </c>
      <c r="Q3" t="s">
        <v>39</v>
      </c>
      <c r="R3" t="s">
        <v>38</v>
      </c>
      <c r="T3" t="s">
        <v>34</v>
      </c>
      <c r="U3" t="s">
        <v>40</v>
      </c>
    </row>
    <row r="4" spans="2:21" ht="17.25" x14ac:dyDescent="0.25">
      <c r="B4" s="13" t="s">
        <v>17</v>
      </c>
      <c r="C4" s="7">
        <v>-0.125</v>
      </c>
      <c r="E4">
        <v>0</v>
      </c>
      <c r="F4" t="s">
        <v>139</v>
      </c>
      <c r="G4" t="s">
        <v>165</v>
      </c>
      <c r="H4" t="s">
        <v>7</v>
      </c>
      <c r="I4" t="s">
        <v>5</v>
      </c>
      <c r="J4" t="s">
        <v>6</v>
      </c>
      <c r="K4" t="s">
        <v>44</v>
      </c>
      <c r="L4" t="s">
        <v>14</v>
      </c>
      <c r="M4" s="8" t="s">
        <v>35</v>
      </c>
    </row>
    <row r="5" spans="2:21" ht="17.25" x14ac:dyDescent="0.25">
      <c r="B5" s="4" t="s">
        <v>17</v>
      </c>
      <c r="C5" s="7">
        <v>-0.125</v>
      </c>
      <c r="E5">
        <v>0</v>
      </c>
      <c r="F5" t="s">
        <v>12</v>
      </c>
      <c r="G5" t="s">
        <v>58</v>
      </c>
      <c r="H5" t="s">
        <v>7</v>
      </c>
      <c r="I5" t="s">
        <v>5</v>
      </c>
      <c r="J5" t="s">
        <v>6</v>
      </c>
      <c r="K5" t="s">
        <v>44</v>
      </c>
      <c r="L5" t="s">
        <v>15</v>
      </c>
      <c r="M5" s="8" t="s">
        <v>35</v>
      </c>
    </row>
    <row r="6" spans="2:21" ht="17.25" x14ac:dyDescent="0.25">
      <c r="B6" s="2" t="s">
        <v>17</v>
      </c>
      <c r="C6" s="7">
        <v>-0.38</v>
      </c>
      <c r="E6">
        <v>0</v>
      </c>
      <c r="F6" t="s">
        <v>13</v>
      </c>
      <c r="G6" t="s">
        <v>58</v>
      </c>
      <c r="H6" t="s">
        <v>7</v>
      </c>
      <c r="I6" t="s">
        <v>5</v>
      </c>
      <c r="J6" t="s">
        <v>6</v>
      </c>
      <c r="K6" t="s">
        <v>44</v>
      </c>
      <c r="L6" t="s">
        <v>16</v>
      </c>
      <c r="M6" s="8" t="s">
        <v>35</v>
      </c>
    </row>
    <row r="7" spans="2:21" ht="17.25" x14ac:dyDescent="0.25">
      <c r="B7" s="2" t="s">
        <v>17</v>
      </c>
      <c r="C7" s="7">
        <v>-0.42</v>
      </c>
      <c r="E7">
        <v>0</v>
      </c>
      <c r="F7" t="s">
        <v>42</v>
      </c>
      <c r="G7" t="s">
        <v>48</v>
      </c>
      <c r="H7" t="s">
        <v>50</v>
      </c>
      <c r="I7" t="s">
        <v>5</v>
      </c>
      <c r="J7" t="s">
        <v>6</v>
      </c>
      <c r="K7" t="s">
        <v>45</v>
      </c>
      <c r="L7" t="s">
        <v>46</v>
      </c>
      <c r="M7" t="s">
        <v>41</v>
      </c>
    </row>
    <row r="8" spans="2:21" ht="17.25" x14ac:dyDescent="0.25">
      <c r="B8" s="10" t="s">
        <v>17</v>
      </c>
      <c r="C8" s="7">
        <v>-0.2</v>
      </c>
      <c r="F8" t="s">
        <v>139</v>
      </c>
      <c r="G8" t="s">
        <v>69</v>
      </c>
      <c r="H8" t="s">
        <v>7</v>
      </c>
      <c r="I8" t="s">
        <v>5</v>
      </c>
      <c r="J8" t="s">
        <v>6</v>
      </c>
      <c r="K8" t="s">
        <v>44</v>
      </c>
      <c r="L8" t="s">
        <v>166</v>
      </c>
      <c r="M8" s="12" t="s">
        <v>35</v>
      </c>
    </row>
    <row r="9" spans="2:21" x14ac:dyDescent="0.25">
      <c r="B9" s="3"/>
    </row>
    <row r="11" spans="2:21" ht="17.25" x14ac:dyDescent="0.25">
      <c r="B11" s="2" t="s">
        <v>17</v>
      </c>
      <c r="C11" s="7">
        <v>7.0000000000000007E-2</v>
      </c>
      <c r="E11">
        <v>0</v>
      </c>
      <c r="F11" t="s">
        <v>56</v>
      </c>
      <c r="G11" t="s">
        <v>48</v>
      </c>
      <c r="H11" t="s">
        <v>55</v>
      </c>
      <c r="I11" t="s">
        <v>54</v>
      </c>
      <c r="J11" t="s">
        <v>6</v>
      </c>
      <c r="K11" t="s">
        <v>53</v>
      </c>
      <c r="L11" t="s">
        <v>57</v>
      </c>
      <c r="M11" t="s">
        <v>41</v>
      </c>
    </row>
    <row r="12" spans="2:21" ht="17.25" x14ac:dyDescent="0.25">
      <c r="B12" s="2" t="s">
        <v>17</v>
      </c>
      <c r="C12" s="7">
        <v>0.06</v>
      </c>
      <c r="E12">
        <v>0</v>
      </c>
      <c r="F12" t="s">
        <v>64</v>
      </c>
      <c r="G12" t="s">
        <v>65</v>
      </c>
      <c r="H12" t="s">
        <v>66</v>
      </c>
      <c r="I12" t="s">
        <v>54</v>
      </c>
      <c r="J12" t="s">
        <v>6</v>
      </c>
      <c r="K12" t="s">
        <v>62</v>
      </c>
      <c r="L12" t="s">
        <v>67</v>
      </c>
      <c r="M12" t="s">
        <v>61</v>
      </c>
    </row>
    <row r="13" spans="2:21" ht="17.25" x14ac:dyDescent="0.25">
      <c r="B13" s="2" t="s">
        <v>17</v>
      </c>
      <c r="C13" s="7">
        <v>-0.09</v>
      </c>
      <c r="E13">
        <v>0</v>
      </c>
      <c r="F13" t="s">
        <v>72</v>
      </c>
      <c r="G13" t="s">
        <v>69</v>
      </c>
      <c r="H13" t="s">
        <v>66</v>
      </c>
      <c r="I13" t="s">
        <v>54</v>
      </c>
      <c r="J13" t="s">
        <v>6</v>
      </c>
      <c r="K13" t="s">
        <v>62</v>
      </c>
      <c r="L13" t="s">
        <v>67</v>
      </c>
      <c r="M13" t="s">
        <v>61</v>
      </c>
    </row>
    <row r="14" spans="2:21" ht="17.25" x14ac:dyDescent="0.25">
      <c r="B14" s="2" t="s">
        <v>17</v>
      </c>
      <c r="C14" s="7">
        <v>0.15</v>
      </c>
      <c r="E14">
        <v>0</v>
      </c>
      <c r="F14" t="s">
        <v>75</v>
      </c>
      <c r="G14" t="s">
        <v>49</v>
      </c>
      <c r="H14" t="s">
        <v>63</v>
      </c>
      <c r="I14" t="s">
        <v>54</v>
      </c>
      <c r="J14" t="s">
        <v>6</v>
      </c>
      <c r="K14" t="s">
        <v>62</v>
      </c>
      <c r="L14" t="s">
        <v>73</v>
      </c>
      <c r="M14" t="s">
        <v>61</v>
      </c>
    </row>
    <row r="16" spans="2:21" ht="17.25" x14ac:dyDescent="0.25">
      <c r="B16" s="2" t="s">
        <v>17</v>
      </c>
      <c r="C16" s="7">
        <v>0.22</v>
      </c>
      <c r="E16">
        <v>0</v>
      </c>
      <c r="F16" t="s">
        <v>103</v>
      </c>
      <c r="G16" t="s">
        <v>49</v>
      </c>
      <c r="H16" t="s">
        <v>99</v>
      </c>
      <c r="I16" t="s">
        <v>5</v>
      </c>
      <c r="J16" t="s">
        <v>6</v>
      </c>
      <c r="K16" t="s">
        <v>98</v>
      </c>
      <c r="L16" t="s">
        <v>104</v>
      </c>
      <c r="M16" t="s">
        <v>102</v>
      </c>
    </row>
    <row r="17" spans="2:22" ht="17.25" x14ac:dyDescent="0.25">
      <c r="B17" s="2" t="s">
        <v>17</v>
      </c>
      <c r="C17" s="7">
        <v>-0.16</v>
      </c>
      <c r="E17">
        <v>0</v>
      </c>
      <c r="F17" t="s">
        <v>105</v>
      </c>
      <c r="G17" t="s">
        <v>49</v>
      </c>
      <c r="H17" t="s">
        <v>99</v>
      </c>
      <c r="I17" t="s">
        <v>5</v>
      </c>
      <c r="J17" t="s">
        <v>6</v>
      </c>
      <c r="K17" t="s">
        <v>98</v>
      </c>
      <c r="L17" t="s">
        <v>106</v>
      </c>
      <c r="M17" t="s">
        <v>102</v>
      </c>
    </row>
    <row r="18" spans="2:22" ht="17.25" x14ac:dyDescent="0.25">
      <c r="B18" s="10" t="s">
        <v>17</v>
      </c>
      <c r="C18" s="7">
        <v>0.24</v>
      </c>
      <c r="F18" t="s">
        <v>139</v>
      </c>
      <c r="G18" t="s">
        <v>150</v>
      </c>
      <c r="H18" t="s">
        <v>135</v>
      </c>
      <c r="I18" t="s">
        <v>85</v>
      </c>
      <c r="J18" t="s">
        <v>6</v>
      </c>
      <c r="K18" t="s">
        <v>138</v>
      </c>
      <c r="L18" t="s">
        <v>101</v>
      </c>
      <c r="M18" t="s">
        <v>133</v>
      </c>
    </row>
    <row r="19" spans="2:22" ht="17.25" x14ac:dyDescent="0.25">
      <c r="B19" s="10" t="s">
        <v>17</v>
      </c>
      <c r="C19" s="7">
        <v>0.38</v>
      </c>
      <c r="F19" t="s">
        <v>149</v>
      </c>
      <c r="G19" t="s">
        <v>69</v>
      </c>
      <c r="H19" t="s">
        <v>135</v>
      </c>
      <c r="I19" t="s">
        <v>85</v>
      </c>
      <c r="J19" t="s">
        <v>6</v>
      </c>
      <c r="K19" t="s">
        <v>138</v>
      </c>
      <c r="L19" t="s">
        <v>101</v>
      </c>
      <c r="M19" t="s">
        <v>133</v>
      </c>
    </row>
    <row r="20" spans="2:22" ht="17.25" x14ac:dyDescent="0.25">
      <c r="B20" s="10" t="s">
        <v>17</v>
      </c>
      <c r="C20" s="7">
        <v>1.66</v>
      </c>
      <c r="F20" t="s">
        <v>144</v>
      </c>
      <c r="G20" t="s">
        <v>49</v>
      </c>
      <c r="H20" t="s">
        <v>135</v>
      </c>
      <c r="I20" t="s">
        <v>85</v>
      </c>
      <c r="J20" t="s">
        <v>6</v>
      </c>
      <c r="K20" t="s">
        <v>138</v>
      </c>
      <c r="L20" t="s">
        <v>148</v>
      </c>
      <c r="M20" t="s">
        <v>133</v>
      </c>
      <c r="V20" t="s">
        <v>145</v>
      </c>
    </row>
    <row r="21" spans="2:22" ht="17.25" x14ac:dyDescent="0.25">
      <c r="B21" s="2" t="s">
        <v>17</v>
      </c>
      <c r="C21" s="7">
        <v>0.08</v>
      </c>
      <c r="F21" t="s">
        <v>56</v>
      </c>
      <c r="G21" t="s">
        <v>49</v>
      </c>
      <c r="H21" t="s">
        <v>135</v>
      </c>
      <c r="I21" t="s">
        <v>85</v>
      </c>
      <c r="J21" t="s">
        <v>6</v>
      </c>
      <c r="K21" t="s">
        <v>138</v>
      </c>
      <c r="L21" t="s">
        <v>142</v>
      </c>
      <c r="M21" t="s">
        <v>133</v>
      </c>
    </row>
    <row r="22" spans="2:22" ht="17.25" x14ac:dyDescent="0.25">
      <c r="B22" s="9" t="s">
        <v>17</v>
      </c>
      <c r="C22" s="7">
        <f>(R22-N22)/N22</f>
        <v>-4.7097844112769426E-2</v>
      </c>
      <c r="F22" t="s">
        <v>64</v>
      </c>
      <c r="G22" t="s">
        <v>65</v>
      </c>
      <c r="H22" t="s">
        <v>135</v>
      </c>
      <c r="I22" t="s">
        <v>85</v>
      </c>
      <c r="J22" t="s">
        <v>6</v>
      </c>
      <c r="K22" t="s">
        <v>138</v>
      </c>
      <c r="L22" t="s">
        <v>147</v>
      </c>
      <c r="M22" t="s">
        <v>133</v>
      </c>
      <c r="N22">
        <v>30.15</v>
      </c>
      <c r="O22">
        <v>1.39</v>
      </c>
      <c r="Q22">
        <v>19</v>
      </c>
      <c r="R22">
        <v>28.73</v>
      </c>
      <c r="S22">
        <v>1.49</v>
      </c>
      <c r="U22">
        <v>15</v>
      </c>
      <c r="V22" t="s">
        <v>146</v>
      </c>
    </row>
    <row r="24" spans="2:22" x14ac:dyDescent="0.25">
      <c r="B24" s="9" t="s">
        <v>17</v>
      </c>
      <c r="C24" s="7">
        <v>0.16</v>
      </c>
      <c r="F24" t="s">
        <v>160</v>
      </c>
      <c r="G24" t="s">
        <v>49</v>
      </c>
      <c r="H24" t="s">
        <v>159</v>
      </c>
      <c r="I24" t="s">
        <v>85</v>
      </c>
      <c r="J24" t="s">
        <v>156</v>
      </c>
      <c r="K24" t="s">
        <v>157</v>
      </c>
      <c r="L24" t="s">
        <v>158</v>
      </c>
      <c r="M24" t="s">
        <v>80</v>
      </c>
    </row>
    <row r="25" spans="2:22" ht="17.25" x14ac:dyDescent="0.25">
      <c r="B25" s="9" t="s">
        <v>17</v>
      </c>
      <c r="C25" s="7">
        <v>0</v>
      </c>
      <c r="F25" t="s">
        <v>161</v>
      </c>
      <c r="G25" t="s">
        <v>69</v>
      </c>
      <c r="H25" t="s">
        <v>77</v>
      </c>
      <c r="I25" t="s">
        <v>85</v>
      </c>
      <c r="J25" t="s">
        <v>6</v>
      </c>
      <c r="K25" t="s">
        <v>138</v>
      </c>
      <c r="L25" t="s">
        <v>162</v>
      </c>
      <c r="M25" t="s">
        <v>80</v>
      </c>
    </row>
    <row r="26" spans="2:22" ht="17.25" x14ac:dyDescent="0.25">
      <c r="B26" s="9" t="s">
        <v>17</v>
      </c>
      <c r="C26" s="11">
        <f>0.0588235294117647</f>
        <v>5.8823529411764698E-2</v>
      </c>
      <c r="F26" t="s">
        <v>163</v>
      </c>
      <c r="G26" t="s">
        <v>69</v>
      </c>
      <c r="H26" t="s">
        <v>77</v>
      </c>
      <c r="I26" t="s">
        <v>85</v>
      </c>
      <c r="J26" t="s">
        <v>6</v>
      </c>
      <c r="K26" t="s">
        <v>138</v>
      </c>
      <c r="L26" t="s">
        <v>162</v>
      </c>
      <c r="M26" t="s">
        <v>80</v>
      </c>
    </row>
    <row r="29" spans="2:22" ht="17.25" x14ac:dyDescent="0.25">
      <c r="B29" s="5" t="s">
        <v>18</v>
      </c>
      <c r="C29" s="7">
        <v>-0.4</v>
      </c>
      <c r="F29" t="s">
        <v>26</v>
      </c>
      <c r="H29" t="s">
        <v>7</v>
      </c>
      <c r="I29" t="s">
        <v>5</v>
      </c>
      <c r="J29" t="s">
        <v>6</v>
      </c>
      <c r="K29" t="s">
        <v>44</v>
      </c>
      <c r="L29" t="s">
        <v>19</v>
      </c>
      <c r="M29" s="8" t="s">
        <v>35</v>
      </c>
    </row>
    <row r="30" spans="2:22" ht="17.25" x14ac:dyDescent="0.25">
      <c r="B30" s="5" t="s">
        <v>18</v>
      </c>
      <c r="C30" s="7">
        <v>-0.44</v>
      </c>
      <c r="F30" t="s">
        <v>27</v>
      </c>
      <c r="H30" t="s">
        <v>7</v>
      </c>
      <c r="I30" t="s">
        <v>5</v>
      </c>
      <c r="J30" t="s">
        <v>6</v>
      </c>
      <c r="K30" t="s">
        <v>44</v>
      </c>
      <c r="L30" t="s">
        <v>20</v>
      </c>
      <c r="M30" s="8" t="s">
        <v>35</v>
      </c>
    </row>
    <row r="31" spans="2:22" ht="17.25" x14ac:dyDescent="0.25">
      <c r="B31" s="5" t="s">
        <v>18</v>
      </c>
      <c r="C31" s="7">
        <v>-0.72</v>
      </c>
      <c r="F31" t="s">
        <v>28</v>
      </c>
      <c r="H31" t="s">
        <v>7</v>
      </c>
      <c r="I31" t="s">
        <v>5</v>
      </c>
      <c r="J31" t="s">
        <v>6</v>
      </c>
      <c r="K31" t="s">
        <v>44</v>
      </c>
      <c r="L31" t="s">
        <v>21</v>
      </c>
      <c r="M31" s="8" t="s">
        <v>35</v>
      </c>
    </row>
    <row r="32" spans="2:22" ht="17.25" x14ac:dyDescent="0.25">
      <c r="B32" s="5" t="s">
        <v>18</v>
      </c>
      <c r="C32" s="7">
        <v>-0.56999999999999995</v>
      </c>
      <c r="F32" t="s">
        <v>29</v>
      </c>
      <c r="H32" t="s">
        <v>7</v>
      </c>
      <c r="I32" t="s">
        <v>5</v>
      </c>
      <c r="J32" t="s">
        <v>6</v>
      </c>
      <c r="K32" t="s">
        <v>44</v>
      </c>
      <c r="L32" t="s">
        <v>22</v>
      </c>
      <c r="M32" s="8" t="s">
        <v>35</v>
      </c>
    </row>
    <row r="33" spans="2:13" ht="17.25" x14ac:dyDescent="0.25">
      <c r="B33" s="5" t="s">
        <v>18</v>
      </c>
      <c r="C33" s="7">
        <v>-0.83</v>
      </c>
      <c r="F33" t="s">
        <v>30</v>
      </c>
      <c r="H33" t="s">
        <v>7</v>
      </c>
      <c r="I33" t="s">
        <v>5</v>
      </c>
      <c r="J33" t="s">
        <v>6</v>
      </c>
      <c r="K33" t="s">
        <v>44</v>
      </c>
      <c r="L33" t="s">
        <v>23</v>
      </c>
      <c r="M33" s="8" t="s">
        <v>35</v>
      </c>
    </row>
    <row r="34" spans="2:13" ht="17.25" x14ac:dyDescent="0.25">
      <c r="B34" s="5" t="s">
        <v>18</v>
      </c>
      <c r="C34" s="7">
        <v>-0.63</v>
      </c>
      <c r="F34" t="s">
        <v>31</v>
      </c>
      <c r="H34" t="s">
        <v>7</v>
      </c>
      <c r="I34" t="s">
        <v>5</v>
      </c>
      <c r="J34" t="s">
        <v>6</v>
      </c>
      <c r="K34" t="s">
        <v>44</v>
      </c>
      <c r="L34" t="s">
        <v>24</v>
      </c>
      <c r="M34" s="8" t="s">
        <v>35</v>
      </c>
    </row>
    <row r="35" spans="2:13" x14ac:dyDescent="0.25">
      <c r="B35" s="5" t="s">
        <v>18</v>
      </c>
    </row>
    <row r="36" spans="2:13" ht="17.25" x14ac:dyDescent="0.25">
      <c r="B36" s="5" t="s">
        <v>18</v>
      </c>
      <c r="C36" s="7">
        <v>-0.21</v>
      </c>
      <c r="F36" t="s">
        <v>42</v>
      </c>
      <c r="G36" t="s">
        <v>48</v>
      </c>
      <c r="H36" t="s">
        <v>43</v>
      </c>
      <c r="I36" t="s">
        <v>5</v>
      </c>
      <c r="J36" t="s">
        <v>6</v>
      </c>
      <c r="K36" t="s">
        <v>45</v>
      </c>
      <c r="L36" t="s">
        <v>46</v>
      </c>
      <c r="M36" t="s">
        <v>41</v>
      </c>
    </row>
    <row r="37" spans="2:13" ht="17.25" x14ac:dyDescent="0.25">
      <c r="B37" s="5" t="s">
        <v>18</v>
      </c>
      <c r="C37" s="7">
        <v>-0.42</v>
      </c>
      <c r="F37" t="s">
        <v>154</v>
      </c>
      <c r="G37" t="s">
        <v>49</v>
      </c>
      <c r="H37" t="s">
        <v>43</v>
      </c>
      <c r="I37" t="s">
        <v>5</v>
      </c>
      <c r="J37" t="s">
        <v>6</v>
      </c>
      <c r="K37" t="s">
        <v>45</v>
      </c>
      <c r="L37" t="s">
        <v>16</v>
      </c>
      <c r="M37" t="s">
        <v>41</v>
      </c>
    </row>
    <row r="38" spans="2:13" ht="17.25" x14ac:dyDescent="0.25">
      <c r="B38" s="5" t="s">
        <v>18</v>
      </c>
      <c r="C38" s="7">
        <v>-0.17</v>
      </c>
      <c r="F38" t="s">
        <v>42</v>
      </c>
      <c r="G38" t="s">
        <v>48</v>
      </c>
      <c r="H38" t="s">
        <v>55</v>
      </c>
      <c r="I38" t="s">
        <v>54</v>
      </c>
      <c r="J38" t="s">
        <v>6</v>
      </c>
      <c r="K38" t="s">
        <v>53</v>
      </c>
      <c r="L38" t="s">
        <v>52</v>
      </c>
      <c r="M38" t="s">
        <v>41</v>
      </c>
    </row>
    <row r="39" spans="2:13" ht="17.25" x14ac:dyDescent="0.25">
      <c r="B39" s="5" t="s">
        <v>18</v>
      </c>
      <c r="C39" s="7">
        <v>-0.45</v>
      </c>
      <c r="F39" t="s">
        <v>60</v>
      </c>
      <c r="G39" t="s">
        <v>58</v>
      </c>
      <c r="H39" t="s">
        <v>55</v>
      </c>
      <c r="I39" t="s">
        <v>54</v>
      </c>
      <c r="J39" t="s">
        <v>6</v>
      </c>
      <c r="K39" t="s">
        <v>53</v>
      </c>
      <c r="L39" t="s">
        <v>59</v>
      </c>
      <c r="M39" t="s">
        <v>41</v>
      </c>
    </row>
    <row r="43" spans="2:13" ht="17.25" x14ac:dyDescent="0.25">
      <c r="B43" s="5" t="s">
        <v>18</v>
      </c>
      <c r="C43" s="7">
        <v>-0.3</v>
      </c>
      <c r="F43" t="s">
        <v>68</v>
      </c>
      <c r="G43" t="s">
        <v>69</v>
      </c>
      <c r="H43" t="s">
        <v>71</v>
      </c>
      <c r="I43" t="s">
        <v>54</v>
      </c>
      <c r="J43" t="s">
        <v>6</v>
      </c>
      <c r="K43" t="s">
        <v>62</v>
      </c>
      <c r="L43" t="s">
        <v>167</v>
      </c>
      <c r="M43" t="s">
        <v>61</v>
      </c>
    </row>
    <row r="44" spans="2:13" x14ac:dyDescent="0.25">
      <c r="B44" s="5"/>
    </row>
    <row r="45" spans="2:13" ht="17.25" x14ac:dyDescent="0.25">
      <c r="B45" s="5" t="s">
        <v>18</v>
      </c>
      <c r="C45" s="7">
        <v>-0.5</v>
      </c>
      <c r="F45" t="s">
        <v>4</v>
      </c>
      <c r="G45" t="s">
        <v>49</v>
      </c>
      <c r="H45" t="s">
        <v>63</v>
      </c>
      <c r="I45" t="s">
        <v>54</v>
      </c>
      <c r="J45" t="s">
        <v>6</v>
      </c>
      <c r="K45" t="s">
        <v>62</v>
      </c>
      <c r="L45" t="s">
        <v>14</v>
      </c>
      <c r="M45" t="s">
        <v>61</v>
      </c>
    </row>
    <row r="46" spans="2:13" ht="17.25" x14ac:dyDescent="0.25">
      <c r="B46" s="5" t="s">
        <v>18</v>
      </c>
      <c r="C46" s="7">
        <v>-0.5</v>
      </c>
      <c r="F46" t="s">
        <v>93</v>
      </c>
      <c r="G46" s="1" t="s">
        <v>70</v>
      </c>
      <c r="H46" t="s">
        <v>63</v>
      </c>
      <c r="I46" t="s">
        <v>54</v>
      </c>
      <c r="J46" t="s">
        <v>6</v>
      </c>
      <c r="K46" t="s">
        <v>62</v>
      </c>
      <c r="L46" t="s">
        <v>19</v>
      </c>
      <c r="M46" t="s">
        <v>61</v>
      </c>
    </row>
    <row r="47" spans="2:13" ht="17.25" x14ac:dyDescent="0.25">
      <c r="B47" s="5" t="s">
        <v>18</v>
      </c>
      <c r="C47" s="7">
        <v>-0.47</v>
      </c>
      <c r="F47" t="s">
        <v>4</v>
      </c>
      <c r="G47" t="s">
        <v>49</v>
      </c>
      <c r="H47" t="s">
        <v>71</v>
      </c>
      <c r="I47" t="s">
        <v>54</v>
      </c>
      <c r="J47" t="s">
        <v>6</v>
      </c>
      <c r="K47" t="s">
        <v>62</v>
      </c>
      <c r="L47" t="s">
        <v>20</v>
      </c>
      <c r="M47" t="s">
        <v>61</v>
      </c>
    </row>
    <row r="48" spans="2:13" ht="17.25" x14ac:dyDescent="0.25">
      <c r="B48" s="5" t="s">
        <v>18</v>
      </c>
      <c r="C48" s="7">
        <v>-0.7</v>
      </c>
      <c r="F48" t="s">
        <v>93</v>
      </c>
      <c r="G48" s="1" t="s">
        <v>70</v>
      </c>
      <c r="H48" t="s">
        <v>71</v>
      </c>
      <c r="I48" t="s">
        <v>54</v>
      </c>
      <c r="J48" t="s">
        <v>6</v>
      </c>
      <c r="K48" t="s">
        <v>62</v>
      </c>
      <c r="L48" t="s">
        <v>46</v>
      </c>
      <c r="M48" t="s">
        <v>61</v>
      </c>
    </row>
    <row r="49" spans="2:13" ht="17.25" x14ac:dyDescent="0.25">
      <c r="B49" s="5" t="s">
        <v>18</v>
      </c>
      <c r="C49" s="7">
        <v>-0.25</v>
      </c>
      <c r="F49" t="s">
        <v>103</v>
      </c>
      <c r="G49" s="1" t="s">
        <v>49</v>
      </c>
      <c r="H49" t="s">
        <v>63</v>
      </c>
      <c r="I49" t="s">
        <v>54</v>
      </c>
      <c r="J49" t="s">
        <v>6</v>
      </c>
      <c r="K49" t="s">
        <v>62</v>
      </c>
      <c r="L49" t="s">
        <v>73</v>
      </c>
      <c r="M49" t="s">
        <v>61</v>
      </c>
    </row>
    <row r="50" spans="2:13" ht="17.25" x14ac:dyDescent="0.25">
      <c r="B50" s="5" t="s">
        <v>18</v>
      </c>
      <c r="C50" s="7">
        <v>-0.85</v>
      </c>
      <c r="F50" t="s">
        <v>94</v>
      </c>
      <c r="G50" s="1" t="s">
        <v>49</v>
      </c>
      <c r="H50" t="s">
        <v>63</v>
      </c>
      <c r="I50" t="s">
        <v>54</v>
      </c>
      <c r="J50" t="s">
        <v>6</v>
      </c>
      <c r="K50" t="s">
        <v>62</v>
      </c>
      <c r="L50" t="s">
        <v>74</v>
      </c>
      <c r="M50" t="s">
        <v>61</v>
      </c>
    </row>
    <row r="51" spans="2:13" x14ac:dyDescent="0.25">
      <c r="B51" s="5" t="s">
        <v>18</v>
      </c>
      <c r="C51" s="7">
        <v>-0.52</v>
      </c>
      <c r="F51" t="s">
        <v>78</v>
      </c>
      <c r="G51" t="s">
        <v>49</v>
      </c>
      <c r="H51" t="s">
        <v>77</v>
      </c>
      <c r="I51" t="s">
        <v>54</v>
      </c>
      <c r="J51" t="s">
        <v>6</v>
      </c>
      <c r="K51" t="s">
        <v>76</v>
      </c>
      <c r="L51" t="s">
        <v>79</v>
      </c>
      <c r="M51" t="s">
        <v>80</v>
      </c>
    </row>
    <row r="52" spans="2:13" ht="17.25" x14ac:dyDescent="0.25">
      <c r="B52" s="5" t="s">
        <v>18</v>
      </c>
      <c r="C52" s="7">
        <v>-0.7</v>
      </c>
      <c r="F52" t="s">
        <v>4</v>
      </c>
      <c r="G52" t="s">
        <v>49</v>
      </c>
      <c r="H52" t="s">
        <v>82</v>
      </c>
      <c r="I52" t="s">
        <v>86</v>
      </c>
      <c r="J52" t="s">
        <v>6</v>
      </c>
      <c r="K52" t="s">
        <v>83</v>
      </c>
      <c r="M52" t="s">
        <v>84</v>
      </c>
    </row>
    <row r="53" spans="2:13" ht="17.25" x14ac:dyDescent="0.25">
      <c r="B53" s="5" t="s">
        <v>18</v>
      </c>
      <c r="C53" s="7">
        <v>-0.52</v>
      </c>
      <c r="F53" t="s">
        <v>95</v>
      </c>
      <c r="G53" t="s">
        <v>49</v>
      </c>
      <c r="H53" t="s">
        <v>82</v>
      </c>
      <c r="I53" t="s">
        <v>86</v>
      </c>
      <c r="J53" t="s">
        <v>6</v>
      </c>
      <c r="K53" t="s">
        <v>83</v>
      </c>
      <c r="M53" t="s">
        <v>84</v>
      </c>
    </row>
    <row r="54" spans="2:13" ht="17.25" x14ac:dyDescent="0.25">
      <c r="B54" s="5" t="s">
        <v>18</v>
      </c>
      <c r="C54" s="7">
        <v>0.375</v>
      </c>
      <c r="F54" t="s">
        <v>81</v>
      </c>
      <c r="G54" t="s">
        <v>49</v>
      </c>
      <c r="H54" t="s">
        <v>82</v>
      </c>
      <c r="I54" t="s">
        <v>86</v>
      </c>
      <c r="J54" t="s">
        <v>6</v>
      </c>
      <c r="K54" t="s">
        <v>83</v>
      </c>
      <c r="M54" t="s">
        <v>84</v>
      </c>
    </row>
    <row r="55" spans="2:13" ht="17.25" x14ac:dyDescent="0.25">
      <c r="B55" s="5" t="s">
        <v>18</v>
      </c>
      <c r="C55" s="7">
        <v>-0.35</v>
      </c>
      <c r="F55" t="s">
        <v>89</v>
      </c>
      <c r="G55" t="s">
        <v>49</v>
      </c>
      <c r="H55" t="s">
        <v>88</v>
      </c>
      <c r="I55" t="s">
        <v>54</v>
      </c>
      <c r="J55" t="s">
        <v>6</v>
      </c>
      <c r="K55" t="s">
        <v>62</v>
      </c>
      <c r="L55" t="s">
        <v>90</v>
      </c>
      <c r="M55" t="s">
        <v>87</v>
      </c>
    </row>
    <row r="56" spans="2:13" ht="17.25" x14ac:dyDescent="0.25">
      <c r="B56" s="5" t="s">
        <v>18</v>
      </c>
      <c r="C56" s="7">
        <v>-0.8</v>
      </c>
      <c r="F56" t="s">
        <v>89</v>
      </c>
      <c r="G56" t="s">
        <v>49</v>
      </c>
      <c r="H56" t="s">
        <v>88</v>
      </c>
      <c r="I56" t="s">
        <v>54</v>
      </c>
      <c r="J56" t="s">
        <v>6</v>
      </c>
      <c r="K56" t="s">
        <v>62</v>
      </c>
      <c r="L56" t="s">
        <v>57</v>
      </c>
      <c r="M56" t="s">
        <v>87</v>
      </c>
    </row>
    <row r="57" spans="2:13" ht="17.25" x14ac:dyDescent="0.25">
      <c r="B57" s="5" t="s">
        <v>18</v>
      </c>
      <c r="C57" s="7">
        <v>-0.5</v>
      </c>
      <c r="F57" t="s">
        <v>103</v>
      </c>
      <c r="G57" t="s">
        <v>49</v>
      </c>
      <c r="H57" t="s">
        <v>88</v>
      </c>
      <c r="I57" t="s">
        <v>54</v>
      </c>
      <c r="J57" t="s">
        <v>6</v>
      </c>
      <c r="K57" t="s">
        <v>62</v>
      </c>
      <c r="L57" t="s">
        <v>52</v>
      </c>
      <c r="M57" t="s">
        <v>87</v>
      </c>
    </row>
    <row r="58" spans="2:13" ht="17.25" x14ac:dyDescent="0.25">
      <c r="B58" s="5" t="s">
        <v>18</v>
      </c>
      <c r="C58" s="7">
        <v>-0.6</v>
      </c>
      <c r="F58" t="s">
        <v>151</v>
      </c>
      <c r="G58" t="s">
        <v>49</v>
      </c>
      <c r="H58" t="s">
        <v>88</v>
      </c>
      <c r="I58" t="s">
        <v>54</v>
      </c>
      <c r="J58" t="s">
        <v>6</v>
      </c>
      <c r="K58" t="s">
        <v>62</v>
      </c>
      <c r="L58" t="s">
        <v>91</v>
      </c>
      <c r="M58" t="s">
        <v>87</v>
      </c>
    </row>
    <row r="60" spans="2:13" ht="17.25" x14ac:dyDescent="0.25">
      <c r="B60" s="5" t="s">
        <v>18</v>
      </c>
      <c r="C60" s="7">
        <v>-0.7</v>
      </c>
      <c r="F60" t="s">
        <v>89</v>
      </c>
      <c r="G60" t="s">
        <v>49</v>
      </c>
      <c r="H60" t="s">
        <v>99</v>
      </c>
      <c r="I60" t="s">
        <v>5</v>
      </c>
      <c r="J60" t="s">
        <v>6</v>
      </c>
      <c r="K60" t="s">
        <v>98</v>
      </c>
      <c r="L60" t="s">
        <v>96</v>
      </c>
      <c r="M60" t="s">
        <v>102</v>
      </c>
    </row>
    <row r="61" spans="2:13" ht="17.25" x14ac:dyDescent="0.25">
      <c r="B61" s="5" t="s">
        <v>18</v>
      </c>
      <c r="C61" s="7">
        <v>-0.3</v>
      </c>
      <c r="F61" t="s">
        <v>89</v>
      </c>
      <c r="G61" t="s">
        <v>49</v>
      </c>
      <c r="H61" t="s">
        <v>99</v>
      </c>
      <c r="I61" t="s">
        <v>5</v>
      </c>
      <c r="J61" t="s">
        <v>6</v>
      </c>
      <c r="K61" t="s">
        <v>98</v>
      </c>
      <c r="L61" t="s">
        <v>97</v>
      </c>
      <c r="M61" t="s">
        <v>102</v>
      </c>
    </row>
    <row r="62" spans="2:13" ht="17.25" x14ac:dyDescent="0.25">
      <c r="B62" s="5" t="s">
        <v>18</v>
      </c>
      <c r="C62" s="7">
        <v>-0.64</v>
      </c>
      <c r="F62" t="s">
        <v>152</v>
      </c>
      <c r="G62" t="s">
        <v>49</v>
      </c>
      <c r="H62" t="s">
        <v>99</v>
      </c>
      <c r="I62" t="s">
        <v>5</v>
      </c>
      <c r="J62" t="s">
        <v>6</v>
      </c>
      <c r="K62" t="s">
        <v>98</v>
      </c>
      <c r="L62" t="s">
        <v>100</v>
      </c>
      <c r="M62" t="s">
        <v>102</v>
      </c>
    </row>
    <row r="63" spans="2:13" ht="17.25" x14ac:dyDescent="0.25">
      <c r="B63" s="5" t="s">
        <v>18</v>
      </c>
      <c r="C63" s="7">
        <v>1</v>
      </c>
      <c r="F63" t="s">
        <v>153</v>
      </c>
      <c r="G63" t="s">
        <v>49</v>
      </c>
      <c r="H63" t="s">
        <v>99</v>
      </c>
      <c r="I63" t="s">
        <v>5</v>
      </c>
      <c r="J63" t="s">
        <v>6</v>
      </c>
      <c r="K63" t="s">
        <v>98</v>
      </c>
      <c r="L63" t="s">
        <v>101</v>
      </c>
      <c r="M63" t="s">
        <v>102</v>
      </c>
    </row>
    <row r="65" spans="2:14" ht="17.25" x14ac:dyDescent="0.25">
      <c r="B65" s="2" t="s">
        <v>18</v>
      </c>
      <c r="C65" s="7">
        <v>0.33</v>
      </c>
      <c r="F65" t="s">
        <v>107</v>
      </c>
      <c r="G65" s="1" t="s">
        <v>109</v>
      </c>
      <c r="H65" t="s">
        <v>118</v>
      </c>
      <c r="I65" t="s">
        <v>119</v>
      </c>
      <c r="J65" t="s">
        <v>6</v>
      </c>
      <c r="K65" t="s">
        <v>98</v>
      </c>
      <c r="L65" t="s">
        <v>110</v>
      </c>
      <c r="M65" t="s">
        <v>120</v>
      </c>
    </row>
    <row r="66" spans="2:14" ht="17.25" x14ac:dyDescent="0.25">
      <c r="B66" s="2" t="s">
        <v>18</v>
      </c>
      <c r="C66" s="7">
        <v>0.56999999999999995</v>
      </c>
      <c r="F66" t="s">
        <v>108</v>
      </c>
      <c r="G66" t="s">
        <v>49</v>
      </c>
      <c r="H66" t="s">
        <v>118</v>
      </c>
      <c r="I66" t="s">
        <v>119</v>
      </c>
      <c r="J66" t="s">
        <v>6</v>
      </c>
      <c r="K66" t="s">
        <v>98</v>
      </c>
      <c r="L66" t="s">
        <v>111</v>
      </c>
      <c r="M66" t="s">
        <v>120</v>
      </c>
    </row>
    <row r="67" spans="2:14" ht="17.25" x14ac:dyDescent="0.25">
      <c r="B67" s="2" t="s">
        <v>18</v>
      </c>
      <c r="C67" s="7">
        <v>0.28000000000000003</v>
      </c>
      <c r="F67" t="s">
        <v>89</v>
      </c>
      <c r="G67" t="s">
        <v>49</v>
      </c>
      <c r="H67" t="s">
        <v>121</v>
      </c>
      <c r="I67" t="s">
        <v>119</v>
      </c>
      <c r="J67" t="s">
        <v>6</v>
      </c>
      <c r="K67" t="s">
        <v>98</v>
      </c>
      <c r="L67" t="s">
        <v>112</v>
      </c>
      <c r="M67" t="s">
        <v>120</v>
      </c>
    </row>
    <row r="68" spans="2:14" ht="17.25" x14ac:dyDescent="0.25">
      <c r="B68" s="2" t="s">
        <v>18</v>
      </c>
      <c r="C68" s="7">
        <v>0.25</v>
      </c>
      <c r="F68" t="s">
        <v>89</v>
      </c>
      <c r="G68" s="1" t="s">
        <v>109</v>
      </c>
      <c r="H68" t="s">
        <v>124</v>
      </c>
      <c r="I68" t="s">
        <v>119</v>
      </c>
      <c r="J68" t="s">
        <v>6</v>
      </c>
      <c r="K68" t="s">
        <v>98</v>
      </c>
      <c r="L68" t="s">
        <v>113</v>
      </c>
      <c r="M68" t="s">
        <v>120</v>
      </c>
    </row>
    <row r="69" spans="2:14" ht="17.25" x14ac:dyDescent="0.25">
      <c r="B69" s="2" t="s">
        <v>18</v>
      </c>
      <c r="C69" s="7">
        <v>0.42</v>
      </c>
      <c r="F69" t="s">
        <v>103</v>
      </c>
      <c r="G69" s="1" t="s">
        <v>109</v>
      </c>
      <c r="H69" t="s">
        <v>118</v>
      </c>
      <c r="I69" t="s">
        <v>119</v>
      </c>
      <c r="J69" t="s">
        <v>6</v>
      </c>
      <c r="K69" t="s">
        <v>98</v>
      </c>
      <c r="L69" t="s">
        <v>79</v>
      </c>
      <c r="M69" t="s">
        <v>120</v>
      </c>
    </row>
    <row r="70" spans="2:14" ht="17.25" x14ac:dyDescent="0.25">
      <c r="B70" s="2" t="s">
        <v>18</v>
      </c>
      <c r="C70" s="7">
        <v>1.5</v>
      </c>
      <c r="F70" t="s">
        <v>122</v>
      </c>
      <c r="G70" s="1" t="s">
        <v>49</v>
      </c>
      <c r="H70" t="s">
        <v>129</v>
      </c>
      <c r="I70" t="s">
        <v>119</v>
      </c>
      <c r="J70" t="s">
        <v>6</v>
      </c>
      <c r="K70" t="s">
        <v>98</v>
      </c>
      <c r="L70" t="s">
        <v>114</v>
      </c>
      <c r="M70" t="s">
        <v>120</v>
      </c>
    </row>
    <row r="71" spans="2:14" ht="17.25" x14ac:dyDescent="0.25">
      <c r="B71" s="2" t="s">
        <v>18</v>
      </c>
      <c r="C71" s="7">
        <v>0.4</v>
      </c>
      <c r="F71" t="s">
        <v>123</v>
      </c>
      <c r="G71" s="1" t="s">
        <v>49</v>
      </c>
      <c r="H71" t="s">
        <v>129</v>
      </c>
      <c r="I71" t="s">
        <v>119</v>
      </c>
      <c r="J71" t="s">
        <v>6</v>
      </c>
      <c r="K71" t="s">
        <v>98</v>
      </c>
      <c r="L71" t="s">
        <v>115</v>
      </c>
      <c r="M71" t="s">
        <v>120</v>
      </c>
    </row>
    <row r="72" spans="2:14" ht="17.25" x14ac:dyDescent="0.25">
      <c r="B72" s="2" t="s">
        <v>18</v>
      </c>
      <c r="C72" s="7">
        <v>0.38</v>
      </c>
      <c r="F72" t="s">
        <v>126</v>
      </c>
      <c r="G72" s="1" t="s">
        <v>127</v>
      </c>
      <c r="H72" t="s">
        <v>129</v>
      </c>
      <c r="I72" t="s">
        <v>119</v>
      </c>
      <c r="J72" t="s">
        <v>6</v>
      </c>
      <c r="K72" t="s">
        <v>98</v>
      </c>
      <c r="L72" t="s">
        <v>116</v>
      </c>
      <c r="M72" t="s">
        <v>120</v>
      </c>
      <c r="N72" t="s">
        <v>128</v>
      </c>
    </row>
    <row r="73" spans="2:14" ht="17.25" x14ac:dyDescent="0.25">
      <c r="B73" s="2" t="s">
        <v>18</v>
      </c>
      <c r="C73" s="7">
        <v>2</v>
      </c>
      <c r="F73" t="s">
        <v>130</v>
      </c>
      <c r="G73" s="1" t="s">
        <v>49</v>
      </c>
      <c r="H73" t="s">
        <v>132</v>
      </c>
      <c r="I73" t="s">
        <v>119</v>
      </c>
      <c r="J73" t="s">
        <v>6</v>
      </c>
      <c r="K73" t="s">
        <v>98</v>
      </c>
      <c r="L73" t="s">
        <v>125</v>
      </c>
      <c r="M73" t="s">
        <v>120</v>
      </c>
    </row>
    <row r="74" spans="2:14" ht="17.25" x14ac:dyDescent="0.25">
      <c r="B74" s="5" t="s">
        <v>18</v>
      </c>
      <c r="C74" s="7">
        <v>0.33</v>
      </c>
      <c r="F74" t="s">
        <v>131</v>
      </c>
      <c r="G74" s="1" t="s">
        <v>109</v>
      </c>
      <c r="H74" t="s">
        <v>132</v>
      </c>
      <c r="I74" t="s">
        <v>119</v>
      </c>
      <c r="J74" t="s">
        <v>6</v>
      </c>
      <c r="K74" t="s">
        <v>98</v>
      </c>
      <c r="L74" t="s">
        <v>117</v>
      </c>
      <c r="M74" t="s">
        <v>120</v>
      </c>
    </row>
    <row r="76" spans="2:14" ht="17.25" x14ac:dyDescent="0.25">
      <c r="B76" s="5" t="s">
        <v>18</v>
      </c>
      <c r="C76" s="7">
        <v>-0.33</v>
      </c>
      <c r="F76" t="s">
        <v>134</v>
      </c>
      <c r="G76" t="s">
        <v>49</v>
      </c>
      <c r="H76" t="s">
        <v>135</v>
      </c>
      <c r="I76" t="s">
        <v>85</v>
      </c>
      <c r="J76" t="s">
        <v>6</v>
      </c>
      <c r="K76" t="s">
        <v>138</v>
      </c>
      <c r="L76" t="s">
        <v>91</v>
      </c>
      <c r="M76" t="s">
        <v>133</v>
      </c>
    </row>
    <row r="77" spans="2:14" ht="17.25" x14ac:dyDescent="0.25">
      <c r="B77" s="5" t="s">
        <v>18</v>
      </c>
      <c r="C77" s="7">
        <v>-0.25</v>
      </c>
      <c r="F77" t="s">
        <v>134</v>
      </c>
      <c r="G77" s="1" t="s">
        <v>136</v>
      </c>
      <c r="H77" t="s">
        <v>135</v>
      </c>
      <c r="I77" t="s">
        <v>85</v>
      </c>
      <c r="J77" t="s">
        <v>6</v>
      </c>
      <c r="K77" t="s">
        <v>138</v>
      </c>
      <c r="L77" t="s">
        <v>137</v>
      </c>
      <c r="M77" t="s">
        <v>133</v>
      </c>
    </row>
    <row r="78" spans="2:14" ht="17.25" x14ac:dyDescent="0.25">
      <c r="B78" s="5" t="s">
        <v>18</v>
      </c>
      <c r="C78" s="7">
        <v>-0.55000000000000004</v>
      </c>
      <c r="F78" t="s">
        <v>92</v>
      </c>
      <c r="G78" s="1" t="s">
        <v>49</v>
      </c>
      <c r="H78" t="s">
        <v>135</v>
      </c>
      <c r="I78" t="s">
        <v>85</v>
      </c>
      <c r="J78" t="s">
        <v>6</v>
      </c>
      <c r="K78" t="s">
        <v>138</v>
      </c>
      <c r="L78" t="s">
        <v>100</v>
      </c>
      <c r="M78" t="s">
        <v>133</v>
      </c>
    </row>
    <row r="79" spans="2:14" ht="17.25" x14ac:dyDescent="0.25">
      <c r="B79" s="5" t="s">
        <v>18</v>
      </c>
      <c r="C79" s="7">
        <v>-0.27</v>
      </c>
      <c r="F79" t="s">
        <v>155</v>
      </c>
      <c r="G79" s="1" t="s">
        <v>49</v>
      </c>
      <c r="H79" t="s">
        <v>135</v>
      </c>
      <c r="I79" t="s">
        <v>85</v>
      </c>
      <c r="J79" t="s">
        <v>6</v>
      </c>
      <c r="K79" t="s">
        <v>138</v>
      </c>
      <c r="L79" t="s">
        <v>140</v>
      </c>
      <c r="M79" t="s">
        <v>133</v>
      </c>
    </row>
    <row r="80" spans="2:14" ht="17.25" x14ac:dyDescent="0.25">
      <c r="B80" s="5" t="s">
        <v>18</v>
      </c>
      <c r="C80" s="7">
        <v>-0.35</v>
      </c>
      <c r="F80" t="s">
        <v>143</v>
      </c>
      <c r="G80" s="1" t="s">
        <v>49</v>
      </c>
      <c r="H80" t="s">
        <v>135</v>
      </c>
      <c r="I80" t="s">
        <v>85</v>
      </c>
      <c r="J80" t="s">
        <v>6</v>
      </c>
      <c r="K80" t="s">
        <v>138</v>
      </c>
      <c r="L80" t="s">
        <v>141</v>
      </c>
      <c r="M80" t="s">
        <v>133</v>
      </c>
    </row>
  </sheetData>
  <mergeCells count="4">
    <mergeCell ref="H2:I2"/>
    <mergeCell ref="J2:K2"/>
    <mergeCell ref="B2:F2"/>
    <mergeCell ref="N2:T2"/>
  </mergeCells>
  <phoneticPr fontId="9" type="noConversion"/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4DB2-EEF8-457E-A107-E929AE5471A5}">
  <dimension ref="A2:J10"/>
  <sheetViews>
    <sheetView workbookViewId="0">
      <selection activeCell="M18" sqref="M18"/>
    </sheetView>
  </sheetViews>
  <sheetFormatPr defaultRowHeight="15" x14ac:dyDescent="0.25"/>
  <cols>
    <col min="1" max="1" width="5.140625" customWidth="1"/>
    <col min="2" max="10" width="9.28515625" customWidth="1"/>
  </cols>
  <sheetData>
    <row r="2" spans="1:10" x14ac:dyDescent="0.25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</row>
    <row r="3" spans="1:10" x14ac:dyDescent="0.25">
      <c r="A3" s="110" t="s">
        <v>391</v>
      </c>
      <c r="B3" s="109">
        <v>0.13050970000000001</v>
      </c>
      <c r="C3" s="109">
        <v>0.19272510000000001</v>
      </c>
      <c r="D3" s="109">
        <v>0.27025519999999997</v>
      </c>
      <c r="E3" s="109">
        <v>0.3121351</v>
      </c>
      <c r="F3" s="109">
        <v>0.3161658</v>
      </c>
      <c r="G3" s="109">
        <v>0.33622239999999998</v>
      </c>
      <c r="H3" s="109">
        <v>0.51102760000000003</v>
      </c>
      <c r="I3" s="109">
        <v>0.94599529999999998</v>
      </c>
      <c r="J3" s="109">
        <v>1.8373660000000001</v>
      </c>
    </row>
    <row r="4" spans="1:10" x14ac:dyDescent="0.25">
      <c r="A4" s="110" t="s">
        <v>390</v>
      </c>
      <c r="B4" s="111">
        <v>0.465223</v>
      </c>
      <c r="C4" s="113">
        <v>245.7640462</v>
      </c>
      <c r="D4" s="113">
        <v>0.58947320000000003</v>
      </c>
      <c r="E4" s="111">
        <v>37.133283599999999</v>
      </c>
      <c r="F4" s="111">
        <v>35.609276199999996</v>
      </c>
      <c r="G4" s="111">
        <v>819.06387189999998</v>
      </c>
      <c r="H4" s="111">
        <v>641.73966170000006</v>
      </c>
      <c r="I4" s="113">
        <v>514.31342370000004</v>
      </c>
      <c r="J4" s="113">
        <v>11.756769999999999</v>
      </c>
    </row>
    <row r="5" spans="1:10" x14ac:dyDescent="0.25">
      <c r="A5" s="110" t="s">
        <v>321</v>
      </c>
      <c r="B5" s="111">
        <v>-0.81536803999999996</v>
      </c>
      <c r="C5" s="111">
        <v>-0.47254625</v>
      </c>
      <c r="D5" s="111">
        <v>2.2899429999999998E-2</v>
      </c>
      <c r="E5" s="111">
        <v>0.33981382999999998</v>
      </c>
      <c r="F5" s="111">
        <v>-0.40808435999999998</v>
      </c>
      <c r="G5" s="111">
        <v>0.89209843</v>
      </c>
      <c r="H5" s="111">
        <v>-9.7892750000000001E-2</v>
      </c>
      <c r="I5" s="111">
        <v>0.91661504999999999</v>
      </c>
      <c r="J5" s="111">
        <v>0.52932778999999996</v>
      </c>
    </row>
    <row r="6" spans="1:10" x14ac:dyDescent="0.25">
      <c r="A6" s="110" t="s">
        <v>389</v>
      </c>
      <c r="B6" s="112">
        <v>0.18855440000000001</v>
      </c>
      <c r="C6" s="112">
        <v>0.40148669999999997</v>
      </c>
      <c r="D6" s="112">
        <v>0.96738599999999997</v>
      </c>
      <c r="E6" s="112">
        <v>0.48152859999999997</v>
      </c>
      <c r="F6" s="112">
        <v>0.2732696</v>
      </c>
      <c r="G6" s="112">
        <v>0.15706970000000001</v>
      </c>
      <c r="H6" s="112">
        <v>0.84788370000000002</v>
      </c>
      <c r="I6" s="112">
        <v>0.26970759999999999</v>
      </c>
      <c r="J6" s="112">
        <v>0.3091062</v>
      </c>
    </row>
    <row r="7" spans="1:10" x14ac:dyDescent="0.25">
      <c r="A7" s="110" t="s">
        <v>388</v>
      </c>
      <c r="B7" s="114">
        <v>2.997887E-5</v>
      </c>
      <c r="C7" s="112">
        <v>1.5858999999999999E-3</v>
      </c>
      <c r="D7" s="111">
        <v>9.1491019999999992E-3</v>
      </c>
      <c r="E7" s="111">
        <v>9.3777259999999994E-3</v>
      </c>
      <c r="F7" s="111">
        <v>0.1023244</v>
      </c>
      <c r="G7" s="111">
        <v>3.7790629999999999E-2</v>
      </c>
      <c r="H7" s="111">
        <v>0.2372254</v>
      </c>
      <c r="I7" s="111">
        <v>0.51278069999999998</v>
      </c>
      <c r="J7" s="111">
        <v>0.57448520000000003</v>
      </c>
    </row>
    <row r="8" spans="1:10" x14ac:dyDescent="0.25">
      <c r="A8" s="110" t="s">
        <v>387</v>
      </c>
      <c r="B8" s="111">
        <v>1</v>
      </c>
      <c r="C8" s="111">
        <v>1</v>
      </c>
      <c r="D8" s="111">
        <v>1</v>
      </c>
      <c r="E8" s="111">
        <v>1</v>
      </c>
      <c r="F8" s="111">
        <v>0.96228950000000002</v>
      </c>
      <c r="G8" s="111">
        <v>0.87166100000000002</v>
      </c>
      <c r="H8" s="111">
        <v>1</v>
      </c>
      <c r="I8" s="111">
        <v>0.5</v>
      </c>
      <c r="J8" s="111">
        <v>0.5</v>
      </c>
    </row>
    <row r="9" spans="1:10" x14ac:dyDescent="0.25">
      <c r="A9" s="110" t="s">
        <v>320</v>
      </c>
      <c r="B9" s="111">
        <v>0.90477439999999998</v>
      </c>
      <c r="C9" s="111">
        <v>0.63043099999999996</v>
      </c>
      <c r="D9" s="111">
        <v>0.53992439999999997</v>
      </c>
      <c r="E9" s="111">
        <v>0.58004990000000001</v>
      </c>
      <c r="F9" s="111">
        <v>0.64598789999999995</v>
      </c>
      <c r="G9" s="111">
        <v>1.2974969999999999</v>
      </c>
      <c r="H9" s="111">
        <v>0.52758380000000005</v>
      </c>
      <c r="I9" s="111">
        <v>1.2670007999999999</v>
      </c>
      <c r="J9" s="111">
        <v>0.96763449999999995</v>
      </c>
    </row>
    <row r="10" spans="1:10" x14ac:dyDescent="0.25">
      <c r="A10" s="110" t="s">
        <v>386</v>
      </c>
      <c r="B10" s="109">
        <v>-5.5072464000000002E-2</v>
      </c>
      <c r="C10" s="109">
        <v>-5.7553957000000003E-2</v>
      </c>
      <c r="D10" s="109">
        <v>4.3668120000000003E-3</v>
      </c>
      <c r="E10" s="109">
        <v>7.0921986000000006E-2</v>
      </c>
      <c r="F10" s="109">
        <v>-0.11132255000000001</v>
      </c>
      <c r="G10" s="109">
        <v>0.14217632999999999</v>
      </c>
      <c r="H10" s="109">
        <v>-2.3970037E-2</v>
      </c>
      <c r="I10" s="109">
        <v>0.30633802799999998</v>
      </c>
      <c r="J10" s="109">
        <v>0.366071429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8035-CC57-4C56-A74C-11C91BCA795E}">
  <dimension ref="A2:J10"/>
  <sheetViews>
    <sheetView workbookViewId="0">
      <selection activeCell="J17" sqref="J17"/>
    </sheetView>
  </sheetViews>
  <sheetFormatPr defaultRowHeight="15" x14ac:dyDescent="0.25"/>
  <cols>
    <col min="1" max="1" width="5.140625" customWidth="1"/>
    <col min="2" max="10" width="9.28515625" customWidth="1"/>
  </cols>
  <sheetData>
    <row r="2" spans="1:10" x14ac:dyDescent="0.25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</row>
    <row r="3" spans="1:10" x14ac:dyDescent="0.25">
      <c r="A3" s="110" t="s">
        <v>391</v>
      </c>
      <c r="B3" s="109">
        <v>0.15031649999999999</v>
      </c>
      <c r="C3" s="109">
        <v>0.24022180000000001</v>
      </c>
      <c r="D3" s="109">
        <v>0.32386579999999998</v>
      </c>
      <c r="E3" s="109">
        <v>0.31099280000000001</v>
      </c>
      <c r="F3" s="109">
        <v>0.64319320000000002</v>
      </c>
      <c r="G3" s="109">
        <v>1.0937212999999999</v>
      </c>
      <c r="H3" s="109">
        <v>1.1655401000000001</v>
      </c>
      <c r="I3" s="109">
        <v>3.9389056</v>
      </c>
      <c r="J3" s="109">
        <v>4.5026507999999996</v>
      </c>
    </row>
    <row r="4" spans="1:10" x14ac:dyDescent="0.25">
      <c r="A4" s="110" t="s">
        <v>390</v>
      </c>
      <c r="B4" s="111">
        <v>7.1157560000000002</v>
      </c>
      <c r="C4" s="113">
        <v>159353</v>
      </c>
      <c r="D4" s="113">
        <v>115125.8</v>
      </c>
      <c r="E4" s="111">
        <v>130.71680000000001</v>
      </c>
      <c r="F4" s="111">
        <v>15.98372</v>
      </c>
      <c r="G4" s="111">
        <v>33.378149999999998</v>
      </c>
      <c r="H4" s="111">
        <v>0.71794360000000002</v>
      </c>
      <c r="I4" s="113">
        <v>740159.6</v>
      </c>
      <c r="J4" s="113">
        <v>17738.080000000002</v>
      </c>
    </row>
    <row r="5" spans="1:10" x14ac:dyDescent="0.25">
      <c r="A5" s="110" t="s">
        <v>321</v>
      </c>
      <c r="B5" s="111">
        <v>0.61999378999999999</v>
      </c>
      <c r="C5" s="111">
        <v>3.5713559999999998E-2</v>
      </c>
      <c r="D5" s="111">
        <v>-5.0486469999999999E-2</v>
      </c>
      <c r="E5" s="111">
        <v>-0.91323125000000005</v>
      </c>
      <c r="F5" s="111">
        <v>-0.39130714999999999</v>
      </c>
      <c r="G5" s="111">
        <v>0.12847995000000001</v>
      </c>
      <c r="H5" s="111">
        <v>-0.25180072999999997</v>
      </c>
      <c r="I5" s="111">
        <v>3.9523879999999997E-2</v>
      </c>
      <c r="J5" s="111">
        <v>0.57883865000000001</v>
      </c>
    </row>
    <row r="6" spans="1:10" x14ac:dyDescent="0.25">
      <c r="A6" s="110" t="s">
        <v>389</v>
      </c>
      <c r="B6" s="112">
        <v>0.15226987</v>
      </c>
      <c r="C6" s="112">
        <v>0.94420462000000005</v>
      </c>
      <c r="D6" s="112">
        <v>0.89255209999999996</v>
      </c>
      <c r="E6" s="112">
        <v>8.2068390000000005E-2</v>
      </c>
      <c r="F6" s="112">
        <v>0.47329323000000001</v>
      </c>
      <c r="G6" s="112">
        <v>0.74452461999999997</v>
      </c>
      <c r="H6" s="112">
        <v>0.62356526999999995</v>
      </c>
      <c r="I6" s="112">
        <v>0.96246604999999996</v>
      </c>
      <c r="J6" s="112">
        <v>8.4891060000000004E-2</v>
      </c>
    </row>
    <row r="7" spans="1:10" x14ac:dyDescent="0.25">
      <c r="A7" s="110" t="s">
        <v>388</v>
      </c>
      <c r="B7" s="114">
        <v>4.0220380000000001E-8</v>
      </c>
      <c r="C7" s="114">
        <v>6.9960029999999998E-4</v>
      </c>
      <c r="D7" s="111">
        <v>7.0855270000000003E-3</v>
      </c>
      <c r="E7" s="111">
        <v>2.0226649999999999E-2</v>
      </c>
      <c r="F7" s="111">
        <v>0.26893610000000001</v>
      </c>
      <c r="G7" s="111">
        <v>0.25931979999999999</v>
      </c>
      <c r="H7" s="111">
        <v>1</v>
      </c>
      <c r="I7" s="111">
        <v>0.4496213</v>
      </c>
      <c r="J7" s="111">
        <v>1</v>
      </c>
    </row>
    <row r="8" spans="1:10" x14ac:dyDescent="0.25">
      <c r="A8" s="110" t="s">
        <v>387</v>
      </c>
      <c r="B8" s="111">
        <v>1</v>
      </c>
      <c r="C8" s="111">
        <v>1</v>
      </c>
      <c r="D8" s="111">
        <v>1</v>
      </c>
      <c r="E8" s="111">
        <v>1</v>
      </c>
      <c r="F8" s="111">
        <v>0.750143</v>
      </c>
      <c r="G8" s="111">
        <v>0.5</v>
      </c>
      <c r="H8" s="111">
        <v>0.68745579999999995</v>
      </c>
      <c r="I8" s="111">
        <v>0.5</v>
      </c>
      <c r="J8" s="111">
        <v>0.31595030000000002</v>
      </c>
    </row>
    <row r="9" spans="1:10" x14ac:dyDescent="0.25">
      <c r="A9" s="110" t="s">
        <v>320</v>
      </c>
      <c r="B9" s="111">
        <v>0.78330149999999998</v>
      </c>
      <c r="C9" s="111">
        <v>0.48233399999999998</v>
      </c>
      <c r="D9" s="111">
        <v>0.41761150000000002</v>
      </c>
      <c r="E9" s="111">
        <v>1.3787769000000001</v>
      </c>
      <c r="F9" s="111">
        <v>0.69138529999999998</v>
      </c>
      <c r="G9" s="111">
        <v>0.61929500000000004</v>
      </c>
      <c r="H9" s="111">
        <v>0.6473276</v>
      </c>
      <c r="I9" s="111">
        <v>0.80988649999999995</v>
      </c>
      <c r="J9" s="111">
        <v>1.7043432000000001</v>
      </c>
    </row>
    <row r="10" spans="1:10" x14ac:dyDescent="0.25">
      <c r="A10" s="110" t="s">
        <v>386</v>
      </c>
      <c r="B10" s="109">
        <v>5.5214724E-2</v>
      </c>
      <c r="C10" s="109">
        <v>7.1802539999999996E-3</v>
      </c>
      <c r="D10" s="109">
        <v>-1.9669504000000001E-2</v>
      </c>
      <c r="E10" s="109">
        <v>-0.18055555600000001</v>
      </c>
      <c r="F10" s="109">
        <v>-0.16017316000000001</v>
      </c>
      <c r="G10" s="109">
        <v>0.13888888899999999</v>
      </c>
      <c r="H10" s="109">
        <v>-0.13464235599999999</v>
      </c>
      <c r="I10" s="109">
        <v>1.8032205999999999E-2</v>
      </c>
      <c r="J10" s="109">
        <v>0.72719967900000004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Chol Null</vt:lpstr>
      <vt:lpstr>Chol Crit</vt:lpstr>
      <vt:lpstr>Plaque Null</vt:lpstr>
      <vt:lpstr>Plaque Crit</vt:lpstr>
      <vt:lpstr>Sheet1</vt:lpstr>
      <vt:lpstr>Chol_Null_Horz</vt:lpstr>
      <vt:lpstr>Plaque_Null_Horz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2021-03-15T17:45:52Z</dcterms:created>
  <dcterms:modified xsi:type="dcterms:W3CDTF">2022-07-13T13:34:05Z</dcterms:modified>
</cp:coreProperties>
</file>